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5.xml" ContentType="application/vnd.openxmlformats-officedocument.spreadsheetml.comments+xml"/>
  <Override PartName="/xl/comments1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omments13.xml" ContentType="application/vnd.openxmlformats-officedocument.spreadsheetml.comments+xml"/>
  <Override PartName="/xl/comments8.xml" ContentType="application/vnd.openxmlformats-officedocument.spreadsheetml.comments+xml"/>
  <Override PartName="/xl/comments7.xml" ContentType="application/vnd.openxmlformats-officedocument.spreadsheetml.comments+xml"/>
  <Override PartName="/xl/comments4.xml" ContentType="application/vnd.openxmlformats-officedocument.spreadsheetml.comments+xml"/>
  <Override PartName="/xl/comments6.xml" ContentType="application/vnd.openxmlformats-officedocument.spreadsheetml.comments+xml"/>
  <Override PartName="/xl/comments9.xml" ContentType="application/vnd.openxmlformats-officedocument.spreadsheetml.comments+xml"/>
  <Override PartName="/xl/comments2.xml" ContentType="application/vnd.openxmlformats-officedocument.spreadsheetml.comments+xml"/>
  <Override PartName="/xl/comments12.xml" ContentType="application/vnd.openxmlformats-officedocument.spreadsheetml.comments+xml"/>
  <Override PartName="/xl/comments11.xml" ContentType="application/vnd.openxmlformats-officedocument.spreadsheetml.comments+xml"/>
  <Override PartName="/xl/comments10.xml" ContentType="application/vnd.openxmlformats-officedocument.spreadsheetml.comments+xml"/>
  <Override PartName="/xl/comments3.xml" ContentType="application/vnd.openxmlformats-officedocument.spreadsheetml.comments+xml"/>
  <Override PartName="/xl/comments14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075" yWindow="105" windowWidth="14805" windowHeight="8010" activeTab="4"/>
  </bookViews>
  <sheets>
    <sheet name="UG-170486 Auth Base" sheetId="1" r:id="rId1"/>
    <sheet name="GDWA 3% test" sheetId="4" r:id="rId2"/>
    <sheet name="Deferral Calc" sheetId="2" r:id="rId3"/>
    <sheet name="Acerno_Cache_XXXXX" sheetId="16" state="veryHidden" r:id="rId4"/>
    <sheet name="12.2019 Base Rate Revenue" sheetId="15" r:id="rId5"/>
    <sheet name="11.2019 Base Rate Revenue" sheetId="14" r:id="rId6"/>
    <sheet name="10.2019 Base Rate Revenue" sheetId="13" r:id="rId7"/>
    <sheet name="09.2019 Base Rate Revenue" sheetId="12" r:id="rId8"/>
    <sheet name="08.2019 Base Rate Revenue" sheetId="11" r:id="rId9"/>
    <sheet name="07.2019 Base Rate Revenue" sheetId="10" r:id="rId10"/>
    <sheet name="06.2019 Base Rate Revenue" sheetId="9" r:id="rId11"/>
    <sheet name="05.2019 Base Rate Revenue" sheetId="8" r:id="rId12"/>
    <sheet name="04.2019 Base Rate Revenue" sheetId="7" r:id="rId13"/>
    <sheet name="03.2019 Base Rate Revenue" sheetId="6" r:id="rId14"/>
    <sheet name="02.2019 Base Rate Revenue" sheetId="5" r:id="rId15"/>
    <sheet name="01.2019 Base Rate Revenue" sheetId="3" r:id="rId16"/>
  </sheets>
  <definedNames>
    <definedName name="_xlnm.Print_Area" localSheetId="15">'01.2019 Base Rate Revenue'!$A$1:$I$38,'01.2019 Base Rate Revenue'!$A$40:$J$68,'01.2019 Base Rate Revenue'!$L$1:$W$16</definedName>
    <definedName name="_xlnm.Print_Area" localSheetId="14">'02.2019 Base Rate Revenue'!$A$1:$I$38,'02.2019 Base Rate Revenue'!$A$40:$J$68,'02.2019 Base Rate Revenue'!$L$1:$W$16</definedName>
    <definedName name="_xlnm.Print_Area" localSheetId="13">'03.2019 Base Rate Revenue'!$A$1:$I$38,'03.2019 Base Rate Revenue'!$A$40:$J$68,'03.2019 Base Rate Revenue'!$L$1:$W$16</definedName>
    <definedName name="_xlnm.Print_Area" localSheetId="12">'04.2019 Base Rate Revenue'!$A$1:$I$38,'04.2019 Base Rate Revenue'!$A$40:$J$68,'04.2019 Base Rate Revenue'!$L$1:$W$16</definedName>
    <definedName name="_xlnm.Print_Area" localSheetId="11">'05.2019 Base Rate Revenue'!$A$1:$I$38,'05.2019 Base Rate Revenue'!$A$40:$J$68,'05.2019 Base Rate Revenue'!$L$1:$W$16</definedName>
    <definedName name="_xlnm.Print_Area" localSheetId="10">'06.2019 Base Rate Revenue'!$A$1:$I$38,'06.2019 Base Rate Revenue'!$A$40:$J$68,'06.2019 Base Rate Revenue'!$L$1:$W$16</definedName>
    <definedName name="_xlnm.Print_Area" localSheetId="9">'07.2019 Base Rate Revenue'!$A$1:$I$38,'07.2019 Base Rate Revenue'!$A$40:$J$68,'07.2019 Base Rate Revenue'!$L$1:$W$16</definedName>
    <definedName name="_xlnm.Print_Area" localSheetId="8">'08.2019 Base Rate Revenue'!$A$1:$I$38,'08.2019 Base Rate Revenue'!$A$40:$J$68,'08.2019 Base Rate Revenue'!$L$1:$W$16</definedName>
    <definedName name="_xlnm.Print_Area" localSheetId="7">'09.2019 Base Rate Revenue'!$A$1:$I$38,'09.2019 Base Rate Revenue'!$A$40:$J$68,'09.2019 Base Rate Revenue'!$L$1:$W$16</definedName>
    <definedName name="_xlnm.Print_Area" localSheetId="6">'10.2019 Base Rate Revenue'!$A$1:$I$38,'10.2019 Base Rate Revenue'!$A$40:$J$68,'10.2019 Base Rate Revenue'!$L$1:$W$16</definedName>
    <definedName name="_xlnm.Print_Area" localSheetId="5">'11.2019 Base Rate Revenue'!$A$1:$I$38,'11.2019 Base Rate Revenue'!$A$40:$J$68,'11.2019 Base Rate Revenue'!$L$1:$W$16</definedName>
    <definedName name="_xlnm.Print_Area" localSheetId="4">'12.2019 Base Rate Revenue'!$A$1:$I$38,'12.2019 Base Rate Revenue'!$A$40:$J$68,'12.2019 Base Rate Revenue'!$L$1:$W$16</definedName>
    <definedName name="_xlnm.Print_Area" localSheetId="1">'GDWA 3% test'!$A$1:$P$64</definedName>
  </definedNames>
  <calcPr calcId="152511"/>
</workbook>
</file>

<file path=xl/calcChain.xml><?xml version="1.0" encoding="utf-8"?>
<calcChain xmlns="http://schemas.openxmlformats.org/spreadsheetml/2006/main">
  <c r="Q53" i="15" l="1"/>
  <c r="O43" i="15"/>
  <c r="O44" i="15"/>
  <c r="O45" i="15"/>
  <c r="O46" i="15"/>
  <c r="O47" i="15"/>
  <c r="O48" i="15"/>
  <c r="O49" i="15"/>
  <c r="O50" i="15"/>
  <c r="O51" i="15"/>
  <c r="O42" i="15"/>
  <c r="F22" i="15"/>
  <c r="G4" i="15" l="1"/>
  <c r="N47" i="15" l="1"/>
  <c r="P47" i="15" s="1"/>
  <c r="Q44" i="15"/>
  <c r="Q47" i="15"/>
  <c r="Q51" i="15"/>
  <c r="N42" i="15"/>
  <c r="P42" i="15" s="1"/>
  <c r="D56" i="15"/>
  <c r="D58" i="15"/>
  <c r="D68" i="15" s="1"/>
  <c r="C59" i="15"/>
  <c r="E59" i="15"/>
  <c r="C60" i="15"/>
  <c r="D60" i="15"/>
  <c r="E60" i="15"/>
  <c r="E61" i="15"/>
  <c r="C62" i="15"/>
  <c r="D62" i="15"/>
  <c r="E62" i="15"/>
  <c r="G62" i="15"/>
  <c r="P51" i="15"/>
  <c r="N51" i="15"/>
  <c r="Q50" i="15"/>
  <c r="N50" i="15"/>
  <c r="P50" i="15" s="1"/>
  <c r="Q49" i="15"/>
  <c r="N49" i="15"/>
  <c r="P49" i="15" s="1"/>
  <c r="P48" i="15"/>
  <c r="Q48" i="15"/>
  <c r="N48" i="15"/>
  <c r="Q46" i="15"/>
  <c r="N46" i="15"/>
  <c r="P46" i="15" s="1"/>
  <c r="Q45" i="15"/>
  <c r="N45" i="15"/>
  <c r="P45" i="15" s="1"/>
  <c r="P44" i="15"/>
  <c r="N44" i="15"/>
  <c r="P43" i="15"/>
  <c r="Q43" i="15"/>
  <c r="N43" i="15"/>
  <c r="Q42" i="15"/>
  <c r="F38" i="15"/>
  <c r="E38" i="15"/>
  <c r="D38" i="15"/>
  <c r="C38" i="15"/>
  <c r="E36" i="15"/>
  <c r="D36" i="15"/>
  <c r="C36" i="15"/>
  <c r="E34" i="15"/>
  <c r="D34" i="15"/>
  <c r="C34" i="15"/>
  <c r="G31" i="15"/>
  <c r="G30" i="15"/>
  <c r="G29" i="15"/>
  <c r="G28" i="15"/>
  <c r="G27" i="15"/>
  <c r="G26" i="15"/>
  <c r="G25" i="15"/>
  <c r="G24" i="15"/>
  <c r="F23" i="15"/>
  <c r="G23" i="15" s="1"/>
  <c r="G18" i="15"/>
  <c r="F18" i="15"/>
  <c r="E18" i="15"/>
  <c r="C18" i="15"/>
  <c r="F16" i="15"/>
  <c r="E16" i="15"/>
  <c r="C16" i="15"/>
  <c r="F14" i="15"/>
  <c r="E14" i="15"/>
  <c r="C14" i="15"/>
  <c r="I13" i="15"/>
  <c r="H13" i="15"/>
  <c r="F63" i="15" s="1"/>
  <c r="I12" i="15"/>
  <c r="H12" i="15"/>
  <c r="H62" i="15" s="1"/>
  <c r="N11" i="15"/>
  <c r="I11" i="15"/>
  <c r="H11" i="15"/>
  <c r="H61" i="15" s="1"/>
  <c r="Z10" i="15"/>
  <c r="AA10" i="15" s="1"/>
  <c r="Y10" i="15"/>
  <c r="U10" i="15"/>
  <c r="R10" i="15"/>
  <c r="I10" i="15"/>
  <c r="H10" i="15"/>
  <c r="G60" i="15" s="1"/>
  <c r="Z9" i="15"/>
  <c r="S9" i="15"/>
  <c r="U9" i="15" s="1"/>
  <c r="P9" i="15"/>
  <c r="R9" i="15" s="1"/>
  <c r="O9" i="15"/>
  <c r="I9" i="15"/>
  <c r="H9" i="15"/>
  <c r="H59" i="15" s="1"/>
  <c r="Z8" i="15"/>
  <c r="S8" i="15"/>
  <c r="U8" i="15" s="1"/>
  <c r="P8" i="15"/>
  <c r="Y8" i="15" s="1"/>
  <c r="AA8" i="15" s="1"/>
  <c r="O8" i="15"/>
  <c r="I8" i="15"/>
  <c r="H8" i="15"/>
  <c r="H58" i="15" s="1"/>
  <c r="Z7" i="15"/>
  <c r="S7" i="15"/>
  <c r="U7" i="15" s="1"/>
  <c r="R7" i="15"/>
  <c r="P7" i="15"/>
  <c r="O7" i="15"/>
  <c r="I7" i="15"/>
  <c r="H7" i="15"/>
  <c r="H57" i="15" s="1"/>
  <c r="Z6" i="15"/>
  <c r="S6" i="15"/>
  <c r="U6" i="15" s="1"/>
  <c r="P6" i="15"/>
  <c r="R6" i="15" s="1"/>
  <c r="O6" i="15"/>
  <c r="I6" i="15"/>
  <c r="H6" i="15"/>
  <c r="G56" i="15" s="1"/>
  <c r="Z5" i="15"/>
  <c r="S5" i="15"/>
  <c r="U5" i="15" s="1"/>
  <c r="R5" i="15"/>
  <c r="P5" i="15"/>
  <c r="O5" i="15"/>
  <c r="I5" i="15"/>
  <c r="H5" i="15"/>
  <c r="F55" i="15" s="1"/>
  <c r="Z4" i="15"/>
  <c r="S4" i="15"/>
  <c r="P4" i="15"/>
  <c r="O4" i="15"/>
  <c r="I4" i="15"/>
  <c r="H4" i="15"/>
  <c r="F54" i="15" s="1"/>
  <c r="AC2" i="15"/>
  <c r="Z2" i="15"/>
  <c r="Y2" i="15"/>
  <c r="W2" i="15"/>
  <c r="U2" i="15"/>
  <c r="S2" i="15"/>
  <c r="P2" i="15"/>
  <c r="O2" i="15"/>
  <c r="N2" i="15"/>
  <c r="E55" i="15" l="1"/>
  <c r="D55" i="15"/>
  <c r="C55" i="15"/>
  <c r="D63" i="15"/>
  <c r="E63" i="15"/>
  <c r="C63" i="15"/>
  <c r="D61" i="15"/>
  <c r="C61" i="15"/>
  <c r="P11" i="15"/>
  <c r="C58" i="15"/>
  <c r="E57" i="15"/>
  <c r="W9" i="15"/>
  <c r="D57" i="15"/>
  <c r="W6" i="15"/>
  <c r="C57" i="15"/>
  <c r="R8" i="15"/>
  <c r="W8" i="15" s="1"/>
  <c r="AB8" i="15" s="1"/>
  <c r="D59" i="15"/>
  <c r="E56" i="15"/>
  <c r="E58" i="15"/>
  <c r="C56" i="15"/>
  <c r="C68" i="15" s="1"/>
  <c r="C54" i="15"/>
  <c r="C66" i="15" s="1"/>
  <c r="E54" i="15"/>
  <c r="D54" i="15"/>
  <c r="F34" i="15"/>
  <c r="R49" i="15"/>
  <c r="R47" i="15"/>
  <c r="R43" i="15"/>
  <c r="R51" i="15"/>
  <c r="R50" i="15"/>
  <c r="G38" i="15"/>
  <c r="W10" i="15"/>
  <c r="AB10" i="15" s="1"/>
  <c r="AC10" i="15" s="1"/>
  <c r="G59" i="15"/>
  <c r="R46" i="15"/>
  <c r="I18" i="15"/>
  <c r="O32" i="2" s="1"/>
  <c r="Y7" i="15"/>
  <c r="AA7" i="15" s="1"/>
  <c r="S11" i="15"/>
  <c r="Z15" i="15"/>
  <c r="AB15" i="15" s="1"/>
  <c r="Y4" i="15"/>
  <c r="AA4" i="15" s="1"/>
  <c r="Y9" i="15"/>
  <c r="AA9" i="15" s="1"/>
  <c r="AB9" i="15" s="1"/>
  <c r="I62" i="15"/>
  <c r="H30" i="15" s="1"/>
  <c r="I30" i="15" s="1"/>
  <c r="I16" i="15"/>
  <c r="G55" i="15"/>
  <c r="W5" i="15"/>
  <c r="W7" i="15"/>
  <c r="F60" i="15"/>
  <c r="F62" i="15"/>
  <c r="G54" i="15"/>
  <c r="H60" i="15"/>
  <c r="U4" i="15"/>
  <c r="Y5" i="15"/>
  <c r="AA5" i="15" s="1"/>
  <c r="R45" i="15"/>
  <c r="H54" i="15"/>
  <c r="H56" i="15"/>
  <c r="H68" i="15" s="1"/>
  <c r="E64" i="15"/>
  <c r="R18" i="15" s="1"/>
  <c r="E66" i="15"/>
  <c r="I60" i="15"/>
  <c r="H28" i="15" s="1"/>
  <c r="I28" i="15" s="1"/>
  <c r="F66" i="15"/>
  <c r="P52" i="15"/>
  <c r="R42" i="15"/>
  <c r="R44" i="15"/>
  <c r="Q52" i="15"/>
  <c r="R48" i="15"/>
  <c r="U11" i="15"/>
  <c r="G63" i="15"/>
  <c r="Z14" i="15"/>
  <c r="AB14" i="15" s="1"/>
  <c r="H55" i="15"/>
  <c r="I55" i="15" s="1"/>
  <c r="H23" i="15" s="1"/>
  <c r="I23" i="15" s="1"/>
  <c r="F61" i="15"/>
  <c r="H63" i="15"/>
  <c r="R4" i="15"/>
  <c r="Y6" i="15"/>
  <c r="AA6" i="15" s="1"/>
  <c r="G61" i="15"/>
  <c r="O11" i="15"/>
  <c r="F59" i="15"/>
  <c r="F58" i="15"/>
  <c r="G14" i="15"/>
  <c r="G16" i="15"/>
  <c r="H18" i="15"/>
  <c r="F57" i="15"/>
  <c r="I57" i="15" s="1"/>
  <c r="H25" i="15" s="1"/>
  <c r="I25" i="15" s="1"/>
  <c r="G58" i="15"/>
  <c r="G68" i="15" s="1"/>
  <c r="H14" i="15"/>
  <c r="H16" i="15"/>
  <c r="F56" i="15"/>
  <c r="G57" i="15"/>
  <c r="I14" i="15"/>
  <c r="Z15" i="14"/>
  <c r="AB15" i="14"/>
  <c r="G22" i="15" l="1"/>
  <c r="G34" i="15" s="1"/>
  <c r="F36" i="15"/>
  <c r="I54" i="15"/>
  <c r="C64" i="15"/>
  <c r="I61" i="15"/>
  <c r="H29" i="15" s="1"/>
  <c r="I29" i="15" s="1"/>
  <c r="AD8" i="15"/>
  <c r="AC8" i="15"/>
  <c r="I58" i="15"/>
  <c r="H26" i="15" s="1"/>
  <c r="I26" i="15" s="1"/>
  <c r="I59" i="15"/>
  <c r="H27" i="15" s="1"/>
  <c r="I27" i="15" s="1"/>
  <c r="E68" i="15"/>
  <c r="AB6" i="15"/>
  <c r="AB7" i="15"/>
  <c r="G66" i="15"/>
  <c r="G64" i="15"/>
  <c r="AB5" i="15"/>
  <c r="H66" i="15"/>
  <c r="I63" i="15"/>
  <c r="H31" i="15" s="1"/>
  <c r="I31" i="15" s="1"/>
  <c r="W15" i="15"/>
  <c r="AC15" i="15" s="1"/>
  <c r="AD15" i="15" s="1"/>
  <c r="AD6" i="15"/>
  <c r="AC6" i="15"/>
  <c r="R11" i="15"/>
  <c r="R17" i="15" s="1"/>
  <c r="W4" i="15"/>
  <c r="R52" i="15"/>
  <c r="F68" i="15"/>
  <c r="I56" i="15"/>
  <c r="F64" i="15"/>
  <c r="AA11" i="15"/>
  <c r="D64" i="15"/>
  <c r="D66" i="15"/>
  <c r="Y11" i="15"/>
  <c r="H22" i="15"/>
  <c r="I66" i="15"/>
  <c r="H64" i="15"/>
  <c r="G4" i="14"/>
  <c r="G36" i="15" l="1"/>
  <c r="I64" i="15"/>
  <c r="R53" i="15" s="1"/>
  <c r="Q54" i="15" s="1"/>
  <c r="AC5" i="15"/>
  <c r="AD5" i="15"/>
  <c r="H36" i="15"/>
  <c r="I68" i="15"/>
  <c r="H24" i="15"/>
  <c r="H34" i="15" s="1"/>
  <c r="AB4" i="15"/>
  <c r="W11" i="15"/>
  <c r="W14" i="15"/>
  <c r="AC14" i="15" s="1"/>
  <c r="AD14" i="15" s="1"/>
  <c r="I22" i="15"/>
  <c r="F60" i="14"/>
  <c r="G60" i="14"/>
  <c r="H60" i="14"/>
  <c r="F62" i="14"/>
  <c r="G62" i="14"/>
  <c r="H62" i="14"/>
  <c r="E55" i="14"/>
  <c r="E56" i="14"/>
  <c r="E57" i="14"/>
  <c r="E58" i="14"/>
  <c r="E59" i="14"/>
  <c r="E60" i="14"/>
  <c r="E61" i="14"/>
  <c r="E62" i="14"/>
  <c r="E63" i="14"/>
  <c r="E54" i="14"/>
  <c r="D55" i="14"/>
  <c r="D56" i="14"/>
  <c r="D57" i="14"/>
  <c r="D58" i="14"/>
  <c r="D59" i="14"/>
  <c r="D60" i="14"/>
  <c r="D61" i="14"/>
  <c r="D62" i="14"/>
  <c r="D63" i="14"/>
  <c r="C55" i="14"/>
  <c r="C56" i="14"/>
  <c r="C57" i="14"/>
  <c r="C58" i="14"/>
  <c r="C59" i="14"/>
  <c r="C60" i="14"/>
  <c r="C61" i="14"/>
  <c r="C62" i="14"/>
  <c r="C63" i="14"/>
  <c r="O43" i="14"/>
  <c r="O44" i="14"/>
  <c r="O45" i="14"/>
  <c r="O46" i="14"/>
  <c r="O47" i="14"/>
  <c r="O48" i="14"/>
  <c r="O49" i="14"/>
  <c r="O50" i="14"/>
  <c r="O51" i="14"/>
  <c r="O42" i="14"/>
  <c r="N43" i="14"/>
  <c r="N44" i="14"/>
  <c r="N45" i="14"/>
  <c r="N46" i="14"/>
  <c r="N47" i="14"/>
  <c r="N48" i="14"/>
  <c r="N49" i="14"/>
  <c r="N50" i="14"/>
  <c r="N51" i="14"/>
  <c r="N42" i="14"/>
  <c r="AB11" i="15" l="1"/>
  <c r="AD11" i="15" s="1"/>
  <c r="AD4" i="15"/>
  <c r="AC4" i="15"/>
  <c r="AC11" i="15" s="1"/>
  <c r="H38" i="15"/>
  <c r="I24" i="15"/>
  <c r="I38" i="15" s="1"/>
  <c r="I36" i="15"/>
  <c r="Q42" i="14"/>
  <c r="Q44" i="14"/>
  <c r="Q45" i="14"/>
  <c r="Q46" i="14"/>
  <c r="Q47" i="14"/>
  <c r="Q48" i="14"/>
  <c r="Q49" i="14"/>
  <c r="Q50" i="14"/>
  <c r="Q51" i="14"/>
  <c r="Q53" i="14"/>
  <c r="P51" i="14"/>
  <c r="P50" i="14"/>
  <c r="P49" i="14"/>
  <c r="P48" i="14"/>
  <c r="P47" i="14"/>
  <c r="P46" i="14"/>
  <c r="P45" i="14"/>
  <c r="P44" i="14"/>
  <c r="Q43" i="14"/>
  <c r="P43" i="14"/>
  <c r="F38" i="14"/>
  <c r="E38" i="14"/>
  <c r="D38" i="14"/>
  <c r="C38" i="14"/>
  <c r="E36" i="14"/>
  <c r="D36" i="14"/>
  <c r="C36" i="14"/>
  <c r="E34" i="14"/>
  <c r="D34" i="14"/>
  <c r="C34" i="14"/>
  <c r="G31" i="14"/>
  <c r="G30" i="14"/>
  <c r="G29" i="14"/>
  <c r="G28" i="14"/>
  <c r="G27" i="14"/>
  <c r="G26" i="14"/>
  <c r="G25" i="14"/>
  <c r="G24" i="14"/>
  <c r="F23" i="14"/>
  <c r="F22" i="14" s="1"/>
  <c r="G18" i="14"/>
  <c r="F18" i="14"/>
  <c r="E18" i="14"/>
  <c r="C18" i="14"/>
  <c r="F16" i="14"/>
  <c r="E16" i="14"/>
  <c r="C16" i="14"/>
  <c r="F14" i="14"/>
  <c r="E14" i="14"/>
  <c r="C14" i="14"/>
  <c r="I13" i="14"/>
  <c r="H13" i="14"/>
  <c r="I12" i="14"/>
  <c r="H12" i="14"/>
  <c r="N11" i="14"/>
  <c r="I11" i="14"/>
  <c r="H11" i="14"/>
  <c r="Z10" i="14"/>
  <c r="Y10" i="14"/>
  <c r="U10" i="14"/>
  <c r="R10" i="14"/>
  <c r="I10" i="14"/>
  <c r="H10" i="14"/>
  <c r="Z9" i="14"/>
  <c r="S9" i="14"/>
  <c r="P9" i="14"/>
  <c r="R9" i="14" s="1"/>
  <c r="O9" i="14"/>
  <c r="I9" i="14"/>
  <c r="H9" i="14"/>
  <c r="Z8" i="14"/>
  <c r="S8" i="14"/>
  <c r="P8" i="14"/>
  <c r="R8" i="14" s="1"/>
  <c r="O8" i="14"/>
  <c r="I8" i="14"/>
  <c r="H8" i="14"/>
  <c r="Z7" i="14"/>
  <c r="S7" i="14"/>
  <c r="P7" i="14"/>
  <c r="R7" i="14" s="1"/>
  <c r="O7" i="14"/>
  <c r="I7" i="14"/>
  <c r="H7" i="14"/>
  <c r="Z6" i="14"/>
  <c r="S6" i="14"/>
  <c r="P6" i="14"/>
  <c r="R6" i="14" s="1"/>
  <c r="O6" i="14"/>
  <c r="I6" i="14"/>
  <c r="H6" i="14"/>
  <c r="Z5" i="14"/>
  <c r="S5" i="14"/>
  <c r="P5" i="14"/>
  <c r="R5" i="14" s="1"/>
  <c r="O5" i="14"/>
  <c r="I5" i="14"/>
  <c r="H5" i="14"/>
  <c r="Z4" i="14"/>
  <c r="S4" i="14"/>
  <c r="O4" i="14"/>
  <c r="AC2" i="14"/>
  <c r="Z2" i="14"/>
  <c r="Y2" i="14"/>
  <c r="W2" i="14"/>
  <c r="U2" i="14"/>
  <c r="S2" i="14"/>
  <c r="P2" i="14"/>
  <c r="O2" i="14"/>
  <c r="N2" i="14"/>
  <c r="I34" i="15" l="1"/>
  <c r="F55" i="14"/>
  <c r="G55" i="14"/>
  <c r="H55" i="14"/>
  <c r="F63" i="14"/>
  <c r="G63" i="14"/>
  <c r="H63" i="14"/>
  <c r="H61" i="14"/>
  <c r="G61" i="14"/>
  <c r="F61" i="14"/>
  <c r="F56" i="14"/>
  <c r="H56" i="14"/>
  <c r="G56" i="14"/>
  <c r="H57" i="14"/>
  <c r="F57" i="14"/>
  <c r="G57" i="14"/>
  <c r="F59" i="14"/>
  <c r="G59" i="14"/>
  <c r="H59" i="14"/>
  <c r="F58" i="14"/>
  <c r="H58" i="14"/>
  <c r="G58" i="14"/>
  <c r="P4" i="14"/>
  <c r="R4" i="14" s="1"/>
  <c r="D54" i="14"/>
  <c r="C54" i="14"/>
  <c r="H4" i="14"/>
  <c r="U9" i="14"/>
  <c r="W9" i="14" s="1"/>
  <c r="AA10" i="14"/>
  <c r="U6" i="14"/>
  <c r="W6" i="14" s="1"/>
  <c r="U5" i="14"/>
  <c r="W5" i="14" s="1"/>
  <c r="G14" i="14"/>
  <c r="G23" i="14"/>
  <c r="R48" i="14"/>
  <c r="W10" i="14"/>
  <c r="G16" i="14"/>
  <c r="P42" i="14"/>
  <c r="R42" i="14" s="1"/>
  <c r="R46" i="14"/>
  <c r="Y7" i="14"/>
  <c r="AA7" i="14" s="1"/>
  <c r="U8" i="14"/>
  <c r="W8" i="14" s="1"/>
  <c r="R49" i="14"/>
  <c r="G38" i="14"/>
  <c r="R51" i="14"/>
  <c r="Y9" i="14"/>
  <c r="AA9" i="14" s="1"/>
  <c r="E68" i="14"/>
  <c r="Y8" i="14"/>
  <c r="AA8" i="14" s="1"/>
  <c r="U7" i="14"/>
  <c r="W7" i="14" s="1"/>
  <c r="R45" i="14"/>
  <c r="Y6" i="14"/>
  <c r="AA6" i="14" s="1"/>
  <c r="R43" i="14"/>
  <c r="U4" i="14"/>
  <c r="R44" i="14"/>
  <c r="S11" i="14"/>
  <c r="I18" i="14"/>
  <c r="R50" i="14"/>
  <c r="Y5" i="14"/>
  <c r="AA5" i="14" s="1"/>
  <c r="F36" i="14"/>
  <c r="G22" i="14"/>
  <c r="F34" i="14"/>
  <c r="R47" i="14"/>
  <c r="Q52" i="14"/>
  <c r="O11" i="14"/>
  <c r="D68" i="14"/>
  <c r="H18" i="14"/>
  <c r="I4" i="14"/>
  <c r="Y4" i="14"/>
  <c r="M59" i="4"/>
  <c r="H54" i="14" l="1"/>
  <c r="G54" i="14"/>
  <c r="F54" i="14"/>
  <c r="F64" i="14" s="1"/>
  <c r="P11" i="14"/>
  <c r="Z14" i="14"/>
  <c r="AB14" i="14" s="1"/>
  <c r="AB10" i="14"/>
  <c r="AC10" i="14" s="1"/>
  <c r="H68" i="14"/>
  <c r="AB8" i="14"/>
  <c r="AD8" i="14" s="1"/>
  <c r="G68" i="14"/>
  <c r="P52" i="14"/>
  <c r="I57" i="14"/>
  <c r="H25" i="14" s="1"/>
  <c r="I25" i="14" s="1"/>
  <c r="AB6" i="14"/>
  <c r="AD6" i="14" s="1"/>
  <c r="AB9" i="14"/>
  <c r="F68" i="14"/>
  <c r="W15" i="14"/>
  <c r="H66" i="14"/>
  <c r="AB5" i="14"/>
  <c r="AD5" i="14" s="1"/>
  <c r="I63" i="14"/>
  <c r="H31" i="14" s="1"/>
  <c r="I31" i="14" s="1"/>
  <c r="I61" i="14"/>
  <c r="H29" i="14" s="1"/>
  <c r="I29" i="14" s="1"/>
  <c r="I58" i="14"/>
  <c r="H26" i="14" s="1"/>
  <c r="I26" i="14" s="1"/>
  <c r="U11" i="14"/>
  <c r="AB7" i="14"/>
  <c r="R52" i="14"/>
  <c r="I59" i="14"/>
  <c r="H27" i="14" s="1"/>
  <c r="I27" i="14" s="1"/>
  <c r="I55" i="14"/>
  <c r="H23" i="14" s="1"/>
  <c r="I23" i="14" s="1"/>
  <c r="I62" i="14"/>
  <c r="H30" i="14" s="1"/>
  <c r="I30" i="14" s="1"/>
  <c r="AC6" i="14"/>
  <c r="I16" i="14"/>
  <c r="I14" i="14"/>
  <c r="I56" i="14"/>
  <c r="C68" i="14"/>
  <c r="H16" i="14"/>
  <c r="H14" i="14"/>
  <c r="AA4" i="14"/>
  <c r="AA11" i="14" s="1"/>
  <c r="Y11" i="14"/>
  <c r="I60" i="14"/>
  <c r="H28" i="14" s="1"/>
  <c r="I28" i="14" s="1"/>
  <c r="W4" i="14"/>
  <c r="R11" i="14"/>
  <c r="G34" i="14"/>
  <c r="G36" i="14"/>
  <c r="N43" i="13"/>
  <c r="N44" i="13"/>
  <c r="N45" i="13"/>
  <c r="N46" i="13"/>
  <c r="N47" i="13"/>
  <c r="N48" i="13"/>
  <c r="N49" i="13"/>
  <c r="N50" i="13"/>
  <c r="N51" i="13"/>
  <c r="N42" i="13"/>
  <c r="L43" i="13"/>
  <c r="L44" i="13"/>
  <c r="L45" i="13"/>
  <c r="L46" i="13"/>
  <c r="L47" i="13"/>
  <c r="L48" i="13"/>
  <c r="L49" i="13"/>
  <c r="L50" i="13"/>
  <c r="L51" i="13"/>
  <c r="L42" i="13"/>
  <c r="AC8" i="14" l="1"/>
  <c r="F66" i="14"/>
  <c r="AC15" i="14"/>
  <c r="AD15" i="14" s="1"/>
  <c r="AC5" i="14"/>
  <c r="H64" i="14"/>
  <c r="R17" i="14"/>
  <c r="E66" i="14"/>
  <c r="E64" i="14"/>
  <c r="R18" i="14" s="1"/>
  <c r="I68" i="14"/>
  <c r="H24" i="14"/>
  <c r="I54" i="14"/>
  <c r="C66" i="14"/>
  <c r="C64" i="14"/>
  <c r="W14" i="14"/>
  <c r="AC14" i="14" s="1"/>
  <c r="AD14" i="14" s="1"/>
  <c r="W11" i="14"/>
  <c r="AB4" i="14"/>
  <c r="D66" i="14"/>
  <c r="D64" i="14"/>
  <c r="G66" i="14"/>
  <c r="G64" i="14"/>
  <c r="J55" i="13"/>
  <c r="J64" i="13" s="1"/>
  <c r="G55" i="13"/>
  <c r="P42" i="13"/>
  <c r="O42" i="13"/>
  <c r="Q42" i="13" s="1"/>
  <c r="F54" i="13"/>
  <c r="D64" i="13"/>
  <c r="E64" i="13"/>
  <c r="F64" i="13"/>
  <c r="G64" i="13"/>
  <c r="H64" i="13"/>
  <c r="I64" i="13"/>
  <c r="C64" i="13"/>
  <c r="C55" i="13"/>
  <c r="D55" i="13"/>
  <c r="F55" i="13"/>
  <c r="H55" i="13"/>
  <c r="I55" i="13"/>
  <c r="C56" i="13"/>
  <c r="D56" i="13"/>
  <c r="F56" i="13"/>
  <c r="G56" i="13"/>
  <c r="H56" i="13"/>
  <c r="I56" i="13"/>
  <c r="C57" i="13"/>
  <c r="D57" i="13"/>
  <c r="F57" i="13"/>
  <c r="G57" i="13"/>
  <c r="H57" i="13"/>
  <c r="I57" i="13"/>
  <c r="C58" i="13"/>
  <c r="D58" i="13"/>
  <c r="F58" i="13"/>
  <c r="G58" i="13"/>
  <c r="H58" i="13"/>
  <c r="I58" i="13"/>
  <c r="C59" i="13"/>
  <c r="D59" i="13"/>
  <c r="F59" i="13"/>
  <c r="G59" i="13"/>
  <c r="H59" i="13"/>
  <c r="I59" i="13"/>
  <c r="C60" i="13"/>
  <c r="D60" i="13"/>
  <c r="F60" i="13"/>
  <c r="G60" i="13"/>
  <c r="H60" i="13"/>
  <c r="I60" i="13"/>
  <c r="C61" i="13"/>
  <c r="D61" i="13"/>
  <c r="F61" i="13"/>
  <c r="G61" i="13"/>
  <c r="H61" i="13"/>
  <c r="I61" i="13"/>
  <c r="C62" i="13"/>
  <c r="D62" i="13"/>
  <c r="F62" i="13"/>
  <c r="G62" i="13"/>
  <c r="H62" i="13"/>
  <c r="I62" i="13"/>
  <c r="C63" i="13"/>
  <c r="D63" i="13"/>
  <c r="F63" i="13"/>
  <c r="G63" i="13"/>
  <c r="H63" i="13"/>
  <c r="I63" i="13"/>
  <c r="J54" i="13"/>
  <c r="I54" i="13"/>
  <c r="H54" i="13"/>
  <c r="G54" i="13"/>
  <c r="D54" i="13"/>
  <c r="C54" i="13"/>
  <c r="H14" i="13"/>
  <c r="H5" i="13"/>
  <c r="H6" i="13"/>
  <c r="H7" i="13"/>
  <c r="H8" i="13"/>
  <c r="H9" i="13"/>
  <c r="H10" i="13"/>
  <c r="H11" i="13"/>
  <c r="H12" i="13"/>
  <c r="H13" i="13"/>
  <c r="H4" i="13"/>
  <c r="P43" i="13"/>
  <c r="P44" i="13"/>
  <c r="P45" i="13"/>
  <c r="P46" i="13"/>
  <c r="P47" i="13"/>
  <c r="P48" i="13"/>
  <c r="Q48" i="13" s="1"/>
  <c r="P49" i="13"/>
  <c r="Q49" i="13" s="1"/>
  <c r="P50" i="13"/>
  <c r="P51" i="13"/>
  <c r="O43" i="13"/>
  <c r="O44" i="13"/>
  <c r="O45" i="13"/>
  <c r="Q45" i="13" s="1"/>
  <c r="O46" i="13"/>
  <c r="O47" i="13"/>
  <c r="Q47" i="13" s="1"/>
  <c r="O48" i="13"/>
  <c r="O49" i="13"/>
  <c r="O50" i="13"/>
  <c r="O51" i="13"/>
  <c r="Q51" i="13" s="1"/>
  <c r="AD4" i="14" l="1"/>
  <c r="AC4" i="14"/>
  <c r="AC11" i="14" s="1"/>
  <c r="AB11" i="14"/>
  <c r="AD11" i="14" s="1"/>
  <c r="I66" i="14"/>
  <c r="I64" i="14"/>
  <c r="R53" i="14" s="1"/>
  <c r="Q54" i="14" s="1"/>
  <c r="H22" i="14"/>
  <c r="I24" i="14"/>
  <c r="I38" i="14" s="1"/>
  <c r="H38" i="14"/>
  <c r="Q44" i="13"/>
  <c r="Q52" i="13" s="1"/>
  <c r="Q50" i="13"/>
  <c r="Q46" i="13"/>
  <c r="O52" i="13"/>
  <c r="P53" i="13" s="1"/>
  <c r="Q43" i="13"/>
  <c r="G4" i="13"/>
  <c r="H34" i="14" l="1"/>
  <c r="H36" i="14"/>
  <c r="I22" i="14"/>
  <c r="F23" i="13"/>
  <c r="F22" i="13" s="1"/>
  <c r="I36" i="14" l="1"/>
  <c r="I34" i="14"/>
  <c r="F38" i="13"/>
  <c r="E38" i="13"/>
  <c r="D38" i="13"/>
  <c r="C38" i="13"/>
  <c r="E36" i="13"/>
  <c r="D36" i="13"/>
  <c r="C36" i="13"/>
  <c r="E34" i="13"/>
  <c r="D34" i="13"/>
  <c r="C34" i="13"/>
  <c r="G31" i="13"/>
  <c r="G30" i="13"/>
  <c r="G29" i="13"/>
  <c r="G28" i="13"/>
  <c r="G27" i="13"/>
  <c r="G26" i="13"/>
  <c r="G25" i="13"/>
  <c r="G24" i="13"/>
  <c r="G18" i="13"/>
  <c r="F18" i="13"/>
  <c r="E18" i="13"/>
  <c r="C18" i="13"/>
  <c r="F16" i="13"/>
  <c r="E16" i="13"/>
  <c r="C16" i="13"/>
  <c r="F14" i="13"/>
  <c r="E14" i="13"/>
  <c r="C14" i="13"/>
  <c r="I13" i="13"/>
  <c r="I12" i="13"/>
  <c r="N11" i="13"/>
  <c r="I11" i="13"/>
  <c r="Z10" i="13"/>
  <c r="Y10" i="13"/>
  <c r="T10" i="13"/>
  <c r="U10" i="13" s="1"/>
  <c r="R10" i="13"/>
  <c r="I10" i="13"/>
  <c r="Z9" i="13"/>
  <c r="T9" i="13"/>
  <c r="S9" i="13"/>
  <c r="P9" i="13"/>
  <c r="R9" i="13" s="1"/>
  <c r="O9" i="13"/>
  <c r="I9" i="13"/>
  <c r="Z8" i="13"/>
  <c r="T8" i="13"/>
  <c r="S8" i="13"/>
  <c r="P8" i="13"/>
  <c r="O8" i="13"/>
  <c r="I8" i="13"/>
  <c r="Z7" i="13"/>
  <c r="T7" i="13"/>
  <c r="S7" i="13"/>
  <c r="U7" i="13" s="1"/>
  <c r="P7" i="13"/>
  <c r="R7" i="13" s="1"/>
  <c r="O7" i="13"/>
  <c r="I7" i="13"/>
  <c r="Z6" i="13"/>
  <c r="T6" i="13"/>
  <c r="S6" i="13"/>
  <c r="P6" i="13"/>
  <c r="R6" i="13" s="1"/>
  <c r="O6" i="13"/>
  <c r="I6" i="13"/>
  <c r="Z5" i="13"/>
  <c r="T5" i="13"/>
  <c r="S5" i="13"/>
  <c r="P5" i="13"/>
  <c r="R5" i="13" s="1"/>
  <c r="O5" i="13"/>
  <c r="I5" i="13"/>
  <c r="Z4" i="13"/>
  <c r="T4" i="13"/>
  <c r="S4" i="13"/>
  <c r="P4" i="13"/>
  <c r="R4" i="13" s="1"/>
  <c r="O4" i="13"/>
  <c r="I4" i="13"/>
  <c r="AC2" i="13"/>
  <c r="Z2" i="13"/>
  <c r="Y2" i="13"/>
  <c r="W2" i="13"/>
  <c r="U2" i="13"/>
  <c r="S2" i="13"/>
  <c r="P2" i="13"/>
  <c r="O2" i="13"/>
  <c r="N2" i="13"/>
  <c r="W10" i="13" l="1"/>
  <c r="AA10" i="13"/>
  <c r="U8" i="13"/>
  <c r="U5" i="13"/>
  <c r="G38" i="13"/>
  <c r="P11" i="13"/>
  <c r="Y6" i="13"/>
  <c r="AA6" i="13" s="1"/>
  <c r="W7" i="13"/>
  <c r="I68" i="13"/>
  <c r="S11" i="13"/>
  <c r="U6" i="13"/>
  <c r="I18" i="13"/>
  <c r="Y7" i="13"/>
  <c r="AA7" i="13" s="1"/>
  <c r="Y9" i="13"/>
  <c r="AA9" i="13" s="1"/>
  <c r="Z14" i="13"/>
  <c r="AB14" i="13" s="1"/>
  <c r="Y5" i="13"/>
  <c r="AA5" i="13" s="1"/>
  <c r="Z15" i="13"/>
  <c r="AB15" i="13" s="1"/>
  <c r="Y8" i="13"/>
  <c r="AA8" i="13" s="1"/>
  <c r="P52" i="13"/>
  <c r="C68" i="13"/>
  <c r="Y4" i="13"/>
  <c r="AA4" i="13" s="1"/>
  <c r="W6" i="13"/>
  <c r="W5" i="13"/>
  <c r="U9" i="13"/>
  <c r="W9" i="13" s="1"/>
  <c r="I16" i="13"/>
  <c r="I14" i="13"/>
  <c r="F36" i="13"/>
  <c r="F34" i="13"/>
  <c r="G22" i="13"/>
  <c r="R8" i="13"/>
  <c r="G14" i="13"/>
  <c r="G16" i="13"/>
  <c r="H18" i="13"/>
  <c r="G23" i="13"/>
  <c r="U4" i="13"/>
  <c r="O11" i="13"/>
  <c r="P53" i="12"/>
  <c r="G4" i="12"/>
  <c r="J61" i="13" l="1"/>
  <c r="W8" i="13"/>
  <c r="AB8" i="13" s="1"/>
  <c r="AC8" i="13" s="1"/>
  <c r="D68" i="13"/>
  <c r="AB10" i="13"/>
  <c r="AC10" i="13" s="1"/>
  <c r="AB6" i="13"/>
  <c r="J62" i="13"/>
  <c r="H30" i="13" s="1"/>
  <c r="I30" i="13" s="1"/>
  <c r="R11" i="13"/>
  <c r="U11" i="13"/>
  <c r="AB9" i="13"/>
  <c r="J58" i="13"/>
  <c r="H26" i="13" s="1"/>
  <c r="I26" i="13" s="1"/>
  <c r="AB7" i="13"/>
  <c r="AB5" i="13"/>
  <c r="AD5" i="13" s="1"/>
  <c r="J59" i="13"/>
  <c r="H27" i="13" s="1"/>
  <c r="I27" i="13" s="1"/>
  <c r="AA11" i="13"/>
  <c r="Y11" i="13"/>
  <c r="J56" i="13"/>
  <c r="J57" i="13"/>
  <c r="H25" i="13" s="1"/>
  <c r="I25" i="13" s="1"/>
  <c r="J63" i="13"/>
  <c r="H31" i="13" s="1"/>
  <c r="I31" i="13" s="1"/>
  <c r="H29" i="13"/>
  <c r="I29" i="13" s="1"/>
  <c r="J60" i="13"/>
  <c r="H28" i="13" s="1"/>
  <c r="I28" i="13" s="1"/>
  <c r="W4" i="13"/>
  <c r="AC6" i="13"/>
  <c r="AD6" i="13"/>
  <c r="G68" i="13"/>
  <c r="G34" i="13"/>
  <c r="G36" i="13"/>
  <c r="E68" i="13"/>
  <c r="H68" i="13"/>
  <c r="H16" i="13"/>
  <c r="F68" i="13"/>
  <c r="L21" i="2"/>
  <c r="N51" i="12"/>
  <c r="P51" i="12" s="1"/>
  <c r="L51" i="12"/>
  <c r="O51" i="12" s="1"/>
  <c r="O50" i="12"/>
  <c r="N50" i="12"/>
  <c r="P50" i="12" s="1"/>
  <c r="L50" i="12"/>
  <c r="P49" i="12"/>
  <c r="O49" i="12"/>
  <c r="N49" i="12"/>
  <c r="L49" i="12"/>
  <c r="P48" i="12"/>
  <c r="N48" i="12"/>
  <c r="L48" i="12"/>
  <c r="O48" i="12" s="1"/>
  <c r="N47" i="12"/>
  <c r="P47" i="12" s="1"/>
  <c r="L47" i="12"/>
  <c r="O47" i="12" s="1"/>
  <c r="O46" i="12"/>
  <c r="N46" i="12"/>
  <c r="P46" i="12" s="1"/>
  <c r="L46" i="12"/>
  <c r="P45" i="12"/>
  <c r="O45" i="12"/>
  <c r="N45" i="12"/>
  <c r="L45" i="12"/>
  <c r="P44" i="12"/>
  <c r="N44" i="12"/>
  <c r="L44" i="12"/>
  <c r="O44" i="12" s="1"/>
  <c r="N43" i="12"/>
  <c r="P43" i="12" s="1"/>
  <c r="L43" i="12"/>
  <c r="O43" i="12" s="1"/>
  <c r="Q43" i="12" s="1"/>
  <c r="N42" i="12"/>
  <c r="P42" i="12" s="1"/>
  <c r="L42" i="12"/>
  <c r="F38" i="12"/>
  <c r="E38" i="12"/>
  <c r="D38" i="12"/>
  <c r="C38" i="12"/>
  <c r="E36" i="12"/>
  <c r="D36" i="12"/>
  <c r="C36" i="12"/>
  <c r="E34" i="12"/>
  <c r="D34" i="12"/>
  <c r="C34" i="12"/>
  <c r="G31" i="12"/>
  <c r="G30" i="12"/>
  <c r="G29" i="12"/>
  <c r="G28" i="12"/>
  <c r="G27" i="12"/>
  <c r="G26" i="12"/>
  <c r="G25" i="12"/>
  <c r="G24" i="12"/>
  <c r="F23" i="12"/>
  <c r="F22" i="12" s="1"/>
  <c r="G18" i="12"/>
  <c r="F18" i="12"/>
  <c r="E18" i="12"/>
  <c r="C18" i="12"/>
  <c r="F16" i="12"/>
  <c r="E16" i="12"/>
  <c r="C16" i="12"/>
  <c r="F14" i="12"/>
  <c r="E14" i="12"/>
  <c r="C14" i="12"/>
  <c r="I13" i="12"/>
  <c r="H13" i="12"/>
  <c r="I63" i="12" s="1"/>
  <c r="I12" i="12"/>
  <c r="H12" i="12"/>
  <c r="I62" i="12" s="1"/>
  <c r="N11" i="12"/>
  <c r="I11" i="12"/>
  <c r="H11" i="12"/>
  <c r="I61" i="12" s="1"/>
  <c r="Z10" i="12"/>
  <c r="Y10" i="12"/>
  <c r="AA10" i="12" s="1"/>
  <c r="W10" i="12"/>
  <c r="U10" i="12"/>
  <c r="T10" i="12"/>
  <c r="R10" i="12"/>
  <c r="I10" i="12"/>
  <c r="H10" i="12"/>
  <c r="I60" i="12" s="1"/>
  <c r="Z9" i="12"/>
  <c r="T9" i="12"/>
  <c r="S9" i="12"/>
  <c r="P9" i="12"/>
  <c r="R9" i="12" s="1"/>
  <c r="O9" i="12"/>
  <c r="I9" i="12"/>
  <c r="H9" i="12"/>
  <c r="I59" i="12" s="1"/>
  <c r="Z8" i="12"/>
  <c r="T8" i="12"/>
  <c r="S8" i="12"/>
  <c r="U8" i="12" s="1"/>
  <c r="P8" i="12"/>
  <c r="R8" i="12" s="1"/>
  <c r="O8" i="12"/>
  <c r="I8" i="12"/>
  <c r="H8" i="12"/>
  <c r="I58" i="12" s="1"/>
  <c r="Z7" i="12"/>
  <c r="T7" i="12"/>
  <c r="S7" i="12"/>
  <c r="U7" i="12" s="1"/>
  <c r="P7" i="12"/>
  <c r="R7" i="12" s="1"/>
  <c r="O7" i="12"/>
  <c r="I7" i="12"/>
  <c r="H7" i="12"/>
  <c r="I57" i="12" s="1"/>
  <c r="Z6" i="12"/>
  <c r="T6" i="12"/>
  <c r="S6" i="12"/>
  <c r="U6" i="12" s="1"/>
  <c r="P6" i="12"/>
  <c r="R6" i="12" s="1"/>
  <c r="O6" i="12"/>
  <c r="I6" i="12"/>
  <c r="H6" i="12"/>
  <c r="I56" i="12" s="1"/>
  <c r="Z5" i="12"/>
  <c r="T5" i="12"/>
  <c r="S5" i="12"/>
  <c r="P5" i="12"/>
  <c r="R5" i="12" s="1"/>
  <c r="O5" i="12"/>
  <c r="I5" i="12"/>
  <c r="H5" i="12"/>
  <c r="I55" i="12" s="1"/>
  <c r="Z4" i="12"/>
  <c r="T4" i="12"/>
  <c r="S4" i="12"/>
  <c r="U4" i="12" s="1"/>
  <c r="O4" i="12"/>
  <c r="P4" i="12"/>
  <c r="AC2" i="12"/>
  <c r="Z2" i="12"/>
  <c r="Y2" i="12"/>
  <c r="W2" i="12"/>
  <c r="U2" i="12"/>
  <c r="S2" i="12"/>
  <c r="P2" i="12"/>
  <c r="O2" i="12"/>
  <c r="N2" i="12"/>
  <c r="H23" i="13" l="1"/>
  <c r="I23" i="13" s="1"/>
  <c r="Q53" i="13"/>
  <c r="Q54" i="13" s="1"/>
  <c r="W15" i="13"/>
  <c r="AC15" i="13" s="1"/>
  <c r="AD15" i="13" s="1"/>
  <c r="R17" i="13"/>
  <c r="J68" i="13"/>
  <c r="AD8" i="13"/>
  <c r="AC5" i="13"/>
  <c r="H24" i="13"/>
  <c r="I24" i="13" s="1"/>
  <c r="I38" i="13" s="1"/>
  <c r="F66" i="13"/>
  <c r="R18" i="13"/>
  <c r="G66" i="13"/>
  <c r="I66" i="13"/>
  <c r="E66" i="13"/>
  <c r="C66" i="13"/>
  <c r="AB4" i="13"/>
  <c r="W14" i="13"/>
  <c r="AC14" i="13" s="1"/>
  <c r="AD14" i="13" s="1"/>
  <c r="W11" i="13"/>
  <c r="D66" i="13"/>
  <c r="H66" i="13"/>
  <c r="G23" i="12"/>
  <c r="AB10" i="12"/>
  <c r="AC10" i="12" s="1"/>
  <c r="W8" i="12"/>
  <c r="C56" i="12"/>
  <c r="C60" i="12"/>
  <c r="Z15" i="12"/>
  <c r="G38" i="12"/>
  <c r="Q51" i="12"/>
  <c r="C63" i="12"/>
  <c r="Q49" i="12"/>
  <c r="C61" i="12"/>
  <c r="Q47" i="12"/>
  <c r="I18" i="12"/>
  <c r="W7" i="12"/>
  <c r="AB7" i="12" s="1"/>
  <c r="C57" i="12"/>
  <c r="Y6" i="12"/>
  <c r="AA6" i="12" s="1"/>
  <c r="Q48" i="12"/>
  <c r="C58" i="12"/>
  <c r="C55" i="12"/>
  <c r="S11" i="12"/>
  <c r="U9" i="12"/>
  <c r="W9" i="12" s="1"/>
  <c r="I68" i="12"/>
  <c r="Q45" i="12"/>
  <c r="C59" i="12"/>
  <c r="Y5" i="12"/>
  <c r="AA5" i="12" s="1"/>
  <c r="Y7" i="12"/>
  <c r="AA7" i="12" s="1"/>
  <c r="Y8" i="12"/>
  <c r="AA8" i="12" s="1"/>
  <c r="AB8" i="12" s="1"/>
  <c r="Y9" i="12"/>
  <c r="AA9" i="12" s="1"/>
  <c r="Q44" i="12"/>
  <c r="C62" i="12"/>
  <c r="R4" i="12"/>
  <c r="P11" i="12"/>
  <c r="Q50" i="12"/>
  <c r="P52" i="12"/>
  <c r="Z14" i="12"/>
  <c r="AB14" i="12" s="1"/>
  <c r="W6" i="12"/>
  <c r="Q46" i="12"/>
  <c r="D55" i="12"/>
  <c r="D56" i="12"/>
  <c r="D57" i="12"/>
  <c r="D58" i="12"/>
  <c r="D59" i="12"/>
  <c r="D60" i="12"/>
  <c r="D61" i="12"/>
  <c r="D62" i="12"/>
  <c r="D63" i="12"/>
  <c r="U5" i="12"/>
  <c r="G14" i="12"/>
  <c r="G16" i="12"/>
  <c r="H18" i="12"/>
  <c r="E55" i="12"/>
  <c r="E56" i="12"/>
  <c r="E57" i="12"/>
  <c r="E58" i="12"/>
  <c r="E59" i="12"/>
  <c r="E60" i="12"/>
  <c r="E61" i="12"/>
  <c r="E62" i="12"/>
  <c r="E63" i="12"/>
  <c r="F55" i="12"/>
  <c r="F56" i="12"/>
  <c r="F57" i="12"/>
  <c r="F58" i="12"/>
  <c r="F59" i="12"/>
  <c r="F60" i="12"/>
  <c r="F61" i="12"/>
  <c r="F62" i="12"/>
  <c r="F63" i="12"/>
  <c r="H4" i="12"/>
  <c r="O42" i="12"/>
  <c r="G55" i="12"/>
  <c r="G56" i="12"/>
  <c r="G57" i="12"/>
  <c r="G58" i="12"/>
  <c r="G59" i="12"/>
  <c r="G60" i="12"/>
  <c r="G61" i="12"/>
  <c r="G62" i="12"/>
  <c r="G63" i="12"/>
  <c r="I4" i="12"/>
  <c r="Y4" i="12"/>
  <c r="H55" i="12"/>
  <c r="H56" i="12"/>
  <c r="H57" i="12"/>
  <c r="H58" i="12"/>
  <c r="H59" i="12"/>
  <c r="H60" i="12"/>
  <c r="H61" i="12"/>
  <c r="H62" i="12"/>
  <c r="H63" i="12"/>
  <c r="O11" i="12"/>
  <c r="K59" i="4"/>
  <c r="K27" i="4"/>
  <c r="F22" i="11"/>
  <c r="R18" i="11"/>
  <c r="P53" i="11"/>
  <c r="H38" i="13" l="1"/>
  <c r="AC4" i="13"/>
  <c r="AC11" i="13" s="1"/>
  <c r="AB11" i="13"/>
  <c r="AD11" i="13" s="1"/>
  <c r="AD4" i="13"/>
  <c r="J66" i="13"/>
  <c r="H22" i="13"/>
  <c r="C68" i="12"/>
  <c r="J58" i="12"/>
  <c r="H26" i="12" s="1"/>
  <c r="I26" i="12" s="1"/>
  <c r="E68" i="12"/>
  <c r="F36" i="12"/>
  <c r="F34" i="12"/>
  <c r="G22" i="12"/>
  <c r="J61" i="12"/>
  <c r="H29" i="12" s="1"/>
  <c r="I29" i="12" s="1"/>
  <c r="AB9" i="12"/>
  <c r="U11" i="12"/>
  <c r="G68" i="12"/>
  <c r="W5" i="12"/>
  <c r="AB5" i="12" s="1"/>
  <c r="AC5" i="12" s="1"/>
  <c r="J59" i="12"/>
  <c r="H27" i="12" s="1"/>
  <c r="I27" i="12" s="1"/>
  <c r="J57" i="12"/>
  <c r="H25" i="12" s="1"/>
  <c r="I25" i="12" s="1"/>
  <c r="J63" i="12"/>
  <c r="H31" i="12" s="1"/>
  <c r="I31" i="12" s="1"/>
  <c r="J55" i="12"/>
  <c r="H23" i="12" s="1"/>
  <c r="I23" i="12" s="1"/>
  <c r="J60" i="12"/>
  <c r="H28" i="12" s="1"/>
  <c r="I28" i="12" s="1"/>
  <c r="J62" i="12"/>
  <c r="H30" i="12" s="1"/>
  <c r="I30" i="12" s="1"/>
  <c r="AB15" i="12"/>
  <c r="Q42" i="12"/>
  <c r="Q52" i="12" s="1"/>
  <c r="O52" i="12"/>
  <c r="D68" i="12"/>
  <c r="AB6" i="12"/>
  <c r="W15" i="12"/>
  <c r="AA4" i="12"/>
  <c r="AA11" i="12" s="1"/>
  <c r="Y11" i="12"/>
  <c r="I54" i="12"/>
  <c r="H54" i="12"/>
  <c r="G54" i="12"/>
  <c r="F54" i="12"/>
  <c r="H16" i="12"/>
  <c r="H14" i="12"/>
  <c r="E54" i="12"/>
  <c r="D54" i="12"/>
  <c r="C54" i="12"/>
  <c r="H68" i="12"/>
  <c r="AD8" i="12"/>
  <c r="AC8" i="12"/>
  <c r="F68" i="12"/>
  <c r="J56" i="12"/>
  <c r="I16" i="12"/>
  <c r="I14" i="12"/>
  <c r="W4" i="12"/>
  <c r="R11" i="12"/>
  <c r="R17" i="12" s="1"/>
  <c r="G4" i="11"/>
  <c r="H36" i="13" l="1"/>
  <c r="H34" i="13"/>
  <c r="I22" i="13"/>
  <c r="G36" i="12"/>
  <c r="G34" i="12"/>
  <c r="AD5" i="12"/>
  <c r="AC15" i="12"/>
  <c r="AD15" i="12" s="1"/>
  <c r="J54" i="12"/>
  <c r="C66" i="12"/>
  <c r="C64" i="12"/>
  <c r="J68" i="12"/>
  <c r="H24" i="12"/>
  <c r="D66" i="12"/>
  <c r="D64" i="12"/>
  <c r="AB4" i="12"/>
  <c r="W14" i="12"/>
  <c r="AC14" i="12" s="1"/>
  <c r="AD14" i="12" s="1"/>
  <c r="W11" i="12"/>
  <c r="I66" i="12"/>
  <c r="I64" i="12"/>
  <c r="F66" i="12"/>
  <c r="F64" i="12"/>
  <c r="R18" i="12" s="1"/>
  <c r="G66" i="12"/>
  <c r="G64" i="12"/>
  <c r="AC6" i="12"/>
  <c r="AD6" i="12"/>
  <c r="E66" i="12"/>
  <c r="E64" i="12"/>
  <c r="H66" i="12"/>
  <c r="H64" i="12"/>
  <c r="N51" i="11"/>
  <c r="P51" i="11" s="1"/>
  <c r="L51" i="11"/>
  <c r="O51" i="11" s="1"/>
  <c r="N50" i="11"/>
  <c r="P50" i="11" s="1"/>
  <c r="L50" i="11"/>
  <c r="O50" i="11" s="1"/>
  <c r="Q50" i="11" s="1"/>
  <c r="P49" i="11"/>
  <c r="N49" i="11"/>
  <c r="L49" i="11"/>
  <c r="O49" i="11" s="1"/>
  <c r="N48" i="11"/>
  <c r="P48" i="11" s="1"/>
  <c r="L48" i="11"/>
  <c r="O48" i="11" s="1"/>
  <c r="O47" i="11"/>
  <c r="N47" i="11"/>
  <c r="P47" i="11" s="1"/>
  <c r="L47" i="11"/>
  <c r="P46" i="11"/>
  <c r="O46" i="11"/>
  <c r="N46" i="11"/>
  <c r="L46" i="11"/>
  <c r="P45" i="11"/>
  <c r="N45" i="11"/>
  <c r="L45" i="11"/>
  <c r="O45" i="11" s="1"/>
  <c r="Q45" i="11" s="1"/>
  <c r="N44" i="11"/>
  <c r="P44" i="11" s="1"/>
  <c r="L44" i="11"/>
  <c r="O44" i="11" s="1"/>
  <c r="Q44" i="11" s="1"/>
  <c r="O43" i="11"/>
  <c r="N43" i="11"/>
  <c r="P43" i="11" s="1"/>
  <c r="L43" i="11"/>
  <c r="P42" i="11"/>
  <c r="N42" i="11"/>
  <c r="L42" i="11"/>
  <c r="F38" i="11"/>
  <c r="E38" i="11"/>
  <c r="D38" i="11"/>
  <c r="C38" i="11"/>
  <c r="E36" i="11"/>
  <c r="D36" i="11"/>
  <c r="C36" i="11"/>
  <c r="E34" i="11"/>
  <c r="D34" i="11"/>
  <c r="C34" i="11"/>
  <c r="G31" i="11"/>
  <c r="G30" i="11"/>
  <c r="G29" i="11"/>
  <c r="G28" i="11"/>
  <c r="G27" i="11"/>
  <c r="G26" i="11"/>
  <c r="G25" i="11"/>
  <c r="G24" i="11"/>
  <c r="F23" i="11"/>
  <c r="G23" i="11" s="1"/>
  <c r="G18" i="11"/>
  <c r="F18" i="11"/>
  <c r="E18" i="11"/>
  <c r="C18" i="11"/>
  <c r="F16" i="11"/>
  <c r="E16" i="11"/>
  <c r="C16" i="11"/>
  <c r="F14" i="11"/>
  <c r="E14" i="11"/>
  <c r="C14" i="11"/>
  <c r="I13" i="11"/>
  <c r="H13" i="11"/>
  <c r="I63" i="11" s="1"/>
  <c r="I12" i="11"/>
  <c r="H12" i="11"/>
  <c r="I62" i="11" s="1"/>
  <c r="N11" i="11"/>
  <c r="I11" i="11"/>
  <c r="H11" i="11"/>
  <c r="I61" i="11" s="1"/>
  <c r="Z10" i="11"/>
  <c r="Y10" i="11"/>
  <c r="AA10" i="11" s="1"/>
  <c r="AB10" i="11" s="1"/>
  <c r="AC10" i="11" s="1"/>
  <c r="W10" i="11"/>
  <c r="U10" i="11"/>
  <c r="T10" i="11"/>
  <c r="R10" i="11"/>
  <c r="I10" i="11"/>
  <c r="H10" i="11"/>
  <c r="I60" i="11" s="1"/>
  <c r="Z9" i="11"/>
  <c r="T9" i="11"/>
  <c r="S9" i="11"/>
  <c r="P9" i="11"/>
  <c r="R9" i="11" s="1"/>
  <c r="O9" i="11"/>
  <c r="I9" i="11"/>
  <c r="H9" i="11"/>
  <c r="I59" i="11" s="1"/>
  <c r="Z8" i="11"/>
  <c r="T8" i="11"/>
  <c r="S8" i="11"/>
  <c r="U8" i="11" s="1"/>
  <c r="P8" i="11"/>
  <c r="R8" i="11" s="1"/>
  <c r="W8" i="11" s="1"/>
  <c r="O8" i="11"/>
  <c r="I8" i="11"/>
  <c r="H8" i="11"/>
  <c r="I58" i="11" s="1"/>
  <c r="Z7" i="11"/>
  <c r="T7" i="11"/>
  <c r="S7" i="11"/>
  <c r="P7" i="11"/>
  <c r="R7" i="11" s="1"/>
  <c r="O7" i="11"/>
  <c r="I7" i="11"/>
  <c r="H7" i="11"/>
  <c r="I57" i="11" s="1"/>
  <c r="Z6" i="11"/>
  <c r="T6" i="11"/>
  <c r="S6" i="11"/>
  <c r="U6" i="11" s="1"/>
  <c r="P6" i="11"/>
  <c r="R6" i="11" s="1"/>
  <c r="W6" i="11" s="1"/>
  <c r="O6" i="11"/>
  <c r="I6" i="11"/>
  <c r="H6" i="11"/>
  <c r="I56" i="11" s="1"/>
  <c r="Z5" i="11"/>
  <c r="T5" i="11"/>
  <c r="S5" i="11"/>
  <c r="U5" i="11" s="1"/>
  <c r="P5" i="11"/>
  <c r="R5" i="11" s="1"/>
  <c r="O5" i="11"/>
  <c r="I5" i="11"/>
  <c r="H5" i="11"/>
  <c r="I55" i="11" s="1"/>
  <c r="Z4" i="11"/>
  <c r="U4" i="11"/>
  <c r="T4" i="11"/>
  <c r="S4" i="11"/>
  <c r="O4" i="11"/>
  <c r="I4" i="11"/>
  <c r="AC2" i="11"/>
  <c r="Z2" i="11"/>
  <c r="Y2" i="11"/>
  <c r="W2" i="11"/>
  <c r="U2" i="11"/>
  <c r="S2" i="11"/>
  <c r="P2" i="11"/>
  <c r="O2" i="11"/>
  <c r="N2" i="11"/>
  <c r="I34" i="13" l="1"/>
  <c r="I36" i="13"/>
  <c r="J66" i="12"/>
  <c r="J64" i="12"/>
  <c r="H22" i="12"/>
  <c r="AD4" i="12"/>
  <c r="AC4" i="12"/>
  <c r="AC11" i="12" s="1"/>
  <c r="AB11" i="12"/>
  <c r="AD11" i="12" s="1"/>
  <c r="I24" i="12"/>
  <c r="I38" i="12" s="1"/>
  <c r="H38" i="12"/>
  <c r="W5" i="11"/>
  <c r="F36" i="11"/>
  <c r="O11" i="11"/>
  <c r="G38" i="11"/>
  <c r="Q51" i="11"/>
  <c r="I68" i="11"/>
  <c r="I18" i="11"/>
  <c r="U7" i="11"/>
  <c r="W7" i="11"/>
  <c r="U9" i="11"/>
  <c r="W9" i="11" s="1"/>
  <c r="Z15" i="11"/>
  <c r="Y9" i="11"/>
  <c r="AA9" i="11" s="1"/>
  <c r="Q49" i="11"/>
  <c r="Y5" i="11"/>
  <c r="AA5" i="11" s="1"/>
  <c r="Y6" i="11"/>
  <c r="AA6" i="11" s="1"/>
  <c r="AB6" i="11" s="1"/>
  <c r="Y7" i="11"/>
  <c r="AA7" i="11" s="1"/>
  <c r="Q46" i="11"/>
  <c r="I16" i="11"/>
  <c r="I14" i="11"/>
  <c r="Q43" i="11"/>
  <c r="Q47" i="11"/>
  <c r="Y4" i="11"/>
  <c r="P52" i="11"/>
  <c r="Q48" i="11"/>
  <c r="C55" i="11"/>
  <c r="C56" i="11"/>
  <c r="C57" i="11"/>
  <c r="C58" i="11"/>
  <c r="C59" i="11"/>
  <c r="C60" i="11"/>
  <c r="C61" i="11"/>
  <c r="C62" i="11"/>
  <c r="C63" i="11"/>
  <c r="S11" i="11"/>
  <c r="P4" i="11"/>
  <c r="Z14" i="11" s="1"/>
  <c r="AB14" i="11" s="1"/>
  <c r="Y8" i="11"/>
  <c r="AA8" i="11" s="1"/>
  <c r="AB8" i="11" s="1"/>
  <c r="D55" i="11"/>
  <c r="D56" i="11"/>
  <c r="D57" i="11"/>
  <c r="D58" i="11"/>
  <c r="D59" i="11"/>
  <c r="D60" i="11"/>
  <c r="D61" i="11"/>
  <c r="D62" i="11"/>
  <c r="D63" i="11"/>
  <c r="E55" i="11"/>
  <c r="E56" i="11"/>
  <c r="E57" i="11"/>
  <c r="E58" i="11"/>
  <c r="E59" i="11"/>
  <c r="E60" i="11"/>
  <c r="E61" i="11"/>
  <c r="E62" i="11"/>
  <c r="E63" i="11"/>
  <c r="F55" i="11"/>
  <c r="F56" i="11"/>
  <c r="F57" i="11"/>
  <c r="F58" i="11"/>
  <c r="F59" i="11"/>
  <c r="F60" i="11"/>
  <c r="F61" i="11"/>
  <c r="F62" i="11"/>
  <c r="F63" i="11"/>
  <c r="G14" i="11"/>
  <c r="G16" i="11"/>
  <c r="H18" i="11"/>
  <c r="G55" i="11"/>
  <c r="G56" i="11"/>
  <c r="G57" i="11"/>
  <c r="G58" i="11"/>
  <c r="G59" i="11"/>
  <c r="G60" i="11"/>
  <c r="G61" i="11"/>
  <c r="G62" i="11"/>
  <c r="G63" i="11"/>
  <c r="O42" i="11"/>
  <c r="H55" i="11"/>
  <c r="H56" i="11"/>
  <c r="H57" i="11"/>
  <c r="H58" i="11"/>
  <c r="H59" i="11"/>
  <c r="H60" i="11"/>
  <c r="H61" i="11"/>
  <c r="H62" i="11"/>
  <c r="H63" i="11"/>
  <c r="H4" i="11"/>
  <c r="H34" i="12" l="1"/>
  <c r="H36" i="12"/>
  <c r="I22" i="12"/>
  <c r="AB5" i="11"/>
  <c r="AD5" i="11" s="1"/>
  <c r="AB7" i="11"/>
  <c r="AB9" i="11"/>
  <c r="G22" i="11"/>
  <c r="F34" i="11"/>
  <c r="AB15" i="11"/>
  <c r="U11" i="11"/>
  <c r="W15" i="11"/>
  <c r="D68" i="11"/>
  <c r="J61" i="11"/>
  <c r="H29" i="11" s="1"/>
  <c r="I29" i="11" s="1"/>
  <c r="H68" i="11"/>
  <c r="E68" i="11"/>
  <c r="AD8" i="11"/>
  <c r="AC8" i="11"/>
  <c r="J60" i="11"/>
  <c r="H28" i="11" s="1"/>
  <c r="I28" i="11" s="1"/>
  <c r="I54" i="11"/>
  <c r="H54" i="11"/>
  <c r="H16" i="11"/>
  <c r="G54" i="11"/>
  <c r="F54" i="11"/>
  <c r="E54" i="11"/>
  <c r="D54" i="11"/>
  <c r="H14" i="11"/>
  <c r="C54" i="11"/>
  <c r="Q42" i="11"/>
  <c r="Q52" i="11" s="1"/>
  <c r="O52" i="11"/>
  <c r="G68" i="11"/>
  <c r="J58" i="11"/>
  <c r="H26" i="11" s="1"/>
  <c r="I26" i="11" s="1"/>
  <c r="AD6" i="11"/>
  <c r="AC6" i="11"/>
  <c r="AA4" i="11"/>
  <c r="AA11" i="11" s="1"/>
  <c r="Y11" i="11"/>
  <c r="J59" i="11"/>
  <c r="H27" i="11" s="1"/>
  <c r="I27" i="11" s="1"/>
  <c r="P11" i="11"/>
  <c r="R4" i="11"/>
  <c r="J57" i="11"/>
  <c r="H25" i="11" s="1"/>
  <c r="I25" i="11" s="1"/>
  <c r="J63" i="11"/>
  <c r="H31" i="11" s="1"/>
  <c r="I31" i="11" s="1"/>
  <c r="J55" i="11"/>
  <c r="H23" i="11" s="1"/>
  <c r="I23" i="11" s="1"/>
  <c r="J56" i="11"/>
  <c r="C68" i="11"/>
  <c r="F68" i="11"/>
  <c r="J62" i="11"/>
  <c r="H30" i="11" s="1"/>
  <c r="I30" i="11" s="1"/>
  <c r="I34" i="12" l="1"/>
  <c r="I36" i="12"/>
  <c r="AC15" i="11"/>
  <c r="AD15" i="11" s="1"/>
  <c r="AC5" i="11"/>
  <c r="G34" i="11"/>
  <c r="G36" i="11"/>
  <c r="W4" i="11"/>
  <c r="R11" i="11"/>
  <c r="R17" i="11" s="1"/>
  <c r="H66" i="11"/>
  <c r="H64" i="11"/>
  <c r="J54" i="11"/>
  <c r="C66" i="11"/>
  <c r="C64" i="11"/>
  <c r="I66" i="11"/>
  <c r="I64" i="11"/>
  <c r="G66" i="11"/>
  <c r="G64" i="11"/>
  <c r="J68" i="11"/>
  <c r="H24" i="11"/>
  <c r="D66" i="11"/>
  <c r="D64" i="11"/>
  <c r="F66" i="11"/>
  <c r="F64" i="11"/>
  <c r="E66" i="11"/>
  <c r="E64" i="11"/>
  <c r="M38" i="4"/>
  <c r="M37" i="4"/>
  <c r="J66" i="11" l="1"/>
  <c r="J64" i="11"/>
  <c r="H22" i="11"/>
  <c r="H38" i="11"/>
  <c r="I24" i="11"/>
  <c r="I38" i="11" s="1"/>
  <c r="W14" i="11"/>
  <c r="AC14" i="11" s="1"/>
  <c r="AD14" i="11" s="1"/>
  <c r="W11" i="11"/>
  <c r="AB4" i="11"/>
  <c r="K21" i="2"/>
  <c r="AD4" i="11" l="1"/>
  <c r="AC4" i="11"/>
  <c r="AC11" i="11" s="1"/>
  <c r="AB11" i="11"/>
  <c r="AD11" i="11" s="1"/>
  <c r="H34" i="11"/>
  <c r="H36" i="11"/>
  <c r="I22" i="11"/>
  <c r="R17" i="10"/>
  <c r="I34" i="11" l="1"/>
  <c r="I36" i="11"/>
  <c r="G4" i="10"/>
  <c r="I21" i="2" l="1"/>
  <c r="E55" i="9"/>
  <c r="E56" i="9"/>
  <c r="E57" i="9"/>
  <c r="E58" i="9"/>
  <c r="E59" i="9"/>
  <c r="E60" i="9"/>
  <c r="E61" i="9"/>
  <c r="E62" i="9"/>
  <c r="E63" i="9"/>
  <c r="E54" i="9"/>
  <c r="N43" i="9"/>
  <c r="N44" i="9"/>
  <c r="N45" i="9"/>
  <c r="N46" i="9"/>
  <c r="N47" i="9"/>
  <c r="N48" i="9"/>
  <c r="N49" i="9"/>
  <c r="N50" i="9"/>
  <c r="N51" i="9"/>
  <c r="N42" i="9"/>
  <c r="L42" i="9"/>
  <c r="G4" i="9" l="1"/>
  <c r="P51" i="9" l="1"/>
  <c r="L51" i="9"/>
  <c r="O51" i="9" s="1"/>
  <c r="Q51" i="9" s="1"/>
  <c r="O50" i="9"/>
  <c r="P50" i="9"/>
  <c r="L50" i="9"/>
  <c r="O49" i="9"/>
  <c r="P49" i="9"/>
  <c r="L49" i="9"/>
  <c r="P48" i="9"/>
  <c r="L48" i="9"/>
  <c r="O48" i="9" s="1"/>
  <c r="P47" i="9"/>
  <c r="L47" i="9"/>
  <c r="O47" i="9" s="1"/>
  <c r="Q47" i="9" s="1"/>
  <c r="P46" i="9"/>
  <c r="L46" i="9"/>
  <c r="O46" i="9" s="1"/>
  <c r="P45" i="9"/>
  <c r="O45" i="9"/>
  <c r="Q45" i="9" s="1"/>
  <c r="L45" i="9"/>
  <c r="P44" i="9"/>
  <c r="L44" i="9"/>
  <c r="O44" i="9" s="1"/>
  <c r="P43" i="9"/>
  <c r="L43" i="9"/>
  <c r="O43" i="9" s="1"/>
  <c r="P42" i="9"/>
  <c r="F38" i="9"/>
  <c r="E38" i="9"/>
  <c r="D38" i="9"/>
  <c r="C38" i="9"/>
  <c r="E36" i="9"/>
  <c r="D36" i="9"/>
  <c r="C36" i="9"/>
  <c r="E34" i="9"/>
  <c r="D34" i="9"/>
  <c r="C34" i="9"/>
  <c r="G31" i="9"/>
  <c r="G30" i="9"/>
  <c r="G29" i="9"/>
  <c r="G28" i="9"/>
  <c r="G27" i="9"/>
  <c r="G26" i="9"/>
  <c r="G25" i="9"/>
  <c r="G24" i="9"/>
  <c r="F23" i="9"/>
  <c r="G18" i="9"/>
  <c r="F18" i="9"/>
  <c r="E18" i="9"/>
  <c r="D18" i="9"/>
  <c r="C18" i="9"/>
  <c r="F16" i="9"/>
  <c r="E16" i="9"/>
  <c r="D16" i="9"/>
  <c r="C16" i="9"/>
  <c r="F14" i="9"/>
  <c r="E14" i="9"/>
  <c r="D14" i="9"/>
  <c r="C14" i="9"/>
  <c r="I13" i="9"/>
  <c r="H13" i="9"/>
  <c r="F63" i="9" s="1"/>
  <c r="I12" i="9"/>
  <c r="H12" i="9"/>
  <c r="C62" i="9" s="1"/>
  <c r="N11" i="9"/>
  <c r="I11" i="9"/>
  <c r="H11" i="9"/>
  <c r="Z10" i="9"/>
  <c r="Y10" i="9"/>
  <c r="AA10" i="9" s="1"/>
  <c r="T10" i="9"/>
  <c r="U10" i="9" s="1"/>
  <c r="R10" i="9"/>
  <c r="W10" i="9" s="1"/>
  <c r="AB10" i="9" s="1"/>
  <c r="AC10" i="9" s="1"/>
  <c r="I10" i="9"/>
  <c r="H10" i="9"/>
  <c r="G60" i="9" s="1"/>
  <c r="Z9" i="9"/>
  <c r="T9" i="9"/>
  <c r="S9" i="9"/>
  <c r="U9" i="9" s="1"/>
  <c r="R9" i="9"/>
  <c r="P9" i="9"/>
  <c r="O9" i="9"/>
  <c r="I9" i="9"/>
  <c r="H9" i="9"/>
  <c r="F59" i="9" s="1"/>
  <c r="Z8" i="9"/>
  <c r="T8" i="9"/>
  <c r="S8" i="9"/>
  <c r="U8" i="9" s="1"/>
  <c r="R8" i="9"/>
  <c r="P8" i="9"/>
  <c r="O8" i="9"/>
  <c r="I8" i="9"/>
  <c r="H8" i="9"/>
  <c r="F58" i="9" s="1"/>
  <c r="Z7" i="9"/>
  <c r="T7" i="9"/>
  <c r="S7" i="9"/>
  <c r="P7" i="9"/>
  <c r="R7" i="9" s="1"/>
  <c r="O7" i="9"/>
  <c r="I7" i="9"/>
  <c r="H7" i="9"/>
  <c r="Z6" i="9"/>
  <c r="T6" i="9"/>
  <c r="S6" i="9"/>
  <c r="U6" i="9" s="1"/>
  <c r="P6" i="9"/>
  <c r="R6" i="9" s="1"/>
  <c r="O6" i="9"/>
  <c r="I6" i="9"/>
  <c r="H6" i="9"/>
  <c r="C56" i="9" s="1"/>
  <c r="Z5" i="9"/>
  <c r="T5" i="9"/>
  <c r="S5" i="9"/>
  <c r="P5" i="9"/>
  <c r="R5" i="9" s="1"/>
  <c r="O5" i="9"/>
  <c r="I5" i="9"/>
  <c r="H5" i="9"/>
  <c r="C55" i="9" s="1"/>
  <c r="Z4" i="9"/>
  <c r="T4" i="9"/>
  <c r="S4" i="9"/>
  <c r="U4" i="9" s="1"/>
  <c r="P4" i="9"/>
  <c r="O4" i="9"/>
  <c r="AC2" i="9"/>
  <c r="Z2" i="9"/>
  <c r="Y2" i="9"/>
  <c r="W2" i="9"/>
  <c r="U2" i="9"/>
  <c r="S2" i="9"/>
  <c r="P2" i="9"/>
  <c r="O2" i="9"/>
  <c r="N2" i="9"/>
  <c r="Q49" i="9" l="1"/>
  <c r="G23" i="9"/>
  <c r="F22" i="9"/>
  <c r="G38" i="9"/>
  <c r="W8" i="9"/>
  <c r="W9" i="9"/>
  <c r="C58" i="9"/>
  <c r="C68" i="9" s="1"/>
  <c r="D58" i="9"/>
  <c r="Q43" i="9"/>
  <c r="Q50" i="9"/>
  <c r="H58" i="9"/>
  <c r="H59" i="9"/>
  <c r="G56" i="9"/>
  <c r="C63" i="9"/>
  <c r="I18" i="9"/>
  <c r="U7" i="9"/>
  <c r="C59" i="9"/>
  <c r="C60" i="9"/>
  <c r="D63" i="9"/>
  <c r="U5" i="9"/>
  <c r="U11" i="9" s="1"/>
  <c r="Y7" i="9"/>
  <c r="AA7" i="9" s="1"/>
  <c r="D59" i="9"/>
  <c r="G63" i="9"/>
  <c r="Y5" i="9"/>
  <c r="AA5" i="9" s="1"/>
  <c r="Y8" i="9"/>
  <c r="AA8" i="9" s="1"/>
  <c r="AB8" i="9" s="1"/>
  <c r="AD8" i="9" s="1"/>
  <c r="G58" i="9"/>
  <c r="G59" i="9"/>
  <c r="H63" i="9"/>
  <c r="Y4" i="9"/>
  <c r="Z14" i="9"/>
  <c r="AB14" i="9" s="1"/>
  <c r="F57" i="9"/>
  <c r="H57" i="9"/>
  <c r="I57" i="9"/>
  <c r="D57" i="9"/>
  <c r="O11" i="9"/>
  <c r="F61" i="9"/>
  <c r="D61" i="9"/>
  <c r="I61" i="9"/>
  <c r="H61" i="9"/>
  <c r="G16" i="9"/>
  <c r="G14" i="9"/>
  <c r="I4" i="9"/>
  <c r="O42" i="9"/>
  <c r="P52" i="9"/>
  <c r="Q44" i="9"/>
  <c r="C57" i="9"/>
  <c r="C61" i="9"/>
  <c r="F55" i="9"/>
  <c r="D55" i="9"/>
  <c r="I55" i="9"/>
  <c r="H55" i="9"/>
  <c r="Z15" i="9"/>
  <c r="Y6" i="9"/>
  <c r="AA6" i="9" s="1"/>
  <c r="P11" i="9"/>
  <c r="R4" i="9"/>
  <c r="W6" i="9"/>
  <c r="S11" i="9"/>
  <c r="F62" i="9"/>
  <c r="D62" i="9"/>
  <c r="I62" i="9"/>
  <c r="H62" i="9"/>
  <c r="G62" i="9"/>
  <c r="F56" i="9"/>
  <c r="F68" i="9" s="1"/>
  <c r="H56" i="9"/>
  <c r="D56" i="9"/>
  <c r="D68" i="9" s="1"/>
  <c r="I56" i="9"/>
  <c r="F60" i="9"/>
  <c r="H60" i="9"/>
  <c r="I60" i="9"/>
  <c r="D60" i="9"/>
  <c r="H4" i="9"/>
  <c r="W5" i="9"/>
  <c r="W7" i="9"/>
  <c r="Y9" i="9"/>
  <c r="AA9" i="9" s="1"/>
  <c r="AB9" i="9" s="1"/>
  <c r="H18" i="9"/>
  <c r="Q46" i="9"/>
  <c r="Q48" i="9"/>
  <c r="G55" i="9"/>
  <c r="G57" i="9"/>
  <c r="G61" i="9"/>
  <c r="I58" i="9"/>
  <c r="I59" i="9"/>
  <c r="I63" i="9"/>
  <c r="C49" i="4"/>
  <c r="C18" i="4"/>
  <c r="AB7" i="9" l="1"/>
  <c r="AB5" i="9"/>
  <c r="J60" i="9"/>
  <c r="H28" i="9" s="1"/>
  <c r="I28" i="9" s="1"/>
  <c r="J10" i="9" s="1"/>
  <c r="H68" i="9"/>
  <c r="AC8" i="9"/>
  <c r="J57" i="9"/>
  <c r="H25" i="9" s="1"/>
  <c r="I25" i="9" s="1"/>
  <c r="J7" i="9" s="1"/>
  <c r="J63" i="9"/>
  <c r="H31" i="9" s="1"/>
  <c r="I31" i="9" s="1"/>
  <c r="J13" i="9" s="1"/>
  <c r="J58" i="9"/>
  <c r="H26" i="9" s="1"/>
  <c r="I26" i="9" s="1"/>
  <c r="J8" i="9" s="1"/>
  <c r="AB15" i="9"/>
  <c r="J55" i="9"/>
  <c r="H23" i="9" s="1"/>
  <c r="I23" i="9" s="1"/>
  <c r="J5" i="9" s="1"/>
  <c r="G68" i="9"/>
  <c r="J59" i="9"/>
  <c r="H27" i="9" s="1"/>
  <c r="I27" i="9" s="1"/>
  <c r="J9" i="9" s="1"/>
  <c r="J62" i="9"/>
  <c r="H30" i="9" s="1"/>
  <c r="I30" i="9" s="1"/>
  <c r="J12" i="9" s="1"/>
  <c r="G22" i="9"/>
  <c r="F36" i="9"/>
  <c r="F34" i="9"/>
  <c r="Q42" i="9"/>
  <c r="Q52" i="9" s="1"/>
  <c r="O52" i="9"/>
  <c r="I14" i="9"/>
  <c r="I16" i="9"/>
  <c r="E68" i="9"/>
  <c r="J56" i="9"/>
  <c r="F54" i="9"/>
  <c r="H14" i="9"/>
  <c r="H54" i="9"/>
  <c r="D54" i="9"/>
  <c r="I54" i="9"/>
  <c r="G54" i="9"/>
  <c r="C54" i="9"/>
  <c r="H16" i="9"/>
  <c r="W15" i="9"/>
  <c r="AB6" i="9"/>
  <c r="Y11" i="9"/>
  <c r="AA4" i="9"/>
  <c r="AA11" i="9" s="1"/>
  <c r="R11" i="9"/>
  <c r="R17" i="9" s="1"/>
  <c r="W4" i="9"/>
  <c r="AC5" i="9"/>
  <c r="AD5" i="9"/>
  <c r="I68" i="9"/>
  <c r="J61" i="9"/>
  <c r="H29" i="9" s="1"/>
  <c r="I29" i="9" s="1"/>
  <c r="J11" i="9" s="1"/>
  <c r="G56" i="2"/>
  <c r="G57" i="2"/>
  <c r="G58" i="2"/>
  <c r="H57" i="2"/>
  <c r="H59" i="2" s="1"/>
  <c r="H56" i="2"/>
  <c r="H48" i="2"/>
  <c r="H49" i="2"/>
  <c r="H50" i="2"/>
  <c r="AC15" i="9" l="1"/>
  <c r="AD15" i="9" s="1"/>
  <c r="G36" i="9"/>
  <c r="G34" i="9"/>
  <c r="F66" i="9"/>
  <c r="F64" i="9"/>
  <c r="J68" i="9"/>
  <c r="H24" i="9"/>
  <c r="E66" i="9"/>
  <c r="E64" i="9"/>
  <c r="I66" i="9"/>
  <c r="I64" i="9"/>
  <c r="J54" i="9"/>
  <c r="C64" i="9"/>
  <c r="C66" i="9"/>
  <c r="D66" i="9"/>
  <c r="D64" i="9"/>
  <c r="W11" i="9"/>
  <c r="AB4" i="9"/>
  <c r="W14" i="9"/>
  <c r="AC14" i="9" s="1"/>
  <c r="AD14" i="9" s="1"/>
  <c r="AC6" i="9"/>
  <c r="AD6" i="9"/>
  <c r="G64" i="9"/>
  <c r="G66" i="9"/>
  <c r="H64" i="9"/>
  <c r="H66" i="9"/>
  <c r="F23" i="8"/>
  <c r="H38" i="9" l="1"/>
  <c r="I24" i="9"/>
  <c r="AC4" i="9"/>
  <c r="AC11" i="9" s="1"/>
  <c r="AD4" i="9"/>
  <c r="AB11" i="9"/>
  <c r="AD11" i="9" s="1"/>
  <c r="J66" i="9"/>
  <c r="J64" i="9"/>
  <c r="H22" i="9"/>
  <c r="H27" i="4"/>
  <c r="H59" i="4"/>
  <c r="Z15" i="8"/>
  <c r="F22" i="8"/>
  <c r="H34" i="9" l="1"/>
  <c r="H36" i="9"/>
  <c r="I22" i="9"/>
  <c r="J6" i="9"/>
  <c r="I38" i="9"/>
  <c r="G4" i="8"/>
  <c r="H21" i="2"/>
  <c r="G62" i="8"/>
  <c r="C60" i="8"/>
  <c r="N51" i="8"/>
  <c r="P51" i="8" s="1"/>
  <c r="L51" i="8"/>
  <c r="O51" i="8" s="1"/>
  <c r="O50" i="8"/>
  <c r="N50" i="8"/>
  <c r="P50" i="8" s="1"/>
  <c r="L50" i="8"/>
  <c r="P49" i="8"/>
  <c r="O49" i="8"/>
  <c r="Q49" i="8" s="1"/>
  <c r="N49" i="8"/>
  <c r="L49" i="8"/>
  <c r="P48" i="8"/>
  <c r="N48" i="8"/>
  <c r="L48" i="8"/>
  <c r="O48" i="8" s="1"/>
  <c r="N47" i="8"/>
  <c r="P47" i="8" s="1"/>
  <c r="L47" i="8"/>
  <c r="O47" i="8" s="1"/>
  <c r="O46" i="8"/>
  <c r="N46" i="8"/>
  <c r="P46" i="8" s="1"/>
  <c r="L46" i="8"/>
  <c r="P45" i="8"/>
  <c r="O45" i="8"/>
  <c r="N45" i="8"/>
  <c r="L45" i="8"/>
  <c r="P44" i="8"/>
  <c r="N44" i="8"/>
  <c r="L44" i="8"/>
  <c r="O44" i="8" s="1"/>
  <c r="N43" i="8"/>
  <c r="P43" i="8" s="1"/>
  <c r="L43" i="8"/>
  <c r="O43" i="8" s="1"/>
  <c r="Q43" i="8" s="1"/>
  <c r="N42" i="8"/>
  <c r="P42" i="8" s="1"/>
  <c r="L42" i="8"/>
  <c r="F38" i="8"/>
  <c r="E38" i="8"/>
  <c r="D38" i="8"/>
  <c r="C38" i="8"/>
  <c r="E36" i="8"/>
  <c r="D36" i="8"/>
  <c r="C36" i="8"/>
  <c r="E34" i="8"/>
  <c r="D34" i="8"/>
  <c r="C34" i="8"/>
  <c r="G31" i="8"/>
  <c r="G30" i="8"/>
  <c r="G29" i="8"/>
  <c r="G28" i="8"/>
  <c r="G27" i="8"/>
  <c r="G26" i="8"/>
  <c r="G25" i="8"/>
  <c r="G24" i="8"/>
  <c r="G23" i="8"/>
  <c r="G22" i="8"/>
  <c r="G18" i="8"/>
  <c r="F18" i="8"/>
  <c r="E18" i="8"/>
  <c r="D18" i="8"/>
  <c r="C18" i="8"/>
  <c r="F16" i="8"/>
  <c r="E16" i="8"/>
  <c r="D16" i="8"/>
  <c r="C16" i="8"/>
  <c r="F14" i="8"/>
  <c r="E14" i="8"/>
  <c r="D14" i="8"/>
  <c r="C14" i="8"/>
  <c r="I13" i="8"/>
  <c r="H13" i="8"/>
  <c r="C63" i="8" s="1"/>
  <c r="I12" i="8"/>
  <c r="H12" i="8"/>
  <c r="F62" i="8" s="1"/>
  <c r="I11" i="8"/>
  <c r="H11" i="8"/>
  <c r="C61" i="8" s="1"/>
  <c r="Z10" i="8"/>
  <c r="AA10" i="8" s="1"/>
  <c r="Y10" i="8"/>
  <c r="T10" i="8"/>
  <c r="U10" i="8" s="1"/>
  <c r="W10" i="8" s="1"/>
  <c r="R10" i="8"/>
  <c r="I10" i="8"/>
  <c r="H10" i="8"/>
  <c r="G60" i="8" s="1"/>
  <c r="Z9" i="8"/>
  <c r="T9" i="8"/>
  <c r="S9" i="8"/>
  <c r="U9" i="8" s="1"/>
  <c r="P9" i="8"/>
  <c r="R9" i="8" s="1"/>
  <c r="O9" i="8"/>
  <c r="I9" i="8"/>
  <c r="H9" i="8"/>
  <c r="C59" i="8" s="1"/>
  <c r="Z8" i="8"/>
  <c r="T8" i="8"/>
  <c r="S8" i="8"/>
  <c r="U8" i="8" s="1"/>
  <c r="P8" i="8"/>
  <c r="R8" i="8" s="1"/>
  <c r="O8" i="8"/>
  <c r="I8" i="8"/>
  <c r="H8" i="8"/>
  <c r="Z7" i="8"/>
  <c r="T7" i="8"/>
  <c r="S7" i="8"/>
  <c r="U7" i="8" s="1"/>
  <c r="P7" i="8"/>
  <c r="R7" i="8" s="1"/>
  <c r="O7" i="8"/>
  <c r="I7" i="8"/>
  <c r="H7" i="8"/>
  <c r="C57" i="8" s="1"/>
  <c r="Z6" i="8"/>
  <c r="U6" i="8"/>
  <c r="T6" i="8"/>
  <c r="S6" i="8"/>
  <c r="P6" i="8"/>
  <c r="O6" i="8"/>
  <c r="I6" i="8"/>
  <c r="H6" i="8"/>
  <c r="C56" i="8" s="1"/>
  <c r="Z5" i="8"/>
  <c r="T5" i="8"/>
  <c r="S5" i="8"/>
  <c r="P5" i="8"/>
  <c r="R5" i="8" s="1"/>
  <c r="O5" i="8"/>
  <c r="I5" i="8"/>
  <c r="H5" i="8"/>
  <c r="F55" i="8" s="1"/>
  <c r="Z4" i="8"/>
  <c r="T4" i="8"/>
  <c r="S4" i="8"/>
  <c r="O4" i="8"/>
  <c r="AC2" i="8"/>
  <c r="Z2" i="8"/>
  <c r="Y2" i="8"/>
  <c r="W2" i="8"/>
  <c r="U2" i="8"/>
  <c r="S2" i="8"/>
  <c r="P2" i="8"/>
  <c r="O2" i="8"/>
  <c r="N2" i="8"/>
  <c r="I36" i="9" l="1"/>
  <c r="J4" i="9"/>
  <c r="I34" i="9"/>
  <c r="Q51" i="8"/>
  <c r="W7" i="8"/>
  <c r="Q47" i="8"/>
  <c r="W9" i="8"/>
  <c r="W8" i="8"/>
  <c r="D55" i="8"/>
  <c r="U5" i="8"/>
  <c r="W5" i="8" s="1"/>
  <c r="Y7" i="8"/>
  <c r="AA7" i="8" s="1"/>
  <c r="AB7" i="8" s="1"/>
  <c r="G55" i="8"/>
  <c r="H62" i="8"/>
  <c r="Y5" i="8"/>
  <c r="AA5" i="8" s="1"/>
  <c r="Q44" i="8"/>
  <c r="H55" i="8"/>
  <c r="C62" i="8"/>
  <c r="Y9" i="8"/>
  <c r="AA9" i="8" s="1"/>
  <c r="P52" i="8"/>
  <c r="Q45" i="8"/>
  <c r="Q48" i="8"/>
  <c r="C55" i="8"/>
  <c r="D62" i="8"/>
  <c r="Y6" i="8"/>
  <c r="AA6" i="8" s="1"/>
  <c r="F34" i="8"/>
  <c r="F36" i="8"/>
  <c r="Y8" i="8"/>
  <c r="AA8" i="8" s="1"/>
  <c r="AB10" i="8"/>
  <c r="AC10" i="8" s="1"/>
  <c r="F58" i="8"/>
  <c r="D58" i="8"/>
  <c r="I58" i="8"/>
  <c r="E58" i="8"/>
  <c r="H58" i="8"/>
  <c r="S11" i="8"/>
  <c r="U4" i="8"/>
  <c r="F63" i="8"/>
  <c r="H63" i="8"/>
  <c r="D63" i="8"/>
  <c r="I63" i="8"/>
  <c r="E63" i="8"/>
  <c r="G63" i="8"/>
  <c r="G38" i="8"/>
  <c r="Q50" i="8"/>
  <c r="O11" i="8"/>
  <c r="F59" i="8"/>
  <c r="D59" i="8"/>
  <c r="I59" i="8"/>
  <c r="E59" i="8"/>
  <c r="H59" i="8"/>
  <c r="H18" i="8"/>
  <c r="C58" i="8"/>
  <c r="F56" i="8"/>
  <c r="H56" i="8"/>
  <c r="I56" i="8"/>
  <c r="E56" i="8"/>
  <c r="D56" i="8"/>
  <c r="R6" i="8"/>
  <c r="W6" i="8" s="1"/>
  <c r="F57" i="8"/>
  <c r="H57" i="8"/>
  <c r="I57" i="8"/>
  <c r="E57" i="8"/>
  <c r="D57" i="8"/>
  <c r="G36" i="8"/>
  <c r="G34" i="8"/>
  <c r="Q46" i="8"/>
  <c r="G56" i="8"/>
  <c r="G58" i="8"/>
  <c r="G16" i="8"/>
  <c r="I4" i="8"/>
  <c r="O42" i="8"/>
  <c r="G14" i="8"/>
  <c r="P4" i="8"/>
  <c r="Z14" i="8" s="1"/>
  <c r="AB14" i="8" s="1"/>
  <c r="H4" i="8"/>
  <c r="I18" i="8"/>
  <c r="N11" i="8"/>
  <c r="Y4" i="8"/>
  <c r="F60" i="8"/>
  <c r="H60" i="8"/>
  <c r="D60" i="8"/>
  <c r="I60" i="8"/>
  <c r="E60" i="8"/>
  <c r="F61" i="8"/>
  <c r="H61" i="8"/>
  <c r="I61" i="8"/>
  <c r="E61" i="8"/>
  <c r="D61" i="8"/>
  <c r="G57" i="8"/>
  <c r="G59" i="8"/>
  <c r="G61" i="8"/>
  <c r="E55" i="8"/>
  <c r="I55" i="8"/>
  <c r="E62" i="8"/>
  <c r="I62" i="8"/>
  <c r="G59" i="4"/>
  <c r="G27" i="4"/>
  <c r="F22" i="7"/>
  <c r="G4" i="7"/>
  <c r="N4" i="7"/>
  <c r="J61" i="8" l="1"/>
  <c r="H29" i="8" s="1"/>
  <c r="I29" i="8" s="1"/>
  <c r="J11" i="8" s="1"/>
  <c r="AB9" i="8"/>
  <c r="AB15" i="8"/>
  <c r="AB5" i="8"/>
  <c r="AC5" i="8" s="1"/>
  <c r="D68" i="8"/>
  <c r="J62" i="8"/>
  <c r="H30" i="8" s="1"/>
  <c r="I30" i="8" s="1"/>
  <c r="J12" i="8" s="1"/>
  <c r="J63" i="8"/>
  <c r="H31" i="8" s="1"/>
  <c r="I31" i="8" s="1"/>
  <c r="J13" i="8" s="1"/>
  <c r="U11" i="8"/>
  <c r="AB8" i="8"/>
  <c r="AD8" i="8" s="1"/>
  <c r="J59" i="8"/>
  <c r="H27" i="8" s="1"/>
  <c r="I27" i="8" s="1"/>
  <c r="J9" i="8" s="1"/>
  <c r="J60" i="8"/>
  <c r="H28" i="8" s="1"/>
  <c r="I28" i="8" s="1"/>
  <c r="J10" i="8" s="1"/>
  <c r="J55" i="8"/>
  <c r="H23" i="8" s="1"/>
  <c r="I23" i="8" s="1"/>
  <c r="J5" i="8" s="1"/>
  <c r="E68" i="8"/>
  <c r="G68" i="8"/>
  <c r="J57" i="8"/>
  <c r="H25" i="8" s="1"/>
  <c r="I25" i="8" s="1"/>
  <c r="J7" i="8" s="1"/>
  <c r="I68" i="8"/>
  <c r="AC8" i="8"/>
  <c r="Q42" i="8"/>
  <c r="Q52" i="8" s="1"/>
  <c r="O52" i="8"/>
  <c r="F54" i="8"/>
  <c r="H14" i="8"/>
  <c r="H54" i="8"/>
  <c r="D54" i="8"/>
  <c r="I54" i="8"/>
  <c r="E54" i="8"/>
  <c r="G54" i="8"/>
  <c r="H16" i="8"/>
  <c r="C54" i="8"/>
  <c r="R4" i="8"/>
  <c r="P11" i="8"/>
  <c r="W15" i="8"/>
  <c r="AC15" i="8" s="1"/>
  <c r="AD15" i="8" s="1"/>
  <c r="AB6" i="8"/>
  <c r="H68" i="8"/>
  <c r="J56" i="8"/>
  <c r="AD5" i="8"/>
  <c r="AA4" i="8"/>
  <c r="AA11" i="8" s="1"/>
  <c r="Y11" i="8"/>
  <c r="I14" i="8"/>
  <c r="I16" i="8"/>
  <c r="J58" i="8"/>
  <c r="H26" i="8" s="1"/>
  <c r="I26" i="8" s="1"/>
  <c r="J8" i="8" s="1"/>
  <c r="F68" i="8"/>
  <c r="C68" i="8"/>
  <c r="O42" i="7"/>
  <c r="D60" i="7"/>
  <c r="C60" i="7"/>
  <c r="O51" i="7"/>
  <c r="N51" i="7"/>
  <c r="P51" i="7" s="1"/>
  <c r="L51" i="7"/>
  <c r="P50" i="7"/>
  <c r="O50" i="7"/>
  <c r="N50" i="7"/>
  <c r="L50" i="7"/>
  <c r="P49" i="7"/>
  <c r="N49" i="7"/>
  <c r="L49" i="7"/>
  <c r="O49" i="7" s="1"/>
  <c r="Q49" i="7" s="1"/>
  <c r="N48" i="7"/>
  <c r="P48" i="7" s="1"/>
  <c r="Q48" i="7" s="1"/>
  <c r="L48" i="7"/>
  <c r="O48" i="7" s="1"/>
  <c r="N47" i="7"/>
  <c r="P47" i="7" s="1"/>
  <c r="L47" i="7"/>
  <c r="O47" i="7" s="1"/>
  <c r="Q47" i="7" s="1"/>
  <c r="P46" i="7"/>
  <c r="O46" i="7"/>
  <c r="N46" i="7"/>
  <c r="L46" i="7"/>
  <c r="P45" i="7"/>
  <c r="N45" i="7"/>
  <c r="L45" i="7"/>
  <c r="O45" i="7" s="1"/>
  <c r="N44" i="7"/>
  <c r="P44" i="7" s="1"/>
  <c r="L44" i="7"/>
  <c r="O44" i="7" s="1"/>
  <c r="N43" i="7"/>
  <c r="P43" i="7" s="1"/>
  <c r="L43" i="7"/>
  <c r="O43" i="7" s="1"/>
  <c r="Q43" i="7" s="1"/>
  <c r="N42" i="7"/>
  <c r="P42" i="7" s="1"/>
  <c r="L42" i="7"/>
  <c r="F38" i="7"/>
  <c r="E38" i="7"/>
  <c r="D38" i="7"/>
  <c r="C38" i="7"/>
  <c r="E36" i="7"/>
  <c r="D36" i="7"/>
  <c r="C36" i="7"/>
  <c r="E34" i="7"/>
  <c r="D34" i="7"/>
  <c r="C34" i="7"/>
  <c r="G31" i="7"/>
  <c r="G30" i="7"/>
  <c r="G29" i="7"/>
  <c r="G28" i="7"/>
  <c r="G27" i="7"/>
  <c r="G26" i="7"/>
  <c r="G25" i="7"/>
  <c r="G24" i="7"/>
  <c r="F23" i="7"/>
  <c r="G23" i="7" s="1"/>
  <c r="G18" i="7"/>
  <c r="F18" i="7"/>
  <c r="E18" i="7"/>
  <c r="D18" i="7"/>
  <c r="C18" i="7"/>
  <c r="F16" i="7"/>
  <c r="E16" i="7"/>
  <c r="D16" i="7"/>
  <c r="C16" i="7"/>
  <c r="F14" i="7"/>
  <c r="E14" i="7"/>
  <c r="D14" i="7"/>
  <c r="C14" i="7"/>
  <c r="I13" i="7"/>
  <c r="H13" i="7"/>
  <c r="C63" i="7" s="1"/>
  <c r="I12" i="7"/>
  <c r="H12" i="7"/>
  <c r="C62" i="7" s="1"/>
  <c r="N11" i="7"/>
  <c r="I11" i="7"/>
  <c r="H11" i="7"/>
  <c r="Z10" i="7"/>
  <c r="AA10" i="7" s="1"/>
  <c r="Y10" i="7"/>
  <c r="T10" i="7"/>
  <c r="U10" i="7" s="1"/>
  <c r="W10" i="7" s="1"/>
  <c r="R10" i="7"/>
  <c r="I10" i="7"/>
  <c r="H10" i="7"/>
  <c r="Z9" i="7"/>
  <c r="T9" i="7"/>
  <c r="S9" i="7"/>
  <c r="U9" i="7" s="1"/>
  <c r="P9" i="7"/>
  <c r="R9" i="7" s="1"/>
  <c r="O9" i="7"/>
  <c r="I9" i="7"/>
  <c r="H9" i="7"/>
  <c r="D59" i="7" s="1"/>
  <c r="Z8" i="7"/>
  <c r="U8" i="7"/>
  <c r="T8" i="7"/>
  <c r="S8" i="7"/>
  <c r="P8" i="7"/>
  <c r="O8" i="7"/>
  <c r="I8" i="7"/>
  <c r="H8" i="7"/>
  <c r="C58" i="7" s="1"/>
  <c r="Z7" i="7"/>
  <c r="T7" i="7"/>
  <c r="S7" i="7"/>
  <c r="P7" i="7"/>
  <c r="R7" i="7" s="1"/>
  <c r="O7" i="7"/>
  <c r="I7" i="7"/>
  <c r="H7" i="7"/>
  <c r="C57" i="7" s="1"/>
  <c r="Z6" i="7"/>
  <c r="T6" i="7"/>
  <c r="S6" i="7"/>
  <c r="U6" i="7" s="1"/>
  <c r="P6" i="7"/>
  <c r="R6" i="7" s="1"/>
  <c r="O6" i="7"/>
  <c r="I6" i="7"/>
  <c r="H6" i="7"/>
  <c r="Z5" i="7"/>
  <c r="T5" i="7"/>
  <c r="S5" i="7"/>
  <c r="P5" i="7"/>
  <c r="R5" i="7" s="1"/>
  <c r="O5" i="7"/>
  <c r="I5" i="7"/>
  <c r="H5" i="7"/>
  <c r="F55" i="7" s="1"/>
  <c r="Z4" i="7"/>
  <c r="T4" i="7"/>
  <c r="S4" i="7"/>
  <c r="P4" i="7"/>
  <c r="R4" i="7" s="1"/>
  <c r="O4" i="7"/>
  <c r="AC2" i="7"/>
  <c r="Z2" i="7"/>
  <c r="Y2" i="7"/>
  <c r="W2" i="7"/>
  <c r="U2" i="7"/>
  <c r="S2" i="7"/>
  <c r="P2" i="7"/>
  <c r="O2" i="7"/>
  <c r="N2" i="7"/>
  <c r="E66" i="8" l="1"/>
  <c r="E64" i="8"/>
  <c r="AD6" i="8"/>
  <c r="AC6" i="8"/>
  <c r="F66" i="8"/>
  <c r="F64" i="8"/>
  <c r="D66" i="8"/>
  <c r="D64" i="8"/>
  <c r="R11" i="8"/>
  <c r="R17" i="8" s="1"/>
  <c r="W4" i="8"/>
  <c r="J54" i="8"/>
  <c r="C64" i="8"/>
  <c r="C66" i="8"/>
  <c r="I66" i="8"/>
  <c r="I64" i="8"/>
  <c r="J68" i="8"/>
  <c r="H24" i="8"/>
  <c r="G64" i="8"/>
  <c r="G66" i="8"/>
  <c r="H64" i="8"/>
  <c r="H66" i="8"/>
  <c r="W9" i="7"/>
  <c r="I18" i="7"/>
  <c r="Y8" i="7"/>
  <c r="AA8" i="7" s="1"/>
  <c r="Q50" i="7"/>
  <c r="C59" i="7"/>
  <c r="G59" i="7"/>
  <c r="D57" i="7"/>
  <c r="Q44" i="7"/>
  <c r="E55" i="7"/>
  <c r="D62" i="7"/>
  <c r="U5" i="7"/>
  <c r="W5" i="7" s="1"/>
  <c r="Y7" i="7"/>
  <c r="AA7" i="7" s="1"/>
  <c r="Y9" i="7"/>
  <c r="AA9" i="7" s="1"/>
  <c r="AB9" i="7" s="1"/>
  <c r="P52" i="7"/>
  <c r="G55" i="7"/>
  <c r="G62" i="7"/>
  <c r="U4" i="7"/>
  <c r="W4" i="7" s="1"/>
  <c r="Y5" i="7"/>
  <c r="AA5" i="7" s="1"/>
  <c r="Q45" i="7"/>
  <c r="Q51" i="7"/>
  <c r="H55" i="7"/>
  <c r="C55" i="7"/>
  <c r="I4" i="7"/>
  <c r="I16" i="7" s="1"/>
  <c r="AB10" i="7"/>
  <c r="AC10" i="7" s="1"/>
  <c r="W6" i="7"/>
  <c r="F56" i="7"/>
  <c r="I56" i="7"/>
  <c r="E56" i="7"/>
  <c r="F61" i="7"/>
  <c r="I61" i="7"/>
  <c r="E61" i="7"/>
  <c r="C56" i="7"/>
  <c r="C61" i="7"/>
  <c r="O11" i="7"/>
  <c r="Y6" i="7"/>
  <c r="AA6" i="7" s="1"/>
  <c r="F58" i="7"/>
  <c r="I58" i="7"/>
  <c r="E58" i="7"/>
  <c r="R8" i="7"/>
  <c r="W8" i="7" s="1"/>
  <c r="AB8" i="7" s="1"/>
  <c r="S11" i="7"/>
  <c r="F63" i="7"/>
  <c r="I63" i="7"/>
  <c r="E63" i="7"/>
  <c r="H18" i="7"/>
  <c r="G38" i="7"/>
  <c r="D56" i="7"/>
  <c r="D58" i="7"/>
  <c r="D61" i="7"/>
  <c r="D63" i="7"/>
  <c r="Y4" i="7"/>
  <c r="Z15" i="7"/>
  <c r="F57" i="7"/>
  <c r="I57" i="7"/>
  <c r="E57" i="7"/>
  <c r="F60" i="7"/>
  <c r="I60" i="7"/>
  <c r="E60" i="7"/>
  <c r="Z14" i="7"/>
  <c r="AB14" i="7" s="1"/>
  <c r="Q42" i="7"/>
  <c r="O52" i="7"/>
  <c r="G56" i="7"/>
  <c r="G57" i="7"/>
  <c r="G58" i="7"/>
  <c r="G60" i="7"/>
  <c r="G61" i="7"/>
  <c r="G63" i="7"/>
  <c r="G16" i="7"/>
  <c r="H4" i="7"/>
  <c r="U7" i="7"/>
  <c r="W7" i="7" s="1"/>
  <c r="F59" i="7"/>
  <c r="I59" i="7"/>
  <c r="E59" i="7"/>
  <c r="P11" i="7"/>
  <c r="F62" i="7"/>
  <c r="I62" i="7"/>
  <c r="E62" i="7"/>
  <c r="G14" i="7"/>
  <c r="Q46" i="7"/>
  <c r="D55" i="7"/>
  <c r="I55" i="7"/>
  <c r="H56" i="7"/>
  <c r="H57" i="7"/>
  <c r="H58" i="7"/>
  <c r="H59" i="7"/>
  <c r="H60" i="7"/>
  <c r="H61" i="7"/>
  <c r="H62" i="7"/>
  <c r="H63" i="7"/>
  <c r="F58" i="2"/>
  <c r="F57" i="2"/>
  <c r="F56" i="2"/>
  <c r="F52" i="2"/>
  <c r="F50" i="2"/>
  <c r="F49" i="2"/>
  <c r="F48" i="2"/>
  <c r="AB4" i="8" l="1"/>
  <c r="W11" i="8"/>
  <c r="W14" i="8"/>
  <c r="AC14" i="8" s="1"/>
  <c r="AD14" i="8" s="1"/>
  <c r="J66" i="8"/>
  <c r="J64" i="8"/>
  <c r="H22" i="8"/>
  <c r="H38" i="8"/>
  <c r="I24" i="8"/>
  <c r="AB5" i="7"/>
  <c r="J59" i="7"/>
  <c r="H27" i="7" s="1"/>
  <c r="I27" i="7" s="1"/>
  <c r="F68" i="7"/>
  <c r="D68" i="7"/>
  <c r="J55" i="7"/>
  <c r="H23" i="7" s="1"/>
  <c r="I23" i="7" s="1"/>
  <c r="U11" i="7"/>
  <c r="J62" i="7"/>
  <c r="H30" i="7" s="1"/>
  <c r="I30" i="7" s="1"/>
  <c r="J60" i="7"/>
  <c r="H28" i="7" s="1"/>
  <c r="I28" i="7" s="1"/>
  <c r="J57" i="7"/>
  <c r="H25" i="7" s="1"/>
  <c r="I25" i="7" s="1"/>
  <c r="J63" i="7"/>
  <c r="H31" i="7" s="1"/>
  <c r="I31" i="7" s="1"/>
  <c r="H68" i="7"/>
  <c r="AB15" i="7"/>
  <c r="AB7" i="7"/>
  <c r="J58" i="7"/>
  <c r="H26" i="7" s="1"/>
  <c r="I26" i="7" s="1"/>
  <c r="I14" i="7"/>
  <c r="F54" i="7"/>
  <c r="H14" i="7"/>
  <c r="G54" i="7"/>
  <c r="E54" i="7"/>
  <c r="I54" i="7"/>
  <c r="D54" i="7"/>
  <c r="H16" i="7"/>
  <c r="H54" i="7"/>
  <c r="C54" i="7"/>
  <c r="W11" i="7"/>
  <c r="W14" i="7"/>
  <c r="AC14" i="7" s="1"/>
  <c r="AD14" i="7" s="1"/>
  <c r="AD8" i="7"/>
  <c r="AC8" i="7"/>
  <c r="J61" i="7"/>
  <c r="H29" i="7" s="1"/>
  <c r="I29" i="7" s="1"/>
  <c r="J56" i="7"/>
  <c r="C68" i="7"/>
  <c r="W15" i="7"/>
  <c r="AC15" i="7" s="1"/>
  <c r="AD15" i="7" s="1"/>
  <c r="AB6" i="7"/>
  <c r="G22" i="7"/>
  <c r="F36" i="7"/>
  <c r="F34" i="7"/>
  <c r="Q52" i="7"/>
  <c r="E68" i="7"/>
  <c r="R11" i="7"/>
  <c r="G68" i="7"/>
  <c r="Y11" i="7"/>
  <c r="AA4" i="7"/>
  <c r="AA11" i="7" s="1"/>
  <c r="I68" i="7"/>
  <c r="AC5" i="7"/>
  <c r="AD5" i="7"/>
  <c r="F59" i="4"/>
  <c r="F27" i="4"/>
  <c r="F22" i="6"/>
  <c r="G4" i="6"/>
  <c r="I38" i="8" l="1"/>
  <c r="J6" i="8"/>
  <c r="H34" i="8"/>
  <c r="H36" i="8"/>
  <c r="I22" i="8"/>
  <c r="J4" i="8" s="1"/>
  <c r="AB11" i="8"/>
  <c r="AD11" i="8" s="1"/>
  <c r="AD4" i="8"/>
  <c r="AC4" i="8"/>
  <c r="AC11" i="8" s="1"/>
  <c r="R17" i="7"/>
  <c r="G36" i="7"/>
  <c r="G34" i="7"/>
  <c r="J68" i="7"/>
  <c r="H24" i="7"/>
  <c r="H66" i="7"/>
  <c r="H64" i="7"/>
  <c r="E66" i="7"/>
  <c r="E64" i="7"/>
  <c r="AD6" i="7"/>
  <c r="AC6" i="7"/>
  <c r="G66" i="7"/>
  <c r="G64" i="7"/>
  <c r="AB4" i="7"/>
  <c r="D66" i="7"/>
  <c r="D64" i="7"/>
  <c r="J54" i="7"/>
  <c r="C66" i="7"/>
  <c r="C64" i="7"/>
  <c r="I66" i="7"/>
  <c r="I64" i="7"/>
  <c r="F66" i="7"/>
  <c r="F64" i="7"/>
  <c r="D14" i="6"/>
  <c r="D16" i="6"/>
  <c r="D18" i="6"/>
  <c r="I36" i="8" l="1"/>
  <c r="I34" i="8"/>
  <c r="AB11" i="7"/>
  <c r="AD11" i="7" s="1"/>
  <c r="AD4" i="7"/>
  <c r="AC4" i="7"/>
  <c r="AC11" i="7" s="1"/>
  <c r="J66" i="7"/>
  <c r="J64" i="7"/>
  <c r="H22" i="7"/>
  <c r="H38" i="7"/>
  <c r="I24" i="7"/>
  <c r="I38" i="7" s="1"/>
  <c r="G4" i="5"/>
  <c r="H34" i="7" l="1"/>
  <c r="H36" i="7"/>
  <c r="I22" i="7"/>
  <c r="D14" i="5"/>
  <c r="D16" i="5"/>
  <c r="D18" i="5"/>
  <c r="I36" i="7" l="1"/>
  <c r="I34" i="7"/>
  <c r="R17" i="3"/>
  <c r="E22" i="3" l="1"/>
  <c r="F4" i="3" l="1"/>
  <c r="G4" i="3"/>
  <c r="B35" i="4" l="1"/>
  <c r="D50" i="4" l="1"/>
  <c r="E50" i="4" s="1"/>
  <c r="F50" i="4" s="1"/>
  <c r="G50" i="4" s="1"/>
  <c r="H50" i="4" s="1"/>
  <c r="I50" i="4" s="1"/>
  <c r="J50" i="4" s="1"/>
  <c r="K50" i="4" s="1"/>
  <c r="L50" i="4" s="1"/>
  <c r="M50" i="4" s="1"/>
  <c r="O62" i="2" l="1"/>
  <c r="O61" i="2"/>
  <c r="O54" i="2"/>
  <c r="O53" i="2"/>
  <c r="O34" i="2"/>
  <c r="O33" i="2"/>
  <c r="O34" i="4"/>
  <c r="O28" i="2"/>
  <c r="O16" i="2"/>
  <c r="O15" i="2"/>
  <c r="O14" i="2"/>
  <c r="O2" i="4" s="1"/>
  <c r="O10" i="2"/>
  <c r="N62" i="2"/>
  <c r="N61" i="2"/>
  <c r="N54" i="2"/>
  <c r="N53" i="2"/>
  <c r="N34" i="2"/>
  <c r="N33" i="2"/>
  <c r="N32" i="2"/>
  <c r="N34" i="4" s="1"/>
  <c r="N28" i="2"/>
  <c r="N16" i="2"/>
  <c r="N15" i="2"/>
  <c r="N14" i="2"/>
  <c r="N2" i="4" s="1"/>
  <c r="N10" i="2"/>
  <c r="M62" i="2"/>
  <c r="M61" i="2"/>
  <c r="M54" i="2"/>
  <c r="M53" i="2"/>
  <c r="M34" i="2"/>
  <c r="M33" i="2"/>
  <c r="M32" i="2"/>
  <c r="M34" i="4" s="1"/>
  <c r="M28" i="2"/>
  <c r="M16" i="2"/>
  <c r="M15" i="2"/>
  <c r="M14" i="2"/>
  <c r="M2" i="4" s="1"/>
  <c r="M10" i="2"/>
  <c r="L62" i="2"/>
  <c r="L61" i="2"/>
  <c r="L54" i="2"/>
  <c r="L53" i="2"/>
  <c r="L34" i="2"/>
  <c r="L33" i="2"/>
  <c r="L32" i="2"/>
  <c r="L34" i="4" s="1"/>
  <c r="L28" i="2"/>
  <c r="L16" i="2"/>
  <c r="L15" i="2"/>
  <c r="L14" i="2"/>
  <c r="L2" i="4" s="1"/>
  <c r="L10" i="2"/>
  <c r="K62" i="2"/>
  <c r="K61" i="2"/>
  <c r="K54" i="2"/>
  <c r="K53" i="2"/>
  <c r="K34" i="2"/>
  <c r="K33" i="2"/>
  <c r="K32" i="2"/>
  <c r="K34" i="4" s="1"/>
  <c r="K28" i="2"/>
  <c r="K16" i="2"/>
  <c r="K15" i="2"/>
  <c r="K14" i="2"/>
  <c r="K2" i="4" s="1"/>
  <c r="K10" i="2"/>
  <c r="J10" i="2"/>
  <c r="I62" i="2"/>
  <c r="I61" i="2"/>
  <c r="I54" i="2"/>
  <c r="I53" i="2"/>
  <c r="I34" i="2"/>
  <c r="I33" i="2"/>
  <c r="I32" i="2"/>
  <c r="I34" i="4" s="1"/>
  <c r="I28" i="2"/>
  <c r="I16" i="2"/>
  <c r="I15" i="2"/>
  <c r="I14" i="2"/>
  <c r="I2" i="4" s="1"/>
  <c r="I10" i="2"/>
  <c r="H62" i="2"/>
  <c r="H61" i="2"/>
  <c r="H54" i="2"/>
  <c r="H53" i="2"/>
  <c r="H34" i="2"/>
  <c r="H33" i="2"/>
  <c r="H32" i="2"/>
  <c r="H34" i="4" s="1"/>
  <c r="H28" i="2"/>
  <c r="H16" i="2"/>
  <c r="H15" i="2"/>
  <c r="H14" i="2"/>
  <c r="H2" i="4" s="1"/>
  <c r="H10" i="2"/>
  <c r="G62" i="2"/>
  <c r="G61" i="2"/>
  <c r="G54" i="2"/>
  <c r="G53" i="2"/>
  <c r="G34" i="2"/>
  <c r="G33" i="2"/>
  <c r="G32" i="2"/>
  <c r="G34" i="4" s="1"/>
  <c r="G28" i="2"/>
  <c r="G16" i="2"/>
  <c r="G15" i="2"/>
  <c r="G14" i="2"/>
  <c r="G2" i="4" s="1"/>
  <c r="G10" i="2"/>
  <c r="O71" i="2"/>
  <c r="N70" i="2"/>
  <c r="O70" i="2"/>
  <c r="H62" i="10"/>
  <c r="D59" i="10"/>
  <c r="P51" i="10"/>
  <c r="O51" i="10"/>
  <c r="N51" i="10"/>
  <c r="L51" i="10"/>
  <c r="Q50" i="10"/>
  <c r="P50" i="10"/>
  <c r="N50" i="10"/>
  <c r="L50" i="10"/>
  <c r="O50" i="10" s="1"/>
  <c r="N49" i="10"/>
  <c r="P49" i="10" s="1"/>
  <c r="L49" i="10"/>
  <c r="O49" i="10" s="1"/>
  <c r="N48" i="10"/>
  <c r="P48" i="10" s="1"/>
  <c r="L48" i="10"/>
  <c r="O48" i="10" s="1"/>
  <c r="Q48" i="10" s="1"/>
  <c r="N47" i="10"/>
  <c r="P47" i="10" s="1"/>
  <c r="L47" i="10"/>
  <c r="O47" i="10" s="1"/>
  <c r="P46" i="10"/>
  <c r="O46" i="10"/>
  <c r="Q46" i="10" s="1"/>
  <c r="N46" i="10"/>
  <c r="L46" i="10"/>
  <c r="N45" i="10"/>
  <c r="P45" i="10" s="1"/>
  <c r="L45" i="10"/>
  <c r="O45" i="10" s="1"/>
  <c r="N44" i="10"/>
  <c r="P44" i="10" s="1"/>
  <c r="L44" i="10"/>
  <c r="O44" i="10" s="1"/>
  <c r="N43" i="10"/>
  <c r="P43" i="10" s="1"/>
  <c r="L43" i="10"/>
  <c r="O43" i="10" s="1"/>
  <c r="N42" i="10"/>
  <c r="P42" i="10" s="1"/>
  <c r="L42" i="10"/>
  <c r="F38" i="10"/>
  <c r="E38" i="10"/>
  <c r="D38" i="10"/>
  <c r="C38" i="10"/>
  <c r="J34" i="2" s="1"/>
  <c r="E36" i="10"/>
  <c r="D36" i="10"/>
  <c r="C36" i="10"/>
  <c r="J16" i="2" s="1"/>
  <c r="E34" i="10"/>
  <c r="D34" i="10"/>
  <c r="C34" i="10"/>
  <c r="G31" i="10"/>
  <c r="G30" i="10"/>
  <c r="G29" i="10"/>
  <c r="G28" i="10"/>
  <c r="G27" i="10"/>
  <c r="G26" i="10"/>
  <c r="G25" i="10"/>
  <c r="G24" i="10"/>
  <c r="F23" i="10"/>
  <c r="F22" i="10" s="1"/>
  <c r="G18" i="10"/>
  <c r="F18" i="10"/>
  <c r="E18" i="10"/>
  <c r="C18" i="10"/>
  <c r="J28" i="2" s="1"/>
  <c r="F16" i="10"/>
  <c r="E16" i="10"/>
  <c r="C16" i="10"/>
  <c r="F14" i="10"/>
  <c r="E14" i="10"/>
  <c r="C14" i="10"/>
  <c r="I13" i="10"/>
  <c r="H13" i="10"/>
  <c r="G63" i="10" s="1"/>
  <c r="I12" i="10"/>
  <c r="H12" i="10"/>
  <c r="E62" i="10" s="1"/>
  <c r="N11" i="10"/>
  <c r="I11" i="10"/>
  <c r="H11" i="10"/>
  <c r="G61" i="10" s="1"/>
  <c r="AA10" i="10"/>
  <c r="Z10" i="10"/>
  <c r="Y10" i="10"/>
  <c r="W10" i="10"/>
  <c r="AB10" i="10" s="1"/>
  <c r="AC10" i="10" s="1"/>
  <c r="U10" i="10"/>
  <c r="T10" i="10"/>
  <c r="R10" i="10"/>
  <c r="I10" i="10"/>
  <c r="H10" i="10"/>
  <c r="H60" i="10" s="1"/>
  <c r="Z9" i="10"/>
  <c r="T9" i="10"/>
  <c r="S9" i="10"/>
  <c r="U9" i="10" s="1"/>
  <c r="P9" i="10"/>
  <c r="R9" i="10" s="1"/>
  <c r="O9" i="10"/>
  <c r="I9" i="10"/>
  <c r="H9" i="10"/>
  <c r="G59" i="10" s="1"/>
  <c r="Z8" i="10"/>
  <c r="T8" i="10"/>
  <c r="S8" i="10"/>
  <c r="U8" i="10" s="1"/>
  <c r="P8" i="10"/>
  <c r="R8" i="10" s="1"/>
  <c r="W8" i="10" s="1"/>
  <c r="O8" i="10"/>
  <c r="I8" i="10"/>
  <c r="H8" i="10"/>
  <c r="Z7" i="10"/>
  <c r="T7" i="10"/>
  <c r="S7" i="10"/>
  <c r="P7" i="10"/>
  <c r="R7" i="10" s="1"/>
  <c r="O7" i="10"/>
  <c r="I7" i="10"/>
  <c r="H7" i="10"/>
  <c r="G57" i="10" s="1"/>
  <c r="Z6" i="10"/>
  <c r="T6" i="10"/>
  <c r="S6" i="10"/>
  <c r="P6" i="10"/>
  <c r="R6" i="10" s="1"/>
  <c r="O6" i="10"/>
  <c r="I6" i="10"/>
  <c r="H6" i="10"/>
  <c r="E56" i="10" s="1"/>
  <c r="Z5" i="10"/>
  <c r="T5" i="10"/>
  <c r="S5" i="10"/>
  <c r="U5" i="10" s="1"/>
  <c r="P5" i="10"/>
  <c r="R5" i="10" s="1"/>
  <c r="W5" i="10" s="1"/>
  <c r="O5" i="10"/>
  <c r="I5" i="10"/>
  <c r="H5" i="10"/>
  <c r="Z4" i="10"/>
  <c r="T4" i="10"/>
  <c r="S4" i="10"/>
  <c r="S11" i="10" s="1"/>
  <c r="O4" i="10"/>
  <c r="I4" i="10"/>
  <c r="AC2" i="10"/>
  <c r="Z2" i="10"/>
  <c r="Y2" i="10"/>
  <c r="W2" i="10"/>
  <c r="U2" i="10"/>
  <c r="S2" i="10"/>
  <c r="P2" i="10"/>
  <c r="O2" i="10"/>
  <c r="N2" i="10"/>
  <c r="E63" i="6"/>
  <c r="C58" i="6"/>
  <c r="P51" i="6"/>
  <c r="N51" i="6"/>
  <c r="L51" i="6"/>
  <c r="O51" i="6" s="1"/>
  <c r="N50" i="6"/>
  <c r="P50" i="6" s="1"/>
  <c r="L50" i="6"/>
  <c r="O50" i="6" s="1"/>
  <c r="N49" i="6"/>
  <c r="P49" i="6" s="1"/>
  <c r="L49" i="6"/>
  <c r="O49" i="6" s="1"/>
  <c r="Q49" i="6" s="1"/>
  <c r="O48" i="6"/>
  <c r="N48" i="6"/>
  <c r="P48" i="6" s="1"/>
  <c r="L48" i="6"/>
  <c r="P47" i="6"/>
  <c r="O47" i="6"/>
  <c r="N47" i="6"/>
  <c r="L47" i="6"/>
  <c r="N46" i="6"/>
  <c r="P46" i="6" s="1"/>
  <c r="L46" i="6"/>
  <c r="O46" i="6" s="1"/>
  <c r="O45" i="6"/>
  <c r="Q45" i="6" s="1"/>
  <c r="N45" i="6"/>
  <c r="P45" i="6" s="1"/>
  <c r="L45" i="6"/>
  <c r="O44" i="6"/>
  <c r="N44" i="6"/>
  <c r="P44" i="6" s="1"/>
  <c r="L44" i="6"/>
  <c r="P43" i="6"/>
  <c r="O43" i="6"/>
  <c r="N43" i="6"/>
  <c r="L43" i="6"/>
  <c r="P42" i="6"/>
  <c r="N42" i="6"/>
  <c r="L42" i="6"/>
  <c r="F38" i="6"/>
  <c r="E38" i="6"/>
  <c r="D38" i="6"/>
  <c r="C38" i="6"/>
  <c r="F34" i="2" s="1"/>
  <c r="E36" i="6"/>
  <c r="D36" i="6"/>
  <c r="C36" i="6"/>
  <c r="F16" i="2" s="1"/>
  <c r="E34" i="6"/>
  <c r="D34" i="6"/>
  <c r="C34" i="6"/>
  <c r="G31" i="6"/>
  <c r="G30" i="6"/>
  <c r="G29" i="6"/>
  <c r="G28" i="6"/>
  <c r="G27" i="6"/>
  <c r="G26" i="6"/>
  <c r="G25" i="6"/>
  <c r="G24" i="6"/>
  <c r="F23" i="6"/>
  <c r="G23" i="6" s="1"/>
  <c r="G18" i="6"/>
  <c r="F18" i="6"/>
  <c r="E18" i="6"/>
  <c r="C18" i="6"/>
  <c r="F28" i="2" s="1"/>
  <c r="F16" i="6"/>
  <c r="E16" i="6"/>
  <c r="C16" i="6"/>
  <c r="F10" i="2" s="1"/>
  <c r="F14" i="6"/>
  <c r="E14" i="6"/>
  <c r="C14" i="6"/>
  <c r="I13" i="6"/>
  <c r="H13" i="6"/>
  <c r="I12" i="6"/>
  <c r="H12" i="6"/>
  <c r="F62" i="6" s="1"/>
  <c r="N11" i="6"/>
  <c r="I11" i="6"/>
  <c r="H11" i="6"/>
  <c r="F61" i="6" s="1"/>
  <c r="Z10" i="6"/>
  <c r="Y10" i="6"/>
  <c r="AA10" i="6" s="1"/>
  <c r="W10" i="6"/>
  <c r="AB10" i="6" s="1"/>
  <c r="AC10" i="6" s="1"/>
  <c r="T10" i="6"/>
  <c r="U10" i="6" s="1"/>
  <c r="R10" i="6"/>
  <c r="I10" i="6"/>
  <c r="H10" i="6"/>
  <c r="H60" i="6" s="1"/>
  <c r="Z9" i="6"/>
  <c r="T9" i="6"/>
  <c r="U9" i="6" s="1"/>
  <c r="S9" i="6"/>
  <c r="P9" i="6"/>
  <c r="R9" i="6" s="1"/>
  <c r="O9" i="6"/>
  <c r="I9" i="6"/>
  <c r="H9" i="6"/>
  <c r="Z8" i="6"/>
  <c r="T8" i="6"/>
  <c r="S8" i="6"/>
  <c r="U8" i="6" s="1"/>
  <c r="P8" i="6"/>
  <c r="R8" i="6" s="1"/>
  <c r="O8" i="6"/>
  <c r="I8" i="6"/>
  <c r="H8" i="6"/>
  <c r="H58" i="6" s="1"/>
  <c r="Z7" i="6"/>
  <c r="T7" i="6"/>
  <c r="S7" i="6"/>
  <c r="P7" i="6"/>
  <c r="R7" i="6" s="1"/>
  <c r="O7" i="6"/>
  <c r="I7" i="6"/>
  <c r="H7" i="6"/>
  <c r="F57" i="6" s="1"/>
  <c r="Z6" i="6"/>
  <c r="T6" i="6"/>
  <c r="S6" i="6"/>
  <c r="U6" i="6" s="1"/>
  <c r="P6" i="6"/>
  <c r="R6" i="6" s="1"/>
  <c r="O6" i="6"/>
  <c r="Y6" i="6" s="1"/>
  <c r="AA6" i="6" s="1"/>
  <c r="I6" i="6"/>
  <c r="H6" i="6"/>
  <c r="H56" i="6" s="1"/>
  <c r="Z5" i="6"/>
  <c r="T5" i="6"/>
  <c r="S5" i="6"/>
  <c r="U5" i="6" s="1"/>
  <c r="R5" i="6"/>
  <c r="W5" i="6" s="1"/>
  <c r="P5" i="6"/>
  <c r="O5" i="6"/>
  <c r="Y5" i="6" s="1"/>
  <c r="AA5" i="6" s="1"/>
  <c r="I5" i="6"/>
  <c r="H5" i="6"/>
  <c r="F55" i="6" s="1"/>
  <c r="Z4" i="6"/>
  <c r="T4" i="6"/>
  <c r="S4" i="6"/>
  <c r="S11" i="6" s="1"/>
  <c r="O4" i="6"/>
  <c r="O11" i="6" s="1"/>
  <c r="I4" i="6"/>
  <c r="AC2" i="6"/>
  <c r="Z2" i="6"/>
  <c r="Y2" i="6"/>
  <c r="W2" i="6"/>
  <c r="U2" i="6"/>
  <c r="S2" i="6"/>
  <c r="P2" i="6"/>
  <c r="O2" i="6"/>
  <c r="N2" i="6"/>
  <c r="C60" i="5"/>
  <c r="G59" i="5"/>
  <c r="O51" i="5"/>
  <c r="N51" i="5"/>
  <c r="P51" i="5" s="1"/>
  <c r="L51" i="5"/>
  <c r="P50" i="5"/>
  <c r="O50" i="5"/>
  <c r="Q50" i="5" s="1"/>
  <c r="N50" i="5"/>
  <c r="L50" i="5"/>
  <c r="P49" i="5"/>
  <c r="N49" i="5"/>
  <c r="L49" i="5"/>
  <c r="O49" i="5" s="1"/>
  <c r="Q49" i="5" s="1"/>
  <c r="N48" i="5"/>
  <c r="P48" i="5" s="1"/>
  <c r="Q48" i="5" s="1"/>
  <c r="L48" i="5"/>
  <c r="O48" i="5" s="1"/>
  <c r="N47" i="5"/>
  <c r="P47" i="5" s="1"/>
  <c r="L47" i="5"/>
  <c r="O47" i="5" s="1"/>
  <c r="Q47" i="5" s="1"/>
  <c r="P46" i="5"/>
  <c r="O46" i="5"/>
  <c r="N46" i="5"/>
  <c r="L46" i="5"/>
  <c r="P45" i="5"/>
  <c r="N45" i="5"/>
  <c r="L45" i="5"/>
  <c r="O45" i="5" s="1"/>
  <c r="Q45" i="5" s="1"/>
  <c r="N44" i="5"/>
  <c r="P44" i="5" s="1"/>
  <c r="L44" i="5"/>
  <c r="O44" i="5" s="1"/>
  <c r="N43" i="5"/>
  <c r="P43" i="5" s="1"/>
  <c r="L43" i="5"/>
  <c r="O43" i="5" s="1"/>
  <c r="Q43" i="5" s="1"/>
  <c r="O42" i="5"/>
  <c r="N42" i="5"/>
  <c r="P42" i="5" s="1"/>
  <c r="L42" i="5"/>
  <c r="F38" i="5"/>
  <c r="E38" i="5"/>
  <c r="D38" i="5"/>
  <c r="C38" i="5"/>
  <c r="E34" i="2" s="1"/>
  <c r="E36" i="5"/>
  <c r="D36" i="5"/>
  <c r="C36" i="5"/>
  <c r="E16" i="2" s="1"/>
  <c r="E34" i="5"/>
  <c r="D34" i="5"/>
  <c r="C34" i="5"/>
  <c r="G31" i="5"/>
  <c r="G30" i="5"/>
  <c r="G29" i="5"/>
  <c r="G28" i="5"/>
  <c r="G27" i="5"/>
  <c r="G26" i="5"/>
  <c r="G25" i="5"/>
  <c r="G24" i="5"/>
  <c r="F23" i="5"/>
  <c r="F22" i="5" s="1"/>
  <c r="G18" i="5"/>
  <c r="F18" i="5"/>
  <c r="E18" i="5"/>
  <c r="C18" i="5"/>
  <c r="E28" i="2" s="1"/>
  <c r="F16" i="5"/>
  <c r="E16" i="5"/>
  <c r="C16" i="5"/>
  <c r="E10" i="2" s="1"/>
  <c r="G14" i="5"/>
  <c r="F14" i="5"/>
  <c r="E14" i="5"/>
  <c r="C14" i="5"/>
  <c r="I13" i="5"/>
  <c r="H13" i="5"/>
  <c r="C63" i="5" s="1"/>
  <c r="I12" i="5"/>
  <c r="H12" i="5"/>
  <c r="C62" i="5" s="1"/>
  <c r="N11" i="5"/>
  <c r="I11" i="5"/>
  <c r="H11" i="5"/>
  <c r="Z10" i="5"/>
  <c r="AA10" i="5" s="1"/>
  <c r="Y10" i="5"/>
  <c r="T10" i="5"/>
  <c r="U10" i="5" s="1"/>
  <c r="W10" i="5" s="1"/>
  <c r="R10" i="5"/>
  <c r="I10" i="5"/>
  <c r="H10" i="5"/>
  <c r="D60" i="5" s="1"/>
  <c r="Z9" i="5"/>
  <c r="T9" i="5"/>
  <c r="S9" i="5"/>
  <c r="U9" i="5" s="1"/>
  <c r="P9" i="5"/>
  <c r="R9" i="5" s="1"/>
  <c r="O9" i="5"/>
  <c r="Y9" i="5" s="1"/>
  <c r="AA9" i="5" s="1"/>
  <c r="I9" i="5"/>
  <c r="H9" i="5"/>
  <c r="D59" i="5" s="1"/>
  <c r="Z8" i="5"/>
  <c r="U8" i="5"/>
  <c r="T8" i="5"/>
  <c r="S8" i="5"/>
  <c r="P8" i="5"/>
  <c r="O8" i="5"/>
  <c r="I8" i="5"/>
  <c r="H8" i="5"/>
  <c r="C58" i="5" s="1"/>
  <c r="Z7" i="5"/>
  <c r="T7" i="5"/>
  <c r="S7" i="5"/>
  <c r="P7" i="5"/>
  <c r="R7" i="5" s="1"/>
  <c r="O7" i="5"/>
  <c r="Y7" i="5" s="1"/>
  <c r="AA7" i="5" s="1"/>
  <c r="I7" i="5"/>
  <c r="H7" i="5"/>
  <c r="C57" i="5" s="1"/>
  <c r="Z6" i="5"/>
  <c r="T6" i="5"/>
  <c r="S6" i="5"/>
  <c r="U6" i="5" s="1"/>
  <c r="P6" i="5"/>
  <c r="R6" i="5" s="1"/>
  <c r="O6" i="5"/>
  <c r="I6" i="5"/>
  <c r="I18" i="5" s="1"/>
  <c r="E32" i="2" s="1"/>
  <c r="E34" i="4" s="1"/>
  <c r="H6" i="5"/>
  <c r="Z5" i="5"/>
  <c r="T5" i="5"/>
  <c r="U5" i="5" s="1"/>
  <c r="S5" i="5"/>
  <c r="P5" i="5"/>
  <c r="R5" i="5" s="1"/>
  <c r="O5" i="5"/>
  <c r="I5" i="5"/>
  <c r="H5" i="5"/>
  <c r="F55" i="5" s="1"/>
  <c r="Z4" i="5"/>
  <c r="T4" i="5"/>
  <c r="S4" i="5"/>
  <c r="P4" i="5"/>
  <c r="R4" i="5" s="1"/>
  <c r="O4" i="5"/>
  <c r="I4" i="5"/>
  <c r="H4" i="5"/>
  <c r="F54" i="5" s="1"/>
  <c r="AC2" i="5"/>
  <c r="Z2" i="5"/>
  <c r="Y2" i="5"/>
  <c r="W2" i="5"/>
  <c r="U2" i="5"/>
  <c r="S2" i="5"/>
  <c r="P2" i="5"/>
  <c r="O2" i="5"/>
  <c r="N2" i="5"/>
  <c r="F61" i="10" l="1"/>
  <c r="H61" i="10"/>
  <c r="I59" i="10"/>
  <c r="Z15" i="10"/>
  <c r="E57" i="10"/>
  <c r="I14" i="10"/>
  <c r="G14" i="10"/>
  <c r="O42" i="10"/>
  <c r="Q42" i="10" s="1"/>
  <c r="H4" i="10"/>
  <c r="C54" i="10" s="1"/>
  <c r="G16" i="10"/>
  <c r="P4" i="10"/>
  <c r="H63" i="10"/>
  <c r="D56" i="10"/>
  <c r="F57" i="10"/>
  <c r="E59" i="10"/>
  <c r="D63" i="10"/>
  <c r="I63" i="10"/>
  <c r="U4" i="10"/>
  <c r="I18" i="10"/>
  <c r="J32" i="2" s="1"/>
  <c r="J34" i="4" s="1"/>
  <c r="U7" i="10"/>
  <c r="H57" i="10"/>
  <c r="F59" i="10"/>
  <c r="D61" i="10"/>
  <c r="I61" i="10"/>
  <c r="E63" i="10"/>
  <c r="Y5" i="10"/>
  <c r="AA5" i="10" s="1"/>
  <c r="AB5" i="10" s="1"/>
  <c r="Y6" i="10"/>
  <c r="AA6" i="10" s="1"/>
  <c r="Y7" i="10"/>
  <c r="AA7" i="10" s="1"/>
  <c r="Y8" i="10"/>
  <c r="AA8" i="10" s="1"/>
  <c r="AB8" i="10" s="1"/>
  <c r="Y9" i="10"/>
  <c r="AA9" i="10" s="1"/>
  <c r="I16" i="10"/>
  <c r="J14" i="2" s="1"/>
  <c r="J2" i="4" s="1"/>
  <c r="D57" i="10"/>
  <c r="I57" i="10"/>
  <c r="H59" i="10"/>
  <c r="E61" i="10"/>
  <c r="F63" i="10"/>
  <c r="Q45" i="10"/>
  <c r="F58" i="6"/>
  <c r="H68" i="6"/>
  <c r="Y9" i="6"/>
  <c r="AA9" i="6" s="1"/>
  <c r="I58" i="6"/>
  <c r="G38" i="6"/>
  <c r="AB5" i="6"/>
  <c r="AC5" i="6" s="1"/>
  <c r="P52" i="6"/>
  <c r="Q51" i="6"/>
  <c r="I55" i="6"/>
  <c r="G56" i="6"/>
  <c r="E60" i="6"/>
  <c r="I18" i="6"/>
  <c r="F32" i="2" s="1"/>
  <c r="F34" i="4" s="1"/>
  <c r="Y7" i="6"/>
  <c r="AA7" i="6" s="1"/>
  <c r="U7" i="6"/>
  <c r="Y8" i="6"/>
  <c r="AA8" i="6" s="1"/>
  <c r="C56" i="6"/>
  <c r="C68" i="6" s="1"/>
  <c r="I56" i="6"/>
  <c r="G58" i="6"/>
  <c r="F60" i="6"/>
  <c r="U4" i="6"/>
  <c r="U11" i="6" s="1"/>
  <c r="E56" i="6"/>
  <c r="G60" i="6"/>
  <c r="Q43" i="6"/>
  <c r="Q47" i="6"/>
  <c r="F56" i="6"/>
  <c r="F68" i="6" s="1"/>
  <c r="E58" i="6"/>
  <c r="C60" i="6"/>
  <c r="I60" i="6"/>
  <c r="G62" i="5"/>
  <c r="D62" i="5"/>
  <c r="W9" i="5"/>
  <c r="AB9" i="5" s="1"/>
  <c r="D57" i="5"/>
  <c r="Y5" i="5"/>
  <c r="AA5" i="5" s="1"/>
  <c r="E55" i="5"/>
  <c r="H55" i="5"/>
  <c r="G55" i="5"/>
  <c r="Y8" i="5"/>
  <c r="AA8" i="5" s="1"/>
  <c r="G23" i="5"/>
  <c r="G22" i="5"/>
  <c r="E54" i="5"/>
  <c r="Q51" i="5"/>
  <c r="H54" i="5"/>
  <c r="H16" i="5"/>
  <c r="C54" i="5"/>
  <c r="I54" i="5"/>
  <c r="C59" i="5"/>
  <c r="P52" i="5"/>
  <c r="Q44" i="5"/>
  <c r="D54" i="5"/>
  <c r="C55" i="5"/>
  <c r="U4" i="5"/>
  <c r="G55" i="10"/>
  <c r="C55" i="10"/>
  <c r="F55" i="10"/>
  <c r="I55" i="10"/>
  <c r="H55" i="10"/>
  <c r="E55" i="10"/>
  <c r="G58" i="10"/>
  <c r="C58" i="10"/>
  <c r="F58" i="10"/>
  <c r="H58" i="10"/>
  <c r="E58" i="10"/>
  <c r="E68" i="10" s="1"/>
  <c r="D58" i="10"/>
  <c r="O52" i="10"/>
  <c r="E54" i="10"/>
  <c r="G60" i="10"/>
  <c r="C60" i="10"/>
  <c r="F60" i="10"/>
  <c r="E60" i="10"/>
  <c r="D60" i="10"/>
  <c r="I60" i="10"/>
  <c r="G23" i="10"/>
  <c r="P52" i="10"/>
  <c r="Y4" i="10"/>
  <c r="O11" i="10"/>
  <c r="Z14" i="10"/>
  <c r="AB14" i="10" s="1"/>
  <c r="G38" i="10"/>
  <c r="D55" i="10"/>
  <c r="I58" i="10"/>
  <c r="W9" i="10"/>
  <c r="Q44" i="10"/>
  <c r="Q49" i="10"/>
  <c r="Q43" i="10"/>
  <c r="P11" i="10"/>
  <c r="G56" i="10"/>
  <c r="C56" i="10"/>
  <c r="H18" i="10"/>
  <c r="F56" i="10"/>
  <c r="F68" i="10" s="1"/>
  <c r="W7" i="10"/>
  <c r="G62" i="10"/>
  <c r="C62" i="10"/>
  <c r="F62" i="10"/>
  <c r="Q47" i="10"/>
  <c r="H56" i="10"/>
  <c r="I62" i="10"/>
  <c r="R4" i="10"/>
  <c r="U6" i="10"/>
  <c r="W6" i="10" s="1"/>
  <c r="Q51" i="10"/>
  <c r="I56" i="10"/>
  <c r="I68" i="10" s="1"/>
  <c r="D62" i="10"/>
  <c r="C57" i="10"/>
  <c r="J57" i="10" s="1"/>
  <c r="H25" i="10" s="1"/>
  <c r="I25" i="10" s="1"/>
  <c r="C59" i="10"/>
  <c r="C61" i="10"/>
  <c r="C63" i="10"/>
  <c r="AD5" i="6"/>
  <c r="I14" i="6"/>
  <c r="I16" i="6"/>
  <c r="F14" i="2" s="1"/>
  <c r="F2" i="4" s="1"/>
  <c r="W9" i="6"/>
  <c r="Q50" i="6"/>
  <c r="W7" i="6"/>
  <c r="AB7" i="6" s="1"/>
  <c r="Q46" i="6"/>
  <c r="H4" i="6"/>
  <c r="Z15" i="6"/>
  <c r="E62" i="6"/>
  <c r="H63" i="6"/>
  <c r="D63" i="6"/>
  <c r="G63" i="6"/>
  <c r="C63" i="6"/>
  <c r="O42" i="6"/>
  <c r="Q48" i="6"/>
  <c r="F63" i="6"/>
  <c r="G16" i="6"/>
  <c r="G14" i="6"/>
  <c r="P4" i="6"/>
  <c r="Z14" i="6" s="1"/>
  <c r="AB14" i="6" s="1"/>
  <c r="H57" i="6"/>
  <c r="D57" i="6"/>
  <c r="G57" i="6"/>
  <c r="C57" i="6"/>
  <c r="H59" i="6"/>
  <c r="D59" i="6"/>
  <c r="G59" i="6"/>
  <c r="C59" i="6"/>
  <c r="H62" i="6"/>
  <c r="D62" i="6"/>
  <c r="G62" i="6"/>
  <c r="C62" i="6"/>
  <c r="F59" i="6"/>
  <c r="H61" i="6"/>
  <c r="D61" i="6"/>
  <c r="G61" i="6"/>
  <c r="C61" i="6"/>
  <c r="H18" i="6"/>
  <c r="Q44" i="6"/>
  <c r="E57" i="6"/>
  <c r="I59" i="6"/>
  <c r="E61" i="6"/>
  <c r="H55" i="6"/>
  <c r="D55" i="6"/>
  <c r="G55" i="6"/>
  <c r="C55" i="6"/>
  <c r="W6" i="6"/>
  <c r="W8" i="6"/>
  <c r="AB8" i="6" s="1"/>
  <c r="E55" i="6"/>
  <c r="I57" i="6"/>
  <c r="E59" i="6"/>
  <c r="I61" i="6"/>
  <c r="I62" i="6"/>
  <c r="I63" i="6"/>
  <c r="D56" i="6"/>
  <c r="D58" i="6"/>
  <c r="D60" i="6"/>
  <c r="J60" i="6" s="1"/>
  <c r="H28" i="6" s="1"/>
  <c r="I28" i="6" s="1"/>
  <c r="AB10" i="5"/>
  <c r="AC10" i="5" s="1"/>
  <c r="W5" i="5"/>
  <c r="AB5" i="5" s="1"/>
  <c r="W6" i="5"/>
  <c r="I16" i="5"/>
  <c r="E14" i="2" s="1"/>
  <c r="E2" i="4" s="1"/>
  <c r="I14" i="5"/>
  <c r="F56" i="5"/>
  <c r="I56" i="5"/>
  <c r="E56" i="5"/>
  <c r="F61" i="5"/>
  <c r="I61" i="5"/>
  <c r="E61" i="5"/>
  <c r="C56" i="5"/>
  <c r="C61" i="5"/>
  <c r="O11" i="5"/>
  <c r="Y6" i="5"/>
  <c r="AA6" i="5" s="1"/>
  <c r="F58" i="5"/>
  <c r="I58" i="5"/>
  <c r="E58" i="5"/>
  <c r="R8" i="5"/>
  <c r="W8" i="5" s="1"/>
  <c r="AB8" i="5" s="1"/>
  <c r="S11" i="5"/>
  <c r="F63" i="5"/>
  <c r="I63" i="5"/>
  <c r="E63" i="5"/>
  <c r="Z14" i="5"/>
  <c r="AB14" i="5" s="1"/>
  <c r="Z15" i="5"/>
  <c r="AB15" i="5" s="1"/>
  <c r="H18" i="5"/>
  <c r="G38" i="5"/>
  <c r="D56" i="5"/>
  <c r="D58" i="5"/>
  <c r="D61" i="5"/>
  <c r="D63" i="5"/>
  <c r="W4" i="5"/>
  <c r="Y4" i="5"/>
  <c r="F57" i="5"/>
  <c r="I57" i="5"/>
  <c r="E57" i="5"/>
  <c r="F60" i="5"/>
  <c r="I60" i="5"/>
  <c r="E60" i="5"/>
  <c r="Q42" i="5"/>
  <c r="O52" i="5"/>
  <c r="G56" i="5"/>
  <c r="G57" i="5"/>
  <c r="G58" i="5"/>
  <c r="G60" i="5"/>
  <c r="G61" i="5"/>
  <c r="G63" i="5"/>
  <c r="F66" i="5"/>
  <c r="U7" i="5"/>
  <c r="W7" i="5" s="1"/>
  <c r="AB7" i="5" s="1"/>
  <c r="F59" i="5"/>
  <c r="I59" i="5"/>
  <c r="E59" i="5"/>
  <c r="P11" i="5"/>
  <c r="F62" i="5"/>
  <c r="I62" i="5"/>
  <c r="E62" i="5"/>
  <c r="H14" i="5"/>
  <c r="G16" i="5"/>
  <c r="Q46" i="5"/>
  <c r="G54" i="5"/>
  <c r="D55" i="5"/>
  <c r="I55" i="5"/>
  <c r="H56" i="5"/>
  <c r="H57" i="5"/>
  <c r="H58" i="5"/>
  <c r="H59" i="5"/>
  <c r="H60" i="5"/>
  <c r="H61" i="5"/>
  <c r="H62" i="5"/>
  <c r="H63" i="5"/>
  <c r="N39" i="4"/>
  <c r="O39" i="4" s="1"/>
  <c r="O37" i="4"/>
  <c r="F17" i="4"/>
  <c r="G17" i="4"/>
  <c r="H17" i="4"/>
  <c r="K17" i="4"/>
  <c r="N7" i="4"/>
  <c r="O7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Y10" i="4" s="1"/>
  <c r="A43" i="4"/>
  <c r="AW63" i="4"/>
  <c r="AV63" i="4"/>
  <c r="AU63" i="4"/>
  <c r="AT63" i="4"/>
  <c r="AS63" i="4"/>
  <c r="AR63" i="4"/>
  <c r="AQ63" i="4"/>
  <c r="AP63" i="4"/>
  <c r="AO63" i="4"/>
  <c r="AN63" i="4"/>
  <c r="AM63" i="4"/>
  <c r="AL63" i="4"/>
  <c r="AK63" i="4"/>
  <c r="AJ63" i="4"/>
  <c r="AI63" i="4"/>
  <c r="AH63" i="4"/>
  <c r="AG63" i="4"/>
  <c r="AF63" i="4"/>
  <c r="AE63" i="4"/>
  <c r="AD63" i="4"/>
  <c r="AC63" i="4"/>
  <c r="AB63" i="4"/>
  <c r="AA63" i="4"/>
  <c r="J56" i="4"/>
  <c r="G56" i="4"/>
  <c r="D56" i="4"/>
  <c r="AM55" i="4"/>
  <c r="AL55" i="4"/>
  <c r="AC55" i="4"/>
  <c r="Z55" i="4"/>
  <c r="N55" i="4"/>
  <c r="AN54" i="4"/>
  <c r="AM54" i="4"/>
  <c r="AC54" i="4"/>
  <c r="AD54" i="4" s="1"/>
  <c r="AD55" i="4" s="1"/>
  <c r="AA54" i="4"/>
  <c r="AB54" i="4" s="1"/>
  <c r="AB55" i="4" s="1"/>
  <c r="D54" i="4"/>
  <c r="D55" i="4" s="1"/>
  <c r="Y39" i="4"/>
  <c r="Z39" i="4" s="1"/>
  <c r="E36" i="4"/>
  <c r="F36" i="4" s="1"/>
  <c r="G36" i="4" s="1"/>
  <c r="H36" i="4" s="1"/>
  <c r="I36" i="4" s="1"/>
  <c r="J36" i="4" s="1"/>
  <c r="K36" i="4" s="1"/>
  <c r="L36" i="4" s="1"/>
  <c r="M36" i="4" s="1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K24" i="4"/>
  <c r="K56" i="4" s="1"/>
  <c r="H24" i="4"/>
  <c r="E24" i="4"/>
  <c r="E56" i="4" s="1"/>
  <c r="C23" i="4"/>
  <c r="AQ22" i="4"/>
  <c r="AR22" i="4" s="1"/>
  <c r="AS22" i="4" s="1"/>
  <c r="AT22" i="4" s="1"/>
  <c r="AU22" i="4" s="1"/>
  <c r="AV22" i="4" s="1"/>
  <c r="AW22" i="4" s="1"/>
  <c r="AM22" i="4"/>
  <c r="AN22" i="4" s="1"/>
  <c r="AO22" i="4" s="1"/>
  <c r="AP22" i="4" s="1"/>
  <c r="AB22" i="4"/>
  <c r="AC22" i="4" s="1"/>
  <c r="AD22" i="4" s="1"/>
  <c r="AE22" i="4" s="1"/>
  <c r="AF22" i="4" s="1"/>
  <c r="AG22" i="4" s="1"/>
  <c r="AH22" i="4" s="1"/>
  <c r="AI22" i="4" s="1"/>
  <c r="AJ22" i="4" s="1"/>
  <c r="AK22" i="4" s="1"/>
  <c r="AA22" i="4"/>
  <c r="Q22" i="4"/>
  <c r="R22" i="4" s="1"/>
  <c r="S22" i="4" s="1"/>
  <c r="T22" i="4" s="1"/>
  <c r="U22" i="4" s="1"/>
  <c r="V22" i="4" s="1"/>
  <c r="W22" i="4" s="1"/>
  <c r="X22" i="4" s="1"/>
  <c r="Y22" i="4" s="1"/>
  <c r="O22" i="4"/>
  <c r="P22" i="4" s="1"/>
  <c r="D22" i="4"/>
  <c r="E22" i="4" s="1"/>
  <c r="D16" i="4"/>
  <c r="Y7" i="4"/>
  <c r="Z7" i="4" s="1"/>
  <c r="AA5" i="4"/>
  <c r="AA37" i="4" s="1"/>
  <c r="E4" i="4"/>
  <c r="F4" i="4" s="1"/>
  <c r="G4" i="4" s="1"/>
  <c r="H4" i="4" s="1"/>
  <c r="I4" i="4" s="1"/>
  <c r="J4" i="4" s="1"/>
  <c r="K4" i="4" s="1"/>
  <c r="L4" i="4" s="1"/>
  <c r="M4" i="4" s="1"/>
  <c r="AK39" i="4" l="1"/>
  <c r="AL39" i="4" s="1"/>
  <c r="AB9" i="10"/>
  <c r="H16" i="10"/>
  <c r="I54" i="10"/>
  <c r="G54" i="10"/>
  <c r="G64" i="10" s="1"/>
  <c r="AB7" i="10"/>
  <c r="H14" i="10"/>
  <c r="F54" i="10"/>
  <c r="D54" i="10"/>
  <c r="H54" i="10"/>
  <c r="H66" i="10" s="1"/>
  <c r="AD5" i="10"/>
  <c r="AC5" i="10"/>
  <c r="AC8" i="10"/>
  <c r="AD8" i="10"/>
  <c r="J63" i="10"/>
  <c r="H31" i="10" s="1"/>
  <c r="I31" i="10" s="1"/>
  <c r="J61" i="10"/>
  <c r="H29" i="10" s="1"/>
  <c r="I29" i="10" s="1"/>
  <c r="D68" i="10"/>
  <c r="AB15" i="10"/>
  <c r="J59" i="10"/>
  <c r="H27" i="10" s="1"/>
  <c r="I27" i="10" s="1"/>
  <c r="H68" i="10"/>
  <c r="J58" i="6"/>
  <c r="H26" i="6" s="1"/>
  <c r="I26" i="6" s="1"/>
  <c r="AB9" i="6"/>
  <c r="E68" i="6"/>
  <c r="I68" i="6"/>
  <c r="J62" i="6"/>
  <c r="H30" i="6" s="1"/>
  <c r="I30" i="6" s="1"/>
  <c r="AB15" i="6"/>
  <c r="G68" i="6"/>
  <c r="J59" i="5"/>
  <c r="H27" i="5" s="1"/>
  <c r="I27" i="5" s="1"/>
  <c r="E66" i="5"/>
  <c r="H68" i="5"/>
  <c r="I68" i="5"/>
  <c r="H66" i="5"/>
  <c r="I64" i="5"/>
  <c r="F68" i="5"/>
  <c r="R11" i="5"/>
  <c r="R17" i="5" s="1"/>
  <c r="I66" i="5"/>
  <c r="C66" i="5"/>
  <c r="H64" i="5"/>
  <c r="J57" i="5"/>
  <c r="H25" i="5" s="1"/>
  <c r="I25" i="5" s="1"/>
  <c r="J60" i="5"/>
  <c r="H28" i="5" s="1"/>
  <c r="I28" i="5" s="1"/>
  <c r="J58" i="5"/>
  <c r="H26" i="5" s="1"/>
  <c r="I26" i="5" s="1"/>
  <c r="J55" i="5"/>
  <c r="H23" i="5" s="1"/>
  <c r="I23" i="5" s="1"/>
  <c r="E64" i="5"/>
  <c r="D66" i="5"/>
  <c r="J62" i="5"/>
  <c r="H30" i="5" s="1"/>
  <c r="I30" i="5" s="1"/>
  <c r="G68" i="5"/>
  <c r="J63" i="5"/>
  <c r="H31" i="5" s="1"/>
  <c r="I31" i="5" s="1"/>
  <c r="AK7" i="4"/>
  <c r="AL7" i="4" s="1"/>
  <c r="W15" i="10"/>
  <c r="AB6" i="10"/>
  <c r="C68" i="10"/>
  <c r="J56" i="10"/>
  <c r="D66" i="10"/>
  <c r="D64" i="10"/>
  <c r="J60" i="10"/>
  <c r="H28" i="10" s="1"/>
  <c r="I28" i="10" s="1"/>
  <c r="C66" i="10"/>
  <c r="C64" i="10"/>
  <c r="Q52" i="10"/>
  <c r="R11" i="10"/>
  <c r="W4" i="10"/>
  <c r="G68" i="10"/>
  <c r="G66" i="10"/>
  <c r="J58" i="10"/>
  <c r="H26" i="10" s="1"/>
  <c r="I26" i="10" s="1"/>
  <c r="F36" i="10"/>
  <c r="F34" i="10"/>
  <c r="G22" i="10"/>
  <c r="E66" i="10"/>
  <c r="E64" i="10"/>
  <c r="I66" i="10"/>
  <c r="I64" i="10"/>
  <c r="J62" i="10"/>
  <c r="H30" i="10" s="1"/>
  <c r="I30" i="10" s="1"/>
  <c r="Y11" i="10"/>
  <c r="AA4" i="10"/>
  <c r="AA11" i="10" s="1"/>
  <c r="I23" i="10"/>
  <c r="F66" i="10"/>
  <c r="F64" i="10"/>
  <c r="J55" i="10"/>
  <c r="H23" i="10" s="1"/>
  <c r="U11" i="10"/>
  <c r="W15" i="6"/>
  <c r="AB6" i="6"/>
  <c r="J57" i="6"/>
  <c r="H25" i="6" s="1"/>
  <c r="I25" i="6" s="1"/>
  <c r="O52" i="6"/>
  <c r="Q42" i="6"/>
  <c r="Q52" i="6" s="1"/>
  <c r="D68" i="6"/>
  <c r="J56" i="6"/>
  <c r="J59" i="6"/>
  <c r="H27" i="6" s="1"/>
  <c r="I27" i="6" s="1"/>
  <c r="P11" i="6"/>
  <c r="R4" i="6"/>
  <c r="Y4" i="6"/>
  <c r="F34" i="6"/>
  <c r="G22" i="6"/>
  <c r="F36" i="6"/>
  <c r="J55" i="6"/>
  <c r="H23" i="6" s="1"/>
  <c r="I23" i="6" s="1"/>
  <c r="J63" i="6"/>
  <c r="H31" i="6" s="1"/>
  <c r="I31" i="6" s="1"/>
  <c r="AD8" i="6"/>
  <c r="AC8" i="6"/>
  <c r="J61" i="6"/>
  <c r="H29" i="6" s="1"/>
  <c r="I29" i="6" s="1"/>
  <c r="H54" i="6"/>
  <c r="D54" i="6"/>
  <c r="G54" i="6"/>
  <c r="C54" i="6"/>
  <c r="E54" i="6"/>
  <c r="H16" i="6"/>
  <c r="H14" i="6"/>
  <c r="I54" i="6"/>
  <c r="F54" i="6"/>
  <c r="G66" i="5"/>
  <c r="G64" i="5"/>
  <c r="Y11" i="5"/>
  <c r="AA4" i="5"/>
  <c r="AA11" i="5" s="1"/>
  <c r="J61" i="5"/>
  <c r="H29" i="5" s="1"/>
  <c r="I29" i="5" s="1"/>
  <c r="W15" i="5"/>
  <c r="AB6" i="5"/>
  <c r="U11" i="5"/>
  <c r="F64" i="5"/>
  <c r="Q52" i="5"/>
  <c r="W11" i="5"/>
  <c r="W14" i="5"/>
  <c r="C64" i="5"/>
  <c r="J56" i="5"/>
  <c r="C68" i="5"/>
  <c r="F36" i="5"/>
  <c r="F34" i="5"/>
  <c r="D64" i="5"/>
  <c r="D68" i="5"/>
  <c r="AD8" i="5"/>
  <c r="AC8" i="5"/>
  <c r="J54" i="5"/>
  <c r="H22" i="5" s="1"/>
  <c r="I22" i="5" s="1"/>
  <c r="E68" i="5"/>
  <c r="AC5" i="5"/>
  <c r="AD5" i="5"/>
  <c r="E16" i="4"/>
  <c r="D48" i="4"/>
  <c r="E48" i="4" s="1"/>
  <c r="O54" i="4"/>
  <c r="P54" i="4" s="1"/>
  <c r="Q54" i="4" s="1"/>
  <c r="AM5" i="4"/>
  <c r="AM37" i="4" s="1"/>
  <c r="N42" i="4"/>
  <c r="O42" i="4" s="1"/>
  <c r="P42" i="4" s="1"/>
  <c r="Q42" i="4" s="1"/>
  <c r="R42" i="4" s="1"/>
  <c r="S42" i="4" s="1"/>
  <c r="T42" i="4" s="1"/>
  <c r="U42" i="4" s="1"/>
  <c r="V42" i="4" s="1"/>
  <c r="W42" i="4" s="1"/>
  <c r="X42" i="4" s="1"/>
  <c r="Y42" i="4" s="1"/>
  <c r="F22" i="4"/>
  <c r="E23" i="4"/>
  <c r="D23" i="4"/>
  <c r="H56" i="4"/>
  <c r="I24" i="4"/>
  <c r="I56" i="4" s="1"/>
  <c r="AO54" i="4"/>
  <c r="AN55" i="4"/>
  <c r="F24" i="4"/>
  <c r="F56" i="4" s="1"/>
  <c r="L24" i="4"/>
  <c r="C55" i="4"/>
  <c r="E54" i="4"/>
  <c r="AE54" i="4"/>
  <c r="AA55" i="4"/>
  <c r="J54" i="10" l="1"/>
  <c r="H64" i="10"/>
  <c r="L56" i="4"/>
  <c r="AC15" i="10"/>
  <c r="AD15" i="10" s="1"/>
  <c r="J62" i="2"/>
  <c r="J61" i="2"/>
  <c r="AC15" i="6"/>
  <c r="AD15" i="6" s="1"/>
  <c r="F62" i="2"/>
  <c r="F61" i="2"/>
  <c r="AC15" i="5"/>
  <c r="AD15" i="5" s="1"/>
  <c r="E62" i="2"/>
  <c r="E61" i="2"/>
  <c r="AC14" i="5"/>
  <c r="AD14" i="5" s="1"/>
  <c r="E54" i="2"/>
  <c r="E53" i="2"/>
  <c r="H22" i="10"/>
  <c r="I22" i="10" s="1"/>
  <c r="J66" i="10"/>
  <c r="J64" i="10"/>
  <c r="J68" i="10"/>
  <c r="H24" i="10"/>
  <c r="W14" i="10"/>
  <c r="W11" i="10"/>
  <c r="AB4" i="10"/>
  <c r="G34" i="10"/>
  <c r="G36" i="10"/>
  <c r="AD6" i="10"/>
  <c r="AC6" i="10"/>
  <c r="D66" i="6"/>
  <c r="D64" i="6"/>
  <c r="G36" i="6"/>
  <c r="G34" i="6"/>
  <c r="E66" i="6"/>
  <c r="E64" i="6"/>
  <c r="H66" i="6"/>
  <c r="H64" i="6"/>
  <c r="I66" i="6"/>
  <c r="I64" i="6"/>
  <c r="C66" i="6"/>
  <c r="C64" i="6"/>
  <c r="J54" i="6"/>
  <c r="Y11" i="6"/>
  <c r="AA4" i="6"/>
  <c r="AA11" i="6" s="1"/>
  <c r="H24" i="6"/>
  <c r="J68" i="6"/>
  <c r="F66" i="6"/>
  <c r="F64" i="6"/>
  <c r="G66" i="6"/>
  <c r="G64" i="6"/>
  <c r="R11" i="6"/>
  <c r="R17" i="6" s="1"/>
  <c r="W4" i="6"/>
  <c r="AD6" i="6"/>
  <c r="AC6" i="6"/>
  <c r="J66" i="5"/>
  <c r="J64" i="5"/>
  <c r="J68" i="5"/>
  <c r="H24" i="5"/>
  <c r="AB4" i="5"/>
  <c r="AD6" i="5"/>
  <c r="AC6" i="5"/>
  <c r="G36" i="5"/>
  <c r="G34" i="5"/>
  <c r="O55" i="4"/>
  <c r="P55" i="4"/>
  <c r="F48" i="4"/>
  <c r="G22" i="4"/>
  <c r="F23" i="4"/>
  <c r="AO55" i="4"/>
  <c r="AP54" i="4"/>
  <c r="Q55" i="4"/>
  <c r="R54" i="4"/>
  <c r="AF54" i="4"/>
  <c r="AE55" i="4"/>
  <c r="F54" i="4"/>
  <c r="E55" i="4"/>
  <c r="F16" i="4"/>
  <c r="G16" i="4" s="1"/>
  <c r="H16" i="4" l="1"/>
  <c r="M56" i="4"/>
  <c r="N24" i="4"/>
  <c r="AC14" i="10"/>
  <c r="AD14" i="10" s="1"/>
  <c r="J54" i="2"/>
  <c r="J53" i="2"/>
  <c r="AC4" i="10"/>
  <c r="AC11" i="10" s="1"/>
  <c r="AD4" i="10"/>
  <c r="AB11" i="10"/>
  <c r="AD11" i="10" s="1"/>
  <c r="I36" i="10"/>
  <c r="J15" i="2" s="1"/>
  <c r="H38" i="10"/>
  <c r="I24" i="10"/>
  <c r="I38" i="10" s="1"/>
  <c r="J33" i="2" s="1"/>
  <c r="H36" i="10"/>
  <c r="H34" i="10"/>
  <c r="H38" i="6"/>
  <c r="I24" i="6"/>
  <c r="I38" i="6" s="1"/>
  <c r="F33" i="2" s="1"/>
  <c r="W14" i="6"/>
  <c r="AB4" i="6"/>
  <c r="W11" i="6"/>
  <c r="J66" i="6"/>
  <c r="J64" i="6"/>
  <c r="H22" i="6"/>
  <c r="I36" i="5"/>
  <c r="E15" i="2" s="1"/>
  <c r="H34" i="5"/>
  <c r="H36" i="5"/>
  <c r="AB11" i="5"/>
  <c r="AD11" i="5" s="1"/>
  <c r="AD4" i="5"/>
  <c r="AC4" i="5"/>
  <c r="AC11" i="5" s="1"/>
  <c r="H38" i="5"/>
  <c r="I24" i="5"/>
  <c r="I38" i="5" s="1"/>
  <c r="E33" i="2" s="1"/>
  <c r="G48" i="4"/>
  <c r="AF55" i="4"/>
  <c r="AG54" i="4"/>
  <c r="F55" i="4"/>
  <c r="G54" i="4"/>
  <c r="R55" i="4"/>
  <c r="S54" i="4"/>
  <c r="AP55" i="4"/>
  <c r="AQ54" i="4"/>
  <c r="G23" i="4"/>
  <c r="H22" i="4"/>
  <c r="I16" i="4" s="1"/>
  <c r="N56" i="4" l="1"/>
  <c r="O24" i="4"/>
  <c r="I34" i="10"/>
  <c r="AC14" i="6"/>
  <c r="AD14" i="6" s="1"/>
  <c r="F54" i="2"/>
  <c r="F53" i="2"/>
  <c r="I34" i="5"/>
  <c r="H36" i="6"/>
  <c r="H34" i="6"/>
  <c r="I22" i="6"/>
  <c r="AD4" i="6"/>
  <c r="AB11" i="6"/>
  <c r="AD11" i="6" s="1"/>
  <c r="AC4" i="6"/>
  <c r="AC11" i="6" s="1"/>
  <c r="H54" i="4"/>
  <c r="G55" i="4"/>
  <c r="H48" i="4"/>
  <c r="AR54" i="4"/>
  <c r="AQ55" i="4"/>
  <c r="AH54" i="4"/>
  <c r="AG55" i="4"/>
  <c r="S55" i="4"/>
  <c r="T54" i="4"/>
  <c r="I22" i="4"/>
  <c r="H23" i="4"/>
  <c r="P24" i="4" l="1"/>
  <c r="O56" i="4"/>
  <c r="I36" i="6"/>
  <c r="F15" i="2" s="1"/>
  <c r="I34" i="6"/>
  <c r="H55" i="4"/>
  <c r="I54" i="4"/>
  <c r="AH55" i="4"/>
  <c r="AI54" i="4"/>
  <c r="AS54" i="4"/>
  <c r="AR55" i="4"/>
  <c r="T55" i="4"/>
  <c r="U54" i="4"/>
  <c r="J22" i="4"/>
  <c r="I23" i="4"/>
  <c r="J16" i="4"/>
  <c r="I48" i="4"/>
  <c r="J48" i="4" s="1"/>
  <c r="P15" i="4" l="1"/>
  <c r="P56" i="4"/>
  <c r="P47" i="4" s="1"/>
  <c r="Q24" i="4"/>
  <c r="K16" i="4"/>
  <c r="AJ54" i="4"/>
  <c r="AI55" i="4"/>
  <c r="K22" i="4"/>
  <c r="J23" i="4"/>
  <c r="U55" i="4"/>
  <c r="V54" i="4"/>
  <c r="AT54" i="4"/>
  <c r="AS55" i="4"/>
  <c r="J54" i="4"/>
  <c r="I55" i="4"/>
  <c r="Q56" i="4" l="1"/>
  <c r="Q47" i="4" s="1"/>
  <c r="R24" i="4"/>
  <c r="Q15" i="4"/>
  <c r="R15" i="4" s="1"/>
  <c r="L16" i="4"/>
  <c r="J55" i="4"/>
  <c r="K54" i="4"/>
  <c r="K23" i="4"/>
  <c r="L22" i="4"/>
  <c r="V55" i="4"/>
  <c r="W54" i="4"/>
  <c r="K48" i="4"/>
  <c r="AT55" i="4"/>
  <c r="AU54" i="4"/>
  <c r="AJ55" i="4"/>
  <c r="AK54" i="4"/>
  <c r="AK55" i="4" s="1"/>
  <c r="S24" i="4" l="1"/>
  <c r="R56" i="4"/>
  <c r="R47" i="4" s="1"/>
  <c r="L48" i="4"/>
  <c r="M16" i="4"/>
  <c r="AU55" i="4"/>
  <c r="AV54" i="4"/>
  <c r="M22" i="4"/>
  <c r="M23" i="4" s="1"/>
  <c r="L23" i="4"/>
  <c r="W55" i="4"/>
  <c r="X54" i="4"/>
  <c r="L54" i="4"/>
  <c r="K55" i="4"/>
  <c r="S56" i="4" l="1"/>
  <c r="S47" i="4" s="1"/>
  <c r="T24" i="4"/>
  <c r="S15" i="4"/>
  <c r="T15" i="4" s="1"/>
  <c r="M48" i="4"/>
  <c r="L55" i="4"/>
  <c r="M54" i="4"/>
  <c r="M55" i="4" s="1"/>
  <c r="X55" i="4"/>
  <c r="Y54" i="4"/>
  <c r="Y55" i="4" s="1"/>
  <c r="AW54" i="4"/>
  <c r="AW55" i="4" s="1"/>
  <c r="AV55" i="4"/>
  <c r="T56" i="4" l="1"/>
  <c r="T47" i="4" s="1"/>
  <c r="U24" i="4"/>
  <c r="U56" i="4" l="1"/>
  <c r="U47" i="4" s="1"/>
  <c r="V24" i="4"/>
  <c r="U15" i="4"/>
  <c r="V15" i="4" s="1"/>
  <c r="W24" i="4" l="1"/>
  <c r="V56" i="4"/>
  <c r="V47" i="4" s="1"/>
  <c r="X24" i="4" l="1"/>
  <c r="W56" i="4"/>
  <c r="W47" i="4" s="1"/>
  <c r="W15" i="4"/>
  <c r="X15" i="4" s="1"/>
  <c r="Y24" i="4" l="1"/>
  <c r="X56" i="4"/>
  <c r="X47" i="4" s="1"/>
  <c r="Y56" i="4" l="1"/>
  <c r="Y47" i="4" s="1"/>
  <c r="Z24" i="4"/>
  <c r="Y15" i="4"/>
  <c r="Z15" i="4" s="1"/>
  <c r="Z56" i="4" l="1"/>
  <c r="Z47" i="4" s="1"/>
  <c r="AA24" i="4"/>
  <c r="AA56" i="4" l="1"/>
  <c r="AA47" i="4" s="1"/>
  <c r="AB24" i="4"/>
  <c r="AA15" i="4"/>
  <c r="AB16" i="4" s="1"/>
  <c r="AB56" i="4" l="1"/>
  <c r="AB47" i="4" s="1"/>
  <c r="AC24" i="4"/>
  <c r="AB15" i="4"/>
  <c r="AC15" i="4" s="1"/>
  <c r="AD24" i="4" l="1"/>
  <c r="AC56" i="4"/>
  <c r="AC47" i="4"/>
  <c r="AB48" i="4"/>
  <c r="AC16" i="4"/>
  <c r="AD16" i="4" s="1"/>
  <c r="AD56" i="4" l="1"/>
  <c r="AD47" i="4" s="1"/>
  <c r="AE24" i="4"/>
  <c r="AC48" i="4"/>
  <c r="AD48" i="4" s="1"/>
  <c r="AD15" i="4"/>
  <c r="AF24" i="4" l="1"/>
  <c r="AE56" i="4"/>
  <c r="AE47" i="4" s="1"/>
  <c r="AE15" i="4"/>
  <c r="AF15" i="4" s="1"/>
  <c r="AE16" i="4"/>
  <c r="AF56" i="4" l="1"/>
  <c r="AF47" i="4" s="1"/>
  <c r="AG24" i="4"/>
  <c r="AF16" i="4"/>
  <c r="AG16" i="4" s="1"/>
  <c r="AE48" i="4"/>
  <c r="AG56" i="4" l="1"/>
  <c r="AG47" i="4" s="1"/>
  <c r="AH24" i="4"/>
  <c r="AF48" i="4"/>
  <c r="AG48" i="4" s="1"/>
  <c r="AG15" i="4"/>
  <c r="AH56" i="4" l="1"/>
  <c r="AH47" i="4" s="1"/>
  <c r="AI24" i="4"/>
  <c r="AH15" i="4"/>
  <c r="AH16" i="4"/>
  <c r="AI15" i="4" l="1"/>
  <c r="AI16" i="4"/>
  <c r="AI56" i="4"/>
  <c r="AJ24" i="4"/>
  <c r="AH48" i="4"/>
  <c r="AI48" i="4" l="1"/>
  <c r="AK24" i="4"/>
  <c r="AJ56" i="4"/>
  <c r="AJ48" i="4" s="1"/>
  <c r="AJ16" i="4"/>
  <c r="AK16" i="4" s="1"/>
  <c r="AI47" i="4"/>
  <c r="AJ47" i="4" s="1"/>
  <c r="AJ15" i="4"/>
  <c r="AK15" i="4" s="1"/>
  <c r="AK56" i="4" l="1"/>
  <c r="AK48" i="4" s="1"/>
  <c r="AL24" i="4"/>
  <c r="AM24" i="4" l="1"/>
  <c r="AL56" i="4"/>
  <c r="AL15" i="4"/>
  <c r="AM15" i="4" s="1"/>
  <c r="AK47" i="4"/>
  <c r="AL47" i="4" s="1"/>
  <c r="AN24" i="4" l="1"/>
  <c r="AM56" i="4"/>
  <c r="AM47" i="4" s="1"/>
  <c r="AN56" i="4" l="1"/>
  <c r="AN47" i="4" s="1"/>
  <c r="AO24" i="4"/>
  <c r="AN15" i="4"/>
  <c r="AN16" i="4"/>
  <c r="AO15" i="4" l="1"/>
  <c r="AO56" i="4"/>
  <c r="AO47" i="4" s="1"/>
  <c r="AP24" i="4"/>
  <c r="AO16" i="4"/>
  <c r="AP16" i="4" s="1"/>
  <c r="AN48" i="4"/>
  <c r="AP56" i="4" l="1"/>
  <c r="AP47" i="4" s="1"/>
  <c r="AQ24" i="4"/>
  <c r="AO48" i="4"/>
  <c r="AP48" i="4" s="1"/>
  <c r="AP15" i="4"/>
  <c r="AR24" i="4" l="1"/>
  <c r="AQ56" i="4"/>
  <c r="AQ48" i="4" s="1"/>
  <c r="AQ47" i="4"/>
  <c r="AQ15" i="4"/>
  <c r="AQ16" i="4"/>
  <c r="AR16" i="4" s="1"/>
  <c r="AS24" i="4" l="1"/>
  <c r="AR56" i="4"/>
  <c r="AR48" i="4" s="1"/>
  <c r="AR15" i="4"/>
  <c r="AR47" i="4" l="1"/>
  <c r="AT24" i="4"/>
  <c r="AS56" i="4"/>
  <c r="AS48" i="4" s="1"/>
  <c r="AS16" i="4"/>
  <c r="AS15" i="4"/>
  <c r="AT16" i="4" l="1"/>
  <c r="AT15" i="4"/>
  <c r="AS47" i="4"/>
  <c r="AU24" i="4"/>
  <c r="AT56" i="4"/>
  <c r="AT48" i="4" s="1"/>
  <c r="AT47" i="4" l="1"/>
  <c r="AU56" i="4"/>
  <c r="AU48" i="4" s="1"/>
  <c r="AV24" i="4"/>
  <c r="AU16" i="4"/>
  <c r="AV16" i="4" s="1"/>
  <c r="AU15" i="4"/>
  <c r="AU47" i="4" l="1"/>
  <c r="AV47" i="4" s="1"/>
  <c r="AW47" i="4" s="1"/>
  <c r="AW24" i="4"/>
  <c r="AW56" i="4" s="1"/>
  <c r="AV56" i="4"/>
  <c r="AV48" i="4" s="1"/>
  <c r="AW48" i="4" s="1"/>
  <c r="AV15" i="4"/>
  <c r="D75" i="2"/>
  <c r="I30" i="2"/>
  <c r="G12" i="2"/>
  <c r="K12" i="2"/>
  <c r="O12" i="2"/>
  <c r="F23" i="3"/>
  <c r="F22" i="3" s="1"/>
  <c r="P43" i="3"/>
  <c r="P44" i="3"/>
  <c r="P45" i="3"/>
  <c r="P46" i="3"/>
  <c r="P47" i="3"/>
  <c r="P48" i="3"/>
  <c r="P49" i="3"/>
  <c r="P50" i="3"/>
  <c r="P51" i="3"/>
  <c r="P42" i="3"/>
  <c r="N43" i="3"/>
  <c r="N44" i="3"/>
  <c r="N45" i="3"/>
  <c r="N46" i="3"/>
  <c r="N47" i="3"/>
  <c r="N48" i="3"/>
  <c r="N49" i="3"/>
  <c r="N50" i="3"/>
  <c r="N51" i="3"/>
  <c r="N42" i="3"/>
  <c r="L42" i="3"/>
  <c r="I63" i="3"/>
  <c r="O51" i="3"/>
  <c r="L51" i="3"/>
  <c r="O50" i="3"/>
  <c r="L50" i="3"/>
  <c r="O49" i="3"/>
  <c r="Q49" i="3" s="1"/>
  <c r="L49" i="3"/>
  <c r="O48" i="3"/>
  <c r="L48" i="3"/>
  <c r="O47" i="3"/>
  <c r="L47" i="3"/>
  <c r="O46" i="3"/>
  <c r="L46" i="3"/>
  <c r="O45" i="3"/>
  <c r="Q45" i="3" s="1"/>
  <c r="L45" i="3"/>
  <c r="O44" i="3"/>
  <c r="L44" i="3"/>
  <c r="O43" i="3"/>
  <c r="L43" i="3"/>
  <c r="F38" i="3"/>
  <c r="E38" i="3"/>
  <c r="D38" i="3"/>
  <c r="C38" i="3"/>
  <c r="E36" i="3"/>
  <c r="D36" i="3"/>
  <c r="C36" i="3"/>
  <c r="E34" i="3"/>
  <c r="D34" i="3"/>
  <c r="C34" i="3"/>
  <c r="G31" i="3"/>
  <c r="G30" i="3"/>
  <c r="G29" i="3"/>
  <c r="G28" i="3"/>
  <c r="G27" i="3"/>
  <c r="G26" i="3"/>
  <c r="G25" i="3"/>
  <c r="G24" i="3"/>
  <c r="G18" i="3"/>
  <c r="F18" i="3"/>
  <c r="E18" i="3"/>
  <c r="C18" i="3"/>
  <c r="F30" i="2" s="1"/>
  <c r="F16" i="3"/>
  <c r="E16" i="3"/>
  <c r="C16" i="3"/>
  <c r="D10" i="2" s="1"/>
  <c r="G14" i="3"/>
  <c r="F14" i="3"/>
  <c r="E14" i="3"/>
  <c r="C14" i="3"/>
  <c r="I13" i="3"/>
  <c r="H13" i="3"/>
  <c r="I12" i="3"/>
  <c r="H12" i="3"/>
  <c r="I62" i="3" s="1"/>
  <c r="N11" i="3"/>
  <c r="I11" i="3"/>
  <c r="H11" i="3"/>
  <c r="Z10" i="3"/>
  <c r="AA10" i="3" s="1"/>
  <c r="Y10" i="3"/>
  <c r="T10" i="3"/>
  <c r="U10" i="3" s="1"/>
  <c r="W10" i="3" s="1"/>
  <c r="AB10" i="3" s="1"/>
  <c r="AC10" i="3" s="1"/>
  <c r="R10" i="3"/>
  <c r="I10" i="3"/>
  <c r="H10" i="3"/>
  <c r="G60" i="3" s="1"/>
  <c r="Z9" i="3"/>
  <c r="T9" i="3"/>
  <c r="U9" i="3" s="1"/>
  <c r="S9" i="3"/>
  <c r="R9" i="3"/>
  <c r="P9" i="3"/>
  <c r="O9" i="3"/>
  <c r="Y9" i="3" s="1"/>
  <c r="AA9" i="3" s="1"/>
  <c r="I9" i="3"/>
  <c r="H9" i="3"/>
  <c r="I59" i="3" s="1"/>
  <c r="Z8" i="3"/>
  <c r="T8" i="3"/>
  <c r="S8" i="3"/>
  <c r="U8" i="3" s="1"/>
  <c r="P8" i="3"/>
  <c r="O8" i="3"/>
  <c r="I8" i="3"/>
  <c r="H8" i="3"/>
  <c r="H58" i="3" s="1"/>
  <c r="Z7" i="3"/>
  <c r="T7" i="3"/>
  <c r="U7" i="3" s="1"/>
  <c r="S7" i="3"/>
  <c r="R7" i="3"/>
  <c r="P7" i="3"/>
  <c r="O7" i="3"/>
  <c r="Y7" i="3" s="1"/>
  <c r="AA7" i="3" s="1"/>
  <c r="I7" i="3"/>
  <c r="H7" i="3"/>
  <c r="I57" i="3" s="1"/>
  <c r="Z6" i="3"/>
  <c r="T6" i="3"/>
  <c r="S6" i="3"/>
  <c r="U6" i="3" s="1"/>
  <c r="R6" i="3"/>
  <c r="P6" i="3"/>
  <c r="O6" i="3"/>
  <c r="I6" i="3"/>
  <c r="I18" i="3" s="1"/>
  <c r="H6" i="3"/>
  <c r="H56" i="3" s="1"/>
  <c r="H68" i="3" s="1"/>
  <c r="Z5" i="3"/>
  <c r="T5" i="3"/>
  <c r="S5" i="3"/>
  <c r="P5" i="3"/>
  <c r="R5" i="3" s="1"/>
  <c r="O5" i="3"/>
  <c r="I5" i="3"/>
  <c r="H5" i="3"/>
  <c r="I55" i="3" s="1"/>
  <c r="Z4" i="3"/>
  <c r="U4" i="3"/>
  <c r="T4" i="3"/>
  <c r="S4" i="3"/>
  <c r="P4" i="3"/>
  <c r="R4" i="3" s="1"/>
  <c r="O4" i="3"/>
  <c r="I4" i="3"/>
  <c r="H4" i="3"/>
  <c r="I54" i="3" s="1"/>
  <c r="AC2" i="3"/>
  <c r="Z2" i="3"/>
  <c r="Y2" i="3"/>
  <c r="W2" i="3"/>
  <c r="U2" i="3"/>
  <c r="S2" i="3"/>
  <c r="P2" i="3"/>
  <c r="O2" i="3"/>
  <c r="N2" i="3"/>
  <c r="E29" i="2"/>
  <c r="F29" i="2"/>
  <c r="G29" i="2"/>
  <c r="H29" i="2"/>
  <c r="I29" i="2"/>
  <c r="J29" i="2"/>
  <c r="K29" i="2"/>
  <c r="L29" i="2"/>
  <c r="M29" i="2"/>
  <c r="N29" i="2"/>
  <c r="O29" i="2"/>
  <c r="D29" i="2"/>
  <c r="E11" i="2"/>
  <c r="F11" i="2"/>
  <c r="G11" i="2"/>
  <c r="H11" i="2"/>
  <c r="I11" i="2"/>
  <c r="J11" i="2"/>
  <c r="K11" i="2"/>
  <c r="L11" i="2"/>
  <c r="M11" i="2"/>
  <c r="N11" i="2"/>
  <c r="O11" i="2"/>
  <c r="D11" i="2"/>
  <c r="O72" i="2"/>
  <c r="O66" i="2" s="1"/>
  <c r="D46" i="2"/>
  <c r="C44" i="2"/>
  <c r="C42" i="2"/>
  <c r="D39" i="2"/>
  <c r="C37" i="2"/>
  <c r="C35" i="2"/>
  <c r="C30" i="2"/>
  <c r="M30" i="2"/>
  <c r="C24" i="2"/>
  <c r="E39" i="2"/>
  <c r="C17" i="2"/>
  <c r="A11" i="2"/>
  <c r="C12" i="2" s="1"/>
  <c r="F6" i="2"/>
  <c r="F46" i="2" s="1"/>
  <c r="E6" i="2"/>
  <c r="E46" i="2" s="1"/>
  <c r="AW15" i="4" l="1"/>
  <c r="AW16" i="4"/>
  <c r="U5" i="3"/>
  <c r="W5" i="3" s="1"/>
  <c r="D28" i="2"/>
  <c r="G38" i="3"/>
  <c r="G23" i="3"/>
  <c r="D16" i="2"/>
  <c r="P16" i="2" s="1"/>
  <c r="D34" i="2"/>
  <c r="P34" i="2" s="1"/>
  <c r="I66" i="3"/>
  <c r="F56" i="3"/>
  <c r="F58" i="3"/>
  <c r="E60" i="3"/>
  <c r="E55" i="3"/>
  <c r="I56" i="3"/>
  <c r="I58" i="3"/>
  <c r="H60" i="3"/>
  <c r="W7" i="3"/>
  <c r="AB7" i="3" s="1"/>
  <c r="W9" i="3"/>
  <c r="AB9" i="3" s="1"/>
  <c r="E59" i="3"/>
  <c r="I60" i="3"/>
  <c r="E56" i="3"/>
  <c r="E58" i="3"/>
  <c r="D60" i="3"/>
  <c r="E62" i="3"/>
  <c r="Y8" i="3"/>
  <c r="AA8" i="3" s="1"/>
  <c r="H16" i="3"/>
  <c r="E54" i="3"/>
  <c r="C56" i="3"/>
  <c r="G56" i="3"/>
  <c r="C58" i="3"/>
  <c r="G58" i="3"/>
  <c r="F60" i="3"/>
  <c r="P52" i="3"/>
  <c r="H18" i="3"/>
  <c r="D56" i="3"/>
  <c r="D58" i="3"/>
  <c r="C60" i="3"/>
  <c r="N12" i="2"/>
  <c r="D32" i="2"/>
  <c r="D34" i="4" s="1"/>
  <c r="N30" i="2"/>
  <c r="J30" i="2"/>
  <c r="Q44" i="3"/>
  <c r="Q48" i="3"/>
  <c r="Q43" i="3"/>
  <c r="Q47" i="3"/>
  <c r="Q51" i="3"/>
  <c r="I16" i="3"/>
  <c r="I14" i="3"/>
  <c r="W6" i="3"/>
  <c r="H61" i="3"/>
  <c r="D61" i="3"/>
  <c r="G61" i="3"/>
  <c r="C61" i="3"/>
  <c r="I61" i="3"/>
  <c r="O11" i="3"/>
  <c r="Y5" i="3"/>
  <c r="AA5" i="3" s="1"/>
  <c r="Y6" i="3"/>
  <c r="AA6" i="3" s="1"/>
  <c r="R8" i="3"/>
  <c r="W8" i="3" s="1"/>
  <c r="S11" i="3"/>
  <c r="H63" i="3"/>
  <c r="D63" i="3"/>
  <c r="G63" i="3"/>
  <c r="C63" i="3"/>
  <c r="Z14" i="3"/>
  <c r="AB14" i="3" s="1"/>
  <c r="Z15" i="3"/>
  <c r="AB15" i="3" s="1"/>
  <c r="W4" i="3"/>
  <c r="Y4" i="3"/>
  <c r="H57" i="3"/>
  <c r="D57" i="3"/>
  <c r="G57" i="3"/>
  <c r="C57" i="3"/>
  <c r="E57" i="3"/>
  <c r="E61" i="3"/>
  <c r="E63" i="3"/>
  <c r="H54" i="3"/>
  <c r="D54" i="3"/>
  <c r="G54" i="3"/>
  <c r="C54" i="3"/>
  <c r="H55" i="3"/>
  <c r="D55" i="3"/>
  <c r="G55" i="3"/>
  <c r="C55" i="3"/>
  <c r="H59" i="3"/>
  <c r="D59" i="3"/>
  <c r="G59" i="3"/>
  <c r="C59" i="3"/>
  <c r="P11" i="3"/>
  <c r="H62" i="3"/>
  <c r="D62" i="3"/>
  <c r="G62" i="3"/>
  <c r="C62" i="3"/>
  <c r="H14" i="3"/>
  <c r="G16" i="3"/>
  <c r="O42" i="3"/>
  <c r="Q46" i="3"/>
  <c r="Q50" i="3"/>
  <c r="F54" i="3"/>
  <c r="F55" i="3"/>
  <c r="F57" i="3"/>
  <c r="F59" i="3"/>
  <c r="F61" i="3"/>
  <c r="F62" i="3"/>
  <c r="F63" i="3"/>
  <c r="G30" i="2"/>
  <c r="K30" i="2"/>
  <c r="O30" i="2"/>
  <c r="F39" i="2"/>
  <c r="P11" i="2"/>
  <c r="L12" i="2"/>
  <c r="A12" i="2"/>
  <c r="C19" i="2" s="1"/>
  <c r="D30" i="2"/>
  <c r="H30" i="2"/>
  <c r="L30" i="2"/>
  <c r="F12" i="2"/>
  <c r="J12" i="2"/>
  <c r="P28" i="2"/>
  <c r="E30" i="2"/>
  <c r="G6" i="2"/>
  <c r="D12" i="2"/>
  <c r="H12" i="2"/>
  <c r="P29" i="2"/>
  <c r="E12" i="2"/>
  <c r="I12" i="2"/>
  <c r="M12" i="2"/>
  <c r="U11" i="3" l="1"/>
  <c r="E66" i="3"/>
  <c r="G68" i="3"/>
  <c r="J58" i="3"/>
  <c r="H26" i="3" s="1"/>
  <c r="I26" i="3" s="1"/>
  <c r="I64" i="3"/>
  <c r="I68" i="3"/>
  <c r="F68" i="3"/>
  <c r="AB8" i="3"/>
  <c r="AC8" i="3" s="1"/>
  <c r="P32" i="2"/>
  <c r="J56" i="3"/>
  <c r="H24" i="3" s="1"/>
  <c r="C68" i="3"/>
  <c r="R11" i="3"/>
  <c r="E68" i="3"/>
  <c r="E64" i="3"/>
  <c r="J60" i="3"/>
  <c r="H28" i="3" s="1"/>
  <c r="I28" i="3" s="1"/>
  <c r="P10" i="2"/>
  <c r="D14" i="2"/>
  <c r="D2" i="4" s="1"/>
  <c r="D68" i="3"/>
  <c r="G66" i="3"/>
  <c r="G64" i="3"/>
  <c r="W11" i="3"/>
  <c r="W14" i="3"/>
  <c r="D66" i="3"/>
  <c r="D64" i="3"/>
  <c r="J68" i="3"/>
  <c r="O52" i="3"/>
  <c r="Q42" i="3"/>
  <c r="Q52" i="3" s="1"/>
  <c r="J62" i="3"/>
  <c r="H30" i="3" s="1"/>
  <c r="I30" i="3" s="1"/>
  <c r="H66" i="3"/>
  <c r="H64" i="3"/>
  <c r="J63" i="3"/>
  <c r="H31" i="3" s="1"/>
  <c r="I31" i="3" s="1"/>
  <c r="J61" i="3"/>
  <c r="H29" i="3" s="1"/>
  <c r="I29" i="3" s="1"/>
  <c r="W15" i="3"/>
  <c r="AB6" i="3"/>
  <c r="AB5" i="3"/>
  <c r="F66" i="3"/>
  <c r="F64" i="3"/>
  <c r="G22" i="3"/>
  <c r="F36" i="3"/>
  <c r="F34" i="3"/>
  <c r="J59" i="3"/>
  <c r="H27" i="3" s="1"/>
  <c r="I27" i="3" s="1"/>
  <c r="J55" i="3"/>
  <c r="H23" i="3" s="1"/>
  <c r="I23" i="3" s="1"/>
  <c r="C66" i="3"/>
  <c r="C64" i="3"/>
  <c r="J54" i="3"/>
  <c r="J57" i="3"/>
  <c r="H25" i="3" s="1"/>
  <c r="I25" i="3" s="1"/>
  <c r="Y11" i="3"/>
  <c r="AA4" i="3"/>
  <c r="AA11" i="3" s="1"/>
  <c r="AD8" i="3"/>
  <c r="G39" i="2"/>
  <c r="P30" i="2"/>
  <c r="G46" i="2"/>
  <c r="H6" i="2"/>
  <c r="P12" i="2"/>
  <c r="P14" i="2" l="1"/>
  <c r="AC15" i="3"/>
  <c r="AD15" i="3" s="1"/>
  <c r="D62" i="2"/>
  <c r="G60" i="2"/>
  <c r="K60" i="2"/>
  <c r="O60" i="2"/>
  <c r="O59" i="4" s="1"/>
  <c r="D61" i="2"/>
  <c r="AC14" i="3"/>
  <c r="AD14" i="3" s="1"/>
  <c r="D53" i="2"/>
  <c r="J52" i="2"/>
  <c r="J27" i="4" s="1"/>
  <c r="N52" i="2"/>
  <c r="N27" i="4" s="1"/>
  <c r="D54" i="2"/>
  <c r="G52" i="2"/>
  <c r="K52" i="2"/>
  <c r="O52" i="2"/>
  <c r="O27" i="4" s="1"/>
  <c r="G34" i="3"/>
  <c r="G36" i="3"/>
  <c r="AD6" i="3"/>
  <c r="AC6" i="3"/>
  <c r="J66" i="3"/>
  <c r="J64" i="3"/>
  <c r="H22" i="3"/>
  <c r="H38" i="3"/>
  <c r="I24" i="3"/>
  <c r="I38" i="3" s="1"/>
  <c r="AC5" i="3"/>
  <c r="AD5" i="3"/>
  <c r="AB4" i="3"/>
  <c r="H39" i="2"/>
  <c r="I6" i="2"/>
  <c r="H46" i="2"/>
  <c r="H60" i="2" l="1"/>
  <c r="H35" i="2"/>
  <c r="L35" i="2"/>
  <c r="E35" i="2"/>
  <c r="I35" i="2"/>
  <c r="M35" i="2"/>
  <c r="F35" i="2"/>
  <c r="J35" i="2"/>
  <c r="N35" i="2"/>
  <c r="G35" i="2"/>
  <c r="K35" i="2"/>
  <c r="O35" i="2"/>
  <c r="D33" i="2"/>
  <c r="I52" i="2"/>
  <c r="I27" i="4" s="1"/>
  <c r="I17" i="4" s="1"/>
  <c r="J17" i="4" s="1"/>
  <c r="H52" i="2"/>
  <c r="D60" i="2"/>
  <c r="D59" i="4" s="1"/>
  <c r="D49" i="4" s="1"/>
  <c r="I60" i="2"/>
  <c r="I59" i="4" s="1"/>
  <c r="J60" i="2"/>
  <c r="J59" i="4" s="1"/>
  <c r="L52" i="2"/>
  <c r="L27" i="4" s="1"/>
  <c r="L17" i="4" s="1"/>
  <c r="E52" i="2"/>
  <c r="E27" i="4" s="1"/>
  <c r="E17" i="4" s="1"/>
  <c r="F60" i="2"/>
  <c r="M60" i="2"/>
  <c r="L60" i="2"/>
  <c r="L59" i="4" s="1"/>
  <c r="D52" i="2"/>
  <c r="D27" i="4" s="1"/>
  <c r="M52" i="2"/>
  <c r="M27" i="4" s="1"/>
  <c r="M17" i="4" s="1"/>
  <c r="N60" i="2"/>
  <c r="N59" i="4" s="1"/>
  <c r="E60" i="2"/>
  <c r="E59" i="4" s="1"/>
  <c r="AB11" i="3"/>
  <c r="AD11" i="3" s="1"/>
  <c r="AD4" i="3"/>
  <c r="AC4" i="3"/>
  <c r="AC11" i="3" s="1"/>
  <c r="H34" i="3"/>
  <c r="H36" i="3"/>
  <c r="I22" i="3"/>
  <c r="I39" i="2"/>
  <c r="I46" i="2"/>
  <c r="J6" i="2"/>
  <c r="E49" i="4" l="1"/>
  <c r="F49" i="4" s="1"/>
  <c r="G49" i="4" s="1"/>
  <c r="H49" i="4" s="1"/>
  <c r="I49" i="4" s="1"/>
  <c r="J49" i="4" s="1"/>
  <c r="K49" i="4" s="1"/>
  <c r="L49" i="4" s="1"/>
  <c r="M49" i="4" s="1"/>
  <c r="D17" i="4"/>
  <c r="D18" i="4"/>
  <c r="E18" i="4" s="1"/>
  <c r="F18" i="4" s="1"/>
  <c r="G18" i="4" s="1"/>
  <c r="H18" i="4" s="1"/>
  <c r="I18" i="4" s="1"/>
  <c r="J18" i="4" s="1"/>
  <c r="K18" i="4" s="1"/>
  <c r="L18" i="4" s="1"/>
  <c r="M18" i="4" s="1"/>
  <c r="N5" i="4" s="1"/>
  <c r="K36" i="2"/>
  <c r="K37" i="2"/>
  <c r="F37" i="2"/>
  <c r="F36" i="2"/>
  <c r="L36" i="2"/>
  <c r="L37" i="2"/>
  <c r="G36" i="2"/>
  <c r="G37" i="2"/>
  <c r="M36" i="2"/>
  <c r="M37" i="2"/>
  <c r="H36" i="2"/>
  <c r="H37" i="2"/>
  <c r="D35" i="2"/>
  <c r="P33" i="2"/>
  <c r="N36" i="2"/>
  <c r="N37" i="2"/>
  <c r="I36" i="2"/>
  <c r="I37" i="2"/>
  <c r="O36" i="2"/>
  <c r="O37" i="2"/>
  <c r="J36" i="2"/>
  <c r="J37" i="2"/>
  <c r="E36" i="2"/>
  <c r="E37" i="2"/>
  <c r="I36" i="3"/>
  <c r="I34" i="3"/>
  <c r="J39" i="2"/>
  <c r="J46" i="2"/>
  <c r="K6" i="2"/>
  <c r="N50" i="4" l="1"/>
  <c r="O50" i="4" s="1"/>
  <c r="P50" i="4" s="1"/>
  <c r="Q50" i="4" s="1"/>
  <c r="R50" i="4" s="1"/>
  <c r="S50" i="4" s="1"/>
  <c r="T50" i="4" s="1"/>
  <c r="U50" i="4" s="1"/>
  <c r="V50" i="4" s="1"/>
  <c r="W50" i="4" s="1"/>
  <c r="X50" i="4" s="1"/>
  <c r="Y50" i="4" s="1"/>
  <c r="N37" i="4"/>
  <c r="N38" i="4" s="1"/>
  <c r="N40" i="4" s="1"/>
  <c r="N6" i="4"/>
  <c r="N8" i="4" s="1"/>
  <c r="J38" i="2"/>
  <c r="J56" i="2" s="1"/>
  <c r="J58" i="4" s="1"/>
  <c r="I38" i="2"/>
  <c r="I56" i="2" s="1"/>
  <c r="I58" i="4" s="1"/>
  <c r="M38" i="2"/>
  <c r="M56" i="2" s="1"/>
  <c r="M58" i="4" s="1"/>
  <c r="L38" i="2"/>
  <c r="L56" i="2" s="1"/>
  <c r="L58" i="4" s="1"/>
  <c r="K38" i="2"/>
  <c r="K56" i="2" s="1"/>
  <c r="K58" i="4" s="1"/>
  <c r="H17" i="2"/>
  <c r="L17" i="2"/>
  <c r="E17" i="2"/>
  <c r="I17" i="2"/>
  <c r="M17" i="2"/>
  <c r="F17" i="2"/>
  <c r="J17" i="2"/>
  <c r="N17" i="2"/>
  <c r="G17" i="2"/>
  <c r="K17" i="2"/>
  <c r="O17" i="2"/>
  <c r="D15" i="2"/>
  <c r="P35" i="2"/>
  <c r="D37" i="2"/>
  <c r="D36" i="2"/>
  <c r="E38" i="2"/>
  <c r="E56" i="2" s="1"/>
  <c r="E58" i="4" s="1"/>
  <c r="O38" i="2"/>
  <c r="O56" i="2" s="1"/>
  <c r="O58" i="4" s="1"/>
  <c r="N38" i="2"/>
  <c r="N56" i="2" s="1"/>
  <c r="N58" i="4" s="1"/>
  <c r="H38" i="2"/>
  <c r="H58" i="4" s="1"/>
  <c r="G38" i="2"/>
  <c r="G58" i="4" s="1"/>
  <c r="F38" i="2"/>
  <c r="F58" i="4" s="1"/>
  <c r="K39" i="2"/>
  <c r="K46" i="2"/>
  <c r="L6" i="2"/>
  <c r="O38" i="4" l="1"/>
  <c r="N49" i="4"/>
  <c r="O36" i="4"/>
  <c r="AH41" i="4"/>
  <c r="AK41" i="4"/>
  <c r="AE41" i="4"/>
  <c r="AG41" i="4"/>
  <c r="AF41" i="4"/>
  <c r="Z41" i="4"/>
  <c r="AC41" i="4"/>
  <c r="AA41" i="4"/>
  <c r="AD41" i="4"/>
  <c r="AJ41" i="4"/>
  <c r="AI41" i="4"/>
  <c r="AB41" i="4"/>
  <c r="AA9" i="4"/>
  <c r="AH9" i="4"/>
  <c r="AB9" i="4"/>
  <c r="AK9" i="4"/>
  <c r="Z9" i="4"/>
  <c r="AD9" i="4"/>
  <c r="AG9" i="4"/>
  <c r="AC9" i="4"/>
  <c r="AI9" i="4"/>
  <c r="AJ9" i="4"/>
  <c r="AE9" i="4"/>
  <c r="AF9" i="4"/>
  <c r="D17" i="2"/>
  <c r="P15" i="2"/>
  <c r="N18" i="2"/>
  <c r="N19" i="2"/>
  <c r="I18" i="2"/>
  <c r="I19" i="2"/>
  <c r="O18" i="2"/>
  <c r="O19" i="2"/>
  <c r="J18" i="2"/>
  <c r="J19" i="2"/>
  <c r="E18" i="2"/>
  <c r="E19" i="2"/>
  <c r="D38" i="2"/>
  <c r="P38" i="2" s="1"/>
  <c r="P37" i="2"/>
  <c r="K18" i="2"/>
  <c r="K19" i="2"/>
  <c r="K20" i="2" s="1"/>
  <c r="K48" i="2" s="1"/>
  <c r="K26" i="4" s="1"/>
  <c r="F18" i="2"/>
  <c r="F19" i="2"/>
  <c r="L18" i="2"/>
  <c r="L19" i="2"/>
  <c r="G18" i="2"/>
  <c r="G19" i="2"/>
  <c r="M18" i="2"/>
  <c r="M19" i="2"/>
  <c r="H18" i="2"/>
  <c r="H19" i="2"/>
  <c r="L39" i="2"/>
  <c r="M6" i="2"/>
  <c r="L46" i="2"/>
  <c r="C51" i="4" l="1"/>
  <c r="C53" i="4" s="1"/>
  <c r="O49" i="4"/>
  <c r="P36" i="4"/>
  <c r="J43" i="4"/>
  <c r="J44" i="4" s="1"/>
  <c r="J52" i="4" s="1"/>
  <c r="F43" i="4"/>
  <c r="F44" i="4" s="1"/>
  <c r="F52" i="4" s="1"/>
  <c r="D43" i="4"/>
  <c r="D44" i="4" s="1"/>
  <c r="D52" i="4" s="1"/>
  <c r="E43" i="4"/>
  <c r="E44" i="4" s="1"/>
  <c r="E52" i="4" s="1"/>
  <c r="G43" i="4"/>
  <c r="G44" i="4" s="1"/>
  <c r="G52" i="4" s="1"/>
  <c r="H43" i="4"/>
  <c r="H44" i="4" s="1"/>
  <c r="H52" i="4" s="1"/>
  <c r="K43" i="4"/>
  <c r="K44" i="4" s="1"/>
  <c r="K52" i="4" s="1"/>
  <c r="I43" i="4"/>
  <c r="I44" i="4" s="1"/>
  <c r="I52" i="4" s="1"/>
  <c r="M43" i="4"/>
  <c r="M44" i="4" s="1"/>
  <c r="M52" i="4" s="1"/>
  <c r="L43" i="4"/>
  <c r="L44" i="4" s="1"/>
  <c r="L52" i="4" s="1"/>
  <c r="C19" i="4"/>
  <c r="E11" i="4"/>
  <c r="E12" i="4" s="1"/>
  <c r="E20" i="4" s="1"/>
  <c r="F11" i="4"/>
  <c r="F12" i="4" s="1"/>
  <c r="F20" i="4" s="1"/>
  <c r="I11" i="4"/>
  <c r="I12" i="4" s="1"/>
  <c r="I20" i="4" s="1"/>
  <c r="H11" i="4"/>
  <c r="H12" i="4" s="1"/>
  <c r="H20" i="4" s="1"/>
  <c r="D11" i="4"/>
  <c r="D12" i="4" s="1"/>
  <c r="D20" i="4" s="1"/>
  <c r="G11" i="4"/>
  <c r="G12" i="4" s="1"/>
  <c r="G20" i="4" s="1"/>
  <c r="K11" i="4"/>
  <c r="K12" i="4" s="1"/>
  <c r="K20" i="4" s="1"/>
  <c r="J11" i="4"/>
  <c r="J12" i="4" s="1"/>
  <c r="J20" i="4" s="1"/>
  <c r="M11" i="4"/>
  <c r="M12" i="4" s="1"/>
  <c r="M20" i="4" s="1"/>
  <c r="L11" i="4"/>
  <c r="L12" i="4" s="1"/>
  <c r="L20" i="4" s="1"/>
  <c r="O6" i="4"/>
  <c r="O4" i="4"/>
  <c r="D56" i="2"/>
  <c r="D58" i="4" s="1"/>
  <c r="H20" i="2"/>
  <c r="H26" i="4" s="1"/>
  <c r="G20" i="2"/>
  <c r="G48" i="2" s="1"/>
  <c r="G26" i="4" s="1"/>
  <c r="F20" i="2"/>
  <c r="F26" i="4" s="1"/>
  <c r="N20" i="2"/>
  <c r="N48" i="2" s="1"/>
  <c r="N26" i="4" s="1"/>
  <c r="J20" i="2"/>
  <c r="J48" i="2" s="1"/>
  <c r="J26" i="4" s="1"/>
  <c r="M20" i="2"/>
  <c r="M48" i="2" s="1"/>
  <c r="M26" i="4" s="1"/>
  <c r="L20" i="2"/>
  <c r="L48" i="2" s="1"/>
  <c r="L26" i="4" s="1"/>
  <c r="I20" i="2"/>
  <c r="I48" i="2" s="1"/>
  <c r="I26" i="4" s="1"/>
  <c r="D40" i="2"/>
  <c r="D42" i="2" s="1"/>
  <c r="E40" i="2" s="1"/>
  <c r="E20" i="2"/>
  <c r="E48" i="2" s="1"/>
  <c r="E26" i="4" s="1"/>
  <c r="O20" i="2"/>
  <c r="O48" i="2" s="1"/>
  <c r="O26" i="4" s="1"/>
  <c r="D18" i="2"/>
  <c r="P17" i="2"/>
  <c r="D19" i="2"/>
  <c r="M39" i="2"/>
  <c r="M46" i="2"/>
  <c r="N6" i="2"/>
  <c r="J63" i="4" l="1"/>
  <c r="J61" i="4" s="1"/>
  <c r="D63" i="4"/>
  <c r="D61" i="4" s="1"/>
  <c r="G63" i="4"/>
  <c r="G61" i="4" s="1"/>
  <c r="K63" i="4"/>
  <c r="K61" i="4" s="1"/>
  <c r="F63" i="4"/>
  <c r="F61" i="4" s="1"/>
  <c r="N18" i="4"/>
  <c r="N17" i="4"/>
  <c r="N63" i="4"/>
  <c r="N61" i="4" s="1"/>
  <c r="M63" i="4"/>
  <c r="M61" i="4" s="1"/>
  <c r="I63" i="4"/>
  <c r="I61" i="4" s="1"/>
  <c r="E63" i="4"/>
  <c r="E61" i="4" s="1"/>
  <c r="Q36" i="4"/>
  <c r="P59" i="4"/>
  <c r="P49" i="4" s="1"/>
  <c r="L63" i="4"/>
  <c r="L61" i="4" s="1"/>
  <c r="H63" i="4"/>
  <c r="H61" i="4" s="1"/>
  <c r="L31" i="4"/>
  <c r="L29" i="4" s="1"/>
  <c r="L70" i="2"/>
  <c r="G31" i="4"/>
  <c r="G29" i="4" s="1"/>
  <c r="G70" i="2"/>
  <c r="F31" i="4"/>
  <c r="F29" i="4" s="1"/>
  <c r="F70" i="2"/>
  <c r="P4" i="4"/>
  <c r="N31" i="4"/>
  <c r="N29" i="4" s="1"/>
  <c r="M31" i="4"/>
  <c r="M29" i="4" s="1"/>
  <c r="M70" i="2"/>
  <c r="D31" i="4"/>
  <c r="D70" i="2"/>
  <c r="E31" i="4"/>
  <c r="E29" i="4" s="1"/>
  <c r="E70" i="2"/>
  <c r="J31" i="4"/>
  <c r="J29" i="4" s="1"/>
  <c r="J70" i="2"/>
  <c r="H31" i="4"/>
  <c r="H29" i="4" s="1"/>
  <c r="H70" i="2"/>
  <c r="K31" i="4"/>
  <c r="K29" i="4" s="1"/>
  <c r="K70" i="2"/>
  <c r="I31" i="4"/>
  <c r="I29" i="4" s="1"/>
  <c r="I70" i="2"/>
  <c r="C21" i="4"/>
  <c r="D71" i="2"/>
  <c r="D47" i="4"/>
  <c r="E42" i="2"/>
  <c r="E57" i="2"/>
  <c r="E58" i="2"/>
  <c r="E41" i="2"/>
  <c r="D20" i="2"/>
  <c r="P20" i="2" s="1"/>
  <c r="P19" i="2"/>
  <c r="D58" i="2"/>
  <c r="D57" i="2"/>
  <c r="D41" i="2"/>
  <c r="O39" i="2"/>
  <c r="N39" i="2"/>
  <c r="N46" i="2"/>
  <c r="O6" i="2"/>
  <c r="O46" i="2" s="1"/>
  <c r="O18" i="4" l="1"/>
  <c r="O17" i="4"/>
  <c r="Q59" i="4"/>
  <c r="Q49" i="4" s="1"/>
  <c r="R36" i="4"/>
  <c r="G71" i="2"/>
  <c r="G72" i="2" s="1"/>
  <c r="G66" i="2" s="1"/>
  <c r="M71" i="2"/>
  <c r="M72" i="2" s="1"/>
  <c r="M66" i="2" s="1"/>
  <c r="J71" i="2"/>
  <c r="J72" i="2" s="1"/>
  <c r="J66" i="2" s="1"/>
  <c r="K71" i="2"/>
  <c r="K72" i="2" s="1"/>
  <c r="K66" i="2" s="1"/>
  <c r="F71" i="2"/>
  <c r="F72" i="2" s="1"/>
  <c r="F66" i="2" s="1"/>
  <c r="N71" i="2"/>
  <c r="N72" i="2" s="1"/>
  <c r="N66" i="2" s="1"/>
  <c r="Q4" i="4"/>
  <c r="P27" i="4"/>
  <c r="H71" i="2"/>
  <c r="H72" i="2" s="1"/>
  <c r="H66" i="2" s="1"/>
  <c r="L71" i="2"/>
  <c r="L72" i="2" s="1"/>
  <c r="L66" i="2" s="1"/>
  <c r="I71" i="2"/>
  <c r="I72" i="2" s="1"/>
  <c r="I66" i="2" s="1"/>
  <c r="E71" i="2"/>
  <c r="E72" i="2" s="1"/>
  <c r="E66" i="2" s="1"/>
  <c r="D72" i="2"/>
  <c r="D66" i="2" s="1"/>
  <c r="D59" i="2"/>
  <c r="D53" i="4"/>
  <c r="D60" i="4"/>
  <c r="D62" i="4" s="1"/>
  <c r="E47" i="4"/>
  <c r="E60" i="4" s="1"/>
  <c r="E62" i="4" s="1"/>
  <c r="F40" i="2"/>
  <c r="F42" i="2" s="1"/>
  <c r="G40" i="2" s="1"/>
  <c r="D22" i="2"/>
  <c r="D48" i="2"/>
  <c r="D26" i="4" s="1"/>
  <c r="E59" i="2"/>
  <c r="P18" i="4" l="1"/>
  <c r="P17" i="4"/>
  <c r="R59" i="4"/>
  <c r="R49" i="4" s="1"/>
  <c r="S36" i="4"/>
  <c r="R4" i="4"/>
  <c r="Q27" i="4"/>
  <c r="D15" i="4"/>
  <c r="D29" i="4"/>
  <c r="E53" i="4"/>
  <c r="F47" i="4"/>
  <c r="G42" i="2"/>
  <c r="H40" i="2" s="1"/>
  <c r="G41" i="2"/>
  <c r="F41" i="2"/>
  <c r="D24" i="2"/>
  <c r="D49" i="2"/>
  <c r="D50" i="2"/>
  <c r="D23" i="2"/>
  <c r="Q18" i="4" l="1"/>
  <c r="D51" i="2"/>
  <c r="Q17" i="4"/>
  <c r="S59" i="4"/>
  <c r="S49" i="4" s="1"/>
  <c r="T36" i="4"/>
  <c r="S4" i="4"/>
  <c r="R27" i="4"/>
  <c r="F60" i="4"/>
  <c r="F62" i="4" s="1"/>
  <c r="G47" i="4"/>
  <c r="F53" i="4"/>
  <c r="D21" i="4"/>
  <c r="D28" i="4"/>
  <c r="D30" i="4" s="1"/>
  <c r="E15" i="4"/>
  <c r="E28" i="4" s="1"/>
  <c r="E30" i="4" s="1"/>
  <c r="F59" i="2"/>
  <c r="H42" i="2"/>
  <c r="H41" i="2"/>
  <c r="H58" i="2"/>
  <c r="E22" i="2"/>
  <c r="D44" i="2"/>
  <c r="G59" i="2"/>
  <c r="R18" i="4" l="1"/>
  <c r="R17" i="4"/>
  <c r="T59" i="4"/>
  <c r="T49" i="4" s="1"/>
  <c r="U36" i="4"/>
  <c r="S27" i="4"/>
  <c r="T4" i="4"/>
  <c r="G53" i="4"/>
  <c r="H47" i="4"/>
  <c r="F15" i="4"/>
  <c r="E21" i="4"/>
  <c r="G60" i="4"/>
  <c r="G62" i="4" s="1"/>
  <c r="E24" i="2"/>
  <c r="E50" i="2"/>
  <c r="E49" i="2"/>
  <c r="E23" i="2"/>
  <c r="I40" i="2"/>
  <c r="I42" i="2" s="1"/>
  <c r="S17" i="4" l="1"/>
  <c r="S18" i="4"/>
  <c r="U59" i="4"/>
  <c r="U49" i="4" s="1"/>
  <c r="V36" i="4"/>
  <c r="U4" i="4"/>
  <c r="T27" i="4"/>
  <c r="E51" i="2"/>
  <c r="H60" i="4"/>
  <c r="H62" i="4" s="1"/>
  <c r="I47" i="4"/>
  <c r="H53" i="4"/>
  <c r="F28" i="4"/>
  <c r="F30" i="4" s="1"/>
  <c r="G15" i="4"/>
  <c r="F21" i="4"/>
  <c r="J40" i="2"/>
  <c r="J42" i="2" s="1"/>
  <c r="I41" i="2"/>
  <c r="I58" i="2"/>
  <c r="I57" i="2"/>
  <c r="E44" i="2"/>
  <c r="F22" i="2"/>
  <c r="F24" i="2" s="1"/>
  <c r="T18" i="4" l="1"/>
  <c r="T17" i="4"/>
  <c r="V59" i="4"/>
  <c r="V49" i="4" s="1"/>
  <c r="W36" i="4"/>
  <c r="V4" i="4"/>
  <c r="U27" i="4"/>
  <c r="I60" i="4"/>
  <c r="I62" i="4" s="1"/>
  <c r="J47" i="4"/>
  <c r="I53" i="4"/>
  <c r="G28" i="4"/>
  <c r="G30" i="4" s="1"/>
  <c r="G21" i="4"/>
  <c r="H15" i="4"/>
  <c r="I59" i="2"/>
  <c r="K40" i="2"/>
  <c r="K42" i="2" s="1"/>
  <c r="L40" i="2" s="1"/>
  <c r="J57" i="2"/>
  <c r="J41" i="2"/>
  <c r="J58" i="2"/>
  <c r="F44" i="2"/>
  <c r="G22" i="2"/>
  <c r="F23" i="2"/>
  <c r="U18" i="4" l="1"/>
  <c r="U17" i="4"/>
  <c r="X36" i="4"/>
  <c r="W59" i="4"/>
  <c r="W49" i="4" s="1"/>
  <c r="W4" i="4"/>
  <c r="V27" i="4"/>
  <c r="J60" i="4"/>
  <c r="J62" i="4" s="1"/>
  <c r="J53" i="4"/>
  <c r="K47" i="4"/>
  <c r="H28" i="4"/>
  <c r="H30" i="4" s="1"/>
  <c r="I15" i="4"/>
  <c r="I28" i="4" s="1"/>
  <c r="I30" i="4" s="1"/>
  <c r="H21" i="4"/>
  <c r="F51" i="2"/>
  <c r="L58" i="2"/>
  <c r="L57" i="2"/>
  <c r="L42" i="2"/>
  <c r="M40" i="2" s="1"/>
  <c r="M42" i="2" s="1"/>
  <c r="K58" i="2"/>
  <c r="K57" i="2"/>
  <c r="K41" i="2"/>
  <c r="L41" i="2"/>
  <c r="G24" i="2"/>
  <c r="G23" i="2"/>
  <c r="G50" i="2"/>
  <c r="G49" i="2"/>
  <c r="J59" i="2"/>
  <c r="V18" i="4" l="1"/>
  <c r="V17" i="4"/>
  <c r="X59" i="4"/>
  <c r="X49" i="4" s="1"/>
  <c r="Y36" i="4"/>
  <c r="X4" i="4"/>
  <c r="W27" i="4"/>
  <c r="L59" i="2"/>
  <c r="K60" i="4"/>
  <c r="K62" i="4" s="1"/>
  <c r="L47" i="4"/>
  <c r="K53" i="4"/>
  <c r="J15" i="4"/>
  <c r="I21" i="4"/>
  <c r="G51" i="2"/>
  <c r="G44" i="2"/>
  <c r="H22" i="2"/>
  <c r="K59" i="2"/>
  <c r="N40" i="2"/>
  <c r="M57" i="2"/>
  <c r="M58" i="2"/>
  <c r="M41" i="2"/>
  <c r="W18" i="4" l="1"/>
  <c r="W17" i="4"/>
  <c r="Y59" i="4"/>
  <c r="Y49" i="4" s="1"/>
  <c r="AA39" i="4"/>
  <c r="Z42" i="4" s="1"/>
  <c r="AA42" i="4" s="1"/>
  <c r="AB42" i="4" s="1"/>
  <c r="AC42" i="4" s="1"/>
  <c r="AD42" i="4" s="1"/>
  <c r="AE42" i="4" s="1"/>
  <c r="AF42" i="4" s="1"/>
  <c r="AG42" i="4" s="1"/>
  <c r="AH42" i="4" s="1"/>
  <c r="AI42" i="4" s="1"/>
  <c r="AJ42" i="4" s="1"/>
  <c r="AK42" i="4" s="1"/>
  <c r="Y4" i="4"/>
  <c r="X27" i="4"/>
  <c r="L60" i="4"/>
  <c r="L62" i="4" s="1"/>
  <c r="M47" i="4"/>
  <c r="L53" i="4"/>
  <c r="J28" i="4"/>
  <c r="J30" i="4" s="1"/>
  <c r="K15" i="4"/>
  <c r="K28" i="4" s="1"/>
  <c r="K30" i="4" s="1"/>
  <c r="J21" i="4"/>
  <c r="H23" i="2"/>
  <c r="H24" i="2"/>
  <c r="N58" i="2"/>
  <c r="N57" i="2"/>
  <c r="N41" i="2"/>
  <c r="N42" i="2"/>
  <c r="M59" i="2"/>
  <c r="X18" i="4" l="1"/>
  <c r="X17" i="4"/>
  <c r="AA7" i="4"/>
  <c r="Z10" i="4" s="1"/>
  <c r="AA10" i="4" s="1"/>
  <c r="AB10" i="4" s="1"/>
  <c r="AC10" i="4" s="1"/>
  <c r="AD10" i="4" s="1"/>
  <c r="AE10" i="4" s="1"/>
  <c r="AF10" i="4" s="1"/>
  <c r="AG10" i="4" s="1"/>
  <c r="AH10" i="4" s="1"/>
  <c r="AI10" i="4" s="1"/>
  <c r="AJ10" i="4" s="1"/>
  <c r="AK10" i="4" s="1"/>
  <c r="Y27" i="4"/>
  <c r="M60" i="4"/>
  <c r="M62" i="4" s="1"/>
  <c r="N47" i="4"/>
  <c r="M53" i="4"/>
  <c r="K21" i="4"/>
  <c r="L15" i="4"/>
  <c r="N59" i="2"/>
  <c r="H51" i="2"/>
  <c r="I22" i="2"/>
  <c r="H44" i="2"/>
  <c r="O40" i="2"/>
  <c r="O42" i="2" s="1"/>
  <c r="Y18" i="4" l="1"/>
  <c r="Y17" i="4"/>
  <c r="L28" i="4"/>
  <c r="L30" i="4" s="1"/>
  <c r="L21" i="4"/>
  <c r="M15" i="4"/>
  <c r="N60" i="4"/>
  <c r="N62" i="4" s="1"/>
  <c r="N53" i="4"/>
  <c r="O47" i="4"/>
  <c r="P48" i="4" s="1"/>
  <c r="Q48" i="4" s="1"/>
  <c r="R48" i="4" s="1"/>
  <c r="I23" i="2"/>
  <c r="I50" i="2"/>
  <c r="I49" i="2"/>
  <c r="I24" i="2"/>
  <c r="O58" i="2"/>
  <c r="O57" i="2"/>
  <c r="O41" i="2"/>
  <c r="P41" i="2" s="1"/>
  <c r="P40" i="2"/>
  <c r="M28" i="4" l="1"/>
  <c r="M30" i="4" s="1"/>
  <c r="M21" i="4"/>
  <c r="N15" i="4"/>
  <c r="S48" i="4"/>
  <c r="I51" i="2"/>
  <c r="J22" i="2"/>
  <c r="I44" i="2"/>
  <c r="O59" i="2"/>
  <c r="N28" i="4" l="1"/>
  <c r="N30" i="4" s="1"/>
  <c r="O15" i="4"/>
  <c r="P16" i="4" s="1"/>
  <c r="Q16" i="4" s="1"/>
  <c r="R16" i="4" s="1"/>
  <c r="N21" i="4"/>
  <c r="T48" i="4"/>
  <c r="J24" i="2"/>
  <c r="J50" i="2"/>
  <c r="J49" i="2"/>
  <c r="J23" i="2"/>
  <c r="S16" i="4" l="1"/>
  <c r="J51" i="2"/>
  <c r="U48" i="4"/>
  <c r="K22" i="2"/>
  <c r="J44" i="2"/>
  <c r="V48" i="4" l="1"/>
  <c r="T16" i="4"/>
  <c r="K24" i="2"/>
  <c r="K49" i="2"/>
  <c r="K23" i="2"/>
  <c r="K50" i="2"/>
  <c r="U16" i="4" l="1"/>
  <c r="W48" i="4"/>
  <c r="K51" i="2"/>
  <c r="K44" i="2"/>
  <c r="L22" i="2"/>
  <c r="X48" i="4" l="1"/>
  <c r="V16" i="4"/>
  <c r="L50" i="2"/>
  <c r="L49" i="2"/>
  <c r="L23" i="2"/>
  <c r="L24" i="2"/>
  <c r="W16" i="4" l="1"/>
  <c r="Y48" i="4"/>
  <c r="Z37" i="4" s="1"/>
  <c r="L51" i="2"/>
  <c r="M22" i="2"/>
  <c r="L44" i="2"/>
  <c r="X16" i="4" l="1"/>
  <c r="M24" i="2"/>
  <c r="M49" i="2"/>
  <c r="M50" i="2"/>
  <c r="M23" i="2"/>
  <c r="M51" i="2" l="1"/>
  <c r="Y16" i="4"/>
  <c r="Z5" i="4" s="1"/>
  <c r="Z38" i="4"/>
  <c r="Z40" i="4" s="1"/>
  <c r="Z36" i="4" s="1"/>
  <c r="N22" i="2"/>
  <c r="M44" i="2"/>
  <c r="Z59" i="4" l="1"/>
  <c r="AA38" i="4"/>
  <c r="AA36" i="4"/>
  <c r="AW41" i="4"/>
  <c r="AM41" i="4"/>
  <c r="AU41" i="4"/>
  <c r="AS41" i="4"/>
  <c r="AV41" i="4"/>
  <c r="AP41" i="4"/>
  <c r="AO41" i="4"/>
  <c r="AQ41" i="4"/>
  <c r="AT41" i="4"/>
  <c r="AR41" i="4"/>
  <c r="AL41" i="4"/>
  <c r="AN41" i="4"/>
  <c r="N24" i="2"/>
  <c r="N49" i="2"/>
  <c r="N23" i="2"/>
  <c r="N50" i="2"/>
  <c r="Z50" i="4" l="1"/>
  <c r="Z49" i="4"/>
  <c r="N51" i="2"/>
  <c r="Z6" i="4"/>
  <c r="Z8" i="4" s="1"/>
  <c r="Z4" i="4" s="1"/>
  <c r="P43" i="4"/>
  <c r="P44" i="4" s="1"/>
  <c r="P52" i="4" s="1"/>
  <c r="W43" i="4"/>
  <c r="W44" i="4" s="1"/>
  <c r="W52" i="4" s="1"/>
  <c r="T43" i="4"/>
  <c r="T44" i="4" s="1"/>
  <c r="T52" i="4" s="1"/>
  <c r="R43" i="4"/>
  <c r="R44" i="4" s="1"/>
  <c r="R52" i="4" s="1"/>
  <c r="X43" i="4"/>
  <c r="X44" i="4" s="1"/>
  <c r="X52" i="4" s="1"/>
  <c r="Q43" i="4"/>
  <c r="Q44" i="4" s="1"/>
  <c r="Q52" i="4" s="1"/>
  <c r="S43" i="4"/>
  <c r="S44" i="4" s="1"/>
  <c r="S52" i="4" s="1"/>
  <c r="U43" i="4"/>
  <c r="U44" i="4" s="1"/>
  <c r="U52" i="4" s="1"/>
  <c r="O43" i="4"/>
  <c r="O44" i="4" s="1"/>
  <c r="O51" i="4" s="1"/>
  <c r="Y43" i="4"/>
  <c r="Y44" i="4" s="1"/>
  <c r="Y52" i="4" s="1"/>
  <c r="V43" i="4"/>
  <c r="V44" i="4" s="1"/>
  <c r="V52" i="4" s="1"/>
  <c r="AA59" i="4"/>
  <c r="AA61" i="4" s="1"/>
  <c r="AB36" i="4"/>
  <c r="N44" i="2"/>
  <c r="O22" i="2"/>
  <c r="P22" i="2" s="1"/>
  <c r="Z53" i="4" l="1"/>
  <c r="AA49" i="4"/>
  <c r="AA50" i="4"/>
  <c r="Z27" i="4"/>
  <c r="AA4" i="4"/>
  <c r="AA6" i="4"/>
  <c r="W63" i="4"/>
  <c r="W61" i="4" s="1"/>
  <c r="W53" i="4"/>
  <c r="AB59" i="4"/>
  <c r="AB61" i="4" s="1"/>
  <c r="AC36" i="4"/>
  <c r="P63" i="4"/>
  <c r="P61" i="4" s="1"/>
  <c r="P53" i="4"/>
  <c r="U63" i="4"/>
  <c r="U61" i="4" s="1"/>
  <c r="U53" i="4"/>
  <c r="R63" i="4"/>
  <c r="R61" i="4" s="1"/>
  <c r="R53" i="4"/>
  <c r="Z63" i="4"/>
  <c r="Z61" i="4" s="1"/>
  <c r="Y63" i="4"/>
  <c r="Y61" i="4" s="1"/>
  <c r="Y53" i="4"/>
  <c r="Q63" i="4"/>
  <c r="Q61" i="4" s="1"/>
  <c r="Q53" i="4"/>
  <c r="O63" i="4"/>
  <c r="O61" i="4" s="1"/>
  <c r="O53" i="4"/>
  <c r="X63" i="4"/>
  <c r="X61" i="4" s="1"/>
  <c r="X53" i="4"/>
  <c r="V63" i="4"/>
  <c r="V61" i="4" s="1"/>
  <c r="V53" i="4"/>
  <c r="S63" i="4"/>
  <c r="S61" i="4" s="1"/>
  <c r="S53" i="4"/>
  <c r="T63" i="4"/>
  <c r="T61" i="4" s="1"/>
  <c r="T53" i="4"/>
  <c r="AU9" i="4"/>
  <c r="AP9" i="4"/>
  <c r="AW9" i="4"/>
  <c r="AQ9" i="4"/>
  <c r="AL9" i="4"/>
  <c r="AS9" i="4"/>
  <c r="AM9" i="4"/>
  <c r="AR9" i="4"/>
  <c r="AO9" i="4"/>
  <c r="AT9" i="4"/>
  <c r="AN9" i="4"/>
  <c r="AV9" i="4"/>
  <c r="O24" i="2"/>
  <c r="O44" i="2" s="1"/>
  <c r="O50" i="2"/>
  <c r="O49" i="2"/>
  <c r="O23" i="2"/>
  <c r="P23" i="2" s="1"/>
  <c r="AA53" i="4" l="1"/>
  <c r="AB49" i="4"/>
  <c r="AA60" i="4"/>
  <c r="AA62" i="4" s="1"/>
  <c r="Z18" i="4"/>
  <c r="Z17" i="4"/>
  <c r="Z60" i="4"/>
  <c r="Z62" i="4" s="1"/>
  <c r="O60" i="4"/>
  <c r="O62" i="4" s="1"/>
  <c r="AB50" i="4"/>
  <c r="P60" i="4"/>
  <c r="P62" i="4" s="1"/>
  <c r="Y60" i="4"/>
  <c r="Y62" i="4" s="1"/>
  <c r="R60" i="4"/>
  <c r="R62" i="4" s="1"/>
  <c r="AC59" i="4"/>
  <c r="AC61" i="4" s="1"/>
  <c r="AD36" i="4"/>
  <c r="T60" i="4"/>
  <c r="T62" i="4" s="1"/>
  <c r="V60" i="4"/>
  <c r="V62" i="4" s="1"/>
  <c r="Q60" i="4"/>
  <c r="Q62" i="4" s="1"/>
  <c r="X60" i="4"/>
  <c r="X62" i="4" s="1"/>
  <c r="AA27" i="4"/>
  <c r="AA29" i="4" s="1"/>
  <c r="AB4" i="4"/>
  <c r="W60" i="4"/>
  <c r="W62" i="4" s="1"/>
  <c r="U11" i="4"/>
  <c r="U12" i="4" s="1"/>
  <c r="U20" i="4" s="1"/>
  <c r="W11" i="4"/>
  <c r="W12" i="4" s="1"/>
  <c r="W20" i="4" s="1"/>
  <c r="V11" i="4"/>
  <c r="V12" i="4" s="1"/>
  <c r="V20" i="4" s="1"/>
  <c r="Y11" i="4"/>
  <c r="Y12" i="4" s="1"/>
  <c r="Y20" i="4" s="1"/>
  <c r="T11" i="4"/>
  <c r="T12" i="4" s="1"/>
  <c r="T20" i="4" s="1"/>
  <c r="O11" i="4"/>
  <c r="O12" i="4" s="1"/>
  <c r="O19" i="4" s="1"/>
  <c r="R11" i="4"/>
  <c r="R12" i="4" s="1"/>
  <c r="R20" i="4" s="1"/>
  <c r="X11" i="4"/>
  <c r="X12" i="4" s="1"/>
  <c r="X20" i="4" s="1"/>
  <c r="S11" i="4"/>
  <c r="S12" i="4" s="1"/>
  <c r="S20" i="4" s="1"/>
  <c r="Q11" i="4"/>
  <c r="Q12" i="4" s="1"/>
  <c r="Q20" i="4" s="1"/>
  <c r="P11" i="4"/>
  <c r="P12" i="4" s="1"/>
  <c r="P20" i="4" s="1"/>
  <c r="U60" i="4"/>
  <c r="U62" i="4" s="1"/>
  <c r="S60" i="4"/>
  <c r="S62" i="4" s="1"/>
  <c r="O51" i="2"/>
  <c r="AB53" i="4" l="1"/>
  <c r="Z21" i="4"/>
  <c r="AC49" i="4"/>
  <c r="AA17" i="4"/>
  <c r="AC50" i="4"/>
  <c r="AB60" i="4"/>
  <c r="AB62" i="4" s="1"/>
  <c r="AA18" i="4"/>
  <c r="S31" i="4"/>
  <c r="S29" i="4" s="1"/>
  <c r="S21" i="4"/>
  <c r="T31" i="4"/>
  <c r="T29" i="4" s="1"/>
  <c r="T21" i="4"/>
  <c r="U31" i="4"/>
  <c r="U29" i="4" s="1"/>
  <c r="U21" i="4"/>
  <c r="X31" i="4"/>
  <c r="X29" i="4" s="1"/>
  <c r="X21" i="4"/>
  <c r="Z31" i="4"/>
  <c r="Z29" i="4" s="1"/>
  <c r="Y31" i="4"/>
  <c r="Y29" i="4" s="1"/>
  <c r="Y21" i="4"/>
  <c r="P31" i="4"/>
  <c r="P29" i="4" s="1"/>
  <c r="P21" i="4"/>
  <c r="R31" i="4"/>
  <c r="R29" i="4" s="1"/>
  <c r="R21" i="4"/>
  <c r="V31" i="4"/>
  <c r="V29" i="4" s="1"/>
  <c r="V21" i="4"/>
  <c r="AC4" i="4"/>
  <c r="AB27" i="4"/>
  <c r="AB29" i="4" s="1"/>
  <c r="AD59" i="4"/>
  <c r="AD61" i="4" s="1"/>
  <c r="AE36" i="4"/>
  <c r="Q31" i="4"/>
  <c r="Q29" i="4" s="1"/>
  <c r="Q21" i="4"/>
  <c r="O31" i="4"/>
  <c r="O29" i="4" s="1"/>
  <c r="F75" i="2"/>
  <c r="J75" i="2"/>
  <c r="N75" i="2"/>
  <c r="G75" i="2"/>
  <c r="K75" i="2"/>
  <c r="O75" i="2"/>
  <c r="H75" i="2"/>
  <c r="L75" i="2"/>
  <c r="O74" i="2"/>
  <c r="I75" i="2"/>
  <c r="M75" i="2"/>
  <c r="O21" i="4"/>
  <c r="W31" i="4"/>
  <c r="W29" i="4" s="1"/>
  <c r="W21" i="4"/>
  <c r="B97" i="1"/>
  <c r="B96" i="1"/>
  <c r="M76" i="2" l="1"/>
  <c r="M65" i="2" s="1"/>
  <c r="M64" i="2" s="1"/>
  <c r="M67" i="2" s="1"/>
  <c r="I76" i="2"/>
  <c r="I65" i="2" s="1"/>
  <c r="I64" i="2" s="1"/>
  <c r="I67" i="2" s="1"/>
  <c r="AC53" i="4"/>
  <c r="AD49" i="4"/>
  <c r="AC60" i="4"/>
  <c r="AC62" i="4" s="1"/>
  <c r="AA28" i="4"/>
  <c r="AA30" i="4" s="1"/>
  <c r="AB17" i="4"/>
  <c r="AA21" i="4"/>
  <c r="Z28" i="4"/>
  <c r="Z30" i="4" s="1"/>
  <c r="R28" i="4"/>
  <c r="R30" i="4" s="1"/>
  <c r="AB18" i="4"/>
  <c r="S28" i="4"/>
  <c r="S30" i="4" s="1"/>
  <c r="X28" i="4"/>
  <c r="X30" i="4" s="1"/>
  <c r="O28" i="4"/>
  <c r="O30" i="4" s="1"/>
  <c r="K76" i="2"/>
  <c r="K65" i="2" s="1"/>
  <c r="K64" i="2" s="1"/>
  <c r="K67" i="2" s="1"/>
  <c r="F76" i="2"/>
  <c r="F65" i="2" s="1"/>
  <c r="F64" i="2" s="1"/>
  <c r="F67" i="2" s="1"/>
  <c r="Y28" i="4"/>
  <c r="Y30" i="4" s="1"/>
  <c r="J76" i="2"/>
  <c r="J65" i="2" s="1"/>
  <c r="J64" i="2" s="1"/>
  <c r="J67" i="2" s="1"/>
  <c r="L76" i="2"/>
  <c r="L65" i="2" s="1"/>
  <c r="L64" i="2" s="1"/>
  <c r="L67" i="2" s="1"/>
  <c r="G76" i="2"/>
  <c r="G65" i="2" s="1"/>
  <c r="G64" i="2" s="1"/>
  <c r="G67" i="2" s="1"/>
  <c r="Q28" i="4"/>
  <c r="Q30" i="4" s="1"/>
  <c r="AC27" i="4"/>
  <c r="AC29" i="4" s="1"/>
  <c r="AD4" i="4"/>
  <c r="T28" i="4"/>
  <c r="T30" i="4" s="1"/>
  <c r="D76" i="2"/>
  <c r="D65" i="2" s="1"/>
  <c r="D64" i="2" s="1"/>
  <c r="D67" i="2" s="1"/>
  <c r="E75" i="2"/>
  <c r="E76" i="2" s="1"/>
  <c r="E65" i="2" s="1"/>
  <c r="E64" i="2" s="1"/>
  <c r="E67" i="2" s="1"/>
  <c r="W28" i="4"/>
  <c r="W30" i="4" s="1"/>
  <c r="O76" i="2"/>
  <c r="O65" i="2" s="1"/>
  <c r="O64" i="2" s="1"/>
  <c r="O67" i="2" s="1"/>
  <c r="AE59" i="4"/>
  <c r="AE61" i="4" s="1"/>
  <c r="AF36" i="4"/>
  <c r="P28" i="4"/>
  <c r="P30" i="4" s="1"/>
  <c r="H76" i="2"/>
  <c r="H65" i="2" s="1"/>
  <c r="H64" i="2" s="1"/>
  <c r="H67" i="2" s="1"/>
  <c r="N76" i="2"/>
  <c r="N65" i="2" s="1"/>
  <c r="N64" i="2" s="1"/>
  <c r="N67" i="2" s="1"/>
  <c r="AD50" i="4"/>
  <c r="V28" i="4"/>
  <c r="V30" i="4" s="1"/>
  <c r="U28" i="4"/>
  <c r="U30" i="4" s="1"/>
  <c r="N6" i="1"/>
  <c r="R20" i="1"/>
  <c r="R22" i="1" s="1"/>
  <c r="E94" i="1"/>
  <c r="F94" i="1"/>
  <c r="G94" i="1"/>
  <c r="H94" i="1"/>
  <c r="I94" i="1"/>
  <c r="J94" i="1"/>
  <c r="K94" i="1"/>
  <c r="L94" i="1"/>
  <c r="M94" i="1"/>
  <c r="N94" i="1"/>
  <c r="O94" i="1"/>
  <c r="D94" i="1"/>
  <c r="E90" i="1"/>
  <c r="F90" i="1"/>
  <c r="G90" i="1"/>
  <c r="H90" i="1"/>
  <c r="I90" i="1"/>
  <c r="J90" i="1"/>
  <c r="K90" i="1"/>
  <c r="L90" i="1"/>
  <c r="M90" i="1"/>
  <c r="N90" i="1"/>
  <c r="O90" i="1"/>
  <c r="D90" i="1"/>
  <c r="P93" i="1"/>
  <c r="P89" i="1"/>
  <c r="E84" i="1"/>
  <c r="F84" i="1"/>
  <c r="G84" i="1"/>
  <c r="H84" i="1"/>
  <c r="I84" i="1"/>
  <c r="J84" i="1"/>
  <c r="K84" i="1"/>
  <c r="L84" i="1"/>
  <c r="M84" i="1"/>
  <c r="N84" i="1"/>
  <c r="O84" i="1"/>
  <c r="D84" i="1"/>
  <c r="E80" i="1"/>
  <c r="F80" i="1"/>
  <c r="P80" i="1" s="1"/>
  <c r="G80" i="1"/>
  <c r="H80" i="1"/>
  <c r="I80" i="1"/>
  <c r="J80" i="1"/>
  <c r="K80" i="1"/>
  <c r="L80" i="1"/>
  <c r="M80" i="1"/>
  <c r="N80" i="1"/>
  <c r="O80" i="1"/>
  <c r="O81" i="1" s="1"/>
  <c r="D80" i="1"/>
  <c r="O166" i="1"/>
  <c r="N166" i="1"/>
  <c r="N155" i="1" s="1"/>
  <c r="M166" i="1"/>
  <c r="M155" i="1" s="1"/>
  <c r="L166" i="1"/>
  <c r="L155" i="1" s="1"/>
  <c r="K166" i="1"/>
  <c r="J166" i="1"/>
  <c r="J155" i="1" s="1"/>
  <c r="I166" i="1"/>
  <c r="I155" i="1" s="1"/>
  <c r="H166" i="1"/>
  <c r="H155" i="1" s="1"/>
  <c r="G166" i="1"/>
  <c r="F166" i="1"/>
  <c r="F155" i="1" s="1"/>
  <c r="E166" i="1"/>
  <c r="E155" i="1" s="1"/>
  <c r="D166" i="1"/>
  <c r="D165" i="1"/>
  <c r="P165" i="1" s="1"/>
  <c r="P164" i="1"/>
  <c r="P163" i="1"/>
  <c r="P162" i="1"/>
  <c r="R157" i="1"/>
  <c r="R155" i="1"/>
  <c r="O155" i="1"/>
  <c r="K155" i="1"/>
  <c r="G155" i="1"/>
  <c r="O153" i="1"/>
  <c r="N153" i="1"/>
  <c r="M153" i="1"/>
  <c r="L153" i="1"/>
  <c r="K153" i="1"/>
  <c r="J153" i="1"/>
  <c r="I153" i="1"/>
  <c r="H153" i="1"/>
  <c r="G153" i="1"/>
  <c r="F153" i="1"/>
  <c r="E153" i="1"/>
  <c r="N152" i="1"/>
  <c r="N160" i="1" s="1"/>
  <c r="J152" i="1"/>
  <c r="J160" i="1" s="1"/>
  <c r="F152" i="1"/>
  <c r="F160" i="1" s="1"/>
  <c r="K151" i="1"/>
  <c r="G151" i="1"/>
  <c r="P150" i="1"/>
  <c r="M149" i="1"/>
  <c r="M151" i="1" s="1"/>
  <c r="I149" i="1"/>
  <c r="I151" i="1" s="1"/>
  <c r="E149" i="1"/>
  <c r="E151" i="1" s="1"/>
  <c r="R146" i="1"/>
  <c r="R147" i="1" s="1"/>
  <c r="O146" i="1"/>
  <c r="N146" i="1"/>
  <c r="M146" i="1"/>
  <c r="L146" i="1"/>
  <c r="K146" i="1"/>
  <c r="J146" i="1"/>
  <c r="I146" i="1"/>
  <c r="H146" i="1"/>
  <c r="G146" i="1"/>
  <c r="F146" i="1"/>
  <c r="E146" i="1"/>
  <c r="D146" i="1"/>
  <c r="P146" i="1" s="1"/>
  <c r="O145" i="1"/>
  <c r="N145" i="1"/>
  <c r="M145" i="1"/>
  <c r="L145" i="1"/>
  <c r="K145" i="1"/>
  <c r="J145" i="1"/>
  <c r="I145" i="1"/>
  <c r="H145" i="1"/>
  <c r="G145" i="1"/>
  <c r="F145" i="1"/>
  <c r="E145" i="1"/>
  <c r="D145" i="1"/>
  <c r="P145" i="1" s="1"/>
  <c r="O144" i="1"/>
  <c r="O152" i="1" s="1"/>
  <c r="N144" i="1"/>
  <c r="M144" i="1"/>
  <c r="M152" i="1" s="1"/>
  <c r="L144" i="1"/>
  <c r="L152" i="1" s="1"/>
  <c r="K144" i="1"/>
  <c r="K152" i="1" s="1"/>
  <c r="J144" i="1"/>
  <c r="I144" i="1"/>
  <c r="I152" i="1" s="1"/>
  <c r="H144" i="1"/>
  <c r="H152" i="1" s="1"/>
  <c r="G144" i="1"/>
  <c r="G152" i="1" s="1"/>
  <c r="F144" i="1"/>
  <c r="E144" i="1"/>
  <c r="E152" i="1" s="1"/>
  <c r="D144" i="1"/>
  <c r="P144" i="1" s="1"/>
  <c r="O143" i="1"/>
  <c r="N143" i="1"/>
  <c r="M143" i="1"/>
  <c r="L143" i="1"/>
  <c r="L147" i="1" s="1"/>
  <c r="I143" i="1"/>
  <c r="H143" i="1"/>
  <c r="H147" i="1" s="1"/>
  <c r="E143" i="1"/>
  <c r="D143" i="1"/>
  <c r="D147" i="1" s="1"/>
  <c r="O142" i="1"/>
  <c r="N142" i="1"/>
  <c r="M142" i="1"/>
  <c r="M147" i="1" s="1"/>
  <c r="L142" i="1"/>
  <c r="K142" i="1"/>
  <c r="J142" i="1"/>
  <c r="I142" i="1"/>
  <c r="I147" i="1" s="1"/>
  <c r="H142" i="1"/>
  <c r="G142" i="1"/>
  <c r="F142" i="1"/>
  <c r="E142" i="1"/>
  <c r="E147" i="1" s="1"/>
  <c r="D142" i="1"/>
  <c r="O141" i="1"/>
  <c r="O149" i="1" s="1"/>
  <c r="O151" i="1" s="1"/>
  <c r="N141" i="1"/>
  <c r="M141" i="1"/>
  <c r="L141" i="1"/>
  <c r="L149" i="1" s="1"/>
  <c r="L151" i="1" s="1"/>
  <c r="K141" i="1"/>
  <c r="K149" i="1" s="1"/>
  <c r="J141" i="1"/>
  <c r="I141" i="1"/>
  <c r="H141" i="1"/>
  <c r="H149" i="1" s="1"/>
  <c r="H151" i="1" s="1"/>
  <c r="G141" i="1"/>
  <c r="G149" i="1" s="1"/>
  <c r="F141" i="1"/>
  <c r="E141" i="1"/>
  <c r="D141" i="1"/>
  <c r="D149" i="1" s="1"/>
  <c r="O138" i="1"/>
  <c r="N138" i="1"/>
  <c r="M138" i="1"/>
  <c r="L138" i="1"/>
  <c r="K138" i="1"/>
  <c r="J138" i="1"/>
  <c r="I138" i="1"/>
  <c r="H138" i="1"/>
  <c r="G138" i="1"/>
  <c r="F138" i="1"/>
  <c r="E138" i="1"/>
  <c r="D138" i="1"/>
  <c r="P137" i="1"/>
  <c r="P136" i="1"/>
  <c r="P135" i="1"/>
  <c r="P134" i="1"/>
  <c r="P133" i="1"/>
  <c r="P138" i="1" s="1"/>
  <c r="P132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P128" i="1"/>
  <c r="P127" i="1"/>
  <c r="P126" i="1"/>
  <c r="P125" i="1"/>
  <c r="P124" i="1"/>
  <c r="P123" i="1"/>
  <c r="P129" i="1" s="1"/>
  <c r="O120" i="1"/>
  <c r="N120" i="1"/>
  <c r="M120" i="1"/>
  <c r="I120" i="1"/>
  <c r="E120" i="1"/>
  <c r="P119" i="1"/>
  <c r="P118" i="1"/>
  <c r="M117" i="1"/>
  <c r="L117" i="1"/>
  <c r="L120" i="1" s="1"/>
  <c r="K117" i="1"/>
  <c r="K143" i="1" s="1"/>
  <c r="K147" i="1" s="1"/>
  <c r="J117" i="1"/>
  <c r="I117" i="1"/>
  <c r="H117" i="1"/>
  <c r="H120" i="1" s="1"/>
  <c r="G117" i="1"/>
  <c r="G143" i="1" s="1"/>
  <c r="G147" i="1" s="1"/>
  <c r="F117" i="1"/>
  <c r="E117" i="1"/>
  <c r="D117" i="1"/>
  <c r="D120" i="1" s="1"/>
  <c r="O114" i="1"/>
  <c r="N114" i="1"/>
  <c r="M114" i="1"/>
  <c r="L114" i="1"/>
  <c r="K114" i="1"/>
  <c r="J114" i="1"/>
  <c r="I114" i="1"/>
  <c r="H114" i="1"/>
  <c r="G114" i="1"/>
  <c r="F114" i="1"/>
  <c r="E114" i="1"/>
  <c r="D114" i="1"/>
  <c r="P113" i="1"/>
  <c r="P112" i="1"/>
  <c r="P111" i="1"/>
  <c r="P110" i="1"/>
  <c r="P109" i="1"/>
  <c r="P114" i="1" s="1"/>
  <c r="P108" i="1"/>
  <c r="A73" i="1"/>
  <c r="A71" i="1"/>
  <c r="A79" i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78" i="1"/>
  <c r="E66" i="1"/>
  <c r="D66" i="1"/>
  <c r="E65" i="1"/>
  <c r="D65" i="1"/>
  <c r="E52" i="1"/>
  <c r="D52" i="1"/>
  <c r="K14" i="1"/>
  <c r="K15" i="1" s="1"/>
  <c r="K17" i="1" s="1"/>
  <c r="K11" i="1"/>
  <c r="D50" i="1"/>
  <c r="D54" i="1" s="1"/>
  <c r="D64" i="1" s="1"/>
  <c r="A45" i="1"/>
  <c r="C54" i="1"/>
  <c r="D29" i="1"/>
  <c r="D28" i="1"/>
  <c r="D30" i="1" s="1"/>
  <c r="D27" i="1"/>
  <c r="D26" i="1"/>
  <c r="E21" i="1"/>
  <c r="D21" i="1"/>
  <c r="I19" i="1"/>
  <c r="H19" i="1"/>
  <c r="G19" i="1"/>
  <c r="G20" i="1" s="1"/>
  <c r="F19" i="1"/>
  <c r="D17" i="1"/>
  <c r="F15" i="1"/>
  <c r="E15" i="1"/>
  <c r="D15" i="1"/>
  <c r="I13" i="1"/>
  <c r="H13" i="1"/>
  <c r="C13" i="1" s="1"/>
  <c r="G13" i="1"/>
  <c r="G15" i="1" s="1"/>
  <c r="F13" i="1"/>
  <c r="E27" i="1" s="1"/>
  <c r="I11" i="1"/>
  <c r="F11" i="1"/>
  <c r="F17" i="1" s="1"/>
  <c r="E11" i="1"/>
  <c r="E17" i="1" s="1"/>
  <c r="E23" i="1" s="1"/>
  <c r="E37" i="1" s="1"/>
  <c r="E38" i="1" s="1"/>
  <c r="D11" i="1"/>
  <c r="H10" i="1"/>
  <c r="G10" i="1"/>
  <c r="C10" i="1" s="1"/>
  <c r="I9" i="1"/>
  <c r="H9" i="1"/>
  <c r="G9" i="1"/>
  <c r="F9" i="1"/>
  <c r="C9" i="1" s="1"/>
  <c r="AE49" i="4" l="1"/>
  <c r="AB21" i="4"/>
  <c r="AC17" i="4"/>
  <c r="AC18" i="4"/>
  <c r="AB28" i="4"/>
  <c r="AB30" i="4" s="1"/>
  <c r="AD27" i="4"/>
  <c r="AD29" i="4" s="1"/>
  <c r="AE4" i="4"/>
  <c r="AE50" i="4"/>
  <c r="AD53" i="4"/>
  <c r="AD60" i="4"/>
  <c r="AD62" i="4" s="1"/>
  <c r="AF59" i="4"/>
  <c r="AF61" i="4" s="1"/>
  <c r="AG36" i="4"/>
  <c r="R24" i="1"/>
  <c r="R26" i="1" s="1"/>
  <c r="K81" i="1"/>
  <c r="G81" i="1"/>
  <c r="N147" i="1"/>
  <c r="N149" i="1"/>
  <c r="N151" i="1" s="1"/>
  <c r="P166" i="1"/>
  <c r="H154" i="1"/>
  <c r="H156" i="1" s="1"/>
  <c r="H160" i="1"/>
  <c r="L160" i="1"/>
  <c r="L154" i="1"/>
  <c r="L156" i="1" s="1"/>
  <c r="F147" i="1"/>
  <c r="F149" i="1"/>
  <c r="F151" i="1" s="1"/>
  <c r="J149" i="1"/>
  <c r="J151" i="1" s="1"/>
  <c r="E160" i="1"/>
  <c r="E154" i="1"/>
  <c r="E156" i="1" s="1"/>
  <c r="I160" i="1"/>
  <c r="I154" i="1"/>
  <c r="I156" i="1" s="1"/>
  <c r="M160" i="1"/>
  <c r="M154" i="1"/>
  <c r="M156" i="1" s="1"/>
  <c r="D155" i="1"/>
  <c r="P155" i="1" s="1"/>
  <c r="F120" i="1"/>
  <c r="F143" i="1"/>
  <c r="J143" i="1"/>
  <c r="J147" i="1" s="1"/>
  <c r="J158" i="1" s="1"/>
  <c r="J120" i="1"/>
  <c r="P117" i="1"/>
  <c r="P120" i="1" s="1"/>
  <c r="D151" i="1"/>
  <c r="P142" i="1"/>
  <c r="P143" i="1"/>
  <c r="G154" i="1"/>
  <c r="G156" i="1" s="1"/>
  <c r="G160" i="1"/>
  <c r="K154" i="1"/>
  <c r="K156" i="1" s="1"/>
  <c r="K160" i="1"/>
  <c r="O154" i="1"/>
  <c r="O156" i="1" s="1"/>
  <c r="O160" i="1"/>
  <c r="O147" i="1"/>
  <c r="D152" i="1"/>
  <c r="F154" i="1"/>
  <c r="F156" i="1" s="1"/>
  <c r="J154" i="1"/>
  <c r="J156" i="1" s="1"/>
  <c r="N154" i="1"/>
  <c r="N156" i="1" s="1"/>
  <c r="G120" i="1"/>
  <c r="K120" i="1"/>
  <c r="P141" i="1"/>
  <c r="P147" i="1" s="1"/>
  <c r="K158" i="1" s="1"/>
  <c r="D153" i="1"/>
  <c r="P153" i="1" s="1"/>
  <c r="A90" i="1"/>
  <c r="A91" i="1" s="1"/>
  <c r="A92" i="1" s="1"/>
  <c r="A93" i="1" s="1"/>
  <c r="C90" i="1"/>
  <c r="M81" i="1"/>
  <c r="E81" i="1"/>
  <c r="L81" i="1"/>
  <c r="H81" i="1"/>
  <c r="I81" i="1"/>
  <c r="D81" i="1"/>
  <c r="F81" i="1"/>
  <c r="J81" i="1"/>
  <c r="N81" i="1"/>
  <c r="P84" i="1"/>
  <c r="D85" i="1" s="1"/>
  <c r="D67" i="1"/>
  <c r="G21" i="1"/>
  <c r="K20" i="1"/>
  <c r="K21" i="1" s="1"/>
  <c r="K23" i="1"/>
  <c r="C15" i="1"/>
  <c r="C19" i="1"/>
  <c r="G11" i="1"/>
  <c r="C11" i="1" s="1"/>
  <c r="H11" i="1"/>
  <c r="E29" i="1"/>
  <c r="G17" i="1"/>
  <c r="G23" i="1" s="1"/>
  <c r="E50" i="1" s="1"/>
  <c r="E54" i="1" s="1"/>
  <c r="E64" i="1" s="1"/>
  <c r="E67" i="1" s="1"/>
  <c r="D23" i="1"/>
  <c r="F21" i="1"/>
  <c r="F23" i="1" s="1"/>
  <c r="F37" i="1" s="1"/>
  <c r="F38" i="1" s="1"/>
  <c r="E26" i="1"/>
  <c r="AE60" i="4" l="1"/>
  <c r="AE62" i="4" s="1"/>
  <c r="AF49" i="4"/>
  <c r="AC28" i="4"/>
  <c r="AC30" i="4" s="1"/>
  <c r="AD17" i="4"/>
  <c r="AC21" i="4"/>
  <c r="AF50" i="4"/>
  <c r="AE53" i="4"/>
  <c r="AG59" i="4"/>
  <c r="AG61" i="4" s="1"/>
  <c r="AH36" i="4"/>
  <c r="AE27" i="4"/>
  <c r="AE29" i="4" s="1"/>
  <c r="AF4" i="4"/>
  <c r="AD18" i="4"/>
  <c r="P81" i="1"/>
  <c r="D158" i="1"/>
  <c r="F158" i="1"/>
  <c r="E158" i="1"/>
  <c r="I158" i="1"/>
  <c r="H158" i="1"/>
  <c r="G158" i="1"/>
  <c r="M158" i="1"/>
  <c r="N158" i="1"/>
  <c r="D154" i="1"/>
  <c r="D160" i="1"/>
  <c r="P160" i="1" s="1"/>
  <c r="P152" i="1"/>
  <c r="O158" i="1"/>
  <c r="L158" i="1"/>
  <c r="P149" i="1"/>
  <c r="P151" i="1" s="1"/>
  <c r="P90" i="1"/>
  <c r="N85" i="1"/>
  <c r="F85" i="1"/>
  <c r="M85" i="1"/>
  <c r="E85" i="1"/>
  <c r="J85" i="1"/>
  <c r="I85" i="1"/>
  <c r="O85" i="1"/>
  <c r="L85" i="1"/>
  <c r="K85" i="1"/>
  <c r="P94" i="1"/>
  <c r="H85" i="1"/>
  <c r="G85" i="1"/>
  <c r="C94" i="1"/>
  <c r="A94" i="1"/>
  <c r="A95" i="1" s="1"/>
  <c r="A96" i="1" s="1"/>
  <c r="A97" i="1" s="1"/>
  <c r="C23" i="1"/>
  <c r="D37" i="1"/>
  <c r="D38" i="1" s="1"/>
  <c r="C21" i="1"/>
  <c r="E28" i="1"/>
  <c r="E30" i="1" s="1"/>
  <c r="C17" i="1"/>
  <c r="AF60" i="4" l="1"/>
  <c r="AF62" i="4" s="1"/>
  <c r="AG49" i="4"/>
  <c r="AE17" i="4"/>
  <c r="AI36" i="4"/>
  <c r="AH59" i="4"/>
  <c r="AH61" i="4" s="1"/>
  <c r="AE18" i="4"/>
  <c r="AD21" i="4"/>
  <c r="AD28" i="4"/>
  <c r="AD30" i="4" s="1"/>
  <c r="AG4" i="4"/>
  <c r="AF27" i="4"/>
  <c r="AF29" i="4" s="1"/>
  <c r="AG50" i="4"/>
  <c r="AF53" i="4"/>
  <c r="P85" i="1"/>
  <c r="D156" i="1"/>
  <c r="P154" i="1"/>
  <c r="P156" i="1" s="1"/>
  <c r="P158" i="1"/>
  <c r="AE28" i="4" l="1"/>
  <c r="AE30" i="4" s="1"/>
  <c r="AH49" i="4"/>
  <c r="AF17" i="4"/>
  <c r="AI59" i="4"/>
  <c r="AI61" i="4" s="1"/>
  <c r="AJ36" i="4"/>
  <c r="AH50" i="4"/>
  <c r="AG53" i="4"/>
  <c r="AG27" i="4"/>
  <c r="AG29" i="4" s="1"/>
  <c r="AH4" i="4"/>
  <c r="AF18" i="4"/>
  <c r="AE21" i="4"/>
  <c r="AG60" i="4"/>
  <c r="AG62" i="4" s="1"/>
  <c r="AH60" i="4" l="1"/>
  <c r="AH62" i="4" s="1"/>
  <c r="AI49" i="4"/>
  <c r="AG17" i="4"/>
  <c r="AG18" i="4"/>
  <c r="AF21" i="4"/>
  <c r="AH27" i="4"/>
  <c r="AH29" i="4" s="1"/>
  <c r="AI4" i="4"/>
  <c r="AI50" i="4"/>
  <c r="AH53" i="4"/>
  <c r="AF28" i="4"/>
  <c r="AF30" i="4" s="1"/>
  <c r="AJ59" i="4"/>
  <c r="AJ61" i="4" s="1"/>
  <c r="AK36" i="4"/>
  <c r="AI60" i="4" l="1"/>
  <c r="AI62" i="4" s="1"/>
  <c r="AJ49" i="4"/>
  <c r="AG28" i="4"/>
  <c r="AG30" i="4" s="1"/>
  <c r="AH17" i="4"/>
  <c r="AM39" i="4"/>
  <c r="AL42" i="4" s="1"/>
  <c r="AM42" i="4" s="1"/>
  <c r="AN42" i="4" s="1"/>
  <c r="AO42" i="4" s="1"/>
  <c r="AP42" i="4" s="1"/>
  <c r="AQ42" i="4" s="1"/>
  <c r="AR42" i="4" s="1"/>
  <c r="AS42" i="4" s="1"/>
  <c r="AT42" i="4" s="1"/>
  <c r="AU42" i="4" s="1"/>
  <c r="AV42" i="4" s="1"/>
  <c r="AW42" i="4" s="1"/>
  <c r="AK59" i="4"/>
  <c r="AK61" i="4" s="1"/>
  <c r="AJ50" i="4"/>
  <c r="AI53" i="4"/>
  <c r="AI27" i="4"/>
  <c r="AI29" i="4" s="1"/>
  <c r="AJ4" i="4"/>
  <c r="AH18" i="4"/>
  <c r="AG21" i="4"/>
  <c r="AH28" i="4" l="1"/>
  <c r="AH30" i="4" s="1"/>
  <c r="AK49" i="4"/>
  <c r="AJ60" i="4"/>
  <c r="AJ62" i="4" s="1"/>
  <c r="AI17" i="4"/>
  <c r="AJ27" i="4"/>
  <c r="AJ29" i="4" s="1"/>
  <c r="AK4" i="4"/>
  <c r="AK50" i="4"/>
  <c r="AJ53" i="4"/>
  <c r="AI18" i="4"/>
  <c r="AH21" i="4"/>
  <c r="AK60" i="4" l="1"/>
  <c r="AK62" i="4" s="1"/>
  <c r="AI28" i="4"/>
  <c r="AI30" i="4" s="1"/>
  <c r="AL37" i="4"/>
  <c r="AL38" i="4" s="1"/>
  <c r="AL40" i="4" s="1"/>
  <c r="AL36" i="4" s="1"/>
  <c r="AJ17" i="4"/>
  <c r="AK53" i="4"/>
  <c r="AJ18" i="4"/>
  <c r="AI21" i="4"/>
  <c r="AM7" i="4"/>
  <c r="AL10" i="4" s="1"/>
  <c r="AM10" i="4" s="1"/>
  <c r="AN10" i="4" s="1"/>
  <c r="AO10" i="4" s="1"/>
  <c r="AP10" i="4" s="1"/>
  <c r="AQ10" i="4" s="1"/>
  <c r="AR10" i="4" s="1"/>
  <c r="AS10" i="4" s="1"/>
  <c r="AT10" i="4" s="1"/>
  <c r="AU10" i="4" s="1"/>
  <c r="AV10" i="4" s="1"/>
  <c r="AW10" i="4" s="1"/>
  <c r="AK27" i="4"/>
  <c r="AK29" i="4" s="1"/>
  <c r="AL59" i="4" l="1"/>
  <c r="AL50" i="4" s="1"/>
  <c r="AM38" i="4"/>
  <c r="AM36" i="4"/>
  <c r="AK17" i="4"/>
  <c r="AK18" i="4"/>
  <c r="AJ21" i="4"/>
  <c r="AJ28" i="4"/>
  <c r="AJ30" i="4" s="1"/>
  <c r="AK28" i="4" l="1"/>
  <c r="AK30" i="4" s="1"/>
  <c r="AN36" i="4"/>
  <c r="AM59" i="4"/>
  <c r="AL61" i="4"/>
  <c r="AL49" i="4"/>
  <c r="AL5" i="4"/>
  <c r="AL6" i="4" s="1"/>
  <c r="AL8" i="4" s="1"/>
  <c r="AL4" i="4" s="1"/>
  <c r="AM6" i="4" s="1"/>
  <c r="AK21" i="4"/>
  <c r="AM61" i="4" l="1"/>
  <c r="AM50" i="4"/>
  <c r="AO36" i="4"/>
  <c r="AN59" i="4"/>
  <c r="AN61" i="4" s="1"/>
  <c r="AL53" i="4"/>
  <c r="AM49" i="4"/>
  <c r="AL60" i="4"/>
  <c r="AL62" i="4" s="1"/>
  <c r="AL27" i="4"/>
  <c r="AL18" i="4" s="1"/>
  <c r="AM4" i="4"/>
  <c r="AN50" i="4" l="1"/>
  <c r="AM53" i="4"/>
  <c r="AN49" i="4"/>
  <c r="AM60" i="4"/>
  <c r="AM62" i="4" s="1"/>
  <c r="AO59" i="4"/>
  <c r="AO61" i="4" s="1"/>
  <c r="AP36" i="4"/>
  <c r="AN4" i="4"/>
  <c r="AM27" i="4"/>
  <c r="AL17" i="4"/>
  <c r="AL29" i="4"/>
  <c r="AO50" i="4" l="1"/>
  <c r="AN60" i="4"/>
  <c r="AN62" i="4" s="1"/>
  <c r="AP59" i="4"/>
  <c r="AP61" i="4" s="1"/>
  <c r="AQ36" i="4"/>
  <c r="AO49" i="4"/>
  <c r="AN53" i="4"/>
  <c r="AM29" i="4"/>
  <c r="AM18" i="4"/>
  <c r="AL28" i="4"/>
  <c r="AL30" i="4" s="1"/>
  <c r="AM17" i="4"/>
  <c r="AL21" i="4"/>
  <c r="AN27" i="4"/>
  <c r="AN29" i="4" s="1"/>
  <c r="AO4" i="4"/>
  <c r="AP50" i="4" l="1"/>
  <c r="AO53" i="4"/>
  <c r="AO60" i="4"/>
  <c r="AO62" i="4" s="1"/>
  <c r="AP49" i="4"/>
  <c r="AR36" i="4"/>
  <c r="AQ59" i="4"/>
  <c r="AN18" i="4"/>
  <c r="AN17" i="4"/>
  <c r="AM21" i="4"/>
  <c r="AM28" i="4"/>
  <c r="AM30" i="4" s="1"/>
  <c r="AP4" i="4"/>
  <c r="AO27" i="4"/>
  <c r="AO29" i="4" s="1"/>
  <c r="AP60" i="4" l="1"/>
  <c r="AP62" i="4" s="1"/>
  <c r="AQ61" i="4"/>
  <c r="AQ50" i="4"/>
  <c r="AP53" i="4"/>
  <c r="AQ49" i="4"/>
  <c r="AR59" i="4"/>
  <c r="AR61" i="4" s="1"/>
  <c r="AS36" i="4"/>
  <c r="AO18" i="4"/>
  <c r="AQ4" i="4"/>
  <c r="AP27" i="4"/>
  <c r="AP29" i="4" s="1"/>
  <c r="AN21" i="4"/>
  <c r="AN28" i="4"/>
  <c r="AN30" i="4" s="1"/>
  <c r="AO17" i="4"/>
  <c r="AR50" i="4" l="1"/>
  <c r="AS59" i="4"/>
  <c r="AS61" i="4" s="1"/>
  <c r="AT36" i="4"/>
  <c r="AQ53" i="4"/>
  <c r="AQ60" i="4"/>
  <c r="AQ62" i="4" s="1"/>
  <c r="AR49" i="4"/>
  <c r="AP18" i="4"/>
  <c r="AO21" i="4"/>
  <c r="AO28" i="4"/>
  <c r="AO30" i="4" s="1"/>
  <c r="AP17" i="4"/>
  <c r="AQ27" i="4"/>
  <c r="AQ29" i="4" s="1"/>
  <c r="AR4" i="4"/>
  <c r="AS50" i="4" l="1"/>
  <c r="AR60" i="4"/>
  <c r="AR62" i="4" s="1"/>
  <c r="AS49" i="4"/>
  <c r="AR53" i="4"/>
  <c r="AT59" i="4"/>
  <c r="AT61" i="4" s="1"/>
  <c r="AU36" i="4"/>
  <c r="AQ18" i="4"/>
  <c r="AQ17" i="4"/>
  <c r="AP28" i="4"/>
  <c r="AP30" i="4" s="1"/>
  <c r="AP21" i="4"/>
  <c r="AS4" i="4"/>
  <c r="AR27" i="4"/>
  <c r="AR29" i="4" s="1"/>
  <c r="AT50" i="4" l="1"/>
  <c r="AS53" i="4"/>
  <c r="AT49" i="4"/>
  <c r="AV36" i="4"/>
  <c r="AU59" i="4"/>
  <c r="AU61" i="4" s="1"/>
  <c r="AS60" i="4"/>
  <c r="AS62" i="4" s="1"/>
  <c r="AR18" i="4"/>
  <c r="AS27" i="4"/>
  <c r="AS29" i="4" s="1"/>
  <c r="AT4" i="4"/>
  <c r="AR17" i="4"/>
  <c r="AQ28" i="4"/>
  <c r="AQ30" i="4" s="1"/>
  <c r="AQ21" i="4"/>
  <c r="AU50" i="4" l="1"/>
  <c r="AV59" i="4"/>
  <c r="AV61" i="4" s="1"/>
  <c r="AW36" i="4"/>
  <c r="AW59" i="4" s="1"/>
  <c r="AW61" i="4" s="1"/>
  <c r="AU49" i="4"/>
  <c r="AT53" i="4"/>
  <c r="AT60" i="4"/>
  <c r="AT62" i="4" s="1"/>
  <c r="AS18" i="4"/>
  <c r="AR21" i="4"/>
  <c r="AR28" i="4"/>
  <c r="AR30" i="4" s="1"/>
  <c r="AS17" i="4"/>
  <c r="AT27" i="4"/>
  <c r="AT29" i="4" s="1"/>
  <c r="AU4" i="4"/>
  <c r="AV50" i="4" l="1"/>
  <c r="AW50" i="4" s="1"/>
  <c r="AU60" i="4"/>
  <c r="AU62" i="4" s="1"/>
  <c r="AV49" i="4"/>
  <c r="AU53" i="4"/>
  <c r="AT18" i="4"/>
  <c r="AT17" i="4"/>
  <c r="AS21" i="4"/>
  <c r="AS28" i="4"/>
  <c r="AS30" i="4" s="1"/>
  <c r="AU27" i="4"/>
  <c r="AU29" i="4" s="1"/>
  <c r="AV4" i="4"/>
  <c r="AT28" i="4" l="1"/>
  <c r="AT30" i="4" s="1"/>
  <c r="AV60" i="4"/>
  <c r="AV62" i="4" s="1"/>
  <c r="AV53" i="4"/>
  <c r="AW49" i="4"/>
  <c r="AU18" i="4"/>
  <c r="AW4" i="4"/>
  <c r="AW27" i="4" s="1"/>
  <c r="AW29" i="4" s="1"/>
  <c r="AV27" i="4"/>
  <c r="AV29" i="4" s="1"/>
  <c r="AU17" i="4"/>
  <c r="AT21" i="4"/>
  <c r="AW53" i="4" l="1"/>
  <c r="AW60" i="4"/>
  <c r="AW62" i="4" s="1"/>
  <c r="AV18" i="4"/>
  <c r="AW18" i="4" s="1"/>
  <c r="AV17" i="4"/>
  <c r="AU28" i="4"/>
  <c r="AU30" i="4" s="1"/>
  <c r="AU21" i="4"/>
  <c r="AW17" i="4" l="1"/>
  <c r="AV21" i="4"/>
  <c r="AV28" i="4"/>
  <c r="AV30" i="4" s="1"/>
  <c r="AW21" i="4" l="1"/>
  <c r="AW28" i="4"/>
  <c r="AW30" i="4" s="1"/>
</calcChain>
</file>

<file path=xl/comments1.xml><?xml version="1.0" encoding="utf-8"?>
<comments xmlns="http://schemas.openxmlformats.org/spreadsheetml/2006/main">
  <authors>
    <author>Author</author>
  </authors>
  <commentList>
    <comment ref="B112" authorId="0" shapeId="0">
      <text>
        <r>
          <rPr>
            <b/>
            <sz val="8"/>
            <color rgb="FF000000"/>
            <rFont val="Tahoma"/>
            <family val="2"/>
          </rPr>
          <t>Author:</t>
        </r>
        <r>
          <rPr>
            <sz val="8"/>
            <color rgb="FF000000"/>
            <rFont val="Tahoma"/>
            <family val="2"/>
          </rPr>
          <t xml:space="preserve">
actual billed usage
</t>
        </r>
      </text>
    </comment>
  </commentList>
</comments>
</file>

<file path=xl/comments10.xml><?xml version="1.0" encoding="utf-8"?>
<comments xmlns="http://schemas.openxmlformats.org/spreadsheetml/2006/main">
  <authors>
    <author>Author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calendar sales volume report
</t>
        </r>
      </text>
    </comment>
    <comment ref="AB15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excludes Schedules 112 and 122 as 2017 based amortization does not apply to them.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calculated average energy rate from billed Sch 102 revenue times unbilled therms</t>
        </r>
      </text>
    </comment>
  </commentList>
</comments>
</file>

<file path=xl/comments11.xml><?xml version="1.0" encoding="utf-8"?>
<comments xmlns="http://schemas.openxmlformats.org/spreadsheetml/2006/main">
  <authors>
    <author>Author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calendar sales volume report
</t>
        </r>
      </text>
    </comment>
    <comment ref="AB15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excludes Schedules 112 and 122 as 2017 based amortization does not apply to them.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calculated average energy rate from billed Sch 102 revenue times unbilled therms</t>
        </r>
      </text>
    </comment>
  </commentList>
</comments>
</file>

<file path=xl/comments12.xml><?xml version="1.0" encoding="utf-8"?>
<comments xmlns="http://schemas.openxmlformats.org/spreadsheetml/2006/main">
  <authors>
    <author>Author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calendar sales volume report
</t>
        </r>
      </text>
    </comment>
    <comment ref="AB15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excludes Schedules 112 and 122 as 2017 based amortization does not apply to them.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calculated average energy rate from billed Sch 102 revenue times unbilled therms</t>
        </r>
      </text>
    </comment>
  </commentList>
</comments>
</file>

<file path=xl/comments13.xml><?xml version="1.0" encoding="utf-8"?>
<comments xmlns="http://schemas.openxmlformats.org/spreadsheetml/2006/main">
  <authors>
    <author>Author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calendar sales volume report
</t>
        </r>
      </text>
    </comment>
    <comment ref="AB15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excludes Schedules 112 and 122 as 2017 based amortization does not apply to them.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calculated average energy rate from billed Sch 102 revenue times unbilled therms</t>
        </r>
      </text>
    </comment>
  </commentList>
</comments>
</file>

<file path=xl/comments14.xml><?xml version="1.0" encoding="utf-8"?>
<comments xmlns="http://schemas.openxmlformats.org/spreadsheetml/2006/main">
  <authors>
    <author>Author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calendar sales volume report
</t>
        </r>
      </text>
    </comment>
    <comment ref="AB15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excludes Schedules 112 and 122 as 2017 based amortization does not apply to them.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calculated average energy rate from billed Sch 102 revenue times unbilled therms</t>
        </r>
      </text>
    </comment>
  </commentList>
</comments>
</file>

<file path=xl/comments15.xml><?xml version="1.0" encoding="utf-8"?>
<comments xmlns="http://schemas.openxmlformats.org/spreadsheetml/2006/main">
  <authors>
    <author>Author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calendar sales volume report
</t>
        </r>
      </text>
    </comment>
    <comment ref="AB15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excludes Schedules 112 and 122 as 2017 based amortization does not apply to them.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calculated average energy rate from billed Sch 102 revenue times unbilled therms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January through July forecast values from GSFM December MidMonth 12 13 18 pricing v3...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D70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value in prior month before entering any deferral data in following month column</t>
        </r>
      </text>
    </comment>
    <comment ref="D74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  <comment ref="E74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  <comment ref="F74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  <comment ref="H74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  <comment ref="I74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  <comment ref="J74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  <comment ref="K74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  <comment ref="L74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  <comment ref="M74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  <comment ref="N74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calendar sales volume report
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calculated average energy rate from billed Sch 102 revenue times unbilled therms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calendar sales volume report
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calculated average energy rate from billed Sch 102 revenue times unbilled therms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calendar sales volume report
</t>
        </r>
      </text>
    </comment>
    <comment ref="AB15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excludes Schedules 112 and 122 as 2017 based amortization does not apply to them.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calculated average energy rate from billed Sch 102 revenue times unbilled therms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calendar sales volume report
</t>
        </r>
      </text>
    </comment>
    <comment ref="AB15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excludes Schedules 112 and 122 as 2017 based amortization does not apply to them.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calculated average energy rate from billed Sch 102 revenue times unbilled therms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calendar sales volume report
</t>
        </r>
      </text>
    </comment>
    <comment ref="AB15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excludes Schedules 112 and 122 as 2017 based amortization does not apply to them.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calculated average energy rate from billed Sch 102 revenue times unbilled therms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calendar sales volume report
</t>
        </r>
      </text>
    </comment>
    <comment ref="AB15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excludes Schedules 112 and 122 as 2017 based amortization does not apply to them.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calculated average energy rate from billed Sch 102 revenue times unbilled therms</t>
        </r>
      </text>
    </comment>
  </commentList>
</comments>
</file>

<file path=xl/sharedStrings.xml><?xml version="1.0" encoding="utf-8"?>
<sst xmlns="http://schemas.openxmlformats.org/spreadsheetml/2006/main" count="1825" uniqueCount="338">
  <si>
    <t>Avista Utilities</t>
  </si>
  <si>
    <t>Natural Gas Decoupling Mechanism</t>
  </si>
  <si>
    <t>Development of Decoupled Revenue by Rate Schedule - Natural Gas</t>
  </si>
  <si>
    <t>Washington Docket No. UG-170486 Compliance Filing</t>
  </si>
  <si>
    <t xml:space="preserve"> </t>
  </si>
  <si>
    <t>RESIDENTIAL</t>
  </si>
  <si>
    <t xml:space="preserve">GENERAL SVC. </t>
  </si>
  <si>
    <t>LG. GEN. SVC.</t>
  </si>
  <si>
    <t>INTERRUPTIBLE</t>
  </si>
  <si>
    <t>SCHEDULES</t>
  </si>
  <si>
    <t>TOTAL</t>
  </si>
  <si>
    <t>SCHEDULE 101/102</t>
  </si>
  <si>
    <t>SCH. 111/112/116</t>
  </si>
  <si>
    <t>SCH. 121/122/126</t>
  </si>
  <si>
    <t>SCH 131</t>
  </si>
  <si>
    <t>146 &amp; 148</t>
  </si>
  <si>
    <t>Total Normalized 12 ME Dec 2016 Revenue</t>
  </si>
  <si>
    <t>Allowed Revenue Decrease (Attachment 2)</t>
  </si>
  <si>
    <t>Allowed Base Rate Revenue</t>
  </si>
  <si>
    <t>Normalized Therms (12ME Dec 2016 Test Year)</t>
  </si>
  <si>
    <t>Schedule 150 PGA Rates excluded from base rates</t>
  </si>
  <si>
    <t>Variable Gas Supply Revenue</t>
  </si>
  <si>
    <t>Delivery Revenue  (Ln 3 - Ln 6)</t>
  </si>
  <si>
    <t>Customer Bills (12ME Dec 2016 Test Year)</t>
  </si>
  <si>
    <t xml:space="preserve"> Allowed Basic / Minimum Charges</t>
  </si>
  <si>
    <t>Basic Charge Revenue (Ln 8 * Ln 9)</t>
  </si>
  <si>
    <t>Excluded From Decoupling</t>
  </si>
  <si>
    <t>Decoupled Revenue</t>
  </si>
  <si>
    <t>Residential</t>
  </si>
  <si>
    <t>Non-Residential Group</t>
  </si>
  <si>
    <t>Average Number of Customers (Line 8 / 12)</t>
  </si>
  <si>
    <t>Annual Therms</t>
  </si>
  <si>
    <t>Basic Charge Revenues</t>
  </si>
  <si>
    <t>Customer Bills</t>
  </si>
  <si>
    <t>Average Basic Charge</t>
  </si>
  <si>
    <t>Attachment 5, Page 1</t>
  </si>
  <si>
    <t>check calculations - DO NOT PRINT</t>
  </si>
  <si>
    <t>avg decoupled rev/th</t>
  </si>
  <si>
    <t>check to avg rates</t>
  </si>
  <si>
    <t>Development of Decoupled Revenue Per Customer - Natural Gas</t>
  </si>
  <si>
    <t>Line No.</t>
  </si>
  <si>
    <t>Source</t>
  </si>
  <si>
    <t>Residential Schedules*</t>
  </si>
  <si>
    <t>Non-Residential Schedules**</t>
  </si>
  <si>
    <t>(a)</t>
  </si>
  <si>
    <t>(b)</t>
  </si>
  <si>
    <t>(c)</t>
  </si>
  <si>
    <t>(d)</t>
  </si>
  <si>
    <t>Decoupled Revenues</t>
  </si>
  <si>
    <t>Test Year # of Customers 12 ME12.2016</t>
  </si>
  <si>
    <t>Revenue Data</t>
  </si>
  <si>
    <t>Decoupled Revenue Per Customer</t>
  </si>
  <si>
    <t xml:space="preserve">*Rate Schedules 101, 102.  </t>
  </si>
  <si>
    <t xml:space="preserve">**Rate Schedules 111, 112, 116, 121, 122, 126, 131.  </t>
  </si>
  <si>
    <t>Attachment 5, Page 2</t>
  </si>
  <si>
    <t>Revenues</t>
  </si>
  <si>
    <t>From Revenue Per Customer</t>
  </si>
  <si>
    <t>From Basic Charges</t>
  </si>
  <si>
    <t>From Gas Supply</t>
  </si>
  <si>
    <t>Total</t>
  </si>
  <si>
    <t>Schedule</t>
  </si>
  <si>
    <t>'Development of Monthly Decoupled Revenue Per Customer - Natural Gas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</si>
  <si>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</si>
  <si>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</si>
  <si>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</si>
  <si>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</si>
  <si>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</si>
  <si>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</si>
  <si>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</si>
  <si>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</si>
  <si>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</si>
  <si>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</si>
  <si>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</si>
  <si>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</si>
  <si>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</si>
  <si>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</si>
  <si>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</si>
  <si>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</si>
  <si>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</si>
  <si>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</si>
  <si>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</si>
  <si>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</si>
  <si>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</si>
  <si>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</si>
  <si>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</si>
  <si>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Natural Gas Delivery Volume</t>
  </si>
  <si>
    <t>Residential*</t>
  </si>
  <si>
    <t xml:space="preserve"> - Weather-Normalized Therm Delivery Volume</t>
  </si>
  <si>
    <t>Monthly Rate Year</t>
  </si>
  <si>
    <t xml:space="preserve">  - % of Annual Total</t>
  </si>
  <si>
    <t>% of Total</t>
  </si>
  <si>
    <t>Non-Residential**</t>
  </si>
  <si>
    <t>Monthly Decoupled Revenue Per Customer ("RPC")</t>
  </si>
  <si>
    <t xml:space="preserve">  -UG-150205 Decoupled RPC</t>
  </si>
  <si>
    <t>Attachment 5, P. 2 L. 3</t>
  </si>
  <si>
    <t xml:space="preserve">  -Monthly Decoupled RPC</t>
  </si>
  <si>
    <t>Attachment 5, Page 3</t>
  </si>
  <si>
    <t>WUTC Docket No. UG-17____</t>
  </si>
  <si>
    <t>Normalized Usage by Month</t>
  </si>
  <si>
    <t>Twelve Months Ended December 31, 2016</t>
  </si>
  <si>
    <t>WASHINGTON GAS SYSTEM</t>
  </si>
  <si>
    <t>Annual Total</t>
  </si>
  <si>
    <t>Revenue Run Billed Usage</t>
  </si>
  <si>
    <t>Small Service Schedule 101/102</t>
  </si>
  <si>
    <t>Large Service Schedule 111/112</t>
  </si>
  <si>
    <t>Extra Large Service Schedule 121/122</t>
  </si>
  <si>
    <t>Interrupt Service Schedule 131/132</t>
  </si>
  <si>
    <t>Transport Service Schedule 146</t>
  </si>
  <si>
    <t>Special Contract Transport</t>
  </si>
  <si>
    <t>Total Revenue Run Billed Usage</t>
  </si>
  <si>
    <t>Adjustments to Revenue Runs</t>
  </si>
  <si>
    <t>Schedule 121/122 Adjustments</t>
  </si>
  <si>
    <t>Schedule 132 Adjustments</t>
  </si>
  <si>
    <t>Schedule 146 Adjustments</t>
  </si>
  <si>
    <t>Total Adjustments to Revenue Runs</t>
  </si>
  <si>
    <t>Net Unbilled Usage</t>
  </si>
  <si>
    <t>Weather Adjustment</t>
  </si>
  <si>
    <t>Total Weather Adjustment</t>
  </si>
  <si>
    <t>Normalized Test Year Usage</t>
  </si>
  <si>
    <t>Erhbar wp</t>
  </si>
  <si>
    <t>Total Normalized Test Year Usage</t>
  </si>
  <si>
    <t>Residential Usage</t>
  </si>
  <si>
    <t>Schedule 101/102 Customers</t>
  </si>
  <si>
    <t>101/102</t>
  </si>
  <si>
    <t>Schedule 101 Norm Use/Customer</t>
  </si>
  <si>
    <t>Schedule 132 Usage</t>
  </si>
  <si>
    <t>111/112</t>
  </si>
  <si>
    <t>Schedule 132 Customers</t>
  </si>
  <si>
    <t>121/122</t>
  </si>
  <si>
    <t>Non-Residential Group Usage</t>
  </si>
  <si>
    <t>131/132</t>
  </si>
  <si>
    <t>Non-Residential Group Customers</t>
  </si>
  <si>
    <t>Sum</t>
  </si>
  <si>
    <t>Non-Residential Group Norm Use/Customer</t>
  </si>
  <si>
    <t>112/122/132</t>
  </si>
  <si>
    <t>Non-Res Group</t>
  </si>
  <si>
    <t>WA Jurisdiction % of Annual Usage</t>
  </si>
  <si>
    <t>Schedule 122</t>
  </si>
  <si>
    <t>Schedule 111/112 Customers</t>
  </si>
  <si>
    <t>Schedule 121/122 Customers</t>
  </si>
  <si>
    <t>Schedule Shifting 121 to 146</t>
  </si>
  <si>
    <t>Schedlule 131/132 Customers</t>
  </si>
  <si>
    <t>AVISTA UTILITIES</t>
  </si>
  <si>
    <t>REVENUE CONVERSION FACTOR</t>
  </si>
  <si>
    <t>WASHINGTON NATURAL GAS</t>
  </si>
  <si>
    <t>TWELVE MONTHS ENDED DECEMBER 31, 2016</t>
  </si>
  <si>
    <t>With Tax Reform</t>
  </si>
  <si>
    <t xml:space="preserve">Line </t>
  </si>
  <si>
    <t>No.</t>
  </si>
  <si>
    <t>Description</t>
  </si>
  <si>
    <t>Factor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</si>
  <si>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</si>
  <si>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</si>
  <si>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</si>
  <si>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</si>
  <si>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</si>
  <si>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</si>
  <si>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 xml:space="preserve">  Federal Income Tax @ 21%</t>
  </si>
  <si>
    <t>(Per Order No. 6; UE-120437, dated 6/20/2012 - "hard" CF rounded to 6 digits)</t>
  </si>
  <si>
    <t>Revised Conversion Factor per Bench Request 9, Attachment B Page 4</t>
  </si>
  <si>
    <t>Attachment 5, Page 4</t>
  </si>
  <si>
    <t>Residential Group</t>
  </si>
  <si>
    <t>Actual Customers</t>
  </si>
  <si>
    <t>Revenue System</t>
  </si>
  <si>
    <t>Monthly Decoupled Revenue per Customer</t>
  </si>
  <si>
    <t>Actual Usage (informational only)</t>
  </si>
  <si>
    <t>Actual Base Rate Revenue 
(Excludes Gas Costs)</t>
  </si>
  <si>
    <t>Actual Fixed Charge Revenue</t>
  </si>
  <si>
    <t>Customer Decoupled Payments</t>
  </si>
  <si>
    <t>Residential Revenue Per Customer Received</t>
  </si>
  <si>
    <t>Deferral - Surcharge (Rebate)</t>
  </si>
  <si>
    <t>Deferral - Revenue Related Expenses</t>
  </si>
  <si>
    <t>Rev Conv Factor</t>
  </si>
  <si>
    <t>FERC Rate</t>
  </si>
  <si>
    <t>Interest on Deferral</t>
  </si>
  <si>
    <t>Avg Balance Calc</t>
  </si>
  <si>
    <t>Monthly Residential Deferral Totals</t>
  </si>
  <si>
    <t>Cumulative Deferral (Rebate) Balance</t>
  </si>
  <si>
    <t>Non-Residential Revenue Per Customer Received</t>
  </si>
  <si>
    <t>Monthly Non-Residential Deferral Totals</t>
  </si>
  <si>
    <t>Cumulative Deferral Surcharge(Rebate) Balance</t>
  </si>
  <si>
    <t>Total Cumulative Deferral (Rebate)</t>
  </si>
  <si>
    <t>Accounting Entries</t>
  </si>
  <si>
    <t>Debit (Credit)</t>
  </si>
  <si>
    <t>GDWA</t>
  </si>
  <si>
    <t>495328 Res Decoupling Deferral</t>
  </si>
  <si>
    <t>431328 Interest Expense (formerly 431605)</t>
  </si>
  <si>
    <t>419328 Interest Income (formerly 419605)</t>
  </si>
  <si>
    <t>186328 Residential Decoupled Deferred Revenue</t>
  </si>
  <si>
    <t>495329 Amortization Residential Decoupling Def Revenue</t>
  </si>
  <si>
    <t>182328 Reg Asset Residential Decoupling Surcharge</t>
  </si>
  <si>
    <t>254328 Reg Liability Residential Decoupling Rebate</t>
  </si>
  <si>
    <t xml:space="preserve">495338 Non-Res Decoupling Deferral </t>
  </si>
  <si>
    <t>186338 Non-Residential Decoupled Deferred Revenue</t>
  </si>
  <si>
    <t>495339 Amortization Non-Resid Decoupling Def Revenue</t>
  </si>
  <si>
    <t>182338 Reg Asset Non-Resid Decoupling Surcharge</t>
  </si>
  <si>
    <t>254338 Reg Liability Non-Resid Decoupling Rebate</t>
  </si>
  <si>
    <t>495311 Contra Decoupling Deferral</t>
  </si>
  <si>
    <t>253311 Contra Decoupling Deferred Revenue</t>
  </si>
  <si>
    <t>253312 Prior Year Contra Decoupling Deferred Revenue</t>
  </si>
  <si>
    <t>Contra Decoupling Detail - Account 253312</t>
  </si>
  <si>
    <t>Current Month Contra Decoupling Entry</t>
  </si>
  <si>
    <t>Contra Decoupling Detail - Account 253311</t>
  </si>
  <si>
    <t>Current Contra Decoupling Balance for 2018 Deferrals</t>
  </si>
  <si>
    <t>Prior Contra Decoupling Balance for 2018 Deferrals</t>
  </si>
  <si>
    <t>Decoupling Mechanism - UG-170486 Base effective 5/1/2018</t>
  </si>
  <si>
    <t>Development of WA Natural Gas Deferrals (Calendar Year 2019)</t>
  </si>
  <si>
    <t xml:space="preserve">Determination of Base Rate Revenue From Revenue System Reports </t>
  </si>
  <si>
    <t>WA Schedule 175 2017 Deferral Decoupling Mechanism Amortization</t>
  </si>
  <si>
    <t>Current Month</t>
  </si>
  <si>
    <t>December</t>
  </si>
  <si>
    <t>Prior Month</t>
  </si>
  <si>
    <t>Billed Customers</t>
  </si>
  <si>
    <t>Billed Usage</t>
  </si>
  <si>
    <t>Unbilled Reversal</t>
  </si>
  <si>
    <t>Unbilled Usage</t>
  </si>
  <si>
    <t>Calendar Usage</t>
  </si>
  <si>
    <t>11/1/2018 rate</t>
  </si>
  <si>
    <t>Unbilled Schedule 175 Revenue</t>
  </si>
  <si>
    <t>Usage Calculated Schedule 75 Revenue</t>
  </si>
  <si>
    <t>Unbilled True-up Sch 175</t>
  </si>
  <si>
    <t>WA101</t>
  </si>
  <si>
    <t>Schedule 101</t>
  </si>
  <si>
    <t>WA102</t>
  </si>
  <si>
    <t>Schedule 102</t>
  </si>
  <si>
    <t>WA111</t>
  </si>
  <si>
    <t>Schedule 111</t>
  </si>
  <si>
    <t>WA112</t>
  </si>
  <si>
    <t>Schedule 112</t>
  </si>
  <si>
    <t>WA121</t>
  </si>
  <si>
    <t>Schedule 121</t>
  </si>
  <si>
    <t>WA122</t>
  </si>
  <si>
    <t>WA132</t>
  </si>
  <si>
    <t>Schedule 131</t>
  </si>
  <si>
    <t>WA146</t>
  </si>
  <si>
    <t>WA147</t>
  </si>
  <si>
    <t>WA148</t>
  </si>
  <si>
    <t>UG-180701</t>
  </si>
  <si>
    <t>Conversion Factor</t>
  </si>
  <si>
    <t>Calendar therm</t>
  </si>
  <si>
    <t>Amortization Rate</t>
  </si>
  <si>
    <t>difference</t>
  </si>
  <si>
    <t>Residential Amortization</t>
  </si>
  <si>
    <t>Non-Residential Amortization</t>
  </si>
  <si>
    <t>Non-Residential</t>
  </si>
  <si>
    <t>Reasonableness check - do not print</t>
  </si>
  <si>
    <t>Fixed Charges from Billing Determinant Revenue Report</t>
  </si>
  <si>
    <t>Base Rate Billed Revenue from Billing Determinant Revenue Report</t>
  </si>
  <si>
    <t>Unbilled Rev Reversal</t>
  </si>
  <si>
    <t>Unbilled Revenue</t>
  </si>
  <si>
    <t>Calendar Total Revenue</t>
  </si>
  <si>
    <t>Deduct Net Unbilled Adder Schedule Revenue</t>
  </si>
  <si>
    <t>Base Rate Revenue</t>
  </si>
  <si>
    <t>Adder Schedule Revenues</t>
  </si>
  <si>
    <t>Other Revenues</t>
  </si>
  <si>
    <t>Rates effective 11/1/18</t>
  </si>
  <si>
    <t>Adder Schedule Rate Components:</t>
  </si>
  <si>
    <t>Sch 150</t>
  </si>
  <si>
    <t>Sch 155</t>
  </si>
  <si>
    <t>Sch 174</t>
  </si>
  <si>
    <t>Sch 175</t>
  </si>
  <si>
    <t>Sch 189</t>
  </si>
  <si>
    <t>Sch 191</t>
  </si>
  <si>
    <t>Sch 192</t>
  </si>
  <si>
    <t>Current Month Adder Schedule Total Rate</t>
  </si>
  <si>
    <t>Current Month Adder Schedule Revenue</t>
  </si>
  <si>
    <t>Prior Month Adder Schedule Revenue</t>
  </si>
  <si>
    <t>Net Unbilled Adder Schedule Revenue</t>
  </si>
  <si>
    <t xml:space="preserve">
DJ431 - Sch 150</t>
  </si>
  <si>
    <t>DJ431 Sch 155</t>
  </si>
  <si>
    <t>DJ213 - Sch 189</t>
  </si>
  <si>
    <t>DJ213 - Sch 191</t>
  </si>
  <si>
    <t xml:space="preserve"> DJ213 - Sch 192</t>
  </si>
  <si>
    <t>Total Net Unbilled Adder Schedule Revenue</t>
  </si>
  <si>
    <t>January</t>
  </si>
  <si>
    <t>Prior Month Adder Schedule Total Rate</t>
  </si>
  <si>
    <t>Check Net Unbilled - Do not print</t>
  </si>
  <si>
    <t>Sch 102 Total Rev</t>
  </si>
  <si>
    <t>Prior Contra Decoupling Balance for 2019 Deferrals</t>
  </si>
  <si>
    <t>Current Contra Decoupling Balance for 2019 Deferrals</t>
  </si>
  <si>
    <t>Forecast Usage</t>
  </si>
  <si>
    <t>1 Year Amort Rate</t>
  </si>
  <si>
    <t>Incremental Revenue Change</t>
  </si>
  <si>
    <t>Maximum Incremental Change</t>
  </si>
  <si>
    <t>Est Norm Billed Rev $000s</t>
  </si>
  <si>
    <t>Surcharge Cap</t>
  </si>
  <si>
    <t>Estimated Carryover Rate</t>
  </si>
  <si>
    <t>Implied Carryover Amortization</t>
  </si>
  <si>
    <t>Maximum Year 1 Rate</t>
  </si>
  <si>
    <t>Residential Contra Decoupling Balance</t>
  </si>
  <si>
    <t>Balance Sheet Accounts</t>
  </si>
  <si>
    <t>Current Deferrals</t>
  </si>
  <si>
    <t>Prior Year Pending</t>
  </si>
  <si>
    <t>Approved Surcharge</t>
  </si>
  <si>
    <t>Approved Rebate</t>
  </si>
  <si>
    <t>Contra Deferrals</t>
  </si>
  <si>
    <t>Prior Year Contra</t>
  </si>
  <si>
    <t>ADFIT Decoupling</t>
  </si>
  <si>
    <t>Provision for Rate Ref</t>
  </si>
  <si>
    <t>ADFIT Prov Rate Ref</t>
  </si>
  <si>
    <t>Interest Rate</t>
  </si>
  <si>
    <t>Income Statement Accounts</t>
  </si>
  <si>
    <t>Res Deferral</t>
  </si>
  <si>
    <t>Decoupling Calc</t>
  </si>
  <si>
    <t xml:space="preserve">Res Amortization </t>
  </si>
  <si>
    <t>419328/431328</t>
  </si>
  <si>
    <t>Interest (Income)/Expense</t>
  </si>
  <si>
    <t>410100/411100</t>
  </si>
  <si>
    <t xml:space="preserve">DFIT </t>
  </si>
  <si>
    <t>410200/411200</t>
  </si>
  <si>
    <t>non-op DFIT</t>
  </si>
  <si>
    <t>Contra Deferral</t>
  </si>
  <si>
    <t>Carryover Rate</t>
  </si>
  <si>
    <t>Non-Residential Contra Decoupling Balance</t>
  </si>
  <si>
    <t>Non-Res Deferral</t>
  </si>
  <si>
    <t xml:space="preserve">Non-Res Amortization </t>
  </si>
  <si>
    <t>Beg Bal Dec 2018</t>
  </si>
  <si>
    <t>Maximum 24 Month Recovery of 2019 Deferral</t>
  </si>
  <si>
    <t>Actual Usage</t>
  </si>
  <si>
    <t>February</t>
  </si>
  <si>
    <t>Check to Schedule 175 Unbilled Total</t>
  </si>
  <si>
    <t>02.2019 Unbilled Customer Adj</t>
  </si>
  <si>
    <t>March</t>
  </si>
  <si>
    <t>April</t>
  </si>
  <si>
    <t>June</t>
  </si>
  <si>
    <t>July</t>
  </si>
  <si>
    <t>GSFM June MidMonth_(6 12 19 pricing).xlsm</t>
  </si>
  <si>
    <t>As Filed Per</t>
  </si>
  <si>
    <t>UG-190710</t>
  </si>
  <si>
    <t>Schedule 175 Rate</t>
  </si>
  <si>
    <t>August</t>
  </si>
  <si>
    <t>September</t>
  </si>
  <si>
    <t>October</t>
  </si>
  <si>
    <t>Approved Schedule 175 Rate</t>
  </si>
  <si>
    <t>November</t>
  </si>
  <si>
    <t>Unbilled Revenue Reversal</t>
  </si>
  <si>
    <t>11/1/2019 rate</t>
  </si>
  <si>
    <r>
      <t xml:space="preserve">WA Schedule 175 </t>
    </r>
    <r>
      <rPr>
        <b/>
        <sz val="10"/>
        <color theme="1"/>
        <rFont val="Times New Roman"/>
        <family val="1"/>
      </rPr>
      <t>2018 Deferral</t>
    </r>
    <r>
      <rPr>
        <sz val="10"/>
        <color theme="1"/>
        <rFont val="Times New Roman"/>
        <family val="1"/>
      </rPr>
      <t xml:space="preserve"> Decoupling Mechanism Amortization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</si>
</sst>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[$-409]mmm\-yy;@"/>
    <numFmt numFmtId="168" formatCode="0.0%"/>
    <numFmt numFmtId="169" formatCode="0.000000"/>
    <numFmt numFmtId="170" formatCode="&quot;$&quot;#,##0.00"/>
    <numFmt numFmtId="171" formatCode="mmm\ yy"/>
    <numFmt numFmtId="172" formatCode="0.00000"/>
    <numFmt numFmtId="173" formatCode="_(* #,##0.00000_);_(* \(#,##0.00000\);_(* &quot;-&quot;??_);_(@_)"/>
    <numFmt numFmtId="174" formatCode="_(* #,##0.000000_);_(* \(#,##0.000000\);_(* &quot;-&quot;??_);_(@_)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i/>
      <u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i/>
      <u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9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sz val="10"/>
      <color indexed="12"/>
      <name val="Times New Roman"/>
      <family val="1"/>
    </font>
    <font>
      <i/>
      <sz val="10"/>
      <name val="Times New Roman"/>
      <family val="1"/>
    </font>
    <font>
      <i/>
      <sz val="9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3333FF"/>
      <name val="Times New Roman"/>
      <family val="1"/>
    </font>
    <font>
      <sz val="10"/>
      <name val="Calibri"/>
      <family val="2"/>
    </font>
    <font>
      <sz val="11"/>
      <color rgb="FF3333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</font>
    <font>
      <sz val="11"/>
      <color rgb="FFFFC000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3333CC"/>
      <name val="Times New Roman"/>
      <family val="1"/>
    </font>
    <font>
      <sz val="10"/>
      <color rgb="FF0000CC"/>
      <name val="Times New Roman"/>
      <family val="1"/>
    </font>
    <font>
      <sz val="10"/>
      <color rgb="FF0000FF"/>
      <name val="Times New Roman"/>
      <family val="1"/>
    </font>
    <font>
      <sz val="11"/>
      <color rgb="FFC00000"/>
      <name val="Calibri"/>
      <family val="2"/>
      <scheme val="minor"/>
    </font>
    <font>
      <sz val="11"/>
      <color rgb="FF7030A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0" fillId="3" borderId="2" applyNumberFormat="0">
      <alignment horizontal="center" vertical="center" wrapText="1"/>
    </xf>
    <xf numFmtId="4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3" borderId="2" applyNumberFormat="0">
      <alignment horizontal="center" vertical="center" wrapText="1"/>
    </xf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</cellStyleXfs>
  <cellXfs count="321">
    <xf numFmtId="0" fontId="0" fillId="0" borderId="0" xfId="0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1" xfId="0" applyFont="1" applyFill="1" applyBorder="1"/>
    <xf numFmtId="0" fontId="0" fillId="2" borderId="0" xfId="0" applyFill="1" applyBorder="1"/>
    <xf numFmtId="164" fontId="5" fillId="2" borderId="0" xfId="2" applyNumberFormat="1" applyFont="1" applyFill="1"/>
    <xf numFmtId="164" fontId="5" fillId="0" borderId="0" xfId="2" applyNumberFormat="1" applyFont="1" applyFill="1"/>
    <xf numFmtId="164" fontId="5" fillId="0" borderId="1" xfId="2" applyNumberFormat="1" applyFont="1" applyFill="1" applyBorder="1"/>
    <xf numFmtId="164" fontId="5" fillId="0" borderId="0" xfId="2" applyNumberFormat="1" applyFont="1" applyFill="1" applyBorder="1"/>
    <xf numFmtId="0" fontId="7" fillId="2" borderId="0" xfId="0" applyFont="1" applyFill="1"/>
    <xf numFmtId="164" fontId="5" fillId="2" borderId="0" xfId="0" applyNumberFormat="1" applyFont="1" applyFill="1"/>
    <xf numFmtId="164" fontId="5" fillId="2" borderId="1" xfId="0" applyNumberFormat="1" applyFont="1" applyFill="1" applyBorder="1"/>
    <xf numFmtId="164" fontId="5" fillId="2" borderId="0" xfId="0" applyNumberFormat="1" applyFont="1" applyFill="1" applyBorder="1"/>
    <xf numFmtId="165" fontId="5" fillId="2" borderId="0" xfId="0" applyNumberFormat="1" applyFont="1" applyFill="1"/>
    <xf numFmtId="165" fontId="5" fillId="2" borderId="0" xfId="1" applyNumberFormat="1" applyFont="1" applyFill="1"/>
    <xf numFmtId="165" fontId="5" fillId="2" borderId="1" xfId="1" applyNumberFormat="1" applyFont="1" applyFill="1" applyBorder="1"/>
    <xf numFmtId="165" fontId="5" fillId="2" borderId="0" xfId="1" applyNumberFormat="1" applyFont="1" applyFill="1" applyBorder="1"/>
    <xf numFmtId="0" fontId="5" fillId="0" borderId="0" xfId="0" applyFont="1" applyFill="1"/>
    <xf numFmtId="166" fontId="5" fillId="0" borderId="0" xfId="2" applyNumberFormat="1" applyFont="1" applyFill="1"/>
    <xf numFmtId="0" fontId="0" fillId="0" borderId="1" xfId="0" applyBorder="1"/>
    <xf numFmtId="0" fontId="0" fillId="0" borderId="0" xfId="0" applyBorder="1"/>
    <xf numFmtId="37" fontId="5" fillId="2" borderId="0" xfId="0" applyNumberFormat="1" applyFont="1" applyFill="1"/>
    <xf numFmtId="7" fontId="5" fillId="0" borderId="0" xfId="2" applyNumberFormat="1" applyFont="1" applyFill="1"/>
    <xf numFmtId="7" fontId="5" fillId="0" borderId="0" xfId="2" applyNumberFormat="1" applyFont="1" applyFill="1" applyAlignment="1">
      <alignment horizontal="center"/>
    </xf>
    <xf numFmtId="164" fontId="5" fillId="2" borderId="1" xfId="2" applyNumberFormat="1" applyFont="1" applyFill="1" applyBorder="1" applyAlignment="1">
      <alignment horizontal="center"/>
    </xf>
    <xf numFmtId="164" fontId="5" fillId="2" borderId="0" xfId="2" applyNumberFormat="1" applyFont="1" applyFill="1" applyAlignment="1">
      <alignment horizontal="center"/>
    </xf>
    <xf numFmtId="0" fontId="5" fillId="0" borderId="0" xfId="0" applyFont="1"/>
    <xf numFmtId="0" fontId="0" fillId="2" borderId="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Alignment="1">
      <alignment horizontal="center"/>
    </xf>
    <xf numFmtId="44" fontId="0" fillId="0" borderId="0" xfId="0" applyNumberFormat="1"/>
    <xf numFmtId="7" fontId="5" fillId="2" borderId="0" xfId="2" applyNumberFormat="1" applyFont="1" applyFill="1"/>
    <xf numFmtId="0" fontId="8" fillId="0" borderId="0" xfId="0" applyFont="1"/>
    <xf numFmtId="0" fontId="9" fillId="0" borderId="0" xfId="0" applyFont="1"/>
    <xf numFmtId="164" fontId="0" fillId="0" borderId="0" xfId="0" applyNumberFormat="1"/>
    <xf numFmtId="166" fontId="0" fillId="0" borderId="0" xfId="0" applyNumberFormat="1"/>
    <xf numFmtId="0" fontId="5" fillId="2" borderId="0" xfId="4" applyFont="1" applyFill="1"/>
    <xf numFmtId="41" fontId="3" fillId="2" borderId="2" xfId="5" applyNumberFormat="1" applyFont="1" applyFill="1" applyBorder="1">
      <alignment horizontal="center" vertical="center" wrapText="1"/>
    </xf>
    <xf numFmtId="0" fontId="5" fillId="2" borderId="2" xfId="4" applyFont="1" applyFill="1" applyBorder="1"/>
    <xf numFmtId="0" fontId="5" fillId="2" borderId="0" xfId="4" applyFont="1" applyFill="1" applyAlignment="1">
      <alignment horizontal="center"/>
    </xf>
    <xf numFmtId="0" fontId="5" fillId="2" borderId="0" xfId="4" applyFont="1" applyFill="1" applyAlignment="1">
      <alignment horizontal="left"/>
    </xf>
    <xf numFmtId="164" fontId="5" fillId="2" borderId="0" xfId="6" applyNumberFormat="1" applyFont="1" applyFill="1"/>
    <xf numFmtId="165" fontId="5" fillId="2" borderId="0" xfId="7" applyNumberFormat="1" applyFont="1" applyFill="1" applyBorder="1"/>
    <xf numFmtId="44" fontId="5" fillId="2" borderId="0" xfId="6" applyNumberFormat="1" applyFont="1" applyFill="1"/>
    <xf numFmtId="0" fontId="5" fillId="2" borderId="0" xfId="4" quotePrefix="1" applyFont="1" applyFill="1" applyAlignment="1">
      <alignment horizontal="left"/>
    </xf>
    <xf numFmtId="164" fontId="5" fillId="2" borderId="0" xfId="4" applyNumberFormat="1" applyFont="1" applyFill="1"/>
    <xf numFmtId="0" fontId="5" fillId="0" borderId="0" xfId="0" applyFont="1" applyAlignment="1">
      <alignment horizontal="right"/>
    </xf>
    <xf numFmtId="164" fontId="5" fillId="0" borderId="0" xfId="2" applyNumberFormat="1" applyFont="1"/>
    <xf numFmtId="164" fontId="5" fillId="0" borderId="4" xfId="2" applyNumberFormat="1" applyFont="1" applyBorder="1"/>
    <xf numFmtId="164" fontId="0" fillId="0" borderId="0" xfId="2" applyNumberFormat="1" applyFont="1"/>
    <xf numFmtId="165" fontId="0" fillId="0" borderId="0" xfId="1" applyNumberFormat="1" applyFont="1"/>
    <xf numFmtId="0" fontId="13" fillId="2" borderId="0" xfId="4" applyFont="1" applyFill="1"/>
    <xf numFmtId="0" fontId="13" fillId="2" borderId="0" xfId="4" applyFont="1" applyFill="1" applyAlignment="1">
      <alignment horizontal="center"/>
    </xf>
    <xf numFmtId="41" fontId="14" fillId="2" borderId="2" xfId="8" applyNumberFormat="1" applyFont="1" applyFill="1" applyBorder="1">
      <alignment horizontal="center" vertical="center" wrapText="1"/>
    </xf>
    <xf numFmtId="0" fontId="13" fillId="2" borderId="2" xfId="4" applyFont="1" applyFill="1" applyBorder="1"/>
    <xf numFmtId="41" fontId="14" fillId="2" borderId="2" xfId="8" applyNumberFormat="1" applyFont="1" applyFill="1" applyBorder="1" applyAlignment="1">
      <alignment horizontal="center" vertical="center" wrapText="1"/>
    </xf>
    <xf numFmtId="167" fontId="14" fillId="2" borderId="2" xfId="8" applyNumberFormat="1" applyFont="1" applyFill="1" applyBorder="1">
      <alignment horizontal="center" vertical="center" wrapText="1"/>
    </xf>
    <xf numFmtId="0" fontId="15" fillId="2" borderId="0" xfId="4" applyFont="1" applyFill="1" applyAlignment="1">
      <alignment horizontal="left"/>
    </xf>
    <xf numFmtId="0" fontId="16" fillId="2" borderId="0" xfId="4" applyFont="1" applyFill="1"/>
    <xf numFmtId="164" fontId="13" fillId="2" borderId="0" xfId="6" applyNumberFormat="1" applyFont="1" applyFill="1"/>
    <xf numFmtId="3" fontId="13" fillId="2" borderId="0" xfId="4" applyNumberFormat="1" applyFont="1" applyFill="1"/>
    <xf numFmtId="0" fontId="17" fillId="2" borderId="0" xfId="4" applyFont="1" applyFill="1"/>
    <xf numFmtId="0" fontId="13" fillId="2" borderId="0" xfId="4" quotePrefix="1" applyFont="1" applyFill="1" applyAlignment="1">
      <alignment horizontal="left"/>
    </xf>
    <xf numFmtId="165" fontId="18" fillId="0" borderId="0" xfId="0" applyNumberFormat="1" applyFont="1"/>
    <xf numFmtId="3" fontId="19" fillId="2" borderId="0" xfId="4" applyNumberFormat="1" applyFont="1" applyFill="1"/>
    <xf numFmtId="0" fontId="19" fillId="2" borderId="0" xfId="4" quotePrefix="1" applyFont="1" applyFill="1" applyAlignment="1">
      <alignment horizontal="center"/>
    </xf>
    <xf numFmtId="10" fontId="19" fillId="2" borderId="0" xfId="9" applyNumberFormat="1" applyFont="1" applyFill="1"/>
    <xf numFmtId="0" fontId="19" fillId="2" borderId="0" xfId="4" applyFont="1" applyFill="1" applyAlignment="1">
      <alignment horizontal="center"/>
    </xf>
    <xf numFmtId="0" fontId="19" fillId="2" borderId="0" xfId="4" applyFont="1" applyFill="1"/>
    <xf numFmtId="10" fontId="13" fillId="2" borderId="0" xfId="9" applyNumberFormat="1" applyFont="1" applyFill="1"/>
    <xf numFmtId="44" fontId="13" fillId="2" borderId="0" xfId="10" applyFont="1" applyFill="1" applyAlignment="1">
      <alignment horizontal="center"/>
    </xf>
    <xf numFmtId="44" fontId="13" fillId="2" borderId="0" xfId="4" applyNumberFormat="1" applyFont="1" applyFill="1"/>
    <xf numFmtId="165" fontId="13" fillId="2" borderId="0" xfId="7" applyNumberFormat="1" applyFont="1" applyFill="1" applyAlignment="1">
      <alignment horizontal="center"/>
    </xf>
    <xf numFmtId="0" fontId="18" fillId="0" borderId="0" xfId="0" applyFont="1"/>
    <xf numFmtId="0" fontId="20" fillId="0" borderId="0" xfId="0" applyFont="1" applyFill="1" applyBorder="1"/>
    <xf numFmtId="17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165" fontId="20" fillId="0" borderId="0" xfId="1" applyNumberFormat="1" applyFont="1" applyFill="1" applyBorder="1"/>
    <xf numFmtId="165" fontId="20" fillId="0" borderId="0" xfId="0" applyNumberFormat="1" applyFont="1" applyFill="1" applyBorder="1"/>
    <xf numFmtId="165" fontId="20" fillId="0" borderId="4" xfId="1" applyNumberFormat="1" applyFont="1" applyFill="1" applyBorder="1"/>
    <xf numFmtId="165" fontId="20" fillId="0" borderId="4" xfId="0" applyNumberFormat="1" applyFont="1" applyFill="1" applyBorder="1"/>
    <xf numFmtId="0" fontId="0" fillId="0" borderId="0" xfId="0" applyAlignment="1">
      <alignment horizontal="center"/>
    </xf>
    <xf numFmtId="165" fontId="0" fillId="0" borderId="0" xfId="0" applyNumberFormat="1"/>
    <xf numFmtId="165" fontId="0" fillId="0" borderId="4" xfId="0" applyNumberFormat="1" applyBorder="1"/>
    <xf numFmtId="168" fontId="20" fillId="0" borderId="0" xfId="3" applyNumberFormat="1" applyFont="1" applyFill="1" applyBorder="1"/>
    <xf numFmtId="168" fontId="20" fillId="0" borderId="0" xfId="0" applyNumberFormat="1" applyFont="1" applyFill="1" applyBorder="1"/>
    <xf numFmtId="0" fontId="25" fillId="0" borderId="0" xfId="0" applyFont="1" applyBorder="1" applyAlignment="1">
      <alignment horizontal="center"/>
    </xf>
    <xf numFmtId="0" fontId="19" fillId="0" borderId="0" xfId="0" applyFont="1"/>
    <xf numFmtId="169" fontId="26" fillId="0" borderId="0" xfId="0" applyNumberFormat="1" applyFont="1" applyAlignment="1">
      <alignment horizontal="center"/>
    </xf>
    <xf numFmtId="169" fontId="19" fillId="0" borderId="0" xfId="0" applyNumberFormat="1" applyFont="1"/>
    <xf numFmtId="169" fontId="14" fillId="0" borderId="0" xfId="0" applyNumberFormat="1" applyFont="1"/>
    <xf numFmtId="0" fontId="25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9" fontId="19" fillId="0" borderId="0" xfId="11" applyNumberFormat="1" applyFont="1"/>
    <xf numFmtId="169" fontId="27" fillId="0" borderId="0" xfId="11" applyNumberFormat="1" applyFont="1"/>
    <xf numFmtId="169" fontId="28" fillId="0" borderId="0" xfId="0" applyNumberFormat="1" applyFont="1"/>
    <xf numFmtId="169" fontId="19" fillId="0" borderId="5" xfId="0" applyNumberFormat="1" applyFont="1" applyBorder="1"/>
    <xf numFmtId="10" fontId="27" fillId="0" borderId="0" xfId="0" applyNumberFormat="1" applyFont="1"/>
    <xf numFmtId="0" fontId="29" fillId="0" borderId="0" xfId="0" applyFont="1"/>
    <xf numFmtId="169" fontId="30" fillId="0" borderId="0" xfId="0" applyNumberFormat="1" applyFont="1"/>
    <xf numFmtId="0" fontId="4" fillId="2" borderId="0" xfId="4" applyFont="1" applyFill="1" applyAlignment="1">
      <alignment horizontal="center"/>
    </xf>
    <xf numFmtId="0" fontId="2" fillId="0" borderId="0" xfId="4"/>
    <xf numFmtId="0" fontId="4" fillId="2" borderId="0" xfId="4" quotePrefix="1" applyFont="1" applyFill="1" applyAlignment="1">
      <alignment horizontal="center"/>
    </xf>
    <xf numFmtId="0" fontId="32" fillId="2" borderId="0" xfId="4" applyFont="1" applyFill="1"/>
    <xf numFmtId="0" fontId="32" fillId="2" borderId="2" xfId="4" applyFont="1" applyFill="1" applyBorder="1" applyAlignment="1">
      <alignment horizontal="center" vertical="center" wrapText="1"/>
    </xf>
    <xf numFmtId="0" fontId="32" fillId="2" borderId="2" xfId="4" applyFont="1" applyFill="1" applyBorder="1" applyAlignment="1">
      <alignment vertical="center"/>
    </xf>
    <xf numFmtId="0" fontId="32" fillId="2" borderId="2" xfId="4" applyFont="1" applyFill="1" applyBorder="1" applyAlignment="1">
      <alignment horizontal="center" vertical="center"/>
    </xf>
    <xf numFmtId="167" fontId="32" fillId="2" borderId="2" xfId="4" applyNumberFormat="1" applyFont="1" applyFill="1" applyBorder="1" applyAlignment="1">
      <alignment horizontal="center" vertical="center"/>
    </xf>
    <xf numFmtId="0" fontId="32" fillId="2" borderId="0" xfId="4" applyFont="1" applyFill="1" applyAlignment="1">
      <alignment horizontal="center"/>
    </xf>
    <xf numFmtId="165" fontId="33" fillId="2" borderId="0" xfId="7" applyNumberFormat="1" applyFont="1" applyFill="1"/>
    <xf numFmtId="165" fontId="19" fillId="2" borderId="0" xfId="7" applyNumberFormat="1" applyFont="1" applyFill="1"/>
    <xf numFmtId="0" fontId="13" fillId="0" borderId="0" xfId="4" applyFont="1" applyFill="1" applyAlignment="1">
      <alignment horizontal="center" vertical="center"/>
    </xf>
    <xf numFmtId="0" fontId="13" fillId="0" borderId="0" xfId="4" applyFont="1" applyFill="1" applyAlignment="1">
      <alignment horizontal="center" vertical="center" wrapText="1"/>
    </xf>
    <xf numFmtId="0" fontId="13" fillId="0" borderId="0" xfId="4" applyFont="1" applyFill="1" applyAlignment="1">
      <alignment horizontal="center" wrapText="1"/>
    </xf>
    <xf numFmtId="170" fontId="19" fillId="0" borderId="0" xfId="4" applyNumberFormat="1" applyFont="1" applyFill="1" applyAlignment="1">
      <alignment vertical="center"/>
    </xf>
    <xf numFmtId="164" fontId="19" fillId="2" borderId="0" xfId="4" applyNumberFormat="1" applyFont="1" applyFill="1"/>
    <xf numFmtId="165" fontId="19" fillId="2" borderId="0" xfId="4" applyNumberFormat="1" applyFont="1" applyFill="1"/>
    <xf numFmtId="0" fontId="13" fillId="2" borderId="0" xfId="4" applyFont="1" applyFill="1" applyAlignment="1">
      <alignment horizontal="left" wrapText="1"/>
    </xf>
    <xf numFmtId="164" fontId="33" fillId="2" borderId="0" xfId="2" applyNumberFormat="1" applyFont="1" applyFill="1"/>
    <xf numFmtId="164" fontId="19" fillId="2" borderId="0" xfId="2" applyNumberFormat="1" applyFont="1" applyFill="1"/>
    <xf numFmtId="0" fontId="13" fillId="2" borderId="0" xfId="4" applyFont="1" applyFill="1" applyAlignment="1">
      <alignment horizontal="right"/>
    </xf>
    <xf numFmtId="170" fontId="19" fillId="2" borderId="0" xfId="4" applyNumberFormat="1" applyFont="1" applyFill="1" applyAlignment="1">
      <alignment vertical="center"/>
    </xf>
    <xf numFmtId="164" fontId="19" fillId="4" borderId="0" xfId="4" applyNumberFormat="1" applyFont="1" applyFill="1"/>
    <xf numFmtId="164" fontId="34" fillId="0" borderId="0" xfId="4" applyNumberFormat="1" applyFont="1"/>
    <xf numFmtId="0" fontId="13" fillId="0" borderId="0" xfId="4" applyFont="1" applyFill="1" applyAlignment="1">
      <alignment horizontal="center"/>
    </xf>
    <xf numFmtId="10" fontId="19" fillId="0" borderId="0" xfId="3" applyNumberFormat="1" applyFont="1" applyFill="1"/>
    <xf numFmtId="10" fontId="19" fillId="0" borderId="0" xfId="3" applyNumberFormat="1" applyFont="1" applyFill="1" applyBorder="1"/>
    <xf numFmtId="164" fontId="19" fillId="2" borderId="0" xfId="10" applyNumberFormat="1" applyFont="1" applyFill="1"/>
    <xf numFmtId="164" fontId="14" fillId="2" borderId="4" xfId="4" applyNumberFormat="1" applyFont="1" applyFill="1" applyBorder="1"/>
    <xf numFmtId="164" fontId="14" fillId="2" borderId="6" xfId="4" applyNumberFormat="1" applyFont="1" applyFill="1" applyBorder="1"/>
    <xf numFmtId="165" fontId="2" fillId="0" borderId="0" xfId="4" applyNumberFormat="1"/>
    <xf numFmtId="164" fontId="19" fillId="2" borderId="0" xfId="4" applyNumberFormat="1" applyFont="1" applyFill="1" applyAlignment="1">
      <alignment vertical="center"/>
    </xf>
    <xf numFmtId="0" fontId="13" fillId="2" borderId="0" xfId="4" applyFont="1" applyFill="1" applyAlignment="1">
      <alignment horizontal="left"/>
    </xf>
    <xf numFmtId="170" fontId="13" fillId="2" borderId="0" xfId="4" applyNumberFormat="1" applyFont="1" applyFill="1"/>
    <xf numFmtId="0" fontId="13" fillId="0" borderId="0" xfId="4" applyFont="1" applyFill="1"/>
    <xf numFmtId="164" fontId="34" fillId="0" borderId="0" xfId="4" applyNumberFormat="1" applyFont="1" applyFill="1"/>
    <xf numFmtId="0" fontId="32" fillId="0" borderId="0" xfId="4" applyFont="1" applyFill="1"/>
    <xf numFmtId="167" fontId="31" fillId="0" borderId="0" xfId="0" applyNumberFormat="1" applyFont="1"/>
    <xf numFmtId="44" fontId="0" fillId="0" borderId="0" xfId="0" applyNumberFormat="1" applyBorder="1"/>
    <xf numFmtId="0" fontId="13" fillId="0" borderId="7" xfId="4" applyFont="1" applyFill="1" applyBorder="1"/>
    <xf numFmtId="0" fontId="0" fillId="0" borderId="8" xfId="0" applyBorder="1"/>
    <xf numFmtId="0" fontId="13" fillId="0" borderId="9" xfId="4" applyFont="1" applyFill="1" applyBorder="1"/>
    <xf numFmtId="0" fontId="0" fillId="0" borderId="10" xfId="0" applyBorder="1"/>
    <xf numFmtId="0" fontId="13" fillId="0" borderId="11" xfId="4" applyFont="1" applyFill="1" applyBorder="1"/>
    <xf numFmtId="0" fontId="0" fillId="0" borderId="12" xfId="0" applyBorder="1"/>
    <xf numFmtId="0" fontId="0" fillId="0" borderId="10" xfId="0" applyFill="1" applyBorder="1"/>
    <xf numFmtId="0" fontId="0" fillId="0" borderId="12" xfId="0" applyFill="1" applyBorder="1"/>
    <xf numFmtId="0" fontId="0" fillId="0" borderId="0" xfId="0" applyFill="1"/>
    <xf numFmtId="44" fontId="37" fillId="0" borderId="0" xfId="0" applyNumberFormat="1" applyFont="1" applyFill="1" applyBorder="1"/>
    <xf numFmtId="0" fontId="0" fillId="0" borderId="13" xfId="0" applyBorder="1"/>
    <xf numFmtId="0" fontId="38" fillId="0" borderId="13" xfId="0" applyFont="1" applyBorder="1"/>
    <xf numFmtId="0" fontId="39" fillId="0" borderId="0" xfId="0" applyFont="1" applyBorder="1" applyAlignment="1">
      <alignment horizontal="center"/>
    </xf>
    <xf numFmtId="0" fontId="32" fillId="0" borderId="0" xfId="4" applyFont="1" applyFill="1" applyAlignment="1">
      <alignment horizontal="left"/>
    </xf>
    <xf numFmtId="44" fontId="35" fillId="0" borderId="0" xfId="0" applyNumberFormat="1" applyFont="1" applyFill="1"/>
    <xf numFmtId="44" fontId="39" fillId="0" borderId="0" xfId="0" applyNumberFormat="1" applyFont="1" applyFill="1"/>
    <xf numFmtId="44" fontId="40" fillId="0" borderId="0" xfId="0" applyNumberFormat="1" applyFont="1" applyFill="1" applyBorder="1"/>
    <xf numFmtId="44" fontId="0" fillId="0" borderId="0" xfId="0" applyNumberFormat="1" applyFill="1"/>
    <xf numFmtId="0" fontId="32" fillId="2" borderId="0" xfId="4" applyFont="1" applyFill="1" applyBorder="1"/>
    <xf numFmtId="0" fontId="13" fillId="2" borderId="0" xfId="4" applyFont="1" applyFill="1" applyBorder="1" applyAlignment="1">
      <alignment horizontal="center"/>
    </xf>
    <xf numFmtId="164" fontId="19" fillId="2" borderId="0" xfId="4" applyNumberFormat="1" applyFont="1" applyFill="1" applyBorder="1"/>
    <xf numFmtId="170" fontId="19" fillId="2" borderId="0" xfId="4" applyNumberFormat="1" applyFont="1" applyFill="1" applyBorder="1" applyAlignment="1">
      <alignment vertical="center"/>
    </xf>
    <xf numFmtId="164" fontId="19" fillId="2" borderId="0" xfId="10" applyNumberFormat="1" applyFont="1" applyFill="1" applyBorder="1"/>
    <xf numFmtId="0" fontId="19" fillId="2" borderId="0" xfId="4" applyFont="1" applyFill="1" applyBorder="1"/>
    <xf numFmtId="170" fontId="13" fillId="2" borderId="0" xfId="4" applyNumberFormat="1" applyFont="1" applyFill="1" applyBorder="1"/>
    <xf numFmtId="0" fontId="13" fillId="2" borderId="0" xfId="4" applyFont="1" applyFill="1" applyBorder="1"/>
    <xf numFmtId="167" fontId="31" fillId="0" borderId="0" xfId="0" applyNumberFormat="1" applyFont="1" applyBorder="1"/>
    <xf numFmtId="0" fontId="13" fillId="0" borderId="0" xfId="0" applyFont="1"/>
    <xf numFmtId="0" fontId="13" fillId="0" borderId="0" xfId="0" applyFont="1" applyAlignment="1">
      <alignment horizontal="right"/>
    </xf>
    <xf numFmtId="0" fontId="33" fillId="0" borderId="0" xfId="0" applyFont="1"/>
    <xf numFmtId="0" fontId="14" fillId="5" borderId="0" xfId="0" applyFont="1" applyFill="1"/>
    <xf numFmtId="0" fontId="13" fillId="5" borderId="0" xfId="0" applyFont="1" applyFill="1"/>
    <xf numFmtId="171" fontId="13" fillId="5" borderId="0" xfId="0" applyNumberFormat="1" applyFont="1" applyFill="1" applyAlignment="1">
      <alignment horizontal="center"/>
    </xf>
    <xf numFmtId="171" fontId="13" fillId="5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Fill="1"/>
    <xf numFmtId="3" fontId="19" fillId="0" borderId="0" xfId="4" applyNumberFormat="1" applyFont="1" applyFill="1" applyAlignment="1">
      <alignment horizontal="left" indent="1"/>
    </xf>
    <xf numFmtId="165" fontId="43" fillId="0" borderId="0" xfId="1" applyNumberFormat="1" applyFont="1" applyFill="1"/>
    <xf numFmtId="165" fontId="44" fillId="0" borderId="0" xfId="1" applyNumberFormat="1" applyFont="1" applyFill="1"/>
    <xf numFmtId="165" fontId="13" fillId="0" borderId="0" xfId="0" applyNumberFormat="1" applyFont="1"/>
    <xf numFmtId="165" fontId="19" fillId="0" borderId="0" xfId="1" applyNumberFormat="1" applyFont="1" applyFill="1"/>
    <xf numFmtId="44" fontId="45" fillId="0" borderId="0" xfId="2" applyFont="1" applyFill="1"/>
    <xf numFmtId="165" fontId="19" fillId="0" borderId="0" xfId="1" applyNumberFormat="1" applyFont="1" applyFill="1" applyBorder="1"/>
    <xf numFmtId="172" fontId="19" fillId="0" borderId="0" xfId="0" applyNumberFormat="1" applyFont="1" applyFill="1"/>
    <xf numFmtId="44" fontId="13" fillId="0" borderId="0" xfId="2" applyFont="1" applyFill="1"/>
    <xf numFmtId="44" fontId="13" fillId="0" borderId="0" xfId="2" applyFont="1"/>
    <xf numFmtId="44" fontId="13" fillId="0" borderId="0" xfId="0" applyNumberFormat="1" applyFont="1"/>
    <xf numFmtId="165" fontId="13" fillId="0" borderId="0" xfId="1" applyNumberFormat="1" applyFont="1"/>
    <xf numFmtId="172" fontId="13" fillId="0" borderId="0" xfId="0" applyNumberFormat="1" applyFont="1" applyFill="1"/>
    <xf numFmtId="43" fontId="13" fillId="0" borderId="0" xfId="0" applyNumberFormat="1" applyFont="1"/>
    <xf numFmtId="9" fontId="13" fillId="0" borderId="0" xfId="3" applyFont="1"/>
    <xf numFmtId="0" fontId="19" fillId="0" borderId="0" xfId="0" applyFont="1" applyFill="1"/>
    <xf numFmtId="44" fontId="13" fillId="0" borderId="4" xfId="0" applyNumberFormat="1" applyFont="1" applyBorder="1"/>
    <xf numFmtId="165" fontId="13" fillId="0" borderId="4" xfId="1" applyNumberFormat="1" applyFont="1" applyBorder="1"/>
    <xf numFmtId="165" fontId="13" fillId="0" borderId="0" xfId="1" applyNumberFormat="1" applyFont="1" applyFill="1" applyBorder="1"/>
    <xf numFmtId="165" fontId="13" fillId="0" borderId="4" xfId="0" applyNumberFormat="1" applyFont="1" applyBorder="1"/>
    <xf numFmtId="0" fontId="13" fillId="0" borderId="0" xfId="0" applyFont="1" applyBorder="1"/>
    <xf numFmtId="0" fontId="13" fillId="0" borderId="2" xfId="0" applyFont="1" applyFill="1" applyBorder="1"/>
    <xf numFmtId="169" fontId="13" fillId="0" borderId="0" xfId="0" applyNumberFormat="1" applyFont="1" applyFill="1"/>
    <xf numFmtId="165" fontId="13" fillId="0" borderId="4" xfId="0" applyNumberFormat="1" applyFont="1" applyFill="1" applyBorder="1"/>
    <xf numFmtId="44" fontId="32" fillId="0" borderId="0" xfId="0" applyNumberFormat="1" applyFont="1"/>
    <xf numFmtId="165" fontId="32" fillId="0" borderId="14" xfId="0" applyNumberFormat="1" applyFont="1" applyFill="1" applyBorder="1"/>
    <xf numFmtId="165" fontId="13" fillId="0" borderId="0" xfId="0" applyNumberFormat="1" applyFont="1" applyFill="1"/>
    <xf numFmtId="0" fontId="13" fillId="0" borderId="15" xfId="0" applyFont="1" applyFill="1" applyBorder="1"/>
    <xf numFmtId="0" fontId="32" fillId="0" borderId="15" xfId="0" applyFont="1" applyFill="1" applyBorder="1"/>
    <xf numFmtId="165" fontId="32" fillId="0" borderId="16" xfId="0" applyNumberFormat="1" applyFont="1" applyFill="1" applyBorder="1"/>
    <xf numFmtId="165" fontId="13" fillId="0" borderId="0" xfId="0" applyNumberFormat="1" applyFont="1" applyFill="1" applyBorder="1"/>
    <xf numFmtId="171" fontId="13" fillId="5" borderId="0" xfId="0" applyNumberFormat="1" applyFont="1" applyFill="1"/>
    <xf numFmtId="0" fontId="13" fillId="5" borderId="0" xfId="0" applyFont="1" applyFill="1" applyAlignment="1">
      <alignment horizontal="center" wrapText="1"/>
    </xf>
    <xf numFmtId="44" fontId="44" fillId="0" borderId="0" xfId="2" applyFont="1" applyFill="1"/>
    <xf numFmtId="44" fontId="19" fillId="0" borderId="0" xfId="2" applyFont="1" applyFill="1"/>
    <xf numFmtId="0" fontId="44" fillId="0" borderId="0" xfId="0" applyFont="1" applyFill="1"/>
    <xf numFmtId="44" fontId="13" fillId="0" borderId="4" xfId="2" applyFont="1" applyFill="1" applyBorder="1"/>
    <xf numFmtId="165" fontId="13" fillId="0" borderId="0" xfId="1" applyNumberFormat="1" applyFont="1" applyFill="1"/>
    <xf numFmtId="44" fontId="32" fillId="0" borderId="14" xfId="2" applyFont="1" applyFill="1" applyBorder="1"/>
    <xf numFmtId="44" fontId="32" fillId="0" borderId="15" xfId="2" applyFont="1" applyFill="1" applyBorder="1"/>
    <xf numFmtId="0" fontId="32" fillId="0" borderId="15" xfId="0" applyFont="1" applyBorder="1"/>
    <xf numFmtId="44" fontId="32" fillId="0" borderId="16" xfId="2" applyFont="1" applyFill="1" applyBorder="1"/>
    <xf numFmtId="44" fontId="13" fillId="0" borderId="0" xfId="2" applyFont="1" applyFill="1" applyBorder="1"/>
    <xf numFmtId="44" fontId="32" fillId="0" borderId="0" xfId="2" applyFont="1" applyFill="1" applyBorder="1"/>
    <xf numFmtId="14" fontId="13" fillId="0" borderId="0" xfId="0" applyNumberFormat="1" applyFont="1" applyAlignment="1">
      <alignment horizontal="center"/>
    </xf>
    <xf numFmtId="14" fontId="13" fillId="0" borderId="0" xfId="0" applyNumberFormat="1" applyFont="1" applyFill="1" applyAlignment="1">
      <alignment horizontal="center"/>
    </xf>
    <xf numFmtId="0" fontId="14" fillId="5" borderId="0" xfId="0" applyFont="1" applyFill="1" applyAlignment="1">
      <alignment horizontal="center" wrapText="1"/>
    </xf>
    <xf numFmtId="0" fontId="13" fillId="5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166" fontId="13" fillId="0" borderId="0" xfId="2" applyNumberFormat="1" applyFont="1" applyFill="1"/>
    <xf numFmtId="44" fontId="13" fillId="0" borderId="0" xfId="2" applyNumberFormat="1" applyFont="1" applyFill="1"/>
    <xf numFmtId="166" fontId="13" fillId="0" borderId="0" xfId="0" applyNumberFormat="1" applyFont="1"/>
    <xf numFmtId="43" fontId="13" fillId="0" borderId="0" xfId="1" applyFont="1"/>
    <xf numFmtId="43" fontId="13" fillId="0" borderId="4" xfId="0" applyNumberFormat="1" applyFont="1" applyBorder="1"/>
    <xf numFmtId="43" fontId="13" fillId="0" borderId="0" xfId="0" applyNumberFormat="1" applyFont="1" applyBorder="1"/>
    <xf numFmtId="165" fontId="44" fillId="7" borderId="0" xfId="1" applyNumberFormat="1" applyFont="1" applyFill="1"/>
    <xf numFmtId="44" fontId="44" fillId="7" borderId="0" xfId="2" applyFont="1" applyFill="1"/>
    <xf numFmtId="0" fontId="13" fillId="7" borderId="0" xfId="0" applyFont="1" applyFill="1"/>
    <xf numFmtId="17" fontId="0" fillId="0" borderId="0" xfId="0" applyNumberFormat="1"/>
    <xf numFmtId="0" fontId="3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73" fontId="0" fillId="0" borderId="0" xfId="1" applyNumberFormat="1" applyFont="1" applyAlignment="1">
      <alignment horizontal="left"/>
    </xf>
    <xf numFmtId="173" fontId="31" fillId="0" borderId="0" xfId="1" applyNumberFormat="1" applyFont="1" applyAlignment="1">
      <alignment horizontal="center"/>
    </xf>
    <xf numFmtId="173" fontId="0" fillId="0" borderId="0" xfId="1" applyNumberFormat="1" applyFont="1"/>
    <xf numFmtId="173" fontId="46" fillId="0" borderId="0" xfId="1" applyNumberFormat="1" applyFont="1"/>
    <xf numFmtId="0" fontId="0" fillId="0" borderId="0" xfId="0" applyAlignment="1">
      <alignment horizontal="right"/>
    </xf>
    <xf numFmtId="172" fontId="35" fillId="6" borderId="0" xfId="0" applyNumberFormat="1" applyFont="1" applyFill="1"/>
    <xf numFmtId="0" fontId="35" fillId="0" borderId="0" xfId="0" applyFont="1"/>
    <xf numFmtId="0" fontId="0" fillId="0" borderId="0" xfId="0" applyAlignment="1">
      <alignment horizontal="left"/>
    </xf>
    <xf numFmtId="0" fontId="39" fillId="0" borderId="0" xfId="0" applyFont="1"/>
    <xf numFmtId="164" fontId="35" fillId="0" borderId="0" xfId="2" applyNumberFormat="1" applyFont="1"/>
    <xf numFmtId="164" fontId="39" fillId="0" borderId="0" xfId="2" applyNumberFormat="1" applyFont="1"/>
    <xf numFmtId="164" fontId="31" fillId="0" borderId="0" xfId="0" applyNumberFormat="1" applyFont="1" applyAlignment="1">
      <alignment horizontal="center"/>
    </xf>
    <xf numFmtId="172" fontId="0" fillId="0" borderId="0" xfId="0" applyNumberFormat="1"/>
    <xf numFmtId="165" fontId="31" fillId="6" borderId="0" xfId="1" applyNumberFormat="1" applyFont="1" applyFill="1"/>
    <xf numFmtId="165" fontId="31" fillId="0" borderId="0" xfId="1" applyNumberFormat="1" applyFont="1" applyFill="1"/>
    <xf numFmtId="164" fontId="0" fillId="6" borderId="0" xfId="2" applyNumberFormat="1" applyFont="1" applyFill="1"/>
    <xf numFmtId="164" fontId="0" fillId="8" borderId="6" xfId="0" applyNumberFormat="1" applyFill="1" applyBorder="1"/>
    <xf numFmtId="164" fontId="0" fillId="6" borderId="0" xfId="0" applyNumberFormat="1" applyFill="1"/>
    <xf numFmtId="164" fontId="0" fillId="8" borderId="0" xfId="0" applyNumberFormat="1" applyFill="1"/>
    <xf numFmtId="164" fontId="35" fillId="0" borderId="0" xfId="0" applyNumberFormat="1" applyFont="1"/>
    <xf numFmtId="10" fontId="35" fillId="0" borderId="0" xfId="0" applyNumberFormat="1" applyFont="1"/>
    <xf numFmtId="10" fontId="0" fillId="0" borderId="0" xfId="0" applyNumberFormat="1"/>
    <xf numFmtId="10" fontId="36" fillId="0" borderId="0" xfId="0" applyNumberFormat="1" applyFont="1"/>
    <xf numFmtId="164" fontId="0" fillId="0" borderId="0" xfId="2" quotePrefix="1" applyNumberFormat="1" applyFont="1"/>
    <xf numFmtId="164" fontId="35" fillId="7" borderId="0" xfId="2" applyNumberFormat="1" applyFont="1" applyFill="1"/>
    <xf numFmtId="164" fontId="35" fillId="0" borderId="0" xfId="2" applyNumberFormat="1" applyFont="1" applyFill="1"/>
    <xf numFmtId="173" fontId="39" fillId="0" borderId="0" xfId="1" applyNumberFormat="1" applyFont="1"/>
    <xf numFmtId="164" fontId="0" fillId="0" borderId="0" xfId="2" applyNumberFormat="1" applyFont="1" applyFill="1"/>
    <xf numFmtId="0" fontId="0" fillId="0" borderId="0" xfId="0" applyFont="1" applyFill="1" applyAlignment="1">
      <alignment horizontal="left"/>
    </xf>
    <xf numFmtId="0" fontId="31" fillId="0" borderId="0" xfId="0" applyFont="1" applyFill="1" applyAlignment="1">
      <alignment horizontal="left"/>
    </xf>
    <xf numFmtId="165" fontId="35" fillId="0" borderId="0" xfId="1" applyNumberFormat="1" applyFont="1" applyFill="1"/>
    <xf numFmtId="0" fontId="31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65" fontId="45" fillId="0" borderId="0" xfId="1" applyNumberFormat="1" applyFont="1" applyFill="1"/>
    <xf numFmtId="165" fontId="45" fillId="0" borderId="0" xfId="1" applyNumberFormat="1" applyFont="1" applyFill="1" applyAlignment="1">
      <alignment wrapText="1"/>
    </xf>
    <xf numFmtId="165" fontId="45" fillId="0" borderId="2" xfId="1" applyNumberFormat="1" applyFont="1" applyFill="1" applyBorder="1"/>
    <xf numFmtId="44" fontId="13" fillId="7" borderId="0" xfId="2" applyFont="1" applyFill="1"/>
    <xf numFmtId="0" fontId="13" fillId="0" borderId="0" xfId="0" applyFont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0" fillId="0" borderId="0" xfId="0" applyAlignment="1">
      <alignment shrinkToFit="1"/>
    </xf>
    <xf numFmtId="0" fontId="13" fillId="0" borderId="0" xfId="0" applyFont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165" fontId="32" fillId="0" borderId="0" xfId="0" applyNumberFormat="1" applyFont="1" applyFill="1" applyBorder="1"/>
    <xf numFmtId="0" fontId="13" fillId="0" borderId="0" xfId="0" applyFont="1" applyFill="1" applyBorder="1"/>
    <xf numFmtId="174" fontId="13" fillId="0" borderId="0" xfId="0" applyNumberFormat="1" applyFont="1"/>
    <xf numFmtId="0" fontId="13" fillId="0" borderId="0" xfId="0" applyFont="1" applyAlignment="1">
      <alignment horizontal="center" wrapText="1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165" fontId="47" fillId="0" borderId="0" xfId="1" applyNumberFormat="1" applyFont="1" applyFill="1"/>
    <xf numFmtId="0" fontId="13" fillId="0" borderId="0" xfId="0" applyFont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45" fillId="0" borderId="0" xfId="0" applyFont="1" applyFill="1"/>
    <xf numFmtId="43" fontId="45" fillId="0" borderId="0" xfId="0" applyNumberFormat="1" applyFont="1"/>
    <xf numFmtId="0" fontId="13" fillId="0" borderId="0" xfId="0" applyFont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Alignment="1">
      <alignment horizontal="center" wrapText="1"/>
    </xf>
    <xf numFmtId="0" fontId="13" fillId="5" borderId="0" xfId="0" applyFont="1" applyFill="1" applyAlignment="1">
      <alignment horizontal="center" wrapText="1"/>
    </xf>
    <xf numFmtId="43" fontId="45" fillId="0" borderId="0" xfId="0" applyNumberFormat="1" applyFont="1" applyFill="1"/>
    <xf numFmtId="0" fontId="3" fillId="2" borderId="0" xfId="4" applyFont="1" applyFill="1" applyAlignment="1">
      <alignment horizontal="center"/>
    </xf>
    <xf numFmtId="16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2" borderId="0" xfId="4" quotePrefix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2" fillId="2" borderId="0" xfId="4" applyFont="1" applyFill="1" applyAlignment="1">
      <alignment horizontal="center"/>
    </xf>
    <xf numFmtId="0" fontId="24" fillId="2" borderId="0" xfId="4" applyFont="1" applyFill="1" applyAlignment="1">
      <alignment horizontal="center"/>
    </xf>
    <xf numFmtId="0" fontId="4" fillId="2" borderId="0" xfId="4" applyFont="1" applyFill="1" applyAlignment="1">
      <alignment horizontal="center"/>
    </xf>
    <xf numFmtId="0" fontId="12" fillId="2" borderId="0" xfId="4" quotePrefix="1" applyFont="1" applyFill="1" applyAlignment="1">
      <alignment horizontal="center"/>
    </xf>
    <xf numFmtId="0" fontId="31" fillId="0" borderId="0" xfId="0" applyFont="1" applyAlignment="1">
      <alignment horizontal="center"/>
    </xf>
    <xf numFmtId="0" fontId="4" fillId="2" borderId="0" xfId="4" applyFont="1" applyFill="1" applyAlignment="1">
      <alignment horizontal="center" wrapText="1"/>
    </xf>
    <xf numFmtId="0" fontId="4" fillId="2" borderId="0" xfId="4" quotePrefix="1" applyFont="1" applyFill="1" applyAlignment="1">
      <alignment horizontal="center"/>
    </xf>
    <xf numFmtId="0" fontId="13" fillId="0" borderId="0" xfId="0" applyFont="1" applyAlignment="1">
      <alignment horizontal="center" wrapText="1"/>
    </xf>
    <xf numFmtId="0" fontId="13" fillId="5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</cellXfs>
  <cellStyles count="12">
    <cellStyle name="Comma" xfId="1" builtinId="3"/>
    <cellStyle name="Comma 2" xfId="7"/>
    <cellStyle name="Currency" xfId="2" builtinId="4"/>
    <cellStyle name="Currency 2" xfId="10"/>
    <cellStyle name="Currency 2 2" xfId="6"/>
    <cellStyle name="Normal" xfId="0" builtinId="0"/>
    <cellStyle name="Normal 2" xfId="4"/>
    <cellStyle name="Normal 2 2" xfId="11"/>
    <cellStyle name="Percent" xfId="3" builtinId="5"/>
    <cellStyle name="Percent 2" xfId="9"/>
    <cellStyle name="Report Heading 2" xfId="5"/>
    <cellStyle name="Report Heading 3 2" xfId="8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66"/>
  <sheetViews>
    <sheetView topLeftCell="A75" workbookViewId="0">
      <selection activeCell="G99" sqref="G99"/>
    </sheetView>
  </sheetViews>
  <sheetFormatPr defaultRowHeight="15" x14ac:dyDescent="0.25"/>
  <cols>
    <col min="1" max="1" width="4.5703125" customWidth="1"/>
    <col min="2" max="2" width="48.7109375" customWidth="1"/>
    <col min="3" max="3" width="19.42578125" customWidth="1"/>
    <col min="4" max="4" width="18.42578125" customWidth="1"/>
    <col min="5" max="5" width="19.42578125" customWidth="1"/>
    <col min="6" max="6" width="18.140625" customWidth="1"/>
    <col min="7" max="7" width="16.42578125" customWidth="1"/>
    <col min="8" max="8" width="14.42578125" customWidth="1"/>
    <col min="9" max="9" width="13.7109375" customWidth="1"/>
    <col min="10" max="10" width="11.7109375" customWidth="1"/>
    <col min="11" max="11" width="12" customWidth="1"/>
    <col min="12" max="12" width="11.85546875" customWidth="1"/>
    <col min="13" max="13" width="11.42578125" customWidth="1"/>
    <col min="15" max="15" width="6.5703125" customWidth="1"/>
    <col min="16" max="16" width="42" customWidth="1"/>
    <col min="18" max="18" width="20.140625" customWidth="1"/>
  </cols>
  <sheetData>
    <row r="1" spans="1:18" ht="15.75" x14ac:dyDescent="0.25">
      <c r="A1" s="302" t="s">
        <v>0</v>
      </c>
      <c r="B1" s="302"/>
      <c r="C1" s="302"/>
      <c r="D1" s="302"/>
      <c r="E1" s="302"/>
      <c r="F1" s="302"/>
      <c r="G1" s="302"/>
      <c r="H1" s="302"/>
      <c r="I1" s="302"/>
      <c r="N1" s="303" t="s">
        <v>142</v>
      </c>
      <c r="O1" s="303"/>
      <c r="P1" s="303"/>
      <c r="Q1" s="303"/>
      <c r="R1" s="303"/>
    </row>
    <row r="2" spans="1:18" ht="15.75" x14ac:dyDescent="0.25">
      <c r="A2" s="302" t="s">
        <v>1</v>
      </c>
      <c r="B2" s="302"/>
      <c r="C2" s="302"/>
      <c r="D2" s="302"/>
      <c r="E2" s="302"/>
      <c r="F2" s="302"/>
      <c r="G2" s="302"/>
      <c r="H2" s="302"/>
      <c r="I2" s="302"/>
      <c r="N2" s="303" t="s">
        <v>143</v>
      </c>
      <c r="O2" s="303"/>
      <c r="P2" s="303"/>
      <c r="Q2" s="303"/>
      <c r="R2" s="303"/>
    </row>
    <row r="3" spans="1:18" ht="15.75" x14ac:dyDescent="0.25">
      <c r="A3" s="306" t="s">
        <v>2</v>
      </c>
      <c r="B3" s="306"/>
      <c r="C3" s="306"/>
      <c r="D3" s="306"/>
      <c r="E3" s="306"/>
      <c r="F3" s="306"/>
      <c r="G3" s="306"/>
      <c r="H3" s="306"/>
      <c r="I3" s="306"/>
      <c r="N3" s="304" t="s">
        <v>144</v>
      </c>
      <c r="O3" s="304"/>
      <c r="P3" s="304"/>
      <c r="Q3" s="304"/>
      <c r="R3" s="304"/>
    </row>
    <row r="4" spans="1:18" ht="15.75" x14ac:dyDescent="0.25">
      <c r="A4" s="307" t="s">
        <v>3</v>
      </c>
      <c r="B4" s="307"/>
      <c r="C4" s="307"/>
      <c r="D4" s="307"/>
      <c r="E4" s="307"/>
      <c r="F4" s="307"/>
      <c r="G4" s="307"/>
      <c r="H4" s="307"/>
      <c r="I4" s="307"/>
      <c r="N4" s="305" t="s">
        <v>145</v>
      </c>
      <c r="O4" s="305"/>
      <c r="P4" s="305"/>
      <c r="Q4" s="305"/>
      <c r="R4" s="305"/>
    </row>
    <row r="5" spans="1:18" ht="15.75" x14ac:dyDescent="0.25">
      <c r="A5" s="1"/>
      <c r="B5" s="1"/>
      <c r="C5" s="1"/>
      <c r="D5" s="1"/>
      <c r="E5" s="1"/>
      <c r="F5" s="1"/>
      <c r="G5" s="1"/>
      <c r="H5" s="1"/>
      <c r="I5" s="1"/>
      <c r="N5" s="305" t="s">
        <v>146</v>
      </c>
      <c r="O5" s="305"/>
      <c r="P5" s="305"/>
      <c r="Q5" s="305"/>
      <c r="R5" s="305"/>
    </row>
    <row r="6" spans="1:18" ht="15.75" x14ac:dyDescent="0.25">
      <c r="A6" s="2"/>
      <c r="B6" s="2"/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4" t="s">
        <v>9</v>
      </c>
      <c r="I6" s="3" t="s">
        <v>9</v>
      </c>
      <c r="K6" s="3" t="s">
        <v>60</v>
      </c>
      <c r="N6" s="311" t="str">
        <f>A4</f>
        <v>Washington Docket No. UG-170486 Compliance Filing</v>
      </c>
      <c r="O6" s="311"/>
      <c r="P6" s="311"/>
      <c r="Q6" s="311"/>
      <c r="R6" s="311"/>
    </row>
    <row r="7" spans="1:18" ht="15.75" x14ac:dyDescent="0.25">
      <c r="A7" s="2"/>
      <c r="B7" s="2"/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6">
        <v>132</v>
      </c>
      <c r="I7" s="5" t="s">
        <v>15</v>
      </c>
      <c r="K7" s="3">
        <v>132</v>
      </c>
      <c r="N7" s="90"/>
      <c r="O7" s="91"/>
      <c r="P7" s="92"/>
      <c r="Q7" s="93"/>
      <c r="R7" s="94"/>
    </row>
    <row r="8" spans="1:18" ht="15.75" x14ac:dyDescent="0.25">
      <c r="A8" s="2"/>
      <c r="B8" s="2"/>
      <c r="C8" s="2"/>
      <c r="D8" s="2"/>
      <c r="E8" s="2"/>
      <c r="F8" s="2"/>
      <c r="G8" s="2"/>
      <c r="H8" s="7"/>
      <c r="I8" s="8"/>
      <c r="N8" s="90" t="s">
        <v>147</v>
      </c>
      <c r="O8" s="91"/>
      <c r="P8" s="90"/>
      <c r="Q8" s="93"/>
      <c r="R8" s="90"/>
    </row>
    <row r="9" spans="1:18" ht="15.75" x14ac:dyDescent="0.25">
      <c r="A9" s="2">
        <v>1</v>
      </c>
      <c r="B9" s="2" t="s">
        <v>16</v>
      </c>
      <c r="C9" s="9">
        <f>SUM(D9:I9)</f>
        <v>88831000</v>
      </c>
      <c r="D9" s="10">
        <v>67622000</v>
      </c>
      <c r="E9" s="10">
        <v>15462000</v>
      </c>
      <c r="F9" s="10">
        <f>1024000</f>
        <v>1024000</v>
      </c>
      <c r="G9" s="10">
        <f>190000-K9</f>
        <v>0</v>
      </c>
      <c r="H9" s="11">
        <f>K9</f>
        <v>190000</v>
      </c>
      <c r="I9" s="12">
        <f>2921000+1612000</f>
        <v>4533000</v>
      </c>
      <c r="K9" s="53">
        <v>190000</v>
      </c>
      <c r="N9" s="95" t="s">
        <v>148</v>
      </c>
      <c r="O9" s="91"/>
      <c r="P9" s="95" t="s">
        <v>149</v>
      </c>
      <c r="Q9" s="93"/>
      <c r="R9" s="95" t="s">
        <v>150</v>
      </c>
    </row>
    <row r="10" spans="1:18" ht="15.75" x14ac:dyDescent="0.25">
      <c r="A10" s="2">
        <v>2</v>
      </c>
      <c r="B10" s="13" t="s">
        <v>17</v>
      </c>
      <c r="C10" s="9">
        <f>SUM(D10:I10)</f>
        <v>-2145000</v>
      </c>
      <c r="D10" s="10">
        <v>-1663000</v>
      </c>
      <c r="E10" s="10">
        <v>-380000</v>
      </c>
      <c r="F10" s="10">
        <v>-25000</v>
      </c>
      <c r="G10" s="10">
        <f>-5000-K10</f>
        <v>0</v>
      </c>
      <c r="H10" s="11">
        <f>K10</f>
        <v>-5000</v>
      </c>
      <c r="I10" s="12">
        <v>-72000</v>
      </c>
      <c r="K10" s="53">
        <v>-5000</v>
      </c>
      <c r="N10" s="90"/>
      <c r="O10" s="91"/>
      <c r="P10" s="93"/>
      <c r="Q10" s="93"/>
      <c r="R10" s="93"/>
    </row>
    <row r="11" spans="1:18" ht="15.75" x14ac:dyDescent="0.25">
      <c r="A11" s="2">
        <v>3</v>
      </c>
      <c r="B11" s="2" t="s">
        <v>18</v>
      </c>
      <c r="C11" s="9">
        <f>SUM(D11:I11)</f>
        <v>86686000</v>
      </c>
      <c r="D11" s="14">
        <f t="shared" ref="D11:I11" si="0">D9+D10</f>
        <v>65959000</v>
      </c>
      <c r="E11" s="14">
        <f t="shared" si="0"/>
        <v>15082000</v>
      </c>
      <c r="F11" s="14">
        <f t="shared" si="0"/>
        <v>999000</v>
      </c>
      <c r="G11" s="14">
        <f>G9+G10</f>
        <v>0</v>
      </c>
      <c r="H11" s="15">
        <f t="shared" si="0"/>
        <v>185000</v>
      </c>
      <c r="I11" s="16">
        <f t="shared" si="0"/>
        <v>4461000</v>
      </c>
      <c r="K11" s="53">
        <f>K9+K10</f>
        <v>185000</v>
      </c>
      <c r="N11" s="96">
        <v>1</v>
      </c>
      <c r="O11" s="91"/>
      <c r="P11" s="94" t="s">
        <v>55</v>
      </c>
      <c r="Q11" s="93"/>
      <c r="R11" s="93">
        <v>1</v>
      </c>
    </row>
    <row r="12" spans="1:18" ht="15.75" x14ac:dyDescent="0.25">
      <c r="A12" s="2"/>
      <c r="B12" s="2"/>
      <c r="C12" s="2"/>
      <c r="D12" s="2"/>
      <c r="E12" s="2"/>
      <c r="F12" s="2"/>
      <c r="G12" s="2"/>
      <c r="H12" s="7"/>
      <c r="I12" s="8"/>
      <c r="N12" s="96"/>
      <c r="O12" s="91"/>
      <c r="P12" s="94"/>
      <c r="Q12" s="93"/>
      <c r="R12" s="93"/>
    </row>
    <row r="13" spans="1:18" ht="15.75" x14ac:dyDescent="0.25">
      <c r="A13" s="2">
        <v>4</v>
      </c>
      <c r="B13" s="2" t="s">
        <v>19</v>
      </c>
      <c r="C13" s="17">
        <f>SUM(D13:I13)</f>
        <v>252141683</v>
      </c>
      <c r="D13" s="18">
        <v>119446617</v>
      </c>
      <c r="E13" s="18">
        <v>47951720</v>
      </c>
      <c r="F13" s="18">
        <f>4115331</f>
        <v>4115331</v>
      </c>
      <c r="G13" s="18">
        <f>901267-K13</f>
        <v>0</v>
      </c>
      <c r="H13" s="19">
        <f>K13</f>
        <v>901267</v>
      </c>
      <c r="I13" s="20">
        <f>30719529+39386921+9620298</f>
        <v>79726748</v>
      </c>
      <c r="K13" s="54">
        <v>901267</v>
      </c>
      <c r="N13" s="96"/>
      <c r="O13" s="91"/>
      <c r="P13" s="94" t="s">
        <v>151</v>
      </c>
      <c r="Q13" s="93"/>
      <c r="R13" s="93"/>
    </row>
    <row r="14" spans="1:18" ht="15.75" x14ac:dyDescent="0.25">
      <c r="A14" s="2">
        <v>5</v>
      </c>
      <c r="B14" s="2" t="s">
        <v>20</v>
      </c>
      <c r="C14" s="21"/>
      <c r="D14" s="22">
        <v>0</v>
      </c>
      <c r="E14" s="22">
        <v>0</v>
      </c>
      <c r="F14" s="22">
        <v>0</v>
      </c>
      <c r="G14" s="22">
        <v>0</v>
      </c>
      <c r="H14" s="23"/>
      <c r="I14" s="24"/>
      <c r="K14" s="39">
        <f>G14</f>
        <v>0</v>
      </c>
      <c r="N14" s="96">
        <v>2</v>
      </c>
      <c r="O14" s="97"/>
      <c r="P14" s="93" t="s">
        <v>152</v>
      </c>
      <c r="Q14" s="93"/>
      <c r="R14" s="98">
        <v>6.1830000000000001E-3</v>
      </c>
    </row>
    <row r="15" spans="1:18" ht="15.75" x14ac:dyDescent="0.25">
      <c r="A15" s="2">
        <v>6</v>
      </c>
      <c r="B15" s="2" t="s">
        <v>21</v>
      </c>
      <c r="C15" s="9">
        <f>SUM(D15:G15)</f>
        <v>0</v>
      </c>
      <c r="D15" s="9">
        <f>D13*D14</f>
        <v>0</v>
      </c>
      <c r="E15" s="9">
        <f>E13*E14</f>
        <v>0</v>
      </c>
      <c r="F15" s="9">
        <f>F13*F14</f>
        <v>0</v>
      </c>
      <c r="G15" s="9">
        <f>G13*G14</f>
        <v>0</v>
      </c>
      <c r="H15" s="23"/>
      <c r="I15" s="24"/>
      <c r="K15" s="53">
        <f>K13*K14</f>
        <v>0</v>
      </c>
      <c r="N15" s="96"/>
      <c r="O15" s="91"/>
      <c r="P15" s="93"/>
      <c r="Q15" s="93"/>
      <c r="R15" s="98"/>
    </row>
    <row r="16" spans="1:18" ht="15.75" x14ac:dyDescent="0.25">
      <c r="A16" s="2"/>
      <c r="B16" s="2"/>
      <c r="C16" s="2"/>
      <c r="D16" s="2"/>
      <c r="E16" s="2"/>
      <c r="F16" s="2"/>
      <c r="G16" s="2"/>
      <c r="H16" s="23"/>
      <c r="I16" s="24"/>
      <c r="N16" s="96">
        <v>3</v>
      </c>
      <c r="O16" s="91"/>
      <c r="P16" s="93" t="s">
        <v>153</v>
      </c>
      <c r="Q16" s="93"/>
      <c r="R16" s="99">
        <v>2E-3</v>
      </c>
    </row>
    <row r="17" spans="1:18" ht="15.75" x14ac:dyDescent="0.25">
      <c r="A17" s="2">
        <v>7</v>
      </c>
      <c r="B17" s="2" t="s">
        <v>22</v>
      </c>
      <c r="C17" s="9">
        <f>SUM(D17:G17)</f>
        <v>82040000</v>
      </c>
      <c r="D17" s="14">
        <f>D11-D15</f>
        <v>65959000</v>
      </c>
      <c r="E17" s="14">
        <f>E11-E15</f>
        <v>15082000</v>
      </c>
      <c r="F17" s="14">
        <f>F11-F15</f>
        <v>999000</v>
      </c>
      <c r="G17" s="14">
        <f>G11-G15</f>
        <v>0</v>
      </c>
      <c r="H17" s="15"/>
      <c r="I17" s="8"/>
      <c r="K17" s="38">
        <f>K11-K15</f>
        <v>185000</v>
      </c>
      <c r="N17" s="96"/>
      <c r="O17" s="91"/>
      <c r="P17" s="93"/>
      <c r="Q17" s="93"/>
      <c r="R17" s="98"/>
    </row>
    <row r="18" spans="1:18" ht="15.75" x14ac:dyDescent="0.25">
      <c r="A18" s="2"/>
      <c r="B18" s="2"/>
      <c r="C18" s="2"/>
      <c r="D18" s="2"/>
      <c r="E18" s="2"/>
      <c r="F18" s="2"/>
      <c r="G18" s="2"/>
      <c r="H18" s="7"/>
      <c r="I18" s="8"/>
      <c r="N18" s="96">
        <v>4</v>
      </c>
      <c r="O18" s="91"/>
      <c r="P18" s="93" t="s">
        <v>154</v>
      </c>
      <c r="Q18" s="93"/>
      <c r="R18" s="98">
        <v>3.8281999999999997E-2</v>
      </c>
    </row>
    <row r="19" spans="1:18" ht="15.75" x14ac:dyDescent="0.25">
      <c r="A19" s="2">
        <v>8</v>
      </c>
      <c r="B19" s="2" t="s">
        <v>23</v>
      </c>
      <c r="C19" s="17">
        <f>SUM(D19:I19)</f>
        <v>1881282</v>
      </c>
      <c r="D19" s="25">
        <v>1847462</v>
      </c>
      <c r="E19" s="25">
        <v>32983</v>
      </c>
      <c r="F19" s="25">
        <f>273</f>
        <v>273</v>
      </c>
      <c r="G19" s="25">
        <f>24-K19</f>
        <v>0</v>
      </c>
      <c r="H19" s="19">
        <f>K19</f>
        <v>24</v>
      </c>
      <c r="I19" s="20">
        <f>480+48+12</f>
        <v>540</v>
      </c>
      <c r="K19">
        <v>24</v>
      </c>
      <c r="N19" s="96"/>
      <c r="O19" s="91"/>
      <c r="P19" s="93"/>
      <c r="Q19" s="93"/>
      <c r="R19" s="100"/>
    </row>
    <row r="20" spans="1:18" ht="15.75" x14ac:dyDescent="0.25">
      <c r="A20" s="2">
        <v>9</v>
      </c>
      <c r="B20" s="2" t="s">
        <v>24</v>
      </c>
      <c r="C20" s="9"/>
      <c r="D20" s="26">
        <v>9.5</v>
      </c>
      <c r="E20" s="26">
        <v>97.25</v>
      </c>
      <c r="F20" s="26">
        <v>240.44</v>
      </c>
      <c r="G20" s="27">
        <f>G19*G18</f>
        <v>0</v>
      </c>
      <c r="H20" s="28"/>
      <c r="I20" s="8"/>
      <c r="K20" s="34">
        <f>G20</f>
        <v>0</v>
      </c>
      <c r="N20" s="96">
        <v>6</v>
      </c>
      <c r="O20" s="91"/>
      <c r="P20" s="93" t="s">
        <v>155</v>
      </c>
      <c r="Q20" s="93"/>
      <c r="R20" s="101">
        <f>SUM(R14:R18)</f>
        <v>4.6464999999999992E-2</v>
      </c>
    </row>
    <row r="21" spans="1:18" ht="15.75" x14ac:dyDescent="0.25">
      <c r="A21" s="2">
        <v>10</v>
      </c>
      <c r="B21" s="2" t="s">
        <v>25</v>
      </c>
      <c r="C21" s="9">
        <f>SUM(D21:G21)</f>
        <v>20824125.870000001</v>
      </c>
      <c r="D21" s="29">
        <f>D20*D19</f>
        <v>17550889</v>
      </c>
      <c r="E21" s="29">
        <f>E20*E19</f>
        <v>3207596.75</v>
      </c>
      <c r="F21" s="29">
        <f>F20*F19</f>
        <v>65640.12</v>
      </c>
      <c r="G21" s="29">
        <f>G20*G19</f>
        <v>0</v>
      </c>
      <c r="H21" s="28"/>
      <c r="I21" s="8"/>
      <c r="K21" s="38">
        <f>K19*K20</f>
        <v>0</v>
      </c>
      <c r="N21" s="96"/>
      <c r="O21" s="91"/>
      <c r="P21" s="93"/>
      <c r="Q21" s="93"/>
      <c r="R21" s="93"/>
    </row>
    <row r="22" spans="1:18" ht="15.75" x14ac:dyDescent="0.25">
      <c r="A22" s="2"/>
      <c r="B22" s="2"/>
      <c r="C22" s="9"/>
      <c r="D22" s="29"/>
      <c r="E22" s="29"/>
      <c r="F22" s="29"/>
      <c r="G22" s="29"/>
      <c r="H22" s="308" t="s">
        <v>26</v>
      </c>
      <c r="I22" s="309"/>
      <c r="K22" s="38"/>
      <c r="N22" s="96">
        <v>7</v>
      </c>
      <c r="O22" s="91"/>
      <c r="P22" s="93" t="s">
        <v>156</v>
      </c>
      <c r="Q22" s="93"/>
      <c r="R22" s="93">
        <f>R11-R20</f>
        <v>0.95353500000000002</v>
      </c>
    </row>
    <row r="23" spans="1:18" ht="15.75" x14ac:dyDescent="0.25">
      <c r="A23" s="2">
        <v>11</v>
      </c>
      <c r="B23" s="2" t="s">
        <v>27</v>
      </c>
      <c r="C23" s="9">
        <f>SUM(D23:G23)</f>
        <v>61215874.130000003</v>
      </c>
      <c r="D23" s="29">
        <f>D17-D21</f>
        <v>48408111</v>
      </c>
      <c r="E23" s="29">
        <f>E17-E21</f>
        <v>11874403.25</v>
      </c>
      <c r="F23" s="29">
        <f>F17-F21</f>
        <v>933359.88</v>
      </c>
      <c r="G23" s="29">
        <f>G17-G21</f>
        <v>0</v>
      </c>
      <c r="H23" s="308"/>
      <c r="I23" s="309"/>
      <c r="K23" s="38">
        <f>K17-K21</f>
        <v>185000</v>
      </c>
      <c r="N23" s="96"/>
      <c r="O23" s="91"/>
      <c r="P23" s="93"/>
      <c r="Q23" s="93"/>
      <c r="R23" s="93"/>
    </row>
    <row r="24" spans="1:18" ht="15.75" x14ac:dyDescent="0.25">
      <c r="A24" s="30"/>
      <c r="B24" s="30"/>
      <c r="C24" s="30"/>
      <c r="D24" s="30"/>
      <c r="E24" s="30"/>
      <c r="F24" s="30"/>
      <c r="G24" s="30"/>
      <c r="H24" s="31"/>
      <c r="I24" s="32"/>
      <c r="N24" s="96">
        <v>8</v>
      </c>
      <c r="O24" s="91"/>
      <c r="P24" s="93" t="s">
        <v>157</v>
      </c>
      <c r="Q24" s="102"/>
      <c r="R24" s="93">
        <f>R22*0.21</f>
        <v>0.20024234999999999</v>
      </c>
    </row>
    <row r="25" spans="1:18" ht="15.75" x14ac:dyDescent="0.25">
      <c r="C25" s="2"/>
      <c r="D25" s="33" t="s">
        <v>28</v>
      </c>
      <c r="E25" s="2" t="s">
        <v>29</v>
      </c>
      <c r="N25" s="91"/>
      <c r="O25" s="91"/>
      <c r="P25" s="93"/>
      <c r="Q25" s="93"/>
      <c r="R25" s="93"/>
    </row>
    <row r="26" spans="1:18" ht="15.75" x14ac:dyDescent="0.25">
      <c r="A26" s="2">
        <v>12</v>
      </c>
      <c r="B26" s="2" t="s">
        <v>30</v>
      </c>
      <c r="C26" s="17"/>
      <c r="D26" s="17">
        <f>D19/12</f>
        <v>153955.16666666666</v>
      </c>
      <c r="E26" s="17">
        <f>(E19+F19+G19)/12</f>
        <v>2771.3333333333335</v>
      </c>
      <c r="N26" s="96">
        <v>9</v>
      </c>
      <c r="O26" s="91"/>
      <c r="P26" s="93" t="s">
        <v>143</v>
      </c>
      <c r="Q26" s="93"/>
      <c r="R26" s="93">
        <f>ROUND(R22-R24,6)</f>
        <v>0.75329299999999999</v>
      </c>
    </row>
    <row r="27" spans="1:18" ht="15.75" x14ac:dyDescent="0.25">
      <c r="A27" s="2">
        <v>13</v>
      </c>
      <c r="B27" s="2" t="s">
        <v>31</v>
      </c>
      <c r="C27" s="17"/>
      <c r="D27" s="17">
        <f>D13</f>
        <v>119446617</v>
      </c>
      <c r="E27" s="17">
        <f>E13+F13+G13</f>
        <v>52067051</v>
      </c>
      <c r="N27" s="91"/>
      <c r="O27" s="91"/>
      <c r="P27" s="93"/>
      <c r="Q27" s="93"/>
      <c r="R27" s="103"/>
    </row>
    <row r="28" spans="1:18" ht="15.75" x14ac:dyDescent="0.25">
      <c r="A28" s="2">
        <v>14</v>
      </c>
      <c r="B28" s="2" t="s">
        <v>32</v>
      </c>
      <c r="C28" s="9"/>
      <c r="D28" s="9">
        <f>D21</f>
        <v>17550889</v>
      </c>
      <c r="E28" s="9">
        <f>E21+F21+G21</f>
        <v>3273236.87</v>
      </c>
      <c r="F28" s="34"/>
      <c r="N28" s="91"/>
      <c r="O28" s="91"/>
      <c r="P28" s="104" t="s">
        <v>158</v>
      </c>
      <c r="Q28" s="93"/>
      <c r="R28" s="103"/>
    </row>
    <row r="29" spans="1:18" ht="15.75" x14ac:dyDescent="0.25">
      <c r="A29" s="2">
        <v>15</v>
      </c>
      <c r="B29" s="2" t="s">
        <v>33</v>
      </c>
      <c r="C29" s="17"/>
      <c r="D29" s="17">
        <f>D19</f>
        <v>1847462</v>
      </c>
      <c r="E29" s="17">
        <f>E19+F19+G19</f>
        <v>33256</v>
      </c>
      <c r="F29" s="34"/>
    </row>
    <row r="30" spans="1:18" ht="15.75" x14ac:dyDescent="0.25">
      <c r="A30" s="2">
        <v>16</v>
      </c>
      <c r="B30" s="2" t="s">
        <v>34</v>
      </c>
      <c r="C30" s="9"/>
      <c r="D30" s="35">
        <f>D28/D29</f>
        <v>9.5</v>
      </c>
      <c r="E30" s="35">
        <f>E28/E29</f>
        <v>98.425453151311046</v>
      </c>
      <c r="F30" s="34"/>
      <c r="N30" t="s">
        <v>159</v>
      </c>
    </row>
    <row r="31" spans="1:18" x14ac:dyDescent="0.25">
      <c r="D31" s="34"/>
    </row>
    <row r="32" spans="1:18" ht="18.75" x14ac:dyDescent="0.3">
      <c r="D32" s="34"/>
      <c r="N32" s="36" t="s">
        <v>160</v>
      </c>
    </row>
    <row r="33" spans="1:6" ht="18.75" x14ac:dyDescent="0.3">
      <c r="A33" s="36" t="s">
        <v>35</v>
      </c>
      <c r="B33" s="37"/>
      <c r="D33" s="34"/>
    </row>
    <row r="34" spans="1:6" x14ac:dyDescent="0.25">
      <c r="D34" s="34"/>
    </row>
    <row r="35" spans="1:6" x14ac:dyDescent="0.25">
      <c r="D35" s="34"/>
    </row>
    <row r="36" spans="1:6" x14ac:dyDescent="0.25">
      <c r="C36" t="s">
        <v>36</v>
      </c>
      <c r="D36" s="38"/>
      <c r="F36" s="38"/>
    </row>
    <row r="37" spans="1:6" x14ac:dyDescent="0.25">
      <c r="C37" t="s">
        <v>37</v>
      </c>
      <c r="D37" s="39">
        <f>D23/D13</f>
        <v>0.40526983698500224</v>
      </c>
      <c r="E37" s="39">
        <f>E23/E13</f>
        <v>0.24763247804249774</v>
      </c>
      <c r="F37" s="39">
        <f>F23/F13</f>
        <v>0.22680068261823896</v>
      </c>
    </row>
    <row r="38" spans="1:6" x14ac:dyDescent="0.25">
      <c r="C38" t="s">
        <v>38</v>
      </c>
      <c r="D38" s="39">
        <f>D37+D14</f>
        <v>0.40526983698500224</v>
      </c>
      <c r="E38" s="39">
        <f>E37+E14</f>
        <v>0.24763247804249774</v>
      </c>
      <c r="F38" s="39">
        <f>F37+F14</f>
        <v>0.22680068261823896</v>
      </c>
    </row>
    <row r="42" spans="1:6" ht="15.75" x14ac:dyDescent="0.25">
      <c r="A42" s="302" t="s">
        <v>0</v>
      </c>
      <c r="B42" s="302"/>
      <c r="C42" s="302"/>
      <c r="D42" s="302"/>
      <c r="E42" s="302"/>
    </row>
    <row r="43" spans="1:6" ht="15.75" x14ac:dyDescent="0.25">
      <c r="A43" s="302" t="s">
        <v>1</v>
      </c>
      <c r="B43" s="302"/>
      <c r="C43" s="302"/>
      <c r="D43" s="302"/>
      <c r="E43" s="302"/>
    </row>
    <row r="44" spans="1:6" ht="15.75" x14ac:dyDescent="0.25">
      <c r="A44" s="306" t="s">
        <v>39</v>
      </c>
      <c r="B44" s="306"/>
      <c r="C44" s="306"/>
      <c r="D44" s="306"/>
      <c r="E44" s="306"/>
    </row>
    <row r="45" spans="1:6" ht="15.75" x14ac:dyDescent="0.25">
      <c r="A45" s="312" t="str">
        <f>A4</f>
        <v>Washington Docket No. UG-170486 Compliance Filing</v>
      </c>
      <c r="B45" s="312"/>
      <c r="C45" s="312"/>
      <c r="D45" s="312"/>
      <c r="E45" s="312"/>
    </row>
    <row r="46" spans="1:6" ht="15.75" x14ac:dyDescent="0.25">
      <c r="A46" s="40"/>
      <c r="B46" s="40"/>
      <c r="C46" s="40"/>
      <c r="D46" s="40"/>
      <c r="E46" s="40"/>
    </row>
    <row r="47" spans="1:6" ht="63" x14ac:dyDescent="0.25">
      <c r="A47" s="41" t="s">
        <v>40</v>
      </c>
      <c r="B47" s="42"/>
      <c r="C47" s="41" t="s">
        <v>41</v>
      </c>
      <c r="D47" s="41" t="s">
        <v>42</v>
      </c>
      <c r="E47" s="41" t="s">
        <v>43</v>
      </c>
    </row>
    <row r="48" spans="1:6" ht="15.75" x14ac:dyDescent="0.25">
      <c r="A48" s="40"/>
      <c r="B48" s="43" t="s">
        <v>44</v>
      </c>
      <c r="C48" s="43" t="s">
        <v>45</v>
      </c>
      <c r="D48" s="43" t="s">
        <v>46</v>
      </c>
      <c r="E48" s="43" t="s">
        <v>47</v>
      </c>
    </row>
    <row r="49" spans="1:5" ht="15.75" x14ac:dyDescent="0.25">
      <c r="A49" s="43"/>
      <c r="B49" s="44"/>
      <c r="C49" s="43"/>
      <c r="D49" s="43"/>
      <c r="E49" s="43"/>
    </row>
    <row r="50" spans="1:5" ht="15.75" x14ac:dyDescent="0.25">
      <c r="A50" s="43">
        <v>1</v>
      </c>
      <c r="B50" s="44" t="s">
        <v>48</v>
      </c>
      <c r="C50" s="43" t="s">
        <v>35</v>
      </c>
      <c r="D50" s="45">
        <f>D23</f>
        <v>48408111</v>
      </c>
      <c r="E50" s="45">
        <f>SUM(E23:G23)</f>
        <v>12807763.130000001</v>
      </c>
    </row>
    <row r="51" spans="1:5" ht="15.75" x14ac:dyDescent="0.25">
      <c r="A51" s="43"/>
      <c r="B51" s="44"/>
      <c r="C51" s="43"/>
      <c r="D51" s="43"/>
      <c r="E51" s="43"/>
    </row>
    <row r="52" spans="1:5" ht="15.75" x14ac:dyDescent="0.25">
      <c r="A52" s="43">
        <v>2</v>
      </c>
      <c r="B52" s="40" t="s">
        <v>49</v>
      </c>
      <c r="C52" s="43" t="s">
        <v>50</v>
      </c>
      <c r="D52" s="46">
        <f>D26</f>
        <v>153955.16666666666</v>
      </c>
      <c r="E52" s="46">
        <f>E26</f>
        <v>2771.3333333333335</v>
      </c>
    </row>
    <row r="53" spans="1:5" ht="15.75" x14ac:dyDescent="0.25">
      <c r="A53" s="43"/>
      <c r="B53" s="44"/>
      <c r="C53" s="43"/>
      <c r="D53" s="43"/>
      <c r="E53" s="43"/>
    </row>
    <row r="54" spans="1:5" ht="15.75" x14ac:dyDescent="0.25">
      <c r="A54" s="43">
        <v>3</v>
      </c>
      <c r="B54" s="44" t="s">
        <v>51</v>
      </c>
      <c r="C54" s="43" t="str">
        <f>"("&amp;A50&amp;") / ("&amp;A$11&amp;")"</f>
        <v>(1) / (3)</v>
      </c>
      <c r="D54" s="47">
        <f>ROUND(D50/D52,2)</f>
        <v>314.43</v>
      </c>
      <c r="E54" s="47">
        <f>ROUND(E50/E52,2)</f>
        <v>4621.5200000000004</v>
      </c>
    </row>
    <row r="55" spans="1:5" ht="15.75" x14ac:dyDescent="0.25">
      <c r="A55" s="43"/>
      <c r="B55" s="44"/>
      <c r="C55" s="43"/>
      <c r="D55" s="43"/>
      <c r="E55" s="43"/>
    </row>
    <row r="56" spans="1:5" ht="15.75" x14ac:dyDescent="0.25">
      <c r="A56" s="43"/>
      <c r="B56" s="44"/>
      <c r="C56" s="43"/>
      <c r="D56" s="43"/>
      <c r="E56" s="43"/>
    </row>
    <row r="57" spans="1:5" ht="15.75" x14ac:dyDescent="0.25">
      <c r="A57" s="43"/>
      <c r="B57" s="48" t="s">
        <v>52</v>
      </c>
      <c r="C57" s="40"/>
      <c r="D57" s="49"/>
      <c r="E57" s="49"/>
    </row>
    <row r="58" spans="1:5" ht="15.75" x14ac:dyDescent="0.25">
      <c r="A58" s="43"/>
      <c r="B58" s="48" t="s">
        <v>53</v>
      </c>
      <c r="C58" s="40"/>
      <c r="D58" s="40"/>
      <c r="E58" s="40"/>
    </row>
    <row r="59" spans="1:5" ht="15.75" x14ac:dyDescent="0.25">
      <c r="A59" s="30"/>
      <c r="B59" s="30"/>
      <c r="C59" s="30"/>
      <c r="D59" s="30"/>
      <c r="E59" s="30"/>
    </row>
    <row r="60" spans="1:5" ht="15.75" x14ac:dyDescent="0.25">
      <c r="A60" s="30"/>
      <c r="B60" s="30"/>
      <c r="C60" s="30"/>
      <c r="D60" s="30"/>
      <c r="E60" s="30"/>
    </row>
    <row r="61" spans="1:5" ht="18.75" x14ac:dyDescent="0.3">
      <c r="A61" s="36" t="s">
        <v>54</v>
      </c>
      <c r="B61" s="30"/>
      <c r="C61" s="30"/>
      <c r="D61" s="30"/>
      <c r="E61" s="30"/>
    </row>
    <row r="62" spans="1:5" ht="15.75" x14ac:dyDescent="0.25">
      <c r="A62" s="30"/>
      <c r="B62" s="30"/>
      <c r="C62" s="30"/>
      <c r="D62" s="30"/>
      <c r="E62" s="30"/>
    </row>
    <row r="63" spans="1:5" ht="15.75" x14ac:dyDescent="0.25">
      <c r="A63" s="30"/>
      <c r="B63" s="30"/>
      <c r="C63" s="50" t="s">
        <v>55</v>
      </c>
      <c r="D63" s="30"/>
      <c r="E63" s="30"/>
    </row>
    <row r="64" spans="1:5" ht="15.75" x14ac:dyDescent="0.25">
      <c r="A64" s="30"/>
      <c r="B64" s="30"/>
      <c r="C64" s="50" t="s">
        <v>56</v>
      </c>
      <c r="D64" s="51">
        <f>D54*D52</f>
        <v>48408123.055</v>
      </c>
      <c r="E64" s="51">
        <f>E54*E52</f>
        <v>12807772.426666668</v>
      </c>
    </row>
    <row r="65" spans="1:16" ht="15.75" x14ac:dyDescent="0.25">
      <c r="A65" s="30"/>
      <c r="B65" s="30"/>
      <c r="C65" s="50" t="s">
        <v>57</v>
      </c>
      <c r="D65" s="51">
        <f>D28</f>
        <v>17550889</v>
      </c>
      <c r="E65" s="51">
        <f>E28</f>
        <v>3273236.87</v>
      </c>
    </row>
    <row r="66" spans="1:16" ht="15.75" x14ac:dyDescent="0.25">
      <c r="A66" s="30"/>
      <c r="B66" s="30"/>
      <c r="C66" s="50" t="s">
        <v>58</v>
      </c>
      <c r="D66" s="51">
        <f>D15</f>
        <v>0</v>
      </c>
      <c r="E66" s="51">
        <f>SUM(E15:G15)</f>
        <v>0</v>
      </c>
    </row>
    <row r="67" spans="1:16" ht="15.75" x14ac:dyDescent="0.25">
      <c r="A67" s="30"/>
      <c r="B67" s="30"/>
      <c r="C67" s="50" t="s">
        <v>59</v>
      </c>
      <c r="D67" s="52">
        <f>SUM(D64:D66)</f>
        <v>65959012.055</v>
      </c>
      <c r="E67" s="52">
        <f>SUM(E64:E66)</f>
        <v>16081009.296666667</v>
      </c>
    </row>
    <row r="70" spans="1:16" ht="18.75" x14ac:dyDescent="0.3">
      <c r="A70" s="310" t="s">
        <v>0</v>
      </c>
      <c r="B70" s="310"/>
      <c r="C70" s="310"/>
      <c r="D70" s="310"/>
      <c r="E70" s="310"/>
      <c r="F70" s="310"/>
      <c r="G70" s="310"/>
      <c r="H70" s="310"/>
      <c r="I70" s="310"/>
      <c r="J70" s="310"/>
      <c r="K70" s="310"/>
      <c r="L70" s="310"/>
      <c r="M70" s="310"/>
      <c r="N70" s="310"/>
      <c r="O70" s="310"/>
      <c r="P70" s="310"/>
    </row>
    <row r="71" spans="1:16" ht="18.75" x14ac:dyDescent="0.3">
      <c r="A71" s="310" t="str">
        <f>A2</f>
        <v>Natural Gas Decoupling Mechanism</v>
      </c>
      <c r="B71" s="310"/>
      <c r="C71" s="310"/>
      <c r="D71" s="310"/>
      <c r="E71" s="310"/>
      <c r="F71" s="310"/>
      <c r="G71" s="310"/>
      <c r="H71" s="310"/>
      <c r="I71" s="310"/>
      <c r="J71" s="310"/>
      <c r="K71" s="310"/>
      <c r="L71" s="310"/>
      <c r="M71" s="310"/>
      <c r="N71" s="310"/>
      <c r="O71" s="310"/>
      <c r="P71" s="310"/>
    </row>
    <row r="72" spans="1:16" ht="18.75" x14ac:dyDescent="0.3">
      <c r="A72" s="313" t="s">
        <v>61</v>
      </c>
      <c r="B72" s="310"/>
      <c r="C72" s="310"/>
      <c r="D72" s="310"/>
      <c r="E72" s="310"/>
      <c r="F72" s="310"/>
      <c r="G72" s="310"/>
      <c r="H72" s="310"/>
      <c r="I72" s="310"/>
      <c r="J72" s="310"/>
      <c r="K72" s="310"/>
      <c r="L72" s="310"/>
      <c r="M72" s="310"/>
      <c r="N72" s="310"/>
      <c r="O72" s="310"/>
      <c r="P72" s="310"/>
    </row>
    <row r="73" spans="1:16" ht="18.75" x14ac:dyDescent="0.3">
      <c r="A73" s="310" t="str">
        <f>A4</f>
        <v>Washington Docket No. UG-170486 Compliance Filing</v>
      </c>
      <c r="B73" s="310"/>
      <c r="C73" s="310"/>
      <c r="D73" s="310"/>
      <c r="E73" s="310"/>
      <c r="F73" s="310"/>
      <c r="G73" s="310"/>
      <c r="H73" s="310"/>
      <c r="I73" s="310"/>
      <c r="J73" s="310"/>
      <c r="K73" s="310"/>
      <c r="L73" s="310"/>
      <c r="M73" s="310"/>
      <c r="N73" s="310"/>
      <c r="O73" s="310"/>
      <c r="P73" s="310"/>
    </row>
    <row r="74" spans="1:16" x14ac:dyDescent="0.25">
      <c r="A74" s="55"/>
      <c r="B74" s="55"/>
      <c r="C74" s="56"/>
      <c r="D74" s="56"/>
      <c r="E74" s="56"/>
      <c r="F74" s="56"/>
      <c r="G74" s="56"/>
      <c r="H74" s="55"/>
      <c r="I74" s="55"/>
      <c r="J74" s="55"/>
      <c r="K74" s="55"/>
      <c r="L74" s="55"/>
      <c r="M74" s="55"/>
      <c r="N74" s="55"/>
      <c r="O74" s="55"/>
      <c r="P74" s="55"/>
    </row>
    <row r="75" spans="1:16" ht="38.25" x14ac:dyDescent="0.25">
      <c r="A75" s="57" t="s">
        <v>40</v>
      </c>
      <c r="B75" s="58"/>
      <c r="C75" s="59" t="s">
        <v>41</v>
      </c>
      <c r="D75" s="60" t="s">
        <v>62</v>
      </c>
      <c r="E75" s="60" t="s">
        <v>63</v>
      </c>
      <c r="F75" s="60" t="s">
        <v>64</v>
      </c>
      <c r="G75" s="60" t="s">
        <v>65</v>
      </c>
      <c r="H75" s="60" t="s">
        <v>66</v>
      </c>
      <c r="I75" s="60" t="s">
        <v>67</v>
      </c>
      <c r="J75" s="60" t="s">
        <v>68</v>
      </c>
      <c r="K75" s="60" t="s">
        <v>69</v>
      </c>
      <c r="L75" s="60" t="s">
        <v>70</v>
      </c>
      <c r="M75" s="60" t="s">
        <v>71</v>
      </c>
      <c r="N75" s="60" t="s">
        <v>72</v>
      </c>
      <c r="O75" s="60" t="s">
        <v>73</v>
      </c>
      <c r="P75" s="57" t="s">
        <v>10</v>
      </c>
    </row>
    <row r="76" spans="1:16" x14ac:dyDescent="0.25">
      <c r="A76" s="55"/>
      <c r="B76" s="56" t="s">
        <v>44</v>
      </c>
      <c r="C76" s="56" t="s">
        <v>45</v>
      </c>
      <c r="D76" s="56" t="s">
        <v>46</v>
      </c>
      <c r="E76" s="56" t="s">
        <v>47</v>
      </c>
      <c r="F76" s="56" t="s">
        <v>74</v>
      </c>
      <c r="G76" s="56" t="s">
        <v>75</v>
      </c>
      <c r="H76" s="56" t="s">
        <v>76</v>
      </c>
      <c r="I76" s="56" t="s">
        <v>77</v>
      </c>
      <c r="J76" s="56" t="s">
        <v>78</v>
      </c>
      <c r="K76" s="56" t="s">
        <v>79</v>
      </c>
      <c r="L76" s="56" t="s">
        <v>80</v>
      </c>
      <c r="M76" s="56" t="s">
        <v>81</v>
      </c>
      <c r="N76" s="56" t="s">
        <v>82</v>
      </c>
      <c r="O76" s="56" t="s">
        <v>83</v>
      </c>
      <c r="P76" s="56" t="s">
        <v>84</v>
      </c>
    </row>
    <row r="77" spans="1:16" x14ac:dyDescent="0.25">
      <c r="A77" s="56">
        <v>1</v>
      </c>
      <c r="B77" s="61"/>
      <c r="C77" s="56"/>
      <c r="D77" s="56"/>
      <c r="E77" s="56"/>
      <c r="F77" s="56"/>
      <c r="G77" s="56"/>
      <c r="H77" s="56"/>
      <c r="I77" s="56"/>
      <c r="J77" s="55"/>
      <c r="K77" s="55"/>
      <c r="L77" s="55"/>
      <c r="M77" s="55"/>
      <c r="N77" s="55"/>
      <c r="O77" s="55"/>
      <c r="P77" s="55"/>
    </row>
    <row r="78" spans="1:16" x14ac:dyDescent="0.25">
      <c r="A78" s="56">
        <f t="shared" ref="A78:A97" si="1">A77+1</f>
        <v>2</v>
      </c>
      <c r="B78" s="62" t="s">
        <v>85</v>
      </c>
      <c r="C78" s="56"/>
      <c r="D78" s="55"/>
      <c r="E78" s="55"/>
      <c r="F78" s="55"/>
      <c r="G78" s="55"/>
      <c r="H78" s="63"/>
      <c r="I78" s="63"/>
      <c r="J78" s="55"/>
      <c r="K78" s="55"/>
      <c r="L78" s="55"/>
      <c r="M78" s="55"/>
      <c r="N78" s="55"/>
      <c r="O78" s="55"/>
      <c r="P78" s="64"/>
    </row>
    <row r="79" spans="1:16" x14ac:dyDescent="0.25">
      <c r="A79" s="56">
        <f t="shared" si="1"/>
        <v>3</v>
      </c>
      <c r="B79" s="65" t="s">
        <v>86</v>
      </c>
      <c r="C79" s="56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64"/>
    </row>
    <row r="80" spans="1:16" x14ac:dyDescent="0.25">
      <c r="A80" s="56">
        <f t="shared" si="1"/>
        <v>4</v>
      </c>
      <c r="B80" s="66" t="s">
        <v>87</v>
      </c>
      <c r="C80" s="56" t="s">
        <v>88</v>
      </c>
      <c r="D80" s="67">
        <f>D149</f>
        <v>21124002.23914</v>
      </c>
      <c r="E80" s="67">
        <f t="shared" ref="E80:O80" si="2">E149</f>
        <v>16814800.765939999</v>
      </c>
      <c r="F80" s="67">
        <f t="shared" si="2"/>
        <v>13702397.229009999</v>
      </c>
      <c r="G80" s="67">
        <f t="shared" si="2"/>
        <v>8379182.4339899998</v>
      </c>
      <c r="H80" s="67">
        <f t="shared" si="2"/>
        <v>4880475.12</v>
      </c>
      <c r="I80" s="67">
        <f t="shared" si="2"/>
        <v>3154867.2390000001</v>
      </c>
      <c r="J80" s="67">
        <f t="shared" si="2"/>
        <v>2296192.6940000001</v>
      </c>
      <c r="K80" s="67">
        <f t="shared" si="2"/>
        <v>2357533.6895300001</v>
      </c>
      <c r="L80" s="67">
        <f t="shared" si="2"/>
        <v>3002763.5796699999</v>
      </c>
      <c r="M80" s="67">
        <f t="shared" si="2"/>
        <v>7503054.3530000001</v>
      </c>
      <c r="N80" s="67">
        <f t="shared" si="2"/>
        <v>14548063.854</v>
      </c>
      <c r="O80" s="67">
        <f t="shared" si="2"/>
        <v>21683284.129999999</v>
      </c>
      <c r="P80" s="68">
        <f>SUM(D80:O80)</f>
        <v>119446617.32728</v>
      </c>
    </row>
    <row r="81" spans="1:16" x14ac:dyDescent="0.25">
      <c r="A81" s="56">
        <f t="shared" si="1"/>
        <v>5</v>
      </c>
      <c r="B81" s="55" t="s">
        <v>89</v>
      </c>
      <c r="C81" s="69" t="s">
        <v>90</v>
      </c>
      <c r="D81" s="70">
        <f t="shared" ref="D81:O81" si="3">D80/$P80</f>
        <v>0.17684889460922024</v>
      </c>
      <c r="E81" s="70">
        <f t="shared" si="3"/>
        <v>0.14077251530587903</v>
      </c>
      <c r="F81" s="70">
        <f t="shared" si="3"/>
        <v>0.11471565738413386</v>
      </c>
      <c r="G81" s="70">
        <f t="shared" si="3"/>
        <v>7.0150018656713414E-2</v>
      </c>
      <c r="H81" s="70">
        <f t="shared" si="3"/>
        <v>4.0859048411790944E-2</v>
      </c>
      <c r="I81" s="70">
        <f t="shared" si="3"/>
        <v>2.6412361518415899E-2</v>
      </c>
      <c r="J81" s="70">
        <f t="shared" si="3"/>
        <v>1.9223589126082189E-2</v>
      </c>
      <c r="K81" s="70">
        <f t="shared" si="3"/>
        <v>1.9737132304638076E-2</v>
      </c>
      <c r="L81" s="70">
        <f t="shared" si="3"/>
        <v>2.5138958698533265E-2</v>
      </c>
      <c r="M81" s="70">
        <f t="shared" si="3"/>
        <v>6.2815126295639373E-2</v>
      </c>
      <c r="N81" s="70">
        <f t="shared" si="3"/>
        <v>0.12179552824119548</v>
      </c>
      <c r="O81" s="70">
        <f t="shared" si="3"/>
        <v>0.18153116944775821</v>
      </c>
      <c r="P81" s="70">
        <f>SUM(D81:O81)</f>
        <v>0.99999999999999978</v>
      </c>
    </row>
    <row r="82" spans="1:16" x14ac:dyDescent="0.25">
      <c r="A82" s="56">
        <f t="shared" si="1"/>
        <v>6</v>
      </c>
      <c r="B82" s="55"/>
      <c r="C82" s="71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</row>
    <row r="83" spans="1:16" x14ac:dyDescent="0.25">
      <c r="A83" s="56">
        <f t="shared" si="1"/>
        <v>7</v>
      </c>
      <c r="B83" s="65" t="s">
        <v>91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</row>
    <row r="84" spans="1:16" x14ac:dyDescent="0.25">
      <c r="A84" s="56">
        <f t="shared" si="1"/>
        <v>8</v>
      </c>
      <c r="B84" s="66" t="s">
        <v>87</v>
      </c>
      <c r="C84" s="56" t="s">
        <v>88</v>
      </c>
      <c r="D84" s="67">
        <f>D154</f>
        <v>7263563.9881800003</v>
      </c>
      <c r="E84" s="67">
        <f t="shared" ref="E84:O84" si="4">E154</f>
        <v>6455069.4630899997</v>
      </c>
      <c r="F84" s="67">
        <f t="shared" si="4"/>
        <v>5655267.9929999998</v>
      </c>
      <c r="G84" s="67">
        <f t="shared" si="4"/>
        <v>3958870.5409999997</v>
      </c>
      <c r="H84" s="67">
        <f t="shared" si="4"/>
        <v>3051971.94</v>
      </c>
      <c r="I84" s="67">
        <f t="shared" si="4"/>
        <v>2050064.5120000003</v>
      </c>
      <c r="J84" s="67">
        <f t="shared" si="4"/>
        <v>1757089.7820000001</v>
      </c>
      <c r="K84" s="67">
        <f t="shared" si="4"/>
        <v>1837589.2420000001</v>
      </c>
      <c r="L84" s="67">
        <f t="shared" si="4"/>
        <v>2247269.2370000002</v>
      </c>
      <c r="M84" s="67">
        <f t="shared" si="4"/>
        <v>4164397.9169999999</v>
      </c>
      <c r="N84" s="67">
        <f t="shared" si="4"/>
        <v>5571303.8330000006</v>
      </c>
      <c r="O84" s="67">
        <f t="shared" si="4"/>
        <v>8054592.7859999994</v>
      </c>
      <c r="P84" s="68">
        <f>SUM(D84:O84)</f>
        <v>52067051.234270006</v>
      </c>
    </row>
    <row r="85" spans="1:16" x14ac:dyDescent="0.25">
      <c r="A85" s="56">
        <f t="shared" si="1"/>
        <v>9</v>
      </c>
      <c r="B85" s="55" t="s">
        <v>89</v>
      </c>
      <c r="C85" s="69" t="s">
        <v>90</v>
      </c>
      <c r="D85" s="73">
        <f t="shared" ref="D85:O85" si="5">D84/$P84</f>
        <v>0.13950403981009771</v>
      </c>
      <c r="E85" s="73">
        <f t="shared" si="5"/>
        <v>0.12397609063832173</v>
      </c>
      <c r="F85" s="73">
        <f t="shared" si="5"/>
        <v>0.10861510031660405</v>
      </c>
      <c r="G85" s="73">
        <f t="shared" si="5"/>
        <v>7.6034083881330136E-2</v>
      </c>
      <c r="H85" s="73">
        <f t="shared" si="5"/>
        <v>5.8616185623187794E-2</v>
      </c>
      <c r="I85" s="73">
        <f t="shared" si="5"/>
        <v>3.9373547443198945E-2</v>
      </c>
      <c r="J85" s="73">
        <f t="shared" si="5"/>
        <v>3.3746673574698259E-2</v>
      </c>
      <c r="K85" s="73">
        <f t="shared" si="5"/>
        <v>3.5292746534309541E-2</v>
      </c>
      <c r="L85" s="73">
        <f t="shared" si="5"/>
        <v>4.3161062202056691E-2</v>
      </c>
      <c r="M85" s="73">
        <f t="shared" si="5"/>
        <v>7.9981443509499831E-2</v>
      </c>
      <c r="N85" s="73">
        <f t="shared" si="5"/>
        <v>0.10700248431455293</v>
      </c>
      <c r="O85" s="73">
        <f t="shared" si="5"/>
        <v>0.15469654215214224</v>
      </c>
      <c r="P85" s="73">
        <f>SUM(D85:O85)</f>
        <v>1</v>
      </c>
    </row>
    <row r="86" spans="1:16" x14ac:dyDescent="0.25">
      <c r="A86" s="56">
        <f t="shared" si="1"/>
        <v>10</v>
      </c>
      <c r="B86" s="55"/>
      <c r="C86" s="56"/>
      <c r="D86" s="73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</row>
    <row r="87" spans="1:16" x14ac:dyDescent="0.25">
      <c r="A87" s="56">
        <f t="shared" si="1"/>
        <v>11</v>
      </c>
      <c r="B87" s="62" t="s">
        <v>92</v>
      </c>
      <c r="C87" s="56"/>
      <c r="D87" s="73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</row>
    <row r="88" spans="1:16" x14ac:dyDescent="0.25">
      <c r="A88" s="56">
        <f t="shared" si="1"/>
        <v>12</v>
      </c>
      <c r="B88" s="65" t="s">
        <v>86</v>
      </c>
      <c r="C88" s="56"/>
      <c r="D88" s="73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</row>
    <row r="89" spans="1:16" x14ac:dyDescent="0.25">
      <c r="A89" s="56">
        <f t="shared" si="1"/>
        <v>13</v>
      </c>
      <c r="B89" s="55" t="s">
        <v>93</v>
      </c>
      <c r="C89" s="56" t="s">
        <v>94</v>
      </c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74">
        <f>D54</f>
        <v>314.43</v>
      </c>
    </row>
    <row r="90" spans="1:16" x14ac:dyDescent="0.25">
      <c r="A90" s="56">
        <f t="shared" si="1"/>
        <v>14</v>
      </c>
      <c r="B90" s="55" t="s">
        <v>95</v>
      </c>
      <c r="C90" s="56" t="str">
        <f>"("&amp;A$12&amp;") x ("&amp;A89&amp;")"</f>
        <v>() x (13)</v>
      </c>
      <c r="D90" s="75">
        <f>$P89*D$81</f>
        <v>55.60659793197712</v>
      </c>
      <c r="E90" s="75">
        <f t="shared" ref="E90:O90" si="6">$P89*E$81</f>
        <v>44.263101987627543</v>
      </c>
      <c r="F90" s="75">
        <f t="shared" si="6"/>
        <v>36.07004415129321</v>
      </c>
      <c r="G90" s="75">
        <f t="shared" si="6"/>
        <v>22.057270366230398</v>
      </c>
      <c r="H90" s="75">
        <f t="shared" si="6"/>
        <v>12.847310592119427</v>
      </c>
      <c r="I90" s="75">
        <f t="shared" si="6"/>
        <v>8.3048388322355109</v>
      </c>
      <c r="J90" s="75">
        <f t="shared" si="6"/>
        <v>6.0444731289140226</v>
      </c>
      <c r="K90" s="75">
        <f t="shared" si="6"/>
        <v>6.2059465105473501</v>
      </c>
      <c r="L90" s="75">
        <f t="shared" si="6"/>
        <v>7.9044427835798148</v>
      </c>
      <c r="M90" s="75">
        <f t="shared" si="6"/>
        <v>19.75096016113789</v>
      </c>
      <c r="N90" s="75">
        <f t="shared" si="6"/>
        <v>38.296167944879095</v>
      </c>
      <c r="O90" s="75">
        <f t="shared" si="6"/>
        <v>57.078845609458618</v>
      </c>
      <c r="P90" s="74">
        <f>SUM(D90:O90)</f>
        <v>314.43</v>
      </c>
    </row>
    <row r="91" spans="1:16" x14ac:dyDescent="0.25">
      <c r="A91" s="56">
        <f t="shared" si="1"/>
        <v>15</v>
      </c>
      <c r="B91" s="55"/>
      <c r="C91" s="76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74"/>
    </row>
    <row r="92" spans="1:16" x14ac:dyDescent="0.25">
      <c r="A92" s="56">
        <f t="shared" si="1"/>
        <v>16</v>
      </c>
      <c r="B92" s="65" t="s">
        <v>91</v>
      </c>
      <c r="C92" s="76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74"/>
    </row>
    <row r="93" spans="1:16" x14ac:dyDescent="0.25">
      <c r="A93" s="56">
        <f t="shared" si="1"/>
        <v>17</v>
      </c>
      <c r="B93" s="55" t="s">
        <v>93</v>
      </c>
      <c r="C93" s="56" t="s">
        <v>94</v>
      </c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74">
        <f>E54</f>
        <v>4621.5200000000004</v>
      </c>
    </row>
    <row r="94" spans="1:16" x14ac:dyDescent="0.25">
      <c r="A94" s="56">
        <f t="shared" si="1"/>
        <v>18</v>
      </c>
      <c r="B94" s="55" t="s">
        <v>95</v>
      </c>
      <c r="C94" s="56" t="str">
        <f>"("&amp;A$16&amp;") x ("&amp;A93&amp;")"</f>
        <v>() x (17)</v>
      </c>
      <c r="D94" s="75">
        <f>$P93*D$85</f>
        <v>644.72071006316287</v>
      </c>
      <c r="E94" s="75">
        <f t="shared" ref="E94:O94" si="7">$P93*E$85</f>
        <v>572.95798240681665</v>
      </c>
      <c r="F94" s="75">
        <f t="shared" si="7"/>
        <v>501.96685841519201</v>
      </c>
      <c r="G94" s="75">
        <f t="shared" si="7"/>
        <v>351.39303933924487</v>
      </c>
      <c r="H94" s="75">
        <f t="shared" si="7"/>
        <v>270.89587418127491</v>
      </c>
      <c r="I94" s="75">
        <f t="shared" si="7"/>
        <v>181.96563697969282</v>
      </c>
      <c r="J94" s="75">
        <f t="shared" si="7"/>
        <v>155.9609268589395</v>
      </c>
      <c r="K94" s="75">
        <f t="shared" si="7"/>
        <v>163.10613396324226</v>
      </c>
      <c r="L94" s="75">
        <f t="shared" si="7"/>
        <v>199.46971218804904</v>
      </c>
      <c r="M94" s="75">
        <f t="shared" si="7"/>
        <v>369.63584080802372</v>
      </c>
      <c r="N94" s="75">
        <f t="shared" si="7"/>
        <v>494.51412130939275</v>
      </c>
      <c r="O94" s="75">
        <f t="shared" si="7"/>
        <v>714.9331634869684</v>
      </c>
      <c r="P94" s="74">
        <f>SUM(D94:O94)</f>
        <v>4621.5199999999995</v>
      </c>
    </row>
    <row r="95" spans="1:16" x14ac:dyDescent="0.25">
      <c r="A95" s="56">
        <f t="shared" si="1"/>
        <v>19</v>
      </c>
      <c r="B95" s="55"/>
      <c r="C95" s="76"/>
      <c r="D95" s="56"/>
      <c r="E95" s="56"/>
      <c r="F95" s="56"/>
      <c r="G95" s="56"/>
      <c r="H95" s="55"/>
      <c r="I95" s="55"/>
      <c r="J95" s="55"/>
      <c r="K95" s="55"/>
      <c r="L95" s="55"/>
      <c r="M95" s="55"/>
      <c r="N95" s="55"/>
      <c r="O95" s="55"/>
      <c r="P95" s="74"/>
    </row>
    <row r="96" spans="1:16" x14ac:dyDescent="0.25">
      <c r="A96" s="56">
        <f t="shared" si="1"/>
        <v>20</v>
      </c>
      <c r="B96" s="55" t="str">
        <f>B57</f>
        <v xml:space="preserve">*Rate Schedules 101, 102.  </v>
      </c>
      <c r="C96" s="76"/>
      <c r="D96" s="56"/>
      <c r="E96" s="56"/>
      <c r="F96" s="56"/>
      <c r="G96" s="56"/>
      <c r="H96" s="55"/>
      <c r="I96" s="55"/>
      <c r="J96" s="55"/>
      <c r="K96" s="55"/>
      <c r="L96" s="55"/>
      <c r="M96" s="55"/>
      <c r="N96" s="55"/>
      <c r="O96" s="55"/>
      <c r="P96" s="74"/>
    </row>
    <row r="97" spans="1:16" x14ac:dyDescent="0.25">
      <c r="A97" s="56">
        <f t="shared" si="1"/>
        <v>21</v>
      </c>
      <c r="B97" s="55" t="str">
        <f>B58</f>
        <v xml:space="preserve">**Rate Schedules 111, 112, 116, 121, 122, 126, 131.  </v>
      </c>
      <c r="C97" s="56"/>
      <c r="D97" s="56"/>
      <c r="E97" s="56"/>
      <c r="F97" s="56"/>
      <c r="G97" s="56"/>
      <c r="H97" s="55"/>
      <c r="I97" s="55"/>
      <c r="J97" s="55"/>
      <c r="K97" s="55"/>
      <c r="L97" s="55"/>
      <c r="M97" s="55"/>
      <c r="N97" s="55"/>
      <c r="O97" s="55"/>
      <c r="P97" s="55"/>
    </row>
    <row r="98" spans="1:16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</row>
    <row r="99" spans="1:16" ht="18.75" x14ac:dyDescent="0.3">
      <c r="A99" s="36" t="s">
        <v>96</v>
      </c>
    </row>
    <row r="101" spans="1:16" x14ac:dyDescent="0.25">
      <c r="A101" t="s">
        <v>97</v>
      </c>
    </row>
    <row r="102" spans="1:16" x14ac:dyDescent="0.25">
      <c r="A102" t="s">
        <v>98</v>
      </c>
    </row>
    <row r="103" spans="1:16" x14ac:dyDescent="0.25">
      <c r="A103" t="s">
        <v>99</v>
      </c>
    </row>
    <row r="105" spans="1:16" x14ac:dyDescent="0.25">
      <c r="A105" s="78" t="s">
        <v>100</v>
      </c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</row>
    <row r="106" spans="1:16" x14ac:dyDescent="0.25">
      <c r="A106" s="78"/>
      <c r="B106" s="78"/>
      <c r="C106" s="78"/>
      <c r="D106" s="79">
        <v>42370</v>
      </c>
      <c r="E106" s="79">
        <v>42401</v>
      </c>
      <c r="F106" s="79">
        <v>42430</v>
      </c>
      <c r="G106" s="79">
        <v>42461</v>
      </c>
      <c r="H106" s="79">
        <v>42491</v>
      </c>
      <c r="I106" s="79">
        <v>42522</v>
      </c>
      <c r="J106" s="79">
        <v>42552</v>
      </c>
      <c r="K106" s="79">
        <v>42583</v>
      </c>
      <c r="L106" s="79">
        <v>42614</v>
      </c>
      <c r="M106" s="79">
        <v>42644</v>
      </c>
      <c r="N106" s="79">
        <v>42675</v>
      </c>
      <c r="O106" s="79">
        <v>42705</v>
      </c>
      <c r="P106" s="80" t="s">
        <v>101</v>
      </c>
    </row>
    <row r="107" spans="1:16" x14ac:dyDescent="0.25">
      <c r="A107" s="78" t="s">
        <v>102</v>
      </c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</row>
    <row r="108" spans="1:16" x14ac:dyDescent="0.25">
      <c r="A108" s="78"/>
      <c r="B108" s="78" t="s">
        <v>103</v>
      </c>
      <c r="C108" s="78"/>
      <c r="D108" s="81">
        <v>21914729.23914</v>
      </c>
      <c r="E108" s="81">
        <v>16787449.765939999</v>
      </c>
      <c r="F108" s="81">
        <v>12859745.229009999</v>
      </c>
      <c r="G108" s="81">
        <v>9114929.4339899998</v>
      </c>
      <c r="H108" s="81">
        <v>4269068.12</v>
      </c>
      <c r="I108" s="81">
        <v>3281704.2390000001</v>
      </c>
      <c r="J108" s="81">
        <v>2537765.6940000001</v>
      </c>
      <c r="K108" s="81">
        <v>2130641.6895300001</v>
      </c>
      <c r="L108" s="81">
        <v>2604713.5796699999</v>
      </c>
      <c r="M108" s="81">
        <v>4453518.3530000001</v>
      </c>
      <c r="N108" s="81">
        <v>8310384.8540000003</v>
      </c>
      <c r="O108" s="81">
        <v>17650621.129999999</v>
      </c>
      <c r="P108" s="82">
        <f>SUM(D108:O108)</f>
        <v>105915271.32728</v>
      </c>
    </row>
    <row r="109" spans="1:16" x14ac:dyDescent="0.25">
      <c r="A109" s="78"/>
      <c r="B109" s="78" t="s">
        <v>104</v>
      </c>
      <c r="C109" s="78"/>
      <c r="D109" s="81">
        <v>7250292.7141800001</v>
      </c>
      <c r="E109" s="81">
        <v>5863760.7960799998</v>
      </c>
      <c r="F109" s="81">
        <v>4834415.17</v>
      </c>
      <c r="G109" s="81">
        <v>3903602.0049999999</v>
      </c>
      <c r="H109" s="81">
        <v>2358420.5839999998</v>
      </c>
      <c r="I109" s="81">
        <v>1911146.3640000001</v>
      </c>
      <c r="J109" s="81">
        <v>1587532.0530000001</v>
      </c>
      <c r="K109" s="81">
        <v>1414488.3900000001</v>
      </c>
      <c r="L109" s="81">
        <v>1748017.9040000001</v>
      </c>
      <c r="M109" s="81">
        <v>2406576.8810000001</v>
      </c>
      <c r="N109" s="81">
        <v>3438048.264</v>
      </c>
      <c r="O109" s="81">
        <v>6539758.358</v>
      </c>
      <c r="P109" s="82">
        <f t="shared" ref="P109:P113" si="8">SUM(D109:O109)</f>
        <v>43256059.483260006</v>
      </c>
    </row>
    <row r="110" spans="1:16" x14ac:dyDescent="0.25">
      <c r="A110" s="78"/>
      <c r="B110" s="78" t="s">
        <v>105</v>
      </c>
      <c r="C110" s="78"/>
      <c r="D110" s="81">
        <v>529872.27399999998</v>
      </c>
      <c r="E110" s="81">
        <v>496446.66700999998</v>
      </c>
      <c r="F110" s="81">
        <v>424341.82299999997</v>
      </c>
      <c r="G110" s="81">
        <v>376139.53600000002</v>
      </c>
      <c r="H110" s="81">
        <v>326907.35600000003</v>
      </c>
      <c r="I110" s="81">
        <v>281788.14799999999</v>
      </c>
      <c r="J110" s="81">
        <v>286040.72899999999</v>
      </c>
      <c r="K110" s="81">
        <v>254173.85200000001</v>
      </c>
      <c r="L110" s="81">
        <v>281344.33299999998</v>
      </c>
      <c r="M110" s="81">
        <v>321747.03600000002</v>
      </c>
      <c r="N110" s="81">
        <v>361916.56900000002</v>
      </c>
      <c r="O110" s="81">
        <v>351829.42799999996</v>
      </c>
      <c r="P110" s="82">
        <f t="shared" si="8"/>
        <v>4292547.7510099998</v>
      </c>
    </row>
    <row r="111" spans="1:16" x14ac:dyDescent="0.25">
      <c r="A111" s="78"/>
      <c r="B111" s="78" t="s">
        <v>106</v>
      </c>
      <c r="C111" s="78"/>
      <c r="D111" s="81">
        <v>203731.024</v>
      </c>
      <c r="E111" s="81">
        <v>102322.409</v>
      </c>
      <c r="F111" s="81">
        <v>89942.1</v>
      </c>
      <c r="G111" s="81">
        <v>82073.012000000002</v>
      </c>
      <c r="H111" s="81">
        <v>57685.224000000002</v>
      </c>
      <c r="I111" s="81">
        <v>51713.392999999996</v>
      </c>
      <c r="J111" s="81">
        <v>45567.493000000002</v>
      </c>
      <c r="K111" s="81">
        <v>37962.688000000002</v>
      </c>
      <c r="L111" s="81">
        <v>46700.233999999997</v>
      </c>
      <c r="M111" s="81">
        <v>59609.65</v>
      </c>
      <c r="N111" s="81">
        <v>85099.777000000002</v>
      </c>
      <c r="O111" s="81">
        <v>111787.641</v>
      </c>
      <c r="P111" s="82">
        <f t="shared" si="8"/>
        <v>974194.64500000002</v>
      </c>
    </row>
    <row r="112" spans="1:16" x14ac:dyDescent="0.25">
      <c r="A112" s="78"/>
      <c r="B112" s="78" t="s">
        <v>107</v>
      </c>
      <c r="C112" s="78"/>
      <c r="D112" s="81">
        <v>3333390</v>
      </c>
      <c r="E112" s="81">
        <v>3359319</v>
      </c>
      <c r="F112" s="81">
        <v>2937658</v>
      </c>
      <c r="G112" s="81">
        <v>2818085</v>
      </c>
      <c r="H112" s="81">
        <v>2345946</v>
      </c>
      <c r="I112" s="81">
        <v>2348653</v>
      </c>
      <c r="J112" s="81">
        <v>2161735</v>
      </c>
      <c r="K112" s="81">
        <v>1935250</v>
      </c>
      <c r="L112" s="81">
        <v>1967657</v>
      </c>
      <c r="M112" s="81">
        <v>1911018</v>
      </c>
      <c r="N112" s="81">
        <v>2521958</v>
      </c>
      <c r="O112" s="81">
        <v>2724593</v>
      </c>
      <c r="P112" s="82">
        <f t="shared" si="8"/>
        <v>30365262</v>
      </c>
    </row>
    <row r="113" spans="1:16" x14ac:dyDescent="0.25">
      <c r="A113" s="78"/>
      <c r="B113" s="78" t="s">
        <v>108</v>
      </c>
      <c r="C113" s="78"/>
      <c r="D113" s="81">
        <v>4867469</v>
      </c>
      <c r="E113" s="81">
        <v>4950129</v>
      </c>
      <c r="F113" s="81">
        <v>4201135</v>
      </c>
      <c r="G113" s="81">
        <v>4124804</v>
      </c>
      <c r="H113" s="81">
        <v>3896618</v>
      </c>
      <c r="I113" s="81">
        <v>3896733</v>
      </c>
      <c r="J113" s="81">
        <v>3493208</v>
      </c>
      <c r="K113" s="81">
        <v>3645965</v>
      </c>
      <c r="L113" s="81">
        <v>4185571</v>
      </c>
      <c r="M113" s="81">
        <v>3668462</v>
      </c>
      <c r="N113" s="81">
        <v>3994866</v>
      </c>
      <c r="O113" s="81">
        <v>4082259</v>
      </c>
      <c r="P113" s="82">
        <f t="shared" si="8"/>
        <v>49007219</v>
      </c>
    </row>
    <row r="114" spans="1:16" x14ac:dyDescent="0.25">
      <c r="A114" s="78" t="s">
        <v>109</v>
      </c>
      <c r="B114" s="78"/>
      <c r="C114" s="78"/>
      <c r="D114" s="83">
        <f t="shared" ref="D114:L114" si="9">SUM(D108:D113)</f>
        <v>38099484.251320004</v>
      </c>
      <c r="E114" s="83">
        <f t="shared" si="9"/>
        <v>31559427.63803</v>
      </c>
      <c r="F114" s="83">
        <f t="shared" si="9"/>
        <v>25347237.322009999</v>
      </c>
      <c r="G114" s="83">
        <f t="shared" si="9"/>
        <v>20419632.986990001</v>
      </c>
      <c r="H114" s="83">
        <f t="shared" si="9"/>
        <v>13254645.284</v>
      </c>
      <c r="I114" s="83">
        <f t="shared" si="9"/>
        <v>11771738.144000001</v>
      </c>
      <c r="J114" s="83">
        <f t="shared" si="9"/>
        <v>10111848.969000001</v>
      </c>
      <c r="K114" s="83">
        <f t="shared" si="9"/>
        <v>9418481.6195299998</v>
      </c>
      <c r="L114" s="83">
        <f t="shared" si="9"/>
        <v>10834004.05067</v>
      </c>
      <c r="M114" s="83">
        <f>SUM(M108:M113)</f>
        <v>12820931.920000002</v>
      </c>
      <c r="N114" s="83">
        <f t="shared" ref="N114:P114" si="10">SUM(N108:N113)</f>
        <v>18712273.464000002</v>
      </c>
      <c r="O114" s="83">
        <f t="shared" si="10"/>
        <v>31460848.556999996</v>
      </c>
      <c r="P114" s="83">
        <f t="shared" si="10"/>
        <v>233810554.20655003</v>
      </c>
    </row>
    <row r="115" spans="1:16" x14ac:dyDescent="0.25">
      <c r="A115" s="78"/>
      <c r="B115" s="78"/>
      <c r="C115" s="78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</row>
    <row r="116" spans="1:16" x14ac:dyDescent="0.25">
      <c r="A116" s="78" t="s">
        <v>110</v>
      </c>
      <c r="B116" s="78"/>
      <c r="C116" s="78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</row>
    <row r="117" spans="1:16" x14ac:dyDescent="0.25">
      <c r="A117" s="78"/>
      <c r="B117" s="78" t="s">
        <v>111</v>
      </c>
      <c r="C117" s="78"/>
      <c r="D117" s="81">
        <f>-D119</f>
        <v>-44792</v>
      </c>
      <c r="E117" s="81">
        <f t="shared" ref="E117:M117" si="11">-E119</f>
        <v>-39914</v>
      </c>
      <c r="F117" s="81">
        <f t="shared" si="11"/>
        <v>-34764</v>
      </c>
      <c r="G117" s="81">
        <f t="shared" si="11"/>
        <v>-36526</v>
      </c>
      <c r="H117" s="81">
        <f t="shared" si="11"/>
        <v>-33777</v>
      </c>
      <c r="I117" s="81">
        <f t="shared" si="11"/>
        <v>-18580</v>
      </c>
      <c r="J117" s="81">
        <f t="shared" si="11"/>
        <v>-47345</v>
      </c>
      <c r="K117" s="81">
        <f t="shared" si="11"/>
        <v>-30809</v>
      </c>
      <c r="L117" s="81">
        <f t="shared" si="11"/>
        <v>-39863</v>
      </c>
      <c r="M117" s="81">
        <f t="shared" si="11"/>
        <v>-27897</v>
      </c>
      <c r="N117" s="81"/>
      <c r="O117" s="81"/>
      <c r="P117" s="81">
        <f>SUM(D117:O117)</f>
        <v>-354267</v>
      </c>
    </row>
    <row r="118" spans="1:16" x14ac:dyDescent="0.25">
      <c r="A118" s="78"/>
      <c r="B118" s="78" t="s">
        <v>112</v>
      </c>
      <c r="C118" s="78"/>
      <c r="D118" s="81">
        <v>-72927</v>
      </c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>
        <f t="shared" ref="P118:P119" si="12">SUM(D118:O118)</f>
        <v>-72927</v>
      </c>
    </row>
    <row r="119" spans="1:16" x14ac:dyDescent="0.25">
      <c r="A119" s="78"/>
      <c r="B119" s="78" t="s">
        <v>113</v>
      </c>
      <c r="C119" s="78"/>
      <c r="D119" s="81">
        <v>44792</v>
      </c>
      <c r="E119" s="81">
        <v>39914</v>
      </c>
      <c r="F119" s="81">
        <v>34764</v>
      </c>
      <c r="G119" s="81">
        <v>36526</v>
      </c>
      <c r="H119" s="81">
        <v>33777</v>
      </c>
      <c r="I119" s="81">
        <v>18580</v>
      </c>
      <c r="J119" s="81">
        <v>47345</v>
      </c>
      <c r="K119" s="81">
        <v>30809</v>
      </c>
      <c r="L119" s="81">
        <v>39863</v>
      </c>
      <c r="M119" s="81">
        <v>27897</v>
      </c>
      <c r="N119" s="81"/>
      <c r="O119" s="81"/>
      <c r="P119" s="81">
        <f t="shared" si="12"/>
        <v>354267</v>
      </c>
    </row>
    <row r="120" spans="1:16" x14ac:dyDescent="0.25">
      <c r="A120" s="78" t="s">
        <v>114</v>
      </c>
      <c r="B120" s="78"/>
      <c r="C120" s="78"/>
      <c r="D120" s="83">
        <f t="shared" ref="D120:L120" si="13">SUM(D117:D119)</f>
        <v>-72927</v>
      </c>
      <c r="E120" s="83">
        <f t="shared" si="13"/>
        <v>0</v>
      </c>
      <c r="F120" s="83">
        <f t="shared" si="13"/>
        <v>0</v>
      </c>
      <c r="G120" s="83">
        <f t="shared" si="13"/>
        <v>0</v>
      </c>
      <c r="H120" s="83">
        <f t="shared" si="13"/>
        <v>0</v>
      </c>
      <c r="I120" s="83">
        <f t="shared" si="13"/>
        <v>0</v>
      </c>
      <c r="J120" s="83">
        <f t="shared" si="13"/>
        <v>0</v>
      </c>
      <c r="K120" s="83">
        <f t="shared" si="13"/>
        <v>0</v>
      </c>
      <c r="L120" s="83">
        <f t="shared" si="13"/>
        <v>0</v>
      </c>
      <c r="M120" s="83">
        <f>SUM(M117:M119)</f>
        <v>0</v>
      </c>
      <c r="N120" s="83">
        <f t="shared" ref="N120:P120" si="14">SUM(N117:N119)</f>
        <v>0</v>
      </c>
      <c r="O120" s="83">
        <f t="shared" si="14"/>
        <v>0</v>
      </c>
      <c r="P120" s="83">
        <f t="shared" si="14"/>
        <v>-72927</v>
      </c>
    </row>
    <row r="121" spans="1:16" x14ac:dyDescent="0.25">
      <c r="A121" s="78"/>
      <c r="B121" s="78"/>
      <c r="C121" s="78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</row>
    <row r="122" spans="1:16" x14ac:dyDescent="0.25">
      <c r="A122" s="78" t="s">
        <v>115</v>
      </c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</row>
    <row r="123" spans="1:16" x14ac:dyDescent="0.25">
      <c r="A123" s="78"/>
      <c r="B123" s="78" t="s">
        <v>103</v>
      </c>
      <c r="C123" s="78"/>
      <c r="D123" s="81">
        <v>-1755867</v>
      </c>
      <c r="E123" s="81">
        <v>-2475814</v>
      </c>
      <c r="F123" s="81">
        <v>-602948</v>
      </c>
      <c r="G123" s="81">
        <v>-3753957</v>
      </c>
      <c r="H123" s="81">
        <v>-878606</v>
      </c>
      <c r="I123" s="81">
        <v>-512174</v>
      </c>
      <c r="J123" s="81">
        <v>-241573</v>
      </c>
      <c r="K123" s="81">
        <v>226892</v>
      </c>
      <c r="L123" s="81">
        <v>398050</v>
      </c>
      <c r="M123" s="81">
        <v>2821642</v>
      </c>
      <c r="N123" s="81">
        <v>3061593</v>
      </c>
      <c r="O123" s="81">
        <v>6593677</v>
      </c>
      <c r="P123" s="82">
        <f>SUM(D123:O123)</f>
        <v>2880915</v>
      </c>
    </row>
    <row r="124" spans="1:16" x14ac:dyDescent="0.25">
      <c r="A124" s="78"/>
      <c r="B124" s="78" t="s">
        <v>104</v>
      </c>
      <c r="C124" s="78"/>
      <c r="D124" s="81">
        <v>-682181</v>
      </c>
      <c r="E124" s="81">
        <v>-663027</v>
      </c>
      <c r="F124" s="81">
        <v>-39157</v>
      </c>
      <c r="G124" s="81">
        <v>-1234619</v>
      </c>
      <c r="H124" s="81">
        <v>-136879</v>
      </c>
      <c r="I124" s="81">
        <v>-236112</v>
      </c>
      <c r="J124" s="81">
        <v>-77518</v>
      </c>
      <c r="K124" s="81">
        <v>168983</v>
      </c>
      <c r="L124" s="81">
        <v>232636</v>
      </c>
      <c r="M124" s="81">
        <v>1256276</v>
      </c>
      <c r="N124" s="81">
        <v>678061</v>
      </c>
      <c r="O124" s="81">
        <v>2036779</v>
      </c>
      <c r="P124" s="82">
        <f t="shared" ref="P124:P128" si="15">SUM(D124:O124)</f>
        <v>1303242</v>
      </c>
    </row>
    <row r="125" spans="1:16" x14ac:dyDescent="0.25">
      <c r="A125" s="78"/>
      <c r="B125" s="78" t="s">
        <v>105</v>
      </c>
      <c r="C125" s="78"/>
      <c r="D125" s="81">
        <v>-100157</v>
      </c>
      <c r="E125" s="81">
        <v>-20699</v>
      </c>
      <c r="F125" s="81">
        <v>-3193</v>
      </c>
      <c r="G125" s="81">
        <v>-93740</v>
      </c>
      <c r="H125" s="81">
        <v>26981</v>
      </c>
      <c r="I125" s="81">
        <v>-21377</v>
      </c>
      <c r="J125" s="81">
        <v>8380</v>
      </c>
      <c r="K125" s="81">
        <v>30753</v>
      </c>
      <c r="L125" s="81">
        <v>25134</v>
      </c>
      <c r="M125" s="81">
        <v>129527</v>
      </c>
      <c r="N125" s="81">
        <v>4470</v>
      </c>
      <c r="O125" s="81">
        <v>-47646</v>
      </c>
      <c r="P125" s="82">
        <f t="shared" si="15"/>
        <v>-61567</v>
      </c>
    </row>
    <row r="126" spans="1:16" x14ac:dyDescent="0.25">
      <c r="A126" s="78"/>
      <c r="B126" s="78" t="s">
        <v>106</v>
      </c>
      <c r="C126" s="78"/>
      <c r="D126" s="81">
        <v>0</v>
      </c>
      <c r="E126" s="81">
        <v>0</v>
      </c>
      <c r="F126" s="81">
        <v>0</v>
      </c>
      <c r="G126" s="81">
        <v>0</v>
      </c>
      <c r="H126" s="81">
        <v>0</v>
      </c>
      <c r="I126" s="81">
        <v>0</v>
      </c>
      <c r="J126" s="81">
        <v>0</v>
      </c>
      <c r="K126" s="81">
        <v>0</v>
      </c>
      <c r="L126" s="81">
        <v>0</v>
      </c>
      <c r="M126" s="81">
        <v>0</v>
      </c>
      <c r="N126" s="81">
        <v>0</v>
      </c>
      <c r="O126" s="81">
        <v>0</v>
      </c>
      <c r="P126" s="82">
        <f t="shared" si="15"/>
        <v>0</v>
      </c>
    </row>
    <row r="127" spans="1:16" x14ac:dyDescent="0.25">
      <c r="A127" s="78"/>
      <c r="B127" s="78" t="s">
        <v>107</v>
      </c>
      <c r="C127" s="78"/>
      <c r="D127" s="81">
        <v>0</v>
      </c>
      <c r="E127" s="81">
        <v>0</v>
      </c>
      <c r="F127" s="81">
        <v>0</v>
      </c>
      <c r="G127" s="81">
        <v>0</v>
      </c>
      <c r="H127" s="81">
        <v>0</v>
      </c>
      <c r="I127" s="81">
        <v>0</v>
      </c>
      <c r="J127" s="81">
        <v>0</v>
      </c>
      <c r="K127" s="81">
        <v>0</v>
      </c>
      <c r="L127" s="81">
        <v>0</v>
      </c>
      <c r="M127" s="81">
        <v>0</v>
      </c>
      <c r="N127" s="81">
        <v>0</v>
      </c>
      <c r="O127" s="81">
        <v>0</v>
      </c>
      <c r="P127" s="82">
        <f t="shared" si="15"/>
        <v>0</v>
      </c>
    </row>
    <row r="128" spans="1:16" x14ac:dyDescent="0.25">
      <c r="A128" s="78"/>
      <c r="B128" s="78" t="s">
        <v>108</v>
      </c>
      <c r="C128" s="78"/>
      <c r="D128" s="81">
        <v>0</v>
      </c>
      <c r="E128" s="81">
        <v>0</v>
      </c>
      <c r="F128" s="81">
        <v>0</v>
      </c>
      <c r="G128" s="81">
        <v>0</v>
      </c>
      <c r="H128" s="81">
        <v>0</v>
      </c>
      <c r="I128" s="81">
        <v>0</v>
      </c>
      <c r="J128" s="81">
        <v>0</v>
      </c>
      <c r="K128" s="81">
        <v>0</v>
      </c>
      <c r="L128" s="81">
        <v>0</v>
      </c>
      <c r="M128" s="81">
        <v>0</v>
      </c>
      <c r="N128" s="81">
        <v>0</v>
      </c>
      <c r="O128" s="81">
        <v>0</v>
      </c>
      <c r="P128" s="82">
        <f t="shared" si="15"/>
        <v>0</v>
      </c>
    </row>
    <row r="129" spans="1:19" x14ac:dyDescent="0.25">
      <c r="A129" s="78" t="s">
        <v>115</v>
      </c>
      <c r="B129" s="78"/>
      <c r="C129" s="78"/>
      <c r="D129" s="84">
        <f t="shared" ref="D129:L129" si="16">SUM(D123:D128)</f>
        <v>-2538205</v>
      </c>
      <c r="E129" s="84">
        <f t="shared" si="16"/>
        <v>-3159540</v>
      </c>
      <c r="F129" s="84">
        <f t="shared" si="16"/>
        <v>-645298</v>
      </c>
      <c r="G129" s="84">
        <f t="shared" si="16"/>
        <v>-5082316</v>
      </c>
      <c r="H129" s="84">
        <f t="shared" si="16"/>
        <v>-988504</v>
      </c>
      <c r="I129" s="84">
        <f t="shared" si="16"/>
        <v>-769663</v>
      </c>
      <c r="J129" s="84">
        <f t="shared" si="16"/>
        <v>-310711</v>
      </c>
      <c r="K129" s="84">
        <f t="shared" si="16"/>
        <v>426628</v>
      </c>
      <c r="L129" s="84">
        <f t="shared" si="16"/>
        <v>655820</v>
      </c>
      <c r="M129" s="84">
        <f>SUM(M123:M128)</f>
        <v>4207445</v>
      </c>
      <c r="N129" s="84">
        <f t="shared" ref="N129:P129" si="17">SUM(N123:N128)</f>
        <v>3744124</v>
      </c>
      <c r="O129" s="84">
        <f t="shared" si="17"/>
        <v>8582810</v>
      </c>
      <c r="P129" s="84">
        <f t="shared" si="17"/>
        <v>4122590</v>
      </c>
    </row>
    <row r="130" spans="1:19" x14ac:dyDescent="0.25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</row>
    <row r="131" spans="1:19" x14ac:dyDescent="0.25">
      <c r="A131" s="78" t="s">
        <v>116</v>
      </c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</row>
    <row r="132" spans="1:19" x14ac:dyDescent="0.25">
      <c r="A132" s="78"/>
      <c r="B132" s="78" t="s">
        <v>103</v>
      </c>
      <c r="C132" s="78"/>
      <c r="D132" s="81">
        <v>965140</v>
      </c>
      <c r="E132" s="81">
        <v>2503165</v>
      </c>
      <c r="F132" s="81">
        <v>1445600</v>
      </c>
      <c r="G132" s="81">
        <v>3018210</v>
      </c>
      <c r="H132" s="81">
        <v>1490013</v>
      </c>
      <c r="I132" s="81">
        <v>385337</v>
      </c>
      <c r="J132" s="81">
        <v>0</v>
      </c>
      <c r="K132" s="81">
        <v>0</v>
      </c>
      <c r="L132" s="81">
        <v>0</v>
      </c>
      <c r="M132" s="81">
        <v>227894</v>
      </c>
      <c r="N132" s="81">
        <v>3176086</v>
      </c>
      <c r="O132" s="81">
        <v>-2561014</v>
      </c>
      <c r="P132" s="82">
        <f>SUM(D132:O132)</f>
        <v>10650431</v>
      </c>
    </row>
    <row r="133" spans="1:19" x14ac:dyDescent="0.25">
      <c r="A133" s="78"/>
      <c r="B133" s="78" t="s">
        <v>104</v>
      </c>
      <c r="C133" s="78"/>
      <c r="D133" s="81">
        <v>295397</v>
      </c>
      <c r="E133" s="81">
        <v>774201</v>
      </c>
      <c r="F133" s="81">
        <v>449003</v>
      </c>
      <c r="G133" s="81">
        <v>987875</v>
      </c>
      <c r="H133" s="81">
        <v>482621</v>
      </c>
      <c r="I133" s="81">
        <v>126027</v>
      </c>
      <c r="J133" s="81">
        <v>0</v>
      </c>
      <c r="K133" s="81">
        <v>0</v>
      </c>
      <c r="L133" s="81">
        <v>0</v>
      </c>
      <c r="M133" s="81">
        <v>74139</v>
      </c>
      <c r="N133" s="81">
        <v>1032875</v>
      </c>
      <c r="O133" s="81">
        <v>-829719</v>
      </c>
      <c r="P133" s="82">
        <f t="shared" ref="P133:P137" si="18">SUM(D133:O133)</f>
        <v>3392419</v>
      </c>
    </row>
    <row r="134" spans="1:19" x14ac:dyDescent="0.25">
      <c r="A134" s="78"/>
      <c r="B134" s="78" t="s">
        <v>105</v>
      </c>
      <c r="C134" s="78"/>
      <c r="D134" s="81">
        <v>15132</v>
      </c>
      <c r="E134" s="81">
        <v>44301</v>
      </c>
      <c r="F134" s="81">
        <v>24622</v>
      </c>
      <c r="G134" s="81">
        <v>56139</v>
      </c>
      <c r="H134" s="81">
        <v>27698</v>
      </c>
      <c r="I134" s="81">
        <v>7172</v>
      </c>
      <c r="J134" s="81">
        <v>0</v>
      </c>
      <c r="K134" s="81">
        <v>0</v>
      </c>
      <c r="L134" s="81">
        <v>0</v>
      </c>
      <c r="M134" s="81">
        <v>4029</v>
      </c>
      <c r="N134" s="81">
        <v>55933</v>
      </c>
      <c r="O134" s="81">
        <v>3591</v>
      </c>
      <c r="P134" s="82">
        <f t="shared" si="18"/>
        <v>238617</v>
      </c>
    </row>
    <row r="135" spans="1:19" x14ac:dyDescent="0.25">
      <c r="A135" s="78"/>
      <c r="B135" s="78" t="s">
        <v>106</v>
      </c>
      <c r="C135" s="78"/>
      <c r="D135" s="81">
        <v>0</v>
      </c>
      <c r="E135" s="81">
        <v>0</v>
      </c>
      <c r="F135" s="81">
        <v>0</v>
      </c>
      <c r="G135" s="81">
        <v>0</v>
      </c>
      <c r="H135" s="81">
        <v>0</v>
      </c>
      <c r="I135" s="81">
        <v>0</v>
      </c>
      <c r="J135" s="81">
        <v>0</v>
      </c>
      <c r="K135" s="81">
        <v>0</v>
      </c>
      <c r="L135" s="81">
        <v>0</v>
      </c>
      <c r="M135" s="81">
        <v>0</v>
      </c>
      <c r="N135" s="81">
        <v>0</v>
      </c>
      <c r="O135" s="81">
        <v>0</v>
      </c>
      <c r="P135" s="82">
        <f t="shared" si="18"/>
        <v>0</v>
      </c>
    </row>
    <row r="136" spans="1:19" x14ac:dyDescent="0.25">
      <c r="A136" s="78"/>
      <c r="B136" s="78" t="s">
        <v>107</v>
      </c>
      <c r="C136" s="78"/>
      <c r="D136" s="81">
        <v>0</v>
      </c>
      <c r="E136" s="81">
        <v>0</v>
      </c>
      <c r="F136" s="81">
        <v>0</v>
      </c>
      <c r="G136" s="81">
        <v>0</v>
      </c>
      <c r="H136" s="81">
        <v>0</v>
      </c>
      <c r="I136" s="81">
        <v>0</v>
      </c>
      <c r="J136" s="81">
        <v>0</v>
      </c>
      <c r="K136" s="81">
        <v>0</v>
      </c>
      <c r="L136" s="81">
        <v>0</v>
      </c>
      <c r="M136" s="81">
        <v>0</v>
      </c>
      <c r="N136" s="81">
        <v>0</v>
      </c>
      <c r="O136" s="81">
        <v>0</v>
      </c>
      <c r="P136" s="82">
        <f t="shared" si="18"/>
        <v>0</v>
      </c>
    </row>
    <row r="137" spans="1:19" x14ac:dyDescent="0.25">
      <c r="A137" s="78"/>
      <c r="B137" s="78" t="s">
        <v>108</v>
      </c>
      <c r="C137" s="78"/>
      <c r="D137" s="81">
        <v>0</v>
      </c>
      <c r="E137" s="81">
        <v>0</v>
      </c>
      <c r="F137" s="81">
        <v>0</v>
      </c>
      <c r="G137" s="81">
        <v>0</v>
      </c>
      <c r="H137" s="81">
        <v>0</v>
      </c>
      <c r="I137" s="81">
        <v>0</v>
      </c>
      <c r="J137" s="81">
        <v>0</v>
      </c>
      <c r="K137" s="81">
        <v>0</v>
      </c>
      <c r="L137" s="81">
        <v>0</v>
      </c>
      <c r="M137" s="81">
        <v>0</v>
      </c>
      <c r="N137" s="81">
        <v>0</v>
      </c>
      <c r="O137" s="81">
        <v>0</v>
      </c>
      <c r="P137" s="82">
        <f t="shared" si="18"/>
        <v>0</v>
      </c>
    </row>
    <row r="138" spans="1:19" x14ac:dyDescent="0.25">
      <c r="A138" s="78" t="s">
        <v>117</v>
      </c>
      <c r="B138" s="78"/>
      <c r="C138" s="78"/>
      <c r="D138" s="84">
        <f t="shared" ref="D138:P138" si="19">SUM(D132:D137)</f>
        <v>1275669</v>
      </c>
      <c r="E138" s="84">
        <f t="shared" si="19"/>
        <v>3321667</v>
      </c>
      <c r="F138" s="84">
        <f t="shared" si="19"/>
        <v>1919225</v>
      </c>
      <c r="G138" s="84">
        <f t="shared" si="19"/>
        <v>4062224</v>
      </c>
      <c r="H138" s="84">
        <f t="shared" si="19"/>
        <v>2000332</v>
      </c>
      <c r="I138" s="84">
        <f t="shared" si="19"/>
        <v>518536</v>
      </c>
      <c r="J138" s="84">
        <f t="shared" si="19"/>
        <v>0</v>
      </c>
      <c r="K138" s="84">
        <f t="shared" si="19"/>
        <v>0</v>
      </c>
      <c r="L138" s="84">
        <f t="shared" si="19"/>
        <v>0</v>
      </c>
      <c r="M138" s="84">
        <f t="shared" si="19"/>
        <v>306062</v>
      </c>
      <c r="N138" s="84">
        <f t="shared" si="19"/>
        <v>4264894</v>
      </c>
      <c r="O138" s="84">
        <f t="shared" si="19"/>
        <v>-3387142</v>
      </c>
      <c r="P138" s="84">
        <f t="shared" si="19"/>
        <v>14281467</v>
      </c>
    </row>
    <row r="139" spans="1:19" x14ac:dyDescent="0.25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</row>
    <row r="140" spans="1:19" x14ac:dyDescent="0.25">
      <c r="A140" s="78" t="s">
        <v>118</v>
      </c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R140" s="85" t="s">
        <v>119</v>
      </c>
    </row>
    <row r="141" spans="1:19" x14ac:dyDescent="0.25">
      <c r="A141" s="78"/>
      <c r="B141" s="78" t="s">
        <v>103</v>
      </c>
      <c r="C141" s="78"/>
      <c r="D141" s="82">
        <f t="shared" ref="D141:L142" si="20">D108+D123+D132</f>
        <v>21124002.23914</v>
      </c>
      <c r="E141" s="82">
        <f t="shared" si="20"/>
        <v>16814800.765939999</v>
      </c>
      <c r="F141" s="82">
        <f t="shared" si="20"/>
        <v>13702397.229009999</v>
      </c>
      <c r="G141" s="82">
        <f t="shared" si="20"/>
        <v>8379182.4339899998</v>
      </c>
      <c r="H141" s="82">
        <f t="shared" si="20"/>
        <v>4880475.12</v>
      </c>
      <c r="I141" s="82">
        <f t="shared" si="20"/>
        <v>3154867.2390000001</v>
      </c>
      <c r="J141" s="82">
        <f t="shared" si="20"/>
        <v>2296192.6940000001</v>
      </c>
      <c r="K141" s="82">
        <f t="shared" si="20"/>
        <v>2357533.6895300001</v>
      </c>
      <c r="L141" s="82">
        <f t="shared" si="20"/>
        <v>3002763.5796699999</v>
      </c>
      <c r="M141" s="82">
        <f>M108+M123+M132</f>
        <v>7503054.3530000001</v>
      </c>
      <c r="N141" s="82">
        <f t="shared" ref="N141:O142" si="21">N108+N123+N132</f>
        <v>14548063.854</v>
      </c>
      <c r="O141" s="82">
        <f t="shared" si="21"/>
        <v>21683284.129999999</v>
      </c>
      <c r="P141" s="82">
        <f t="shared" ref="P141:P146" si="22">SUM(D141:O141)</f>
        <v>119446617.32728</v>
      </c>
      <c r="R141" s="54">
        <v>119446617</v>
      </c>
      <c r="S141" s="86"/>
    </row>
    <row r="142" spans="1:19" x14ac:dyDescent="0.25">
      <c r="A142" s="78"/>
      <c r="B142" s="78" t="s">
        <v>104</v>
      </c>
      <c r="C142" s="78"/>
      <c r="D142" s="82">
        <f t="shared" si="20"/>
        <v>6863508.7141800001</v>
      </c>
      <c r="E142" s="82">
        <f t="shared" si="20"/>
        <v>5974934.7960799998</v>
      </c>
      <c r="F142" s="82">
        <f t="shared" si="20"/>
        <v>5244261.17</v>
      </c>
      <c r="G142" s="82">
        <f t="shared" si="20"/>
        <v>3656858.0049999999</v>
      </c>
      <c r="H142" s="82">
        <f t="shared" si="20"/>
        <v>2704162.5839999998</v>
      </c>
      <c r="I142" s="82">
        <f t="shared" si="20"/>
        <v>1801061.3640000001</v>
      </c>
      <c r="J142" s="82">
        <f t="shared" si="20"/>
        <v>1510014.0530000001</v>
      </c>
      <c r="K142" s="82">
        <f t="shared" si="20"/>
        <v>1583471.3900000001</v>
      </c>
      <c r="L142" s="82">
        <f t="shared" si="20"/>
        <v>1980653.9040000001</v>
      </c>
      <c r="M142" s="82">
        <f>M109+M124+M133</f>
        <v>3736991.8810000001</v>
      </c>
      <c r="N142" s="82">
        <f t="shared" si="21"/>
        <v>5148984.2640000004</v>
      </c>
      <c r="O142" s="82">
        <f t="shared" si="21"/>
        <v>7746818.3579999991</v>
      </c>
      <c r="P142" s="82">
        <f t="shared" si="22"/>
        <v>47951720.483259991</v>
      </c>
      <c r="R142" s="54">
        <v>47951720</v>
      </c>
      <c r="S142" s="86"/>
    </row>
    <row r="143" spans="1:19" x14ac:dyDescent="0.25">
      <c r="A143" s="78"/>
      <c r="B143" s="78" t="s">
        <v>105</v>
      </c>
      <c r="C143" s="78"/>
      <c r="D143" s="82">
        <f t="shared" ref="D143:L145" si="23">D110+D125+D134+D117</f>
        <v>400055.27399999998</v>
      </c>
      <c r="E143" s="82">
        <f t="shared" si="23"/>
        <v>480134.66700999998</v>
      </c>
      <c r="F143" s="82">
        <f t="shared" si="23"/>
        <v>411006.82299999997</v>
      </c>
      <c r="G143" s="82">
        <f t="shared" si="23"/>
        <v>302012.53600000002</v>
      </c>
      <c r="H143" s="82">
        <f t="shared" si="23"/>
        <v>347809.35600000003</v>
      </c>
      <c r="I143" s="82">
        <f t="shared" si="23"/>
        <v>249003.14799999999</v>
      </c>
      <c r="J143" s="82">
        <f t="shared" si="23"/>
        <v>247075.72899999999</v>
      </c>
      <c r="K143" s="82">
        <f t="shared" si="23"/>
        <v>254117.85200000001</v>
      </c>
      <c r="L143" s="82">
        <f t="shared" si="23"/>
        <v>266615.33299999998</v>
      </c>
      <c r="M143" s="82">
        <f>M110+M125+M134+M117</f>
        <v>427406.03600000002</v>
      </c>
      <c r="N143" s="82">
        <f t="shared" ref="N143:O145" si="24">N110+N125+N134+N117</f>
        <v>422319.56900000002</v>
      </c>
      <c r="O143" s="82">
        <f t="shared" si="24"/>
        <v>307774.42799999996</v>
      </c>
      <c r="P143" s="82">
        <f t="shared" si="22"/>
        <v>4115330.7510099998</v>
      </c>
      <c r="R143" s="54">
        <v>4115331</v>
      </c>
      <c r="S143" s="86"/>
    </row>
    <row r="144" spans="1:19" x14ac:dyDescent="0.25">
      <c r="A144" s="78"/>
      <c r="B144" s="78" t="s">
        <v>106</v>
      </c>
      <c r="C144" s="78"/>
      <c r="D144" s="82">
        <f t="shared" si="23"/>
        <v>130804.024</v>
      </c>
      <c r="E144" s="82">
        <f t="shared" si="23"/>
        <v>102322.409</v>
      </c>
      <c r="F144" s="82">
        <f t="shared" si="23"/>
        <v>89942.1</v>
      </c>
      <c r="G144" s="82">
        <f t="shared" si="23"/>
        <v>82073.012000000002</v>
      </c>
      <c r="H144" s="82">
        <f t="shared" si="23"/>
        <v>57685.224000000002</v>
      </c>
      <c r="I144" s="82">
        <f t="shared" si="23"/>
        <v>51713.392999999996</v>
      </c>
      <c r="J144" s="82">
        <f t="shared" si="23"/>
        <v>45567.493000000002</v>
      </c>
      <c r="K144" s="82">
        <f t="shared" si="23"/>
        <v>37962.688000000002</v>
      </c>
      <c r="L144" s="82">
        <f t="shared" si="23"/>
        <v>46700.233999999997</v>
      </c>
      <c r="M144" s="82">
        <f>M111+M126+M135+M118</f>
        <v>59609.65</v>
      </c>
      <c r="N144" s="82">
        <f t="shared" si="24"/>
        <v>85099.777000000002</v>
      </c>
      <c r="O144" s="82">
        <f t="shared" si="24"/>
        <v>111787.641</v>
      </c>
      <c r="P144" s="82">
        <f t="shared" si="22"/>
        <v>901267.64500000002</v>
      </c>
      <c r="R144" s="54">
        <v>901267</v>
      </c>
      <c r="S144" s="86"/>
    </row>
    <row r="145" spans="1:19" x14ac:dyDescent="0.25">
      <c r="A145" s="78"/>
      <c r="B145" s="78" t="s">
        <v>107</v>
      </c>
      <c r="C145" s="78"/>
      <c r="D145" s="82">
        <f t="shared" si="23"/>
        <v>3378182</v>
      </c>
      <c r="E145" s="82">
        <f t="shared" si="23"/>
        <v>3399233</v>
      </c>
      <c r="F145" s="82">
        <f t="shared" si="23"/>
        <v>2972422</v>
      </c>
      <c r="G145" s="82">
        <f t="shared" si="23"/>
        <v>2854611</v>
      </c>
      <c r="H145" s="82">
        <f t="shared" si="23"/>
        <v>2379723</v>
      </c>
      <c r="I145" s="82">
        <f t="shared" si="23"/>
        <v>2367233</v>
      </c>
      <c r="J145" s="82">
        <f t="shared" si="23"/>
        <v>2209080</v>
      </c>
      <c r="K145" s="82">
        <f t="shared" si="23"/>
        <v>1966059</v>
      </c>
      <c r="L145" s="82">
        <f t="shared" si="23"/>
        <v>2007520</v>
      </c>
      <c r="M145" s="82">
        <f>M112+M127+M136+M119</f>
        <v>1938915</v>
      </c>
      <c r="N145" s="82">
        <f t="shared" si="24"/>
        <v>2521958</v>
      </c>
      <c r="O145" s="82">
        <f t="shared" si="24"/>
        <v>2724593</v>
      </c>
      <c r="P145" s="82">
        <f t="shared" si="22"/>
        <v>30719529</v>
      </c>
      <c r="R145" s="54">
        <v>30719529</v>
      </c>
      <c r="S145" s="86"/>
    </row>
    <row r="146" spans="1:19" x14ac:dyDescent="0.25">
      <c r="A146" s="78"/>
      <c r="B146" s="78" t="s">
        <v>108</v>
      </c>
      <c r="C146" s="78"/>
      <c r="D146" s="82">
        <f t="shared" ref="D146:L146" si="25">D113+D128+D137</f>
        <v>4867469</v>
      </c>
      <c r="E146" s="82">
        <f t="shared" si="25"/>
        <v>4950129</v>
      </c>
      <c r="F146" s="82">
        <f t="shared" si="25"/>
        <v>4201135</v>
      </c>
      <c r="G146" s="82">
        <f t="shared" si="25"/>
        <v>4124804</v>
      </c>
      <c r="H146" s="82">
        <f t="shared" si="25"/>
        <v>3896618</v>
      </c>
      <c r="I146" s="82">
        <f t="shared" si="25"/>
        <v>3896733</v>
      </c>
      <c r="J146" s="82">
        <f t="shared" si="25"/>
        <v>3493208</v>
      </c>
      <c r="K146" s="82">
        <f t="shared" si="25"/>
        <v>3645965</v>
      </c>
      <c r="L146" s="82">
        <f t="shared" si="25"/>
        <v>4185571</v>
      </c>
      <c r="M146" s="82">
        <f>M113+M128+M137</f>
        <v>3668462</v>
      </c>
      <c r="N146" s="82">
        <f t="shared" ref="N146:O146" si="26">N113+N128+N137</f>
        <v>3994866</v>
      </c>
      <c r="O146" s="82">
        <f t="shared" si="26"/>
        <v>4082259</v>
      </c>
      <c r="P146" s="82">
        <f t="shared" si="22"/>
        <v>49007219</v>
      </c>
      <c r="R146" s="86">
        <f>39386921+9620298</f>
        <v>49007219</v>
      </c>
      <c r="S146" s="86"/>
    </row>
    <row r="147" spans="1:19" x14ac:dyDescent="0.25">
      <c r="A147" s="78" t="s">
        <v>120</v>
      </c>
      <c r="B147" s="78"/>
      <c r="C147" s="78"/>
      <c r="D147" s="84">
        <f t="shared" ref="D147:L147" si="27">SUM(D141:D146)</f>
        <v>36764021.251320004</v>
      </c>
      <c r="E147" s="84">
        <f t="shared" si="27"/>
        <v>31721554.63803</v>
      </c>
      <c r="F147" s="84">
        <f t="shared" si="27"/>
        <v>26621164.322009999</v>
      </c>
      <c r="G147" s="84">
        <f t="shared" si="27"/>
        <v>19399540.986990001</v>
      </c>
      <c r="H147" s="84">
        <f t="shared" si="27"/>
        <v>14266473.284</v>
      </c>
      <c r="I147" s="84">
        <f t="shared" si="27"/>
        <v>11520611.144000001</v>
      </c>
      <c r="J147" s="84">
        <f t="shared" si="27"/>
        <v>9801137.9690000005</v>
      </c>
      <c r="K147" s="84">
        <f t="shared" si="27"/>
        <v>9845109.6195299998</v>
      </c>
      <c r="L147" s="84">
        <f t="shared" si="27"/>
        <v>11489824.05067</v>
      </c>
      <c r="M147" s="84">
        <f>SUM(M141:M146)</f>
        <v>17334438.920000002</v>
      </c>
      <c r="N147" s="84">
        <f t="shared" ref="N147:P147" si="28">SUM(N141:N146)</f>
        <v>26721291.463999998</v>
      </c>
      <c r="O147" s="84">
        <f t="shared" si="28"/>
        <v>36656516.556999996</v>
      </c>
      <c r="P147" s="84">
        <f t="shared" si="28"/>
        <v>252141684.20655</v>
      </c>
      <c r="R147" s="87">
        <f>SUM(R141:R146)</f>
        <v>252141683</v>
      </c>
    </row>
    <row r="148" spans="1:19" x14ac:dyDescent="0.25">
      <c r="A148" s="78"/>
      <c r="B148" s="78"/>
      <c r="C148" s="78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</row>
    <row r="149" spans="1:19" x14ac:dyDescent="0.25">
      <c r="A149" s="78"/>
      <c r="B149" s="78" t="s">
        <v>121</v>
      </c>
      <c r="C149" s="78"/>
      <c r="D149" s="82">
        <f t="shared" ref="D149:L149" si="29">D141</f>
        <v>21124002.23914</v>
      </c>
      <c r="E149" s="82">
        <f t="shared" si="29"/>
        <v>16814800.765939999</v>
      </c>
      <c r="F149" s="82">
        <f t="shared" si="29"/>
        <v>13702397.229009999</v>
      </c>
      <c r="G149" s="82">
        <f t="shared" si="29"/>
        <v>8379182.4339899998</v>
      </c>
      <c r="H149" s="82">
        <f t="shared" si="29"/>
        <v>4880475.12</v>
      </c>
      <c r="I149" s="82">
        <f t="shared" si="29"/>
        <v>3154867.2390000001</v>
      </c>
      <c r="J149" s="82">
        <f t="shared" si="29"/>
        <v>2296192.6940000001</v>
      </c>
      <c r="K149" s="82">
        <f t="shared" si="29"/>
        <v>2357533.6895300001</v>
      </c>
      <c r="L149" s="82">
        <f t="shared" si="29"/>
        <v>3002763.5796699999</v>
      </c>
      <c r="M149" s="82">
        <f>M141</f>
        <v>7503054.3530000001</v>
      </c>
      <c r="N149" s="82">
        <f t="shared" ref="N149:O149" si="30">N141</f>
        <v>14548063.854</v>
      </c>
      <c r="O149" s="82">
        <f t="shared" si="30"/>
        <v>21683284.129999999</v>
      </c>
      <c r="P149" s="82">
        <f>SUM(D149:O149)</f>
        <v>119446617.32728</v>
      </c>
    </row>
    <row r="150" spans="1:19" x14ac:dyDescent="0.25">
      <c r="A150" s="78"/>
      <c r="B150" s="78" t="s">
        <v>122</v>
      </c>
      <c r="C150" s="78"/>
      <c r="D150" s="82">
        <v>152912</v>
      </c>
      <c r="E150" s="82">
        <v>153882</v>
      </c>
      <c r="F150" s="82">
        <v>153511</v>
      </c>
      <c r="G150" s="82">
        <v>153360</v>
      </c>
      <c r="H150" s="82">
        <v>153389</v>
      </c>
      <c r="I150" s="82">
        <v>153224</v>
      </c>
      <c r="J150" s="82">
        <v>153459</v>
      </c>
      <c r="K150" s="82">
        <v>153740</v>
      </c>
      <c r="L150" s="82">
        <v>154156</v>
      </c>
      <c r="M150" s="82">
        <v>154684</v>
      </c>
      <c r="N150" s="82">
        <v>155353</v>
      </c>
      <c r="O150" s="82">
        <v>155792</v>
      </c>
      <c r="P150" s="82">
        <f>SUM(D150:O150)</f>
        <v>1847462</v>
      </c>
      <c r="R150" s="86">
        <v>1847462</v>
      </c>
      <c r="S150" t="s">
        <v>123</v>
      </c>
    </row>
    <row r="151" spans="1:19" x14ac:dyDescent="0.25">
      <c r="A151" s="78"/>
      <c r="B151" s="78" t="s">
        <v>124</v>
      </c>
      <c r="C151" s="78"/>
      <c r="D151" s="82">
        <f t="shared" ref="D151:L151" si="31">D149/D150</f>
        <v>138.14482996193888</v>
      </c>
      <c r="E151" s="82">
        <f t="shared" si="31"/>
        <v>109.27074489504945</v>
      </c>
      <c r="F151" s="82">
        <f t="shared" si="31"/>
        <v>89.260034974757502</v>
      </c>
      <c r="G151" s="82">
        <f t="shared" si="31"/>
        <v>54.637339814749609</v>
      </c>
      <c r="H151" s="82">
        <f t="shared" si="31"/>
        <v>31.817634380561842</v>
      </c>
      <c r="I151" s="82">
        <f t="shared" si="31"/>
        <v>20.589902619694044</v>
      </c>
      <c r="J151" s="82">
        <f t="shared" si="31"/>
        <v>14.962906665624043</v>
      </c>
      <c r="K151" s="82">
        <f t="shared" si="31"/>
        <v>15.334549821321712</v>
      </c>
      <c r="L151" s="82">
        <f t="shared" si="31"/>
        <v>19.478733099392823</v>
      </c>
      <c r="M151" s="82">
        <f>M149/M150</f>
        <v>48.505691299681935</v>
      </c>
      <c r="N151" s="82">
        <f t="shared" ref="N151:P151" si="32">N149/N150</f>
        <v>93.645207070349457</v>
      </c>
      <c r="O151" s="82">
        <f t="shared" si="32"/>
        <v>139.18098573739343</v>
      </c>
      <c r="P151" s="82">
        <f t="shared" si="32"/>
        <v>64.654437995087321</v>
      </c>
    </row>
    <row r="152" spans="1:19" x14ac:dyDescent="0.25">
      <c r="A152" s="78"/>
      <c r="B152" s="78" t="s">
        <v>125</v>
      </c>
      <c r="C152" s="78"/>
      <c r="D152" s="82">
        <f>D144</f>
        <v>130804.024</v>
      </c>
      <c r="E152" s="82">
        <f t="shared" ref="E152:O152" si="33">E144</f>
        <v>102322.409</v>
      </c>
      <c r="F152" s="82">
        <f t="shared" si="33"/>
        <v>89942.1</v>
      </c>
      <c r="G152" s="82">
        <f t="shared" si="33"/>
        <v>82073.012000000002</v>
      </c>
      <c r="H152" s="82">
        <f t="shared" si="33"/>
        <v>57685.224000000002</v>
      </c>
      <c r="I152" s="82">
        <f t="shared" si="33"/>
        <v>51713.392999999996</v>
      </c>
      <c r="J152" s="82">
        <f t="shared" si="33"/>
        <v>45567.493000000002</v>
      </c>
      <c r="K152" s="82">
        <f t="shared" si="33"/>
        <v>37962.688000000002</v>
      </c>
      <c r="L152" s="82">
        <f t="shared" si="33"/>
        <v>46700.233999999997</v>
      </c>
      <c r="M152" s="82">
        <f t="shared" si="33"/>
        <v>59609.65</v>
      </c>
      <c r="N152" s="82">
        <f t="shared" si="33"/>
        <v>85099.777000000002</v>
      </c>
      <c r="O152" s="82">
        <f t="shared" si="33"/>
        <v>111787.641</v>
      </c>
      <c r="P152" s="82">
        <f t="shared" ref="P152:P153" si="34">SUM(D152:O152)</f>
        <v>901267.64500000002</v>
      </c>
      <c r="R152" s="54">
        <v>32983</v>
      </c>
      <c r="S152" t="s">
        <v>126</v>
      </c>
    </row>
    <row r="153" spans="1:19" x14ac:dyDescent="0.25">
      <c r="A153" s="78"/>
      <c r="B153" s="78" t="s">
        <v>127</v>
      </c>
      <c r="C153" s="78"/>
      <c r="D153" s="82">
        <f>D165</f>
        <v>2</v>
      </c>
      <c r="E153" s="82">
        <f t="shared" ref="E153:O153" si="35">E165</f>
        <v>2</v>
      </c>
      <c r="F153" s="82">
        <f t="shared" si="35"/>
        <v>2</v>
      </c>
      <c r="G153" s="82">
        <f t="shared" si="35"/>
        <v>2</v>
      </c>
      <c r="H153" s="82">
        <f t="shared" si="35"/>
        <v>2</v>
      </c>
      <c r="I153" s="82">
        <f t="shared" si="35"/>
        <v>2</v>
      </c>
      <c r="J153" s="82">
        <f t="shared" si="35"/>
        <v>2</v>
      </c>
      <c r="K153" s="82">
        <f t="shared" si="35"/>
        <v>2</v>
      </c>
      <c r="L153" s="82">
        <f t="shared" si="35"/>
        <v>2</v>
      </c>
      <c r="M153" s="82">
        <f t="shared" si="35"/>
        <v>2</v>
      </c>
      <c r="N153" s="82">
        <f t="shared" si="35"/>
        <v>2</v>
      </c>
      <c r="O153" s="82">
        <f t="shared" si="35"/>
        <v>2</v>
      </c>
      <c r="P153" s="82">
        <f t="shared" si="34"/>
        <v>24</v>
      </c>
      <c r="R153" s="54">
        <v>273</v>
      </c>
      <c r="S153" t="s">
        <v>128</v>
      </c>
    </row>
    <row r="154" spans="1:19" x14ac:dyDescent="0.25">
      <c r="A154" s="78"/>
      <c r="B154" s="78" t="s">
        <v>129</v>
      </c>
      <c r="C154" s="78"/>
      <c r="D154" s="82">
        <f>SUM(D142:D144)-D152</f>
        <v>7263563.9881800003</v>
      </c>
      <c r="E154" s="82">
        <f t="shared" ref="E154:L154" si="36">SUM(E142:E144)-E152</f>
        <v>6455069.4630899997</v>
      </c>
      <c r="F154" s="82">
        <f t="shared" si="36"/>
        <v>5655267.9929999998</v>
      </c>
      <c r="G154" s="82">
        <f t="shared" si="36"/>
        <v>3958870.5409999997</v>
      </c>
      <c r="H154" s="82">
        <f t="shared" si="36"/>
        <v>3051971.94</v>
      </c>
      <c r="I154" s="82">
        <f t="shared" si="36"/>
        <v>2050064.5120000003</v>
      </c>
      <c r="J154" s="82">
        <f t="shared" si="36"/>
        <v>1757089.7820000001</v>
      </c>
      <c r="K154" s="82">
        <f t="shared" si="36"/>
        <v>1837589.2420000001</v>
      </c>
      <c r="L154" s="82">
        <f t="shared" si="36"/>
        <v>2247269.2370000002</v>
      </c>
      <c r="M154" s="82">
        <f>SUM(M142:M144)-M152</f>
        <v>4164397.9169999999</v>
      </c>
      <c r="N154" s="82">
        <f t="shared" ref="N154:O154" si="37">SUM(N142:N144)-N152</f>
        <v>5571303.8330000006</v>
      </c>
      <c r="O154" s="82">
        <f t="shared" si="37"/>
        <v>8054592.7859999994</v>
      </c>
      <c r="P154" s="82">
        <f>SUM(D154:O154)</f>
        <v>52067051.234270006</v>
      </c>
      <c r="R154" s="54">
        <v>24</v>
      </c>
      <c r="S154" t="s">
        <v>130</v>
      </c>
    </row>
    <row r="155" spans="1:19" x14ac:dyDescent="0.25">
      <c r="A155" s="78"/>
      <c r="B155" s="78" t="s">
        <v>131</v>
      </c>
      <c r="C155" s="78"/>
      <c r="D155" s="82">
        <f t="shared" ref="D155" si="38">D166-D153</f>
        <v>2665</v>
      </c>
      <c r="E155" s="82">
        <f>E166-E153</f>
        <v>2706</v>
      </c>
      <c r="F155" s="82">
        <f t="shared" ref="F155:L155" si="39">F166-F153</f>
        <v>2709</v>
      </c>
      <c r="G155" s="82">
        <f t="shared" si="39"/>
        <v>2798</v>
      </c>
      <c r="H155" s="82">
        <f t="shared" si="39"/>
        <v>2770</v>
      </c>
      <c r="I155" s="82">
        <f t="shared" si="39"/>
        <v>2794</v>
      </c>
      <c r="J155" s="82">
        <f t="shared" si="39"/>
        <v>2795</v>
      </c>
      <c r="K155" s="82">
        <f t="shared" si="39"/>
        <v>2776</v>
      </c>
      <c r="L155" s="82">
        <f t="shared" si="39"/>
        <v>2795</v>
      </c>
      <c r="M155" s="82">
        <f>M166-M153</f>
        <v>2799</v>
      </c>
      <c r="N155" s="82">
        <f t="shared" ref="N155:O155" si="40">N166-N153</f>
        <v>2814</v>
      </c>
      <c r="O155" s="82">
        <f t="shared" si="40"/>
        <v>2835</v>
      </c>
      <c r="P155" s="82">
        <f>SUM(D155:O155)</f>
        <v>33256</v>
      </c>
      <c r="R155" s="54">
        <f>SUM(R152:R154)</f>
        <v>33280</v>
      </c>
      <c r="S155" t="s">
        <v>132</v>
      </c>
    </row>
    <row r="156" spans="1:19" x14ac:dyDescent="0.25">
      <c r="A156" s="78"/>
      <c r="B156" s="78" t="s">
        <v>133</v>
      </c>
      <c r="C156" s="78"/>
      <c r="D156" s="82">
        <f t="shared" ref="D156:L156" si="41">D154/D155</f>
        <v>2725.5399580412759</v>
      </c>
      <c r="E156" s="82">
        <f t="shared" si="41"/>
        <v>2385.4654335144123</v>
      </c>
      <c r="F156" s="82">
        <f t="shared" si="41"/>
        <v>2087.585084163898</v>
      </c>
      <c r="G156" s="82">
        <f t="shared" si="41"/>
        <v>1414.8929739099356</v>
      </c>
      <c r="H156" s="82">
        <f t="shared" si="41"/>
        <v>1101.7949241877257</v>
      </c>
      <c r="I156" s="82">
        <f t="shared" si="41"/>
        <v>733.7381932712957</v>
      </c>
      <c r="J156" s="82">
        <f t="shared" si="41"/>
        <v>628.65466261180688</v>
      </c>
      <c r="K156" s="82">
        <f t="shared" si="41"/>
        <v>661.95577881844383</v>
      </c>
      <c r="L156" s="82">
        <f t="shared" si="41"/>
        <v>804.03192737030417</v>
      </c>
      <c r="M156" s="82">
        <f>M154/M155</f>
        <v>1487.8163333333332</v>
      </c>
      <c r="N156" s="82">
        <f t="shared" ref="N156:P156" si="42">N154/N155</f>
        <v>1979.8521083866385</v>
      </c>
      <c r="O156" s="82">
        <f t="shared" si="42"/>
        <v>2841.1262031746028</v>
      </c>
      <c r="P156" s="82">
        <f t="shared" si="42"/>
        <v>1565.6438307153599</v>
      </c>
      <c r="R156" s="54">
        <v>-24</v>
      </c>
      <c r="S156" t="s">
        <v>134</v>
      </c>
    </row>
    <row r="157" spans="1:19" x14ac:dyDescent="0.25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R157" s="54">
        <f>R155+R156</f>
        <v>33256</v>
      </c>
      <c r="S157" t="s">
        <v>135</v>
      </c>
    </row>
    <row r="158" spans="1:19" x14ac:dyDescent="0.25">
      <c r="A158" s="78"/>
      <c r="B158" s="78" t="s">
        <v>136</v>
      </c>
      <c r="C158" s="78"/>
      <c r="D158" s="88">
        <f t="shared" ref="D158:L158" si="43">D147/$P147</f>
        <v>0.14580699485295565</v>
      </c>
      <c r="E158" s="88">
        <f t="shared" si="43"/>
        <v>0.12580845066476301</v>
      </c>
      <c r="F158" s="88">
        <f t="shared" si="43"/>
        <v>0.1055801796747039</v>
      </c>
      <c r="G158" s="88">
        <f t="shared" si="43"/>
        <v>7.693904737741912E-2</v>
      </c>
      <c r="H158" s="88">
        <f t="shared" si="43"/>
        <v>5.6581177082616604E-2</v>
      </c>
      <c r="I158" s="88">
        <f t="shared" si="43"/>
        <v>4.5691021618474319E-2</v>
      </c>
      <c r="J158" s="88">
        <f t="shared" si="43"/>
        <v>3.8871549541055185E-2</v>
      </c>
      <c r="K158" s="88">
        <f t="shared" si="43"/>
        <v>3.9045942167440513E-2</v>
      </c>
      <c r="L158" s="88">
        <f t="shared" si="43"/>
        <v>4.556891926389188E-2</v>
      </c>
      <c r="M158" s="88">
        <f>M147/$P147</f>
        <v>6.8748802779471943E-2</v>
      </c>
      <c r="N158" s="88">
        <f t="shared" ref="N158:O158" si="44">N147/$P147</f>
        <v>0.10597728633441819</v>
      </c>
      <c r="O158" s="88">
        <f t="shared" si="44"/>
        <v>0.14538062864278969</v>
      </c>
      <c r="P158" s="89">
        <f>SUM(D158:O158)</f>
        <v>0.99999999999999989</v>
      </c>
    </row>
    <row r="160" spans="1:19" x14ac:dyDescent="0.25">
      <c r="B160" t="s">
        <v>137</v>
      </c>
      <c r="D160" s="86">
        <f>D152-D144</f>
        <v>0</v>
      </c>
      <c r="E160" s="86">
        <f t="shared" ref="E160:L160" si="45">E152-E144</f>
        <v>0</v>
      </c>
      <c r="F160" s="86">
        <f t="shared" si="45"/>
        <v>0</v>
      </c>
      <c r="G160" s="86">
        <f t="shared" si="45"/>
        <v>0</v>
      </c>
      <c r="H160" s="86">
        <f t="shared" si="45"/>
        <v>0</v>
      </c>
      <c r="I160" s="86">
        <f t="shared" si="45"/>
        <v>0</v>
      </c>
      <c r="J160" s="86">
        <f t="shared" si="45"/>
        <v>0</v>
      </c>
      <c r="K160" s="86">
        <f t="shared" si="45"/>
        <v>0</v>
      </c>
      <c r="L160" s="86">
        <f t="shared" si="45"/>
        <v>0</v>
      </c>
      <c r="M160" s="86">
        <f>M152-M144</f>
        <v>0</v>
      </c>
      <c r="N160" s="86">
        <f t="shared" ref="N160:O160" si="46">N152-N144</f>
        <v>0</v>
      </c>
      <c r="O160" s="86">
        <f t="shared" si="46"/>
        <v>0</v>
      </c>
      <c r="P160" s="86">
        <f>SUM(D160:O160)</f>
        <v>0</v>
      </c>
    </row>
    <row r="162" spans="2:16" x14ac:dyDescent="0.25">
      <c r="B162" t="s">
        <v>138</v>
      </c>
      <c r="D162" s="54">
        <v>2642</v>
      </c>
      <c r="E162" s="82">
        <v>2680</v>
      </c>
      <c r="F162" s="54">
        <v>2684</v>
      </c>
      <c r="G162" s="54">
        <v>2773</v>
      </c>
      <c r="H162" s="54">
        <v>2745</v>
      </c>
      <c r="I162" s="54">
        <v>2769</v>
      </c>
      <c r="J162" s="54">
        <v>2770</v>
      </c>
      <c r="K162" s="54">
        <v>2751</v>
      </c>
      <c r="L162" s="54">
        <v>2770</v>
      </c>
      <c r="M162" s="54">
        <v>2775</v>
      </c>
      <c r="N162" s="54">
        <v>2789</v>
      </c>
      <c r="O162" s="54">
        <v>2835</v>
      </c>
      <c r="P162" s="86">
        <f>SUM(D162:O162)</f>
        <v>32983</v>
      </c>
    </row>
    <row r="163" spans="2:16" x14ac:dyDescent="0.25">
      <c r="B163" t="s">
        <v>139</v>
      </c>
      <c r="D163" s="54">
        <v>24</v>
      </c>
      <c r="E163" s="54">
        <v>27</v>
      </c>
      <c r="F163" s="54">
        <v>26</v>
      </c>
      <c r="G163" s="54">
        <v>26</v>
      </c>
      <c r="H163" s="54">
        <v>26</v>
      </c>
      <c r="I163" s="54">
        <v>26</v>
      </c>
      <c r="J163" s="54">
        <v>26</v>
      </c>
      <c r="K163" s="54">
        <v>26</v>
      </c>
      <c r="L163" s="54">
        <v>26</v>
      </c>
      <c r="M163" s="54">
        <v>25</v>
      </c>
      <c r="N163" s="54">
        <v>25</v>
      </c>
      <c r="O163" s="54">
        <v>0</v>
      </c>
      <c r="P163" s="54">
        <f t="shared" ref="P163:P165" si="47">SUM(D163:O163)</f>
        <v>283</v>
      </c>
    </row>
    <row r="164" spans="2:16" x14ac:dyDescent="0.25">
      <c r="B164" t="s">
        <v>140</v>
      </c>
      <c r="D164" s="54">
        <v>-1</v>
      </c>
      <c r="E164" s="54">
        <v>-1</v>
      </c>
      <c r="F164" s="54">
        <v>-1</v>
      </c>
      <c r="G164" s="54">
        <v>-1</v>
      </c>
      <c r="H164" s="54">
        <v>-1</v>
      </c>
      <c r="I164" s="54">
        <v>-1</v>
      </c>
      <c r="J164" s="54">
        <v>-1</v>
      </c>
      <c r="K164" s="54">
        <v>-1</v>
      </c>
      <c r="L164" s="54">
        <v>-1</v>
      </c>
      <c r="M164" s="54">
        <v>-1</v>
      </c>
      <c r="N164" s="54">
        <v>0</v>
      </c>
      <c r="O164" s="54">
        <v>0</v>
      </c>
      <c r="P164" s="54">
        <f t="shared" si="47"/>
        <v>-10</v>
      </c>
    </row>
    <row r="165" spans="2:16" x14ac:dyDescent="0.25">
      <c r="B165" t="s">
        <v>141</v>
      </c>
      <c r="D165" s="54">
        <f>3-1</f>
        <v>2</v>
      </c>
      <c r="E165" s="54">
        <v>2</v>
      </c>
      <c r="F165" s="54">
        <v>2</v>
      </c>
      <c r="G165" s="54">
        <v>2</v>
      </c>
      <c r="H165" s="54">
        <v>2</v>
      </c>
      <c r="I165" s="54">
        <v>2</v>
      </c>
      <c r="J165" s="54">
        <v>2</v>
      </c>
      <c r="K165" s="54">
        <v>2</v>
      </c>
      <c r="L165" s="54">
        <v>2</v>
      </c>
      <c r="M165" s="54">
        <v>2</v>
      </c>
      <c r="N165" s="54">
        <v>2</v>
      </c>
      <c r="O165" s="54">
        <v>2</v>
      </c>
      <c r="P165" s="54">
        <f t="shared" si="47"/>
        <v>24</v>
      </c>
    </row>
    <row r="166" spans="2:16" x14ac:dyDescent="0.25">
      <c r="D166" s="87">
        <f t="shared" ref="D166:L166" si="48">SUM(D162:D165)</f>
        <v>2667</v>
      </c>
      <c r="E166" s="87">
        <f t="shared" si="48"/>
        <v>2708</v>
      </c>
      <c r="F166" s="87">
        <f t="shared" si="48"/>
        <v>2711</v>
      </c>
      <c r="G166" s="87">
        <f t="shared" si="48"/>
        <v>2800</v>
      </c>
      <c r="H166" s="87">
        <f t="shared" si="48"/>
        <v>2772</v>
      </c>
      <c r="I166" s="87">
        <f t="shared" si="48"/>
        <v>2796</v>
      </c>
      <c r="J166" s="87">
        <f t="shared" si="48"/>
        <v>2797</v>
      </c>
      <c r="K166" s="87">
        <f t="shared" si="48"/>
        <v>2778</v>
      </c>
      <c r="L166" s="87">
        <f t="shared" si="48"/>
        <v>2797</v>
      </c>
      <c r="M166" s="87">
        <f>SUM(M162:M165)</f>
        <v>2801</v>
      </c>
      <c r="N166" s="87">
        <f t="shared" ref="N166:P166" si="49">SUM(N162:N165)</f>
        <v>2816</v>
      </c>
      <c r="O166" s="87">
        <f t="shared" si="49"/>
        <v>2837</v>
      </c>
      <c r="P166" s="87">
        <f t="shared" si="49"/>
        <v>33280</v>
      </c>
    </row>
  </sheetData>
  <mergeCells count="19">
    <mergeCell ref="A42:E42"/>
    <mergeCell ref="A73:P73"/>
    <mergeCell ref="N6:R6"/>
    <mergeCell ref="A43:E43"/>
    <mergeCell ref="A44:E44"/>
    <mergeCell ref="A45:E45"/>
    <mergeCell ref="A70:P70"/>
    <mergeCell ref="A71:P71"/>
    <mergeCell ref="A72:P72"/>
    <mergeCell ref="N4:R4"/>
    <mergeCell ref="N5:R5"/>
    <mergeCell ref="A3:I3"/>
    <mergeCell ref="A4:I4"/>
    <mergeCell ref="H22:I23"/>
    <mergeCell ref="A1:I1"/>
    <mergeCell ref="A2:I2"/>
    <mergeCell ref="N1:R1"/>
    <mergeCell ref="N2:R2"/>
    <mergeCell ref="N3:R3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G73"/>
  <sheetViews>
    <sheetView topLeftCell="M39" zoomScaleNormal="100" workbookViewId="0">
      <selection activeCell="G6" sqref="G6"/>
    </sheetView>
  </sheetViews>
  <sheetFormatPr defaultRowHeight="15" x14ac:dyDescent="0.25"/>
  <cols>
    <col min="1" max="1" width="19" customWidth="1"/>
    <col min="2" max="2" width="5.85546875" customWidth="1"/>
    <col min="3" max="3" width="17.42578125" customWidth="1"/>
    <col min="4" max="4" width="16.42578125" customWidth="1"/>
    <col min="5" max="5" width="15.28515625" customWidth="1"/>
    <col min="6" max="6" width="15" customWidth="1"/>
    <col min="7" max="7" width="15.7109375" customWidth="1"/>
    <col min="8" max="8" width="14.7109375" customWidth="1"/>
    <col min="9" max="9" width="18.28515625" customWidth="1"/>
    <col min="10" max="10" width="15.7109375" customWidth="1"/>
    <col min="11" max="11" width="10" customWidth="1"/>
    <col min="12" max="12" width="12.28515625" bestFit="1" customWidth="1"/>
    <col min="13" max="13" width="2.28515625" customWidth="1"/>
    <col min="14" max="14" width="17.5703125" customWidth="1"/>
    <col min="15" max="15" width="14.5703125" customWidth="1"/>
    <col min="16" max="16" width="12.85546875" customWidth="1"/>
    <col min="17" max="17" width="12.7109375" customWidth="1"/>
    <col min="18" max="18" width="15.42578125" customWidth="1"/>
    <col min="19" max="19" width="15.28515625" customWidth="1"/>
    <col min="20" max="20" width="11.140625" customWidth="1"/>
    <col min="21" max="21" width="15.5703125" customWidth="1"/>
    <col min="22" max="22" width="2.28515625" customWidth="1"/>
    <col min="23" max="23" width="16.7109375" customWidth="1"/>
    <col min="24" max="24" width="2.42578125" customWidth="1"/>
    <col min="25" max="25" width="14.28515625" customWidth="1"/>
    <col min="26" max="26" width="13.42578125" customWidth="1"/>
    <col min="27" max="27" width="13.85546875" customWidth="1"/>
    <col min="28" max="28" width="14.28515625" customWidth="1"/>
    <col min="29" max="29" width="16.140625" customWidth="1"/>
    <col min="30" max="30" width="10.5703125" customWidth="1"/>
  </cols>
  <sheetData>
    <row r="1" spans="1:33" x14ac:dyDescent="0.25">
      <c r="A1" s="319" t="s">
        <v>207</v>
      </c>
      <c r="B1" s="319"/>
      <c r="C1" s="319"/>
      <c r="D1" s="319"/>
      <c r="E1" s="319"/>
      <c r="F1" s="319"/>
      <c r="G1" s="319"/>
      <c r="H1" s="319"/>
      <c r="I1" s="319"/>
      <c r="J1" s="171"/>
      <c r="K1" s="171"/>
      <c r="L1" s="171" t="s">
        <v>208</v>
      </c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2" t="s">
        <v>209</v>
      </c>
      <c r="AA1" s="173" t="s">
        <v>325</v>
      </c>
      <c r="AB1" s="171"/>
      <c r="AC1" s="172" t="s">
        <v>211</v>
      </c>
      <c r="AD1" s="173" t="s">
        <v>324</v>
      </c>
      <c r="AE1" s="77"/>
      <c r="AF1" s="77"/>
      <c r="AG1" s="77"/>
    </row>
    <row r="2" spans="1:33" ht="51.75" x14ac:dyDescent="0.25">
      <c r="A2" s="174"/>
      <c r="B2" s="175"/>
      <c r="C2" s="176" t="s">
        <v>212</v>
      </c>
      <c r="D2" s="175"/>
      <c r="E2" s="176" t="s">
        <v>213</v>
      </c>
      <c r="F2" s="177" t="s">
        <v>214</v>
      </c>
      <c r="G2" s="177" t="s">
        <v>215</v>
      </c>
      <c r="H2" s="177" t="s">
        <v>115</v>
      </c>
      <c r="I2" s="177" t="s">
        <v>216</v>
      </c>
      <c r="J2" s="171"/>
      <c r="K2" s="171"/>
      <c r="L2" s="171"/>
      <c r="M2" s="171"/>
      <c r="N2" s="178" t="str">
        <f>AA1&amp;" Billed Schedule 175 Revenue"</f>
        <v>July Billed Schedule 175 Revenue</v>
      </c>
      <c r="O2" s="178" t="str">
        <f>AA1&amp;" Billed Therms"</f>
        <v>July Billed Therms</v>
      </c>
      <c r="P2" s="178" t="str">
        <f>AA1&amp;" Unbilled Therms"</f>
        <v>July Unbilled Therms</v>
      </c>
      <c r="Q2" s="178" t="s">
        <v>217</v>
      </c>
      <c r="R2" s="178" t="s">
        <v>218</v>
      </c>
      <c r="S2" s="178" t="str">
        <f>AD1&amp;" Unbilled Therms reversal"</f>
        <v>June Unbilled Therms reversal</v>
      </c>
      <c r="T2" s="178" t="s">
        <v>217</v>
      </c>
      <c r="U2" s="178" t="str">
        <f>AD1&amp;" Schedule 175 Unbilled Reversal"</f>
        <v>June Schedule 175 Unbilled Reversal</v>
      </c>
      <c r="V2" s="171"/>
      <c r="W2" s="178" t="str">
        <f>"Total "&amp;AA1&amp;" Schedule 175 Revenue"</f>
        <v>Total July Schedule 175 Revenue</v>
      </c>
      <c r="X2" s="171"/>
      <c r="Y2" s="178" t="str">
        <f>"Calendar "&amp;AA1&amp;" Usage"</f>
        <v>Calendar July Usage</v>
      </c>
      <c r="Z2" s="178" t="str">
        <f>Q2</f>
        <v>11/1/2018 rate</v>
      </c>
      <c r="AA2" s="178" t="s">
        <v>219</v>
      </c>
      <c r="AB2" s="178" t="s">
        <v>220</v>
      </c>
      <c r="AC2" s="178" t="str">
        <f>"implied "&amp;AD1&amp;" unbilled/Cancel-Rebill True-up therms"</f>
        <v>implied June unbilled/Cancel-Rebill True-up therms</v>
      </c>
      <c r="AD2" s="171"/>
      <c r="AE2" s="77"/>
      <c r="AF2" s="77"/>
      <c r="AG2" s="77"/>
    </row>
    <row r="3" spans="1:33" x14ac:dyDescent="0.25">
      <c r="A3" s="179"/>
      <c r="B3" s="179"/>
      <c r="C3" s="179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8"/>
      <c r="O3" s="178"/>
      <c r="P3" s="178"/>
      <c r="Q3" s="178"/>
      <c r="R3" s="178"/>
      <c r="S3" s="178"/>
      <c r="T3" s="178"/>
      <c r="U3" s="178"/>
      <c r="V3" s="171"/>
      <c r="W3" s="178"/>
      <c r="X3" s="171"/>
      <c r="Y3" s="178"/>
      <c r="Z3" s="178"/>
      <c r="AA3" s="178"/>
      <c r="AB3" s="178"/>
      <c r="AC3" s="178"/>
      <c r="AD3" s="171"/>
      <c r="AE3" s="77"/>
      <c r="AF3" s="77"/>
      <c r="AG3" s="77"/>
    </row>
    <row r="4" spans="1:33" x14ac:dyDescent="0.25">
      <c r="A4" s="180" t="s">
        <v>221</v>
      </c>
      <c r="B4" s="179"/>
      <c r="C4" s="181">
        <v>165191</v>
      </c>
      <c r="D4" s="179"/>
      <c r="E4" s="182">
        <v>2533389.4658300001</v>
      </c>
      <c r="F4" s="182">
        <v>-1319825</v>
      </c>
      <c r="G4" s="235">
        <f>1180635-G5</f>
        <v>1179607</v>
      </c>
      <c r="H4" s="183">
        <f>F4+G4</f>
        <v>-140218</v>
      </c>
      <c r="I4" s="184">
        <f t="shared" ref="I4:I13" si="0">SUM(E4:G4)</f>
        <v>2393171.4658300001</v>
      </c>
      <c r="J4" s="171"/>
      <c r="K4" s="171"/>
      <c r="L4" s="171" t="s">
        <v>222</v>
      </c>
      <c r="M4" s="171"/>
      <c r="N4" s="185">
        <v>-68908.95</v>
      </c>
      <c r="O4" s="186">
        <f>E4</f>
        <v>2533389.4658300001</v>
      </c>
      <c r="P4" s="186">
        <f t="shared" ref="P4:P9" si="1">G4</f>
        <v>1179607</v>
      </c>
      <c r="Q4" s="187">
        <v>-2.7199999999999998E-2</v>
      </c>
      <c r="R4" s="188">
        <f>P4*Q4</f>
        <v>-32085.310399999998</v>
      </c>
      <c r="S4" s="186">
        <f t="shared" ref="S4:S9" si="2">F4</f>
        <v>-1319825</v>
      </c>
      <c r="T4" s="187">
        <f>Q4</f>
        <v>-2.7199999999999998E-2</v>
      </c>
      <c r="U4" s="189">
        <f>S4*T4</f>
        <v>35899.24</v>
      </c>
      <c r="V4" s="171"/>
      <c r="W4" s="190">
        <f>N4+R4+U4</f>
        <v>-65095.020400000001</v>
      </c>
      <c r="X4" s="171"/>
      <c r="Y4" s="191">
        <f>O4+P4+S4</f>
        <v>2393171.4658300001</v>
      </c>
      <c r="Z4" s="192">
        <f>Q4</f>
        <v>-2.7199999999999998E-2</v>
      </c>
      <c r="AA4" s="193">
        <f>Y4*Z4</f>
        <v>-65094.263870575996</v>
      </c>
      <c r="AB4" s="190">
        <f>W4-AA4</f>
        <v>-0.7565294240048388</v>
      </c>
      <c r="AC4" s="191">
        <f>AB4/T4</f>
        <v>27.813581764883782</v>
      </c>
      <c r="AD4" s="194">
        <f t="shared" ref="AD4:AD11" si="3">AB4/W4</f>
        <v>1.1621924678048626E-5</v>
      </c>
      <c r="AE4" s="77"/>
      <c r="AF4" s="77"/>
      <c r="AG4" s="77"/>
    </row>
    <row r="5" spans="1:33" x14ac:dyDescent="0.25">
      <c r="A5" s="180" t="s">
        <v>223</v>
      </c>
      <c r="B5" s="179"/>
      <c r="C5" s="181">
        <v>164</v>
      </c>
      <c r="D5" s="179"/>
      <c r="E5" s="182">
        <v>2206.4956400000001</v>
      </c>
      <c r="F5" s="182">
        <v>-1306</v>
      </c>
      <c r="G5" s="182">
        <v>1028</v>
      </c>
      <c r="H5" s="183">
        <f>F5+G5</f>
        <v>-278</v>
      </c>
      <c r="I5" s="184">
        <f t="shared" si="0"/>
        <v>1928.4956400000001</v>
      </c>
      <c r="J5" s="171"/>
      <c r="K5" s="171"/>
      <c r="L5" s="171" t="s">
        <v>224</v>
      </c>
      <c r="M5" s="171"/>
      <c r="N5" s="185">
        <v>-60.03</v>
      </c>
      <c r="O5" s="186">
        <f t="shared" ref="O5:O7" si="4">E5</f>
        <v>2206.4956400000001</v>
      </c>
      <c r="P5" s="186">
        <f t="shared" si="1"/>
        <v>1028</v>
      </c>
      <c r="Q5" s="187">
        <v>-2.7199999999999998E-2</v>
      </c>
      <c r="R5" s="188">
        <f t="shared" ref="R5:R10" si="5">P5*Q5</f>
        <v>-27.961599999999997</v>
      </c>
      <c r="S5" s="186">
        <f t="shared" si="2"/>
        <v>-1306</v>
      </c>
      <c r="T5" s="187">
        <f t="shared" ref="T5:T10" si="6">Q5</f>
        <v>-2.7199999999999998E-2</v>
      </c>
      <c r="U5" s="189">
        <f t="shared" ref="U5:U10" si="7">S5*T5</f>
        <v>35.523199999999996</v>
      </c>
      <c r="V5" s="171"/>
      <c r="W5" s="190">
        <f t="shared" ref="W5:W10" si="8">N5+R5+U5</f>
        <v>-52.46840000000001</v>
      </c>
      <c r="X5" s="171"/>
      <c r="Y5" s="191">
        <f t="shared" ref="Y5:Y10" si="9">O5+P5+S5</f>
        <v>1928.4956400000001</v>
      </c>
      <c r="Z5" s="192">
        <f t="shared" ref="Z5:Z10" si="10">Q5</f>
        <v>-2.7199999999999998E-2</v>
      </c>
      <c r="AA5" s="193">
        <f t="shared" ref="AA5:AA10" si="11">Y5*Z5</f>
        <v>-52.455081407999998</v>
      </c>
      <c r="AB5" s="190">
        <f t="shared" ref="AB5:AB10" si="12">W5-AA5</f>
        <v>-1.331859200001162E-2</v>
      </c>
      <c r="AC5" s="191">
        <f t="shared" ref="AC5:AC10" si="13">AB5/T5</f>
        <v>0.48965411764748606</v>
      </c>
      <c r="AD5" s="194">
        <f t="shared" si="3"/>
        <v>2.5384025432472911E-4</v>
      </c>
      <c r="AE5" s="77"/>
      <c r="AF5" s="77"/>
      <c r="AG5" s="77"/>
    </row>
    <row r="6" spans="1:33" x14ac:dyDescent="0.25">
      <c r="A6" s="180" t="s">
        <v>225</v>
      </c>
      <c r="B6" s="179"/>
      <c r="C6" s="181">
        <v>3109</v>
      </c>
      <c r="D6" s="179"/>
      <c r="E6" s="182">
        <v>1930036.2632299999</v>
      </c>
      <c r="F6" s="182">
        <v>-949948</v>
      </c>
      <c r="G6" s="182">
        <v>835623</v>
      </c>
      <c r="H6" s="183">
        <f t="shared" ref="H6:H13" si="14">F6+G6</f>
        <v>-114325</v>
      </c>
      <c r="I6" s="184">
        <f>SUM(E6:G6)</f>
        <v>1815711.2632299999</v>
      </c>
      <c r="J6" s="171"/>
      <c r="K6" s="171"/>
      <c r="L6" s="171" t="s">
        <v>226</v>
      </c>
      <c r="M6" s="171"/>
      <c r="N6" s="185">
        <v>13336.8</v>
      </c>
      <c r="O6" s="186">
        <f t="shared" si="4"/>
        <v>1930036.2632299999</v>
      </c>
      <c r="P6" s="186">
        <f t="shared" si="1"/>
        <v>835623</v>
      </c>
      <c r="Q6" s="195">
        <v>6.9100000000000003E-3</v>
      </c>
      <c r="R6" s="188">
        <f t="shared" si="5"/>
        <v>5774.1549300000006</v>
      </c>
      <c r="S6" s="186">
        <f t="shared" si="2"/>
        <v>-949948</v>
      </c>
      <c r="T6" s="187">
        <f t="shared" si="6"/>
        <v>6.9100000000000003E-3</v>
      </c>
      <c r="U6" s="189">
        <f t="shared" si="7"/>
        <v>-6564.1406800000004</v>
      </c>
      <c r="V6" s="171"/>
      <c r="W6" s="190">
        <f t="shared" si="8"/>
        <v>12546.814249999999</v>
      </c>
      <c r="X6" s="171"/>
      <c r="Y6" s="191">
        <f t="shared" si="9"/>
        <v>1815711.2632299997</v>
      </c>
      <c r="Z6" s="179">
        <f t="shared" si="10"/>
        <v>6.9100000000000003E-3</v>
      </c>
      <c r="AA6" s="193">
        <f t="shared" si="11"/>
        <v>12546.564828919298</v>
      </c>
      <c r="AB6" s="190">
        <f t="shared" si="12"/>
        <v>0.24942108070172253</v>
      </c>
      <c r="AC6" s="191">
        <f t="shared" si="13"/>
        <v>36.09567014496708</v>
      </c>
      <c r="AD6" s="194">
        <f t="shared" si="3"/>
        <v>1.9879235934470183E-5</v>
      </c>
      <c r="AE6" s="77"/>
      <c r="AF6" s="77"/>
      <c r="AG6" s="77"/>
    </row>
    <row r="7" spans="1:33" x14ac:dyDescent="0.25">
      <c r="A7" s="180" t="s">
        <v>227</v>
      </c>
      <c r="B7" s="179"/>
      <c r="C7" s="181">
        <v>1</v>
      </c>
      <c r="D7" s="179"/>
      <c r="E7" s="182">
        <v>5552.99</v>
      </c>
      <c r="F7" s="182">
        <v>-2543</v>
      </c>
      <c r="G7" s="182">
        <v>2586</v>
      </c>
      <c r="H7" s="183">
        <f>F7+G7</f>
        <v>43</v>
      </c>
      <c r="I7" s="184">
        <f>SUM(E7:G7)</f>
        <v>5595.99</v>
      </c>
      <c r="J7" s="171"/>
      <c r="K7" s="171"/>
      <c r="L7" s="171" t="s">
        <v>228</v>
      </c>
      <c r="M7" s="171"/>
      <c r="N7" s="185">
        <v>0</v>
      </c>
      <c r="O7" s="186">
        <f t="shared" si="4"/>
        <v>5552.99</v>
      </c>
      <c r="P7" s="186">
        <f t="shared" si="1"/>
        <v>2586</v>
      </c>
      <c r="Q7" s="187">
        <v>0</v>
      </c>
      <c r="R7" s="188">
        <f t="shared" si="5"/>
        <v>0</v>
      </c>
      <c r="S7" s="186">
        <f t="shared" si="2"/>
        <v>-2543</v>
      </c>
      <c r="T7" s="187">
        <f t="shared" si="6"/>
        <v>0</v>
      </c>
      <c r="U7" s="189">
        <f t="shared" si="7"/>
        <v>0</v>
      </c>
      <c r="V7" s="171"/>
      <c r="W7" s="190">
        <f t="shared" si="8"/>
        <v>0</v>
      </c>
      <c r="X7" s="171"/>
      <c r="Y7" s="191">
        <f t="shared" si="9"/>
        <v>5595.99</v>
      </c>
      <c r="Z7" s="192">
        <f t="shared" si="10"/>
        <v>0</v>
      </c>
      <c r="AA7" s="193">
        <f t="shared" si="11"/>
        <v>0</v>
      </c>
      <c r="AB7" s="190">
        <f t="shared" si="12"/>
        <v>0</v>
      </c>
      <c r="AC7" s="191"/>
      <c r="AD7" s="194"/>
      <c r="AE7" s="77"/>
      <c r="AF7" s="77"/>
      <c r="AG7" s="77"/>
    </row>
    <row r="8" spans="1:33" x14ac:dyDescent="0.25">
      <c r="A8" s="180" t="s">
        <v>229</v>
      </c>
      <c r="B8" s="179"/>
      <c r="C8" s="181">
        <v>3</v>
      </c>
      <c r="D8" s="287"/>
      <c r="E8" s="182">
        <v>78960.495999999999</v>
      </c>
      <c r="F8" s="182">
        <v>17856</v>
      </c>
      <c r="G8" s="182">
        <v>36777</v>
      </c>
      <c r="H8" s="183">
        <f t="shared" si="14"/>
        <v>54633</v>
      </c>
      <c r="I8" s="184">
        <f t="shared" si="0"/>
        <v>133593.49599999998</v>
      </c>
      <c r="J8" s="171"/>
      <c r="K8" s="171"/>
      <c r="L8" s="171" t="s">
        <v>230</v>
      </c>
      <c r="M8" s="171"/>
      <c r="N8" s="185">
        <v>545.62</v>
      </c>
      <c r="O8" s="186">
        <f>E8</f>
        <v>78960.495999999999</v>
      </c>
      <c r="P8" s="186">
        <f t="shared" si="1"/>
        <v>36777</v>
      </c>
      <c r="Q8" s="195">
        <v>6.9100000000000003E-3</v>
      </c>
      <c r="R8" s="188">
        <f t="shared" si="5"/>
        <v>254.12907000000001</v>
      </c>
      <c r="S8" s="186">
        <f t="shared" si="2"/>
        <v>17856</v>
      </c>
      <c r="T8" s="187">
        <f t="shared" si="6"/>
        <v>6.9100000000000003E-3</v>
      </c>
      <c r="U8" s="189">
        <f t="shared" si="7"/>
        <v>123.38496000000001</v>
      </c>
      <c r="V8" s="171"/>
      <c r="W8" s="190">
        <f>N8+R8+U8</f>
        <v>923.13403000000005</v>
      </c>
      <c r="X8" s="171"/>
      <c r="Y8" s="191">
        <f t="shared" si="9"/>
        <v>133593.49599999998</v>
      </c>
      <c r="Z8" s="179">
        <f t="shared" si="10"/>
        <v>6.9100000000000003E-3</v>
      </c>
      <c r="AA8" s="193">
        <f t="shared" si="11"/>
        <v>923.13105735999989</v>
      </c>
      <c r="AB8" s="190">
        <f t="shared" si="12"/>
        <v>2.9726400001663933E-3</v>
      </c>
      <c r="AC8" s="191">
        <f t="shared" si="13"/>
        <v>0.43019392187646788</v>
      </c>
      <c r="AD8" s="194">
        <f>AB8/W8</f>
        <v>3.2201607822499979E-6</v>
      </c>
      <c r="AE8" s="77"/>
      <c r="AF8" s="77"/>
      <c r="AG8" s="77"/>
    </row>
    <row r="9" spans="1:33" x14ac:dyDescent="0.25">
      <c r="A9" s="180" t="s">
        <v>231</v>
      </c>
      <c r="B9" s="179"/>
      <c r="C9" s="181">
        <v>1</v>
      </c>
      <c r="D9" s="287"/>
      <c r="E9" s="182">
        <v>29214.02</v>
      </c>
      <c r="F9" s="182">
        <v>-11217</v>
      </c>
      <c r="G9" s="182">
        <v>13607</v>
      </c>
      <c r="H9" s="183">
        <f t="shared" si="14"/>
        <v>2390</v>
      </c>
      <c r="I9" s="184">
        <f t="shared" si="0"/>
        <v>31604.02</v>
      </c>
      <c r="J9" s="171"/>
      <c r="K9" s="171"/>
      <c r="L9" s="171" t="s">
        <v>137</v>
      </c>
      <c r="M9" s="171"/>
      <c r="N9" s="185">
        <v>0</v>
      </c>
      <c r="O9" s="186">
        <f>E9</f>
        <v>29214.02</v>
      </c>
      <c r="P9" s="186">
        <f t="shared" si="1"/>
        <v>13607</v>
      </c>
      <c r="Q9" s="187">
        <v>0</v>
      </c>
      <c r="R9" s="188">
        <f t="shared" si="5"/>
        <v>0</v>
      </c>
      <c r="S9" s="186">
        <f t="shared" si="2"/>
        <v>-11217</v>
      </c>
      <c r="T9" s="187">
        <f t="shared" si="6"/>
        <v>0</v>
      </c>
      <c r="U9" s="189">
        <f t="shared" si="7"/>
        <v>0</v>
      </c>
      <c r="V9" s="171"/>
      <c r="W9" s="190">
        <f>N9+R9+U9</f>
        <v>0</v>
      </c>
      <c r="X9" s="171"/>
      <c r="Y9" s="191">
        <f t="shared" si="9"/>
        <v>31604.020000000004</v>
      </c>
      <c r="Z9" s="192">
        <f t="shared" si="10"/>
        <v>0</v>
      </c>
      <c r="AA9" s="193">
        <f t="shared" si="11"/>
        <v>0</v>
      </c>
      <c r="AB9" s="190">
        <f t="shared" si="12"/>
        <v>0</v>
      </c>
      <c r="AC9" s="191"/>
      <c r="AD9" s="194"/>
      <c r="AE9" s="77"/>
      <c r="AF9" s="77"/>
      <c r="AG9" s="77"/>
    </row>
    <row r="10" spans="1:33" x14ac:dyDescent="0.25">
      <c r="A10" s="180" t="s">
        <v>232</v>
      </c>
      <c r="B10" s="179"/>
      <c r="C10" s="181">
        <v>2</v>
      </c>
      <c r="D10" s="179"/>
      <c r="E10" s="182">
        <v>38599.68</v>
      </c>
      <c r="F10" s="182"/>
      <c r="G10" s="182"/>
      <c r="H10" s="183">
        <f t="shared" si="14"/>
        <v>0</v>
      </c>
      <c r="I10" s="184">
        <f t="shared" si="0"/>
        <v>38599.68</v>
      </c>
      <c r="J10" s="171"/>
      <c r="K10" s="171"/>
      <c r="L10" s="171" t="s">
        <v>233</v>
      </c>
      <c r="M10" s="171"/>
      <c r="N10" s="185"/>
      <c r="O10" s="186">
        <v>0</v>
      </c>
      <c r="P10" s="186">
        <v>0</v>
      </c>
      <c r="Q10" s="195">
        <v>6.9100000000000003E-3</v>
      </c>
      <c r="R10" s="188">
        <f t="shared" si="5"/>
        <v>0</v>
      </c>
      <c r="S10" s="186">
        <v>0</v>
      </c>
      <c r="T10" s="187">
        <f t="shared" si="6"/>
        <v>6.9100000000000003E-3</v>
      </c>
      <c r="U10" s="189">
        <f t="shared" si="7"/>
        <v>0</v>
      </c>
      <c r="V10" s="171"/>
      <c r="W10" s="190">
        <f t="shared" si="8"/>
        <v>0</v>
      </c>
      <c r="X10" s="171"/>
      <c r="Y10" s="191">
        <f t="shared" si="9"/>
        <v>0</v>
      </c>
      <c r="Z10" s="179">
        <f t="shared" si="10"/>
        <v>6.9100000000000003E-3</v>
      </c>
      <c r="AA10" s="193">
        <f t="shared" si="11"/>
        <v>0</v>
      </c>
      <c r="AB10" s="190">
        <f t="shared" si="12"/>
        <v>0</v>
      </c>
      <c r="AC10" s="191">
        <f t="shared" si="13"/>
        <v>0</v>
      </c>
      <c r="AD10" s="194"/>
      <c r="AE10" s="77"/>
      <c r="AF10" s="77"/>
      <c r="AG10" s="77"/>
    </row>
    <row r="11" spans="1:33" x14ac:dyDescent="0.25">
      <c r="A11" s="180" t="s">
        <v>234</v>
      </c>
      <c r="B11" s="179"/>
      <c r="C11" s="181">
        <v>39</v>
      </c>
      <c r="D11" s="179"/>
      <c r="E11" s="182">
        <v>2420678</v>
      </c>
      <c r="F11" s="182">
        <v>-2420689</v>
      </c>
      <c r="G11" s="182">
        <v>2422964</v>
      </c>
      <c r="H11" s="183">
        <f t="shared" si="14"/>
        <v>2275</v>
      </c>
      <c r="I11" s="184">
        <f t="shared" si="0"/>
        <v>2422953</v>
      </c>
      <c r="J11" s="171"/>
      <c r="K11" s="171"/>
      <c r="L11" s="171"/>
      <c r="M11" s="171"/>
      <c r="N11" s="196">
        <f>SUM(N4:N10)</f>
        <v>-55086.55999999999</v>
      </c>
      <c r="O11" s="197">
        <f>SUM(O4:O10)</f>
        <v>4579359.7307000002</v>
      </c>
      <c r="P11" s="197">
        <f>SUM(P4:P10)</f>
        <v>2069228</v>
      </c>
      <c r="Q11" s="171"/>
      <c r="R11" s="196">
        <f>SUM(R4:R10)</f>
        <v>-26084.987999999998</v>
      </c>
      <c r="S11" s="197">
        <f>SUM(S4:S10)</f>
        <v>-2266983</v>
      </c>
      <c r="T11" s="198"/>
      <c r="U11" s="196">
        <f>SUM(U4:U10)</f>
        <v>29494.00748</v>
      </c>
      <c r="V11" s="171"/>
      <c r="W11" s="196">
        <f>SUM(W4:W10)</f>
        <v>-51677.540519999995</v>
      </c>
      <c r="X11" s="171"/>
      <c r="Y11" s="199">
        <f>SUM(Y4:Y10)</f>
        <v>4381604.7307000002</v>
      </c>
      <c r="Z11" s="171"/>
      <c r="AA11" s="199">
        <f>SUM(AA4:AA10)</f>
        <v>-51677.0230657047</v>
      </c>
      <c r="AB11" s="196">
        <f>SUM(AB4:AB10)</f>
        <v>-0.5174542953029615</v>
      </c>
      <c r="AC11" s="199">
        <f>SUM(AC4:AC10)</f>
        <v>64.829099949374822</v>
      </c>
      <c r="AD11" s="194">
        <f t="shared" si="3"/>
        <v>1.0013137043600184E-5</v>
      </c>
      <c r="AE11" s="77"/>
      <c r="AF11" s="77"/>
      <c r="AG11" s="77"/>
    </row>
    <row r="12" spans="1:33" x14ac:dyDescent="0.25">
      <c r="A12" s="180" t="s">
        <v>235</v>
      </c>
      <c r="B12" s="179"/>
      <c r="C12" s="181">
        <v>3</v>
      </c>
      <c r="D12" s="179"/>
      <c r="E12" s="182">
        <v>369851</v>
      </c>
      <c r="F12" s="182"/>
      <c r="G12" s="182"/>
      <c r="H12" s="183">
        <f t="shared" si="14"/>
        <v>0</v>
      </c>
      <c r="I12" s="184">
        <f t="shared" si="0"/>
        <v>369851</v>
      </c>
      <c r="J12" s="171"/>
      <c r="K12" s="171"/>
      <c r="L12" s="171"/>
      <c r="M12" s="171"/>
      <c r="N12" s="171"/>
      <c r="O12" s="200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77"/>
      <c r="AF12" s="77"/>
      <c r="AG12" s="77"/>
    </row>
    <row r="13" spans="1:33" x14ac:dyDescent="0.25">
      <c r="A13" s="180" t="s">
        <v>236</v>
      </c>
      <c r="B13" s="179"/>
      <c r="C13" s="181">
        <v>5</v>
      </c>
      <c r="D13" s="201"/>
      <c r="E13" s="182">
        <v>3510549</v>
      </c>
      <c r="F13" s="182">
        <v>-3510549</v>
      </c>
      <c r="G13" s="182">
        <v>3507079</v>
      </c>
      <c r="H13" s="183">
        <f t="shared" si="14"/>
        <v>-3470</v>
      </c>
      <c r="I13" s="184">
        <f t="shared" si="0"/>
        <v>3507079</v>
      </c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2" t="s">
        <v>237</v>
      </c>
      <c r="U13" s="171" t="s">
        <v>238</v>
      </c>
      <c r="V13" s="171"/>
      <c r="W13" s="202">
        <v>0.95466099999999998</v>
      </c>
      <c r="X13" s="171"/>
      <c r="Y13" s="171"/>
      <c r="Z13" s="171" t="s">
        <v>239</v>
      </c>
      <c r="AA13" s="171" t="s">
        <v>240</v>
      </c>
      <c r="AB13" s="171"/>
      <c r="AC13" s="171" t="s">
        <v>241</v>
      </c>
      <c r="AD13" s="171"/>
      <c r="AE13" s="77"/>
      <c r="AF13" s="77"/>
      <c r="AG13" s="77"/>
    </row>
    <row r="14" spans="1:33" x14ac:dyDescent="0.25">
      <c r="A14" s="179"/>
      <c r="B14" s="179"/>
      <c r="C14" s="203">
        <f>SUM(C4:C13)</f>
        <v>168518</v>
      </c>
      <c r="D14" s="171"/>
      <c r="E14" s="203">
        <f>SUM(E4:E13)</f>
        <v>10919037.410700001</v>
      </c>
      <c r="F14" s="203">
        <f>SUM(F4:F13)</f>
        <v>-8198221</v>
      </c>
      <c r="G14" s="203">
        <f>SUM(G4:G13)</f>
        <v>7999271</v>
      </c>
      <c r="H14" s="203">
        <f>SUM(H4:H13)</f>
        <v>-198950</v>
      </c>
      <c r="I14" s="203">
        <f t="shared" ref="I14" si="15">SUM(I4:I13)</f>
        <v>10720087.410700001</v>
      </c>
      <c r="J14" s="171"/>
      <c r="K14" s="171"/>
      <c r="L14" s="171"/>
      <c r="M14" s="171"/>
      <c r="N14" s="171"/>
      <c r="O14" s="171"/>
      <c r="P14" s="171"/>
      <c r="Q14" s="171"/>
      <c r="R14" s="171"/>
      <c r="S14" s="171" t="s">
        <v>184</v>
      </c>
      <c r="T14" s="171" t="s">
        <v>242</v>
      </c>
      <c r="U14" s="171"/>
      <c r="V14" s="171"/>
      <c r="W14" s="204">
        <f>(W4+W5)*W13</f>
        <v>-62193.7668052968</v>
      </c>
      <c r="X14" s="171"/>
      <c r="Y14" s="171" t="s">
        <v>28</v>
      </c>
      <c r="Z14" s="183">
        <f>O4+O5+P4+P5+S4+S5</f>
        <v>2395099.96147</v>
      </c>
      <c r="AA14" s="179">
        <v>-2.597E-2</v>
      </c>
      <c r="AB14" s="190">
        <f>Z14*AA14</f>
        <v>-62200.745999375897</v>
      </c>
      <c r="AC14" s="190">
        <f>W14-AB14</f>
        <v>6.9791940790964873</v>
      </c>
      <c r="AD14" s="194">
        <f>AC14/W14</f>
        <v>-1.1221693808875549E-4</v>
      </c>
      <c r="AE14" s="77"/>
      <c r="AF14" s="77"/>
      <c r="AG14" s="77"/>
    </row>
    <row r="15" spans="1:33" ht="15.75" thickBot="1" x14ac:dyDescent="0.3">
      <c r="A15" s="179"/>
      <c r="B15" s="179"/>
      <c r="C15" s="179"/>
      <c r="D15" s="171"/>
      <c r="E15" s="179"/>
      <c r="F15" s="179"/>
      <c r="G15" s="179"/>
      <c r="H15" s="179"/>
      <c r="I15" s="179"/>
      <c r="J15" s="171"/>
      <c r="K15" s="171"/>
      <c r="L15" s="171"/>
      <c r="M15" s="171"/>
      <c r="N15" s="171"/>
      <c r="O15" s="171"/>
      <c r="P15" s="171"/>
      <c r="Q15" s="171"/>
      <c r="R15" s="171"/>
      <c r="S15" s="171" t="s">
        <v>184</v>
      </c>
      <c r="T15" s="171" t="s">
        <v>243</v>
      </c>
      <c r="U15" s="171"/>
      <c r="V15" s="171"/>
      <c r="W15" s="204">
        <f>SUM(W6:W10)*W13</f>
        <v>12859.234294933078</v>
      </c>
      <c r="X15" s="171"/>
      <c r="Y15" s="171" t="s">
        <v>244</v>
      </c>
      <c r="Z15" s="183">
        <f>SUM(O6:P10,S6:S10)</f>
        <v>1986504.7692299997</v>
      </c>
      <c r="AA15" s="192">
        <v>6.6E-3</v>
      </c>
      <c r="AB15" s="190">
        <f>(Z15-Y9-Y7)*AA15</f>
        <v>12865.411410917997</v>
      </c>
      <c r="AC15" s="190">
        <f>W15-AB15</f>
        <v>-6.1771159849195101</v>
      </c>
      <c r="AD15" s="194">
        <f>AC15/W15</f>
        <v>-4.8036421479259289E-4</v>
      </c>
      <c r="AE15" s="77"/>
      <c r="AF15" s="77"/>
      <c r="AG15" s="77"/>
    </row>
    <row r="16" spans="1:33" x14ac:dyDescent="0.25">
      <c r="A16" s="179" t="s">
        <v>28</v>
      </c>
      <c r="B16" s="179"/>
      <c r="C16" s="205">
        <f>C4+C5</f>
        <v>165355</v>
      </c>
      <c r="D16" s="171"/>
      <c r="E16" s="206">
        <f>E4+E5</f>
        <v>2535595.96147</v>
      </c>
      <c r="F16" s="206">
        <f t="shared" ref="F16:H16" si="16">F4+F5</f>
        <v>-1321131</v>
      </c>
      <c r="G16" s="206">
        <f t="shared" si="16"/>
        <v>1180635</v>
      </c>
      <c r="H16" s="206">
        <f t="shared" si="16"/>
        <v>-140496</v>
      </c>
      <c r="I16" s="205">
        <f>I4+I5</f>
        <v>2395099.96147</v>
      </c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77"/>
      <c r="AF16" s="77"/>
      <c r="AG16" s="77"/>
    </row>
    <row r="17" spans="1:33" x14ac:dyDescent="0.25">
      <c r="A17" s="179"/>
      <c r="B17" s="179"/>
      <c r="C17" s="207"/>
      <c r="D17" s="171"/>
      <c r="E17" s="179"/>
      <c r="F17" s="179"/>
      <c r="G17" s="179"/>
      <c r="H17" s="179"/>
      <c r="I17" s="208"/>
      <c r="J17" s="171"/>
      <c r="K17" s="171"/>
      <c r="L17" s="171"/>
      <c r="M17" s="171"/>
      <c r="N17" s="171"/>
      <c r="O17" s="171"/>
      <c r="P17" s="171"/>
      <c r="Q17" s="171"/>
      <c r="R17" s="190">
        <f>R11+U11</f>
        <v>3409.0194800000027</v>
      </c>
      <c r="S17" s="171" t="s">
        <v>320</v>
      </c>
      <c r="T17" s="171"/>
      <c r="U17" s="171"/>
      <c r="V17" s="171"/>
      <c r="W17" s="171"/>
      <c r="X17" s="171"/>
      <c r="Y17" s="171" t="s">
        <v>245</v>
      </c>
      <c r="Z17" s="171"/>
      <c r="AA17" s="171"/>
      <c r="AB17" s="171"/>
      <c r="AC17" s="171"/>
      <c r="AD17" s="171"/>
      <c r="AE17" s="77"/>
      <c r="AF17" s="77"/>
      <c r="AG17" s="77"/>
    </row>
    <row r="18" spans="1:33" ht="15.75" thickBot="1" x14ac:dyDescent="0.3">
      <c r="A18" s="179" t="s">
        <v>244</v>
      </c>
      <c r="B18" s="179"/>
      <c r="C18" s="209">
        <f>SUM(C6:C9)</f>
        <v>3114</v>
      </c>
      <c r="D18" s="171"/>
      <c r="E18" s="210">
        <f>SUM(E6:E9)</f>
        <v>2043763.76923</v>
      </c>
      <c r="F18" s="210">
        <f t="shared" ref="F18:H18" si="17">SUM(F6:F9)</f>
        <v>-945852</v>
      </c>
      <c r="G18" s="210">
        <f t="shared" si="17"/>
        <v>888593</v>
      </c>
      <c r="H18" s="210">
        <f t="shared" si="17"/>
        <v>-57259</v>
      </c>
      <c r="I18" s="209">
        <f>SUM(I6:I9)</f>
        <v>1986504.76923</v>
      </c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77"/>
      <c r="AF18" s="77"/>
      <c r="AG18" s="77"/>
    </row>
    <row r="19" spans="1:33" x14ac:dyDescent="0.25">
      <c r="A19" s="179"/>
      <c r="B19" s="179"/>
      <c r="C19" s="179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77"/>
      <c r="AF19" s="77"/>
      <c r="AG19" s="77"/>
    </row>
    <row r="20" spans="1:33" ht="51.75" x14ac:dyDescent="0.25">
      <c r="A20" s="174"/>
      <c r="B20" s="211"/>
      <c r="C20" s="177" t="s">
        <v>246</v>
      </c>
      <c r="D20" s="212" t="s">
        <v>247</v>
      </c>
      <c r="E20" s="177" t="s">
        <v>248</v>
      </c>
      <c r="F20" s="177" t="s">
        <v>249</v>
      </c>
      <c r="G20" s="177" t="s">
        <v>250</v>
      </c>
      <c r="H20" s="177" t="s">
        <v>251</v>
      </c>
      <c r="I20" s="177" t="s">
        <v>252</v>
      </c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77"/>
      <c r="AF20" s="77"/>
      <c r="AG20" s="77"/>
    </row>
    <row r="21" spans="1:33" x14ac:dyDescent="0.25">
      <c r="A21" s="179"/>
      <c r="B21" s="179"/>
      <c r="C21" s="179"/>
      <c r="D21" s="179"/>
      <c r="E21" s="179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77"/>
      <c r="AF21" s="77"/>
      <c r="AG21" s="77"/>
    </row>
    <row r="22" spans="1:33" x14ac:dyDescent="0.25">
      <c r="A22" s="180" t="s">
        <v>221</v>
      </c>
      <c r="B22" s="179"/>
      <c r="C22" s="213">
        <v>1601652.5</v>
      </c>
      <c r="D22" s="213">
        <v>2555335.5099999998</v>
      </c>
      <c r="E22" s="213">
        <v>-1494942.2300847687</v>
      </c>
      <c r="F22" s="236">
        <f>1441933-F23</f>
        <v>1441754.9341144948</v>
      </c>
      <c r="G22" s="214">
        <f>SUM(D22:F22)</f>
        <v>2502148.2140297256</v>
      </c>
      <c r="H22" s="190">
        <f>-J54</f>
        <v>29853.814380000003</v>
      </c>
      <c r="I22" s="190">
        <f t="shared" ref="I22:I31" si="18">G22+H22</f>
        <v>2532002.0284097255</v>
      </c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77"/>
      <c r="AF22" s="77"/>
      <c r="AG22" s="77"/>
    </row>
    <row r="23" spans="1:33" x14ac:dyDescent="0.25">
      <c r="A23" s="180" t="s">
        <v>223</v>
      </c>
      <c r="B23" s="179"/>
      <c r="C23" s="213">
        <v>1577</v>
      </c>
      <c r="D23" s="213">
        <v>2387.5300000000002</v>
      </c>
      <c r="E23" s="213">
        <v>-211.76991523122916</v>
      </c>
      <c r="F23" s="213">
        <f>G5*(K23-C23)/E5</f>
        <v>178.06588550521678</v>
      </c>
      <c r="G23" s="214">
        <f>SUM(D23:F23)</f>
        <v>2353.8259702739879</v>
      </c>
      <c r="H23" s="190">
        <f>-J55</f>
        <v>-53.85416</v>
      </c>
      <c r="I23" s="190">
        <f t="shared" si="18"/>
        <v>2299.971810273988</v>
      </c>
      <c r="J23" s="171"/>
      <c r="K23" s="237">
        <v>1959.2</v>
      </c>
      <c r="L23" s="171" t="s">
        <v>277</v>
      </c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77"/>
      <c r="AF23" s="77"/>
      <c r="AG23" s="77"/>
    </row>
    <row r="24" spans="1:33" x14ac:dyDescent="0.25">
      <c r="A24" s="180" t="s">
        <v>225</v>
      </c>
      <c r="B24" s="179"/>
      <c r="C24" s="213">
        <v>303482.77</v>
      </c>
      <c r="D24" s="213">
        <v>740080.04</v>
      </c>
      <c r="E24" s="213">
        <v>-465218</v>
      </c>
      <c r="F24" s="213">
        <v>409230</v>
      </c>
      <c r="G24" s="214">
        <f>SUM(D24:F24)</f>
        <v>684092.04</v>
      </c>
      <c r="H24" s="190">
        <f>-J56</f>
        <v>26922.394250000005</v>
      </c>
      <c r="I24" s="190">
        <f t="shared" si="18"/>
        <v>711014.43425000005</v>
      </c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77"/>
      <c r="AF24" s="77"/>
      <c r="AG24" s="77"/>
    </row>
    <row r="25" spans="1:33" x14ac:dyDescent="0.25">
      <c r="A25" s="180" t="s">
        <v>227</v>
      </c>
      <c r="B25" s="179"/>
      <c r="C25" s="213">
        <v>97.26</v>
      </c>
      <c r="D25" s="213">
        <v>1521.64</v>
      </c>
      <c r="E25" s="213">
        <v>-1431</v>
      </c>
      <c r="F25" s="213">
        <v>1456</v>
      </c>
      <c r="G25" s="214">
        <f>SUM(D25:F25)</f>
        <v>1546.64</v>
      </c>
      <c r="H25" s="190">
        <f>-J57</f>
        <v>-13.26765</v>
      </c>
      <c r="I25" s="190">
        <f>G25+H25</f>
        <v>1533.3723500000001</v>
      </c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77"/>
      <c r="AF25" s="77"/>
      <c r="AG25" s="77"/>
    </row>
    <row r="26" spans="1:33" x14ac:dyDescent="0.25">
      <c r="A26" s="180" t="s">
        <v>229</v>
      </c>
      <c r="B26" s="179"/>
      <c r="C26" s="213">
        <v>721.36</v>
      </c>
      <c r="D26" s="213">
        <v>17079.7</v>
      </c>
      <c r="E26" s="213">
        <v>6833</v>
      </c>
      <c r="F26" s="213">
        <v>14074</v>
      </c>
      <c r="G26" s="214">
        <f t="shared" ref="G26:G31" si="19">SUM(D26:F26)</f>
        <v>37986.699999999997</v>
      </c>
      <c r="H26" s="190">
        <f t="shared" ref="H26:H31" si="20">-J58</f>
        <v>-14219.330909999999</v>
      </c>
      <c r="I26" s="190">
        <f t="shared" si="18"/>
        <v>23767.36909</v>
      </c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77"/>
      <c r="AF26" s="77"/>
      <c r="AG26" s="77"/>
    </row>
    <row r="27" spans="1:33" x14ac:dyDescent="0.25">
      <c r="A27" s="180" t="s">
        <v>231</v>
      </c>
      <c r="B27" s="179"/>
      <c r="C27" s="213">
        <v>240.45</v>
      </c>
      <c r="D27" s="213">
        <v>6683.8</v>
      </c>
      <c r="E27" s="213">
        <v>-4293</v>
      </c>
      <c r="F27" s="213">
        <v>5207</v>
      </c>
      <c r="G27" s="214">
        <f t="shared" si="19"/>
        <v>7597.8</v>
      </c>
      <c r="H27" s="190">
        <f t="shared" si="20"/>
        <v>-725.34109999999998</v>
      </c>
      <c r="I27" s="190">
        <f t="shared" si="18"/>
        <v>6872.4589000000005</v>
      </c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77"/>
      <c r="AF27" s="77"/>
      <c r="AG27" s="77"/>
    </row>
    <row r="28" spans="1:33" x14ac:dyDescent="0.25">
      <c r="A28" s="180" t="s">
        <v>232</v>
      </c>
      <c r="B28" s="179"/>
      <c r="C28" s="213">
        <v>0</v>
      </c>
      <c r="D28" s="213">
        <v>8573.5400000000009</v>
      </c>
      <c r="E28" s="213"/>
      <c r="F28" s="213"/>
      <c r="G28" s="214">
        <f t="shared" si="19"/>
        <v>8573.5400000000009</v>
      </c>
      <c r="H28" s="190">
        <f t="shared" si="20"/>
        <v>0</v>
      </c>
      <c r="I28" s="190">
        <f t="shared" si="18"/>
        <v>8573.5400000000009</v>
      </c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77"/>
      <c r="AF28" s="77"/>
      <c r="AG28" s="77"/>
    </row>
    <row r="29" spans="1:33" x14ac:dyDescent="0.25">
      <c r="A29" s="180" t="s">
        <v>234</v>
      </c>
      <c r="B29" s="179"/>
      <c r="C29" s="213">
        <v>21450</v>
      </c>
      <c r="D29" s="213">
        <v>219764.79</v>
      </c>
      <c r="E29" s="213">
        <v>-133937</v>
      </c>
      <c r="F29" s="213">
        <v>134063</v>
      </c>
      <c r="G29" s="214">
        <f t="shared" si="19"/>
        <v>219890.79</v>
      </c>
      <c r="H29" s="190">
        <f t="shared" si="20"/>
        <v>-2.9574999999999996</v>
      </c>
      <c r="I29" s="190">
        <f t="shared" si="18"/>
        <v>219887.83250000002</v>
      </c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77"/>
      <c r="AF29" s="77"/>
      <c r="AG29" s="77"/>
    </row>
    <row r="30" spans="1:33" x14ac:dyDescent="0.25">
      <c r="A30" s="180" t="s">
        <v>235</v>
      </c>
      <c r="B30" s="179"/>
      <c r="C30" s="213">
        <v>0</v>
      </c>
      <c r="D30" s="213">
        <v>7733.59</v>
      </c>
      <c r="E30" s="213"/>
      <c r="F30" s="213"/>
      <c r="G30" s="214">
        <f t="shared" si="19"/>
        <v>7733.59</v>
      </c>
      <c r="H30" s="190">
        <f t="shared" si="20"/>
        <v>0</v>
      </c>
      <c r="I30" s="190">
        <f t="shared" si="18"/>
        <v>7733.59</v>
      </c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77"/>
      <c r="AF30" s="77"/>
      <c r="AG30" s="77"/>
    </row>
    <row r="31" spans="1:33" x14ac:dyDescent="0.25">
      <c r="A31" s="180" t="s">
        <v>236</v>
      </c>
      <c r="B31" s="179"/>
      <c r="C31" s="213">
        <v>1000</v>
      </c>
      <c r="D31" s="213">
        <v>98635.53</v>
      </c>
      <c r="E31" s="213">
        <v>-73406</v>
      </c>
      <c r="F31" s="213">
        <v>73333</v>
      </c>
      <c r="G31" s="214">
        <f t="shared" si="19"/>
        <v>98562.53</v>
      </c>
      <c r="H31" s="190">
        <f t="shared" si="20"/>
        <v>0</v>
      </c>
      <c r="I31" s="190">
        <f t="shared" si="18"/>
        <v>98562.53</v>
      </c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77"/>
      <c r="AF31" s="77"/>
      <c r="AG31" s="77"/>
    </row>
    <row r="32" spans="1:33" x14ac:dyDescent="0.25">
      <c r="A32" s="180" t="s">
        <v>253</v>
      </c>
      <c r="B32" s="179"/>
      <c r="C32" s="213"/>
      <c r="D32" s="213">
        <v>1037705.19</v>
      </c>
      <c r="E32" s="213"/>
      <c r="F32" s="213"/>
      <c r="G32" s="214"/>
      <c r="H32" s="190"/>
      <c r="I32" s="190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77"/>
      <c r="AF32" s="77"/>
      <c r="AG32" s="77"/>
    </row>
    <row r="33" spans="1:33" x14ac:dyDescent="0.25">
      <c r="A33" s="180" t="s">
        <v>254</v>
      </c>
      <c r="B33" s="179"/>
      <c r="C33" s="215"/>
      <c r="D33" s="213">
        <v>166402.9</v>
      </c>
      <c r="E33" s="213"/>
      <c r="F33" s="213"/>
      <c r="G33" s="214"/>
      <c r="H33" s="190"/>
      <c r="I33" s="190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77"/>
      <c r="AF33" s="77"/>
      <c r="AG33" s="77"/>
    </row>
    <row r="34" spans="1:33" x14ac:dyDescent="0.25">
      <c r="A34" s="179"/>
      <c r="B34" s="179"/>
      <c r="C34" s="196">
        <f>SUM(C22:C31)</f>
        <v>1930221.34</v>
      </c>
      <c r="D34" s="216">
        <f>SUM(D22:D33)</f>
        <v>4861903.76</v>
      </c>
      <c r="E34" s="216">
        <f>SUM(E22:E33)</f>
        <v>-2166606</v>
      </c>
      <c r="F34" s="216">
        <f>SUM(F22:F33)</f>
        <v>2079296</v>
      </c>
      <c r="G34" s="216">
        <f t="shared" ref="G34:I34" si="21">SUM(G22:G33)</f>
        <v>3570485.6699999995</v>
      </c>
      <c r="H34" s="216">
        <f t="shared" si="21"/>
        <v>41761.457310000013</v>
      </c>
      <c r="I34" s="216">
        <f t="shared" si="21"/>
        <v>3612247.127309999</v>
      </c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77"/>
      <c r="AF34" s="77"/>
      <c r="AG34" s="77"/>
    </row>
    <row r="35" spans="1:33" ht="15.75" thickBot="1" x14ac:dyDescent="0.3">
      <c r="A35" s="179"/>
      <c r="B35" s="179"/>
      <c r="C35" s="171"/>
      <c r="D35" s="217"/>
      <c r="E35" s="179"/>
      <c r="F35" s="179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77"/>
      <c r="AF35" s="77"/>
      <c r="AG35" s="77"/>
    </row>
    <row r="36" spans="1:33" x14ac:dyDescent="0.25">
      <c r="A36" s="179" t="s">
        <v>28</v>
      </c>
      <c r="B36" s="179"/>
      <c r="C36" s="218">
        <f>C22+C23</f>
        <v>1603229.5</v>
      </c>
      <c r="D36" s="188">
        <f>D22+D23</f>
        <v>2557723.0399999996</v>
      </c>
      <c r="E36" s="188">
        <f t="shared" ref="E36:H36" si="22">E22+E23</f>
        <v>-1495154</v>
      </c>
      <c r="F36" s="188">
        <f t="shared" si="22"/>
        <v>1441933</v>
      </c>
      <c r="G36" s="188">
        <f t="shared" si="22"/>
        <v>2504502.0399999996</v>
      </c>
      <c r="H36" s="188">
        <f t="shared" si="22"/>
        <v>29799.960220000004</v>
      </c>
      <c r="I36" s="218">
        <f>I22+I23</f>
        <v>2534302.0002199993</v>
      </c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77"/>
      <c r="AF36" s="77"/>
      <c r="AG36" s="77"/>
    </row>
    <row r="37" spans="1:33" x14ac:dyDescent="0.25">
      <c r="A37" s="179"/>
      <c r="B37" s="179"/>
      <c r="C37" s="219"/>
      <c r="D37" s="188"/>
      <c r="E37" s="179"/>
      <c r="F37" s="179"/>
      <c r="G37" s="171"/>
      <c r="H37" s="171"/>
      <c r="I37" s="220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77"/>
      <c r="AF37" s="77"/>
      <c r="AG37" s="77"/>
    </row>
    <row r="38" spans="1:33" ht="15.75" thickBot="1" x14ac:dyDescent="0.3">
      <c r="A38" s="179" t="s">
        <v>244</v>
      </c>
      <c r="B38" s="179"/>
      <c r="C38" s="221">
        <f>SUM(C24:C27)</f>
        <v>304541.84000000003</v>
      </c>
      <c r="D38" s="222">
        <f>SUM(D24:D27)</f>
        <v>765365.18</v>
      </c>
      <c r="E38" s="222">
        <f t="shared" ref="E38:H38" si="23">SUM(E24:E27)</f>
        <v>-464109</v>
      </c>
      <c r="F38" s="222">
        <f t="shared" si="23"/>
        <v>429967</v>
      </c>
      <c r="G38" s="222">
        <f t="shared" si="23"/>
        <v>731223.18</v>
      </c>
      <c r="H38" s="222">
        <f t="shared" si="23"/>
        <v>11964.454590000005</v>
      </c>
      <c r="I38" s="221">
        <f>SUM(I24:I27)</f>
        <v>743187.63459000003</v>
      </c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77"/>
      <c r="AF38" s="77"/>
      <c r="AG38" s="77"/>
    </row>
    <row r="39" spans="1:33" x14ac:dyDescent="0.25">
      <c r="A39" s="179"/>
      <c r="B39" s="179"/>
      <c r="C39" s="223"/>
      <c r="D39" s="222"/>
      <c r="E39" s="222"/>
      <c r="F39" s="222"/>
      <c r="G39" s="222"/>
      <c r="H39" s="222"/>
      <c r="I39" s="223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77"/>
      <c r="AF39" s="77"/>
      <c r="AG39" s="77"/>
    </row>
    <row r="40" spans="1:33" ht="76.150000000000006" customHeight="1" x14ac:dyDescent="0.25">
      <c r="A40" s="179" t="s">
        <v>255</v>
      </c>
      <c r="B40" s="171"/>
      <c r="C40" s="224">
        <v>43405</v>
      </c>
      <c r="D40" s="224">
        <v>43405</v>
      </c>
      <c r="E40" s="224">
        <v>43617</v>
      </c>
      <c r="F40" s="224">
        <v>43405</v>
      </c>
      <c r="G40" s="224">
        <v>42278</v>
      </c>
      <c r="H40" s="224">
        <v>43344</v>
      </c>
      <c r="I40" s="224">
        <v>43374</v>
      </c>
      <c r="J40" s="225"/>
      <c r="K40" s="225"/>
      <c r="L40" s="171" t="s">
        <v>276</v>
      </c>
      <c r="M40" s="171"/>
      <c r="N40" s="171"/>
      <c r="O40" s="317" t="s">
        <v>265</v>
      </c>
      <c r="P40" s="317" t="s">
        <v>266</v>
      </c>
      <c r="Q40" s="317" t="s">
        <v>267</v>
      </c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77"/>
      <c r="AE40" s="77"/>
      <c r="AF40" s="77"/>
      <c r="AG40" s="77"/>
    </row>
    <row r="41" spans="1:33" ht="26.25" x14ac:dyDescent="0.25">
      <c r="A41" s="226" t="s">
        <v>256</v>
      </c>
      <c r="B41" s="175"/>
      <c r="C41" s="227" t="s">
        <v>257</v>
      </c>
      <c r="D41" s="227" t="s">
        <v>258</v>
      </c>
      <c r="E41" s="227" t="s">
        <v>259</v>
      </c>
      <c r="F41" s="227" t="s">
        <v>260</v>
      </c>
      <c r="G41" s="227" t="s">
        <v>261</v>
      </c>
      <c r="H41" s="227" t="s">
        <v>262</v>
      </c>
      <c r="I41" s="227" t="s">
        <v>263</v>
      </c>
      <c r="J41" s="228"/>
      <c r="K41" s="317" t="s">
        <v>264</v>
      </c>
      <c r="L41" s="317"/>
      <c r="M41" s="317" t="s">
        <v>275</v>
      </c>
      <c r="N41" s="317"/>
      <c r="O41" s="317"/>
      <c r="P41" s="317"/>
      <c r="Q41" s="317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77"/>
      <c r="AE41" s="77"/>
      <c r="AF41" s="77"/>
      <c r="AG41" s="77"/>
    </row>
    <row r="42" spans="1:33" x14ac:dyDescent="0.25">
      <c r="A42" s="180" t="s">
        <v>221</v>
      </c>
      <c r="B42" s="179"/>
      <c r="C42" s="229">
        <v>0.28637000000000001</v>
      </c>
      <c r="D42" s="229">
        <v>-9.6129999999999993E-2</v>
      </c>
      <c r="E42" s="229">
        <v>0</v>
      </c>
      <c r="F42" s="229">
        <v>-2.7199999999999998E-2</v>
      </c>
      <c r="G42" s="229">
        <v>0</v>
      </c>
      <c r="H42" s="229">
        <v>3.0280000000000001E-2</v>
      </c>
      <c r="I42" s="229">
        <v>1.959E-2</v>
      </c>
      <c r="J42" s="229"/>
      <c r="K42" s="230"/>
      <c r="L42" s="231">
        <f>SUM(C42:I42)</f>
        <v>0.21291000000000002</v>
      </c>
      <c r="M42" s="171"/>
      <c r="N42" s="231">
        <f>SUM(C42:I42)</f>
        <v>0.21291000000000002</v>
      </c>
      <c r="O42" s="193">
        <f t="shared" ref="O42:O51" si="24">L42*G4</f>
        <v>251150.12637000001</v>
      </c>
      <c r="P42" s="232">
        <f>-F4*N42</f>
        <v>281003.94075000001</v>
      </c>
      <c r="Q42" s="193">
        <f>O42-P42</f>
        <v>-29853.814379999996</v>
      </c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77"/>
      <c r="AE42" s="77"/>
      <c r="AF42" s="77"/>
      <c r="AG42" s="77"/>
    </row>
    <row r="43" spans="1:33" x14ac:dyDescent="0.25">
      <c r="A43" s="180" t="s">
        <v>223</v>
      </c>
      <c r="B43" s="179"/>
      <c r="C43" s="229">
        <v>0.28637000000000001</v>
      </c>
      <c r="D43" s="229">
        <v>-9.6129999999999993E-2</v>
      </c>
      <c r="E43" s="229">
        <v>0</v>
      </c>
      <c r="F43" s="229">
        <v>-2.7199999999999998E-2</v>
      </c>
      <c r="G43" s="229">
        <v>-0.40662999999999999</v>
      </c>
      <c r="H43" s="229">
        <v>3.0280000000000001E-2</v>
      </c>
      <c r="I43" s="229">
        <v>1.959E-2</v>
      </c>
      <c r="J43" s="229"/>
      <c r="K43" s="230"/>
      <c r="L43" s="231">
        <f t="shared" ref="L43:L51" si="25">SUM(C43:I43)</f>
        <v>-0.19371999999999998</v>
      </c>
      <c r="M43" s="171"/>
      <c r="N43" s="231">
        <f t="shared" ref="N43:N51" si="26">SUM(C43:I43)</f>
        <v>-0.19371999999999998</v>
      </c>
      <c r="O43" s="193">
        <f t="shared" si="24"/>
        <v>-199.14415999999997</v>
      </c>
      <c r="P43" s="232">
        <f t="shared" ref="P43:P51" si="27">-F5*N43</f>
        <v>-252.99831999999998</v>
      </c>
      <c r="Q43" s="193">
        <f t="shared" ref="Q43:Q51" si="28">O43-P43</f>
        <v>53.854160000000007</v>
      </c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77"/>
      <c r="AE43" s="77"/>
      <c r="AF43" s="77"/>
      <c r="AG43" s="77"/>
    </row>
    <row r="44" spans="1:33" x14ac:dyDescent="0.25">
      <c r="A44" s="180" t="s">
        <v>225</v>
      </c>
      <c r="B44" s="179"/>
      <c r="C44" s="229">
        <v>0.27588000000000001</v>
      </c>
      <c r="D44" s="229">
        <v>-7.9969999999999999E-2</v>
      </c>
      <c r="E44" s="229">
        <v>0</v>
      </c>
      <c r="F44" s="229">
        <v>6.9100000000000003E-3</v>
      </c>
      <c r="G44" s="229">
        <v>0</v>
      </c>
      <c r="H44" s="229">
        <v>1.626E-2</v>
      </c>
      <c r="I44" s="229">
        <v>1.6410000000000001E-2</v>
      </c>
      <c r="J44" s="229"/>
      <c r="K44" s="230"/>
      <c r="L44" s="231">
        <f t="shared" si="25"/>
        <v>0.23549000000000003</v>
      </c>
      <c r="M44" s="171"/>
      <c r="N44" s="231">
        <f t="shared" si="26"/>
        <v>0.23549000000000003</v>
      </c>
      <c r="O44" s="193">
        <f t="shared" si="24"/>
        <v>196780.86027000003</v>
      </c>
      <c r="P44" s="232">
        <f t="shared" si="27"/>
        <v>223703.25452000002</v>
      </c>
      <c r="Q44" s="193">
        <f t="shared" si="28"/>
        <v>-26922.394249999983</v>
      </c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77"/>
      <c r="AE44" s="77"/>
      <c r="AF44" s="77"/>
      <c r="AG44" s="77"/>
    </row>
    <row r="45" spans="1:33" x14ac:dyDescent="0.25">
      <c r="A45" s="180" t="s">
        <v>227</v>
      </c>
      <c r="B45" s="179"/>
      <c r="C45" s="229">
        <v>0.27588000000000001</v>
      </c>
      <c r="D45" s="229">
        <v>0</v>
      </c>
      <c r="E45" s="229">
        <v>0</v>
      </c>
      <c r="F45" s="229">
        <v>0</v>
      </c>
      <c r="G45" s="229">
        <v>0</v>
      </c>
      <c r="H45" s="229">
        <v>1.626E-2</v>
      </c>
      <c r="I45" s="229">
        <v>1.6410000000000001E-2</v>
      </c>
      <c r="J45" s="229"/>
      <c r="K45" s="230"/>
      <c r="L45" s="231">
        <f t="shared" si="25"/>
        <v>0.30854999999999999</v>
      </c>
      <c r="M45" s="171"/>
      <c r="N45" s="231">
        <f t="shared" si="26"/>
        <v>0.30854999999999999</v>
      </c>
      <c r="O45" s="193">
        <f t="shared" si="24"/>
        <v>797.91030000000001</v>
      </c>
      <c r="P45" s="232">
        <f t="shared" si="27"/>
        <v>784.64265</v>
      </c>
      <c r="Q45" s="193">
        <f t="shared" si="28"/>
        <v>13.267650000000003</v>
      </c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77"/>
      <c r="AE45" s="77"/>
      <c r="AF45" s="77"/>
      <c r="AG45" s="77"/>
    </row>
    <row r="46" spans="1:33" x14ac:dyDescent="0.25">
      <c r="A46" s="180" t="s">
        <v>229</v>
      </c>
      <c r="B46" s="179"/>
      <c r="C46" s="229">
        <v>0.27573999999999999</v>
      </c>
      <c r="D46" s="229">
        <v>-5.0130000000000001E-2</v>
      </c>
      <c r="E46" s="229">
        <v>0</v>
      </c>
      <c r="F46" s="229">
        <v>6.9100000000000003E-3</v>
      </c>
      <c r="G46" s="229">
        <v>0</v>
      </c>
      <c r="H46" s="229">
        <v>1.2760000000000001E-2</v>
      </c>
      <c r="I46" s="229">
        <v>1.499E-2</v>
      </c>
      <c r="J46" s="229"/>
      <c r="K46" s="230"/>
      <c r="L46" s="231">
        <f t="shared" si="25"/>
        <v>0.26026999999999995</v>
      </c>
      <c r="M46" s="171"/>
      <c r="N46" s="231">
        <f t="shared" si="26"/>
        <v>0.26026999999999995</v>
      </c>
      <c r="O46" s="193">
        <f t="shared" si="24"/>
        <v>9571.9497899999988</v>
      </c>
      <c r="P46" s="232">
        <f t="shared" si="27"/>
        <v>-4647.3811199999991</v>
      </c>
      <c r="Q46" s="193">
        <f t="shared" si="28"/>
        <v>14219.330909999997</v>
      </c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77"/>
      <c r="AE46" s="77"/>
      <c r="AF46" s="77"/>
      <c r="AG46" s="77"/>
    </row>
    <row r="47" spans="1:33" x14ac:dyDescent="0.25">
      <c r="A47" s="180" t="s">
        <v>231</v>
      </c>
      <c r="B47" s="179"/>
      <c r="C47" s="229">
        <v>0.27573999999999999</v>
      </c>
      <c r="D47" s="229">
        <v>0</v>
      </c>
      <c r="E47" s="229">
        <v>0</v>
      </c>
      <c r="F47" s="229">
        <v>0</v>
      </c>
      <c r="G47" s="229">
        <v>0</v>
      </c>
      <c r="H47" s="229">
        <v>1.2760000000000001E-2</v>
      </c>
      <c r="I47" s="229">
        <v>1.499E-2</v>
      </c>
      <c r="J47" s="229"/>
      <c r="K47" s="230"/>
      <c r="L47" s="231">
        <f t="shared" si="25"/>
        <v>0.30348999999999998</v>
      </c>
      <c r="M47" s="171"/>
      <c r="N47" s="231">
        <f t="shared" si="26"/>
        <v>0.30348999999999998</v>
      </c>
      <c r="O47" s="193">
        <f t="shared" si="24"/>
        <v>4129.5884299999998</v>
      </c>
      <c r="P47" s="232">
        <f t="shared" si="27"/>
        <v>3404.2473299999997</v>
      </c>
      <c r="Q47" s="193">
        <f t="shared" si="28"/>
        <v>725.3411000000001</v>
      </c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77"/>
      <c r="AE47" s="77"/>
      <c r="AF47" s="77"/>
      <c r="AG47" s="77"/>
    </row>
    <row r="48" spans="1:33" x14ac:dyDescent="0.25">
      <c r="A48" s="180" t="s">
        <v>232</v>
      </c>
      <c r="B48" s="179"/>
      <c r="C48" s="229">
        <v>0.24138999999999999</v>
      </c>
      <c r="D48" s="229">
        <v>0</v>
      </c>
      <c r="E48" s="229">
        <v>0</v>
      </c>
      <c r="F48" s="229">
        <v>0</v>
      </c>
      <c r="G48" s="229">
        <v>0</v>
      </c>
      <c r="H48" s="229">
        <v>1.132E-2</v>
      </c>
      <c r="I48" s="229">
        <v>1.44E-2</v>
      </c>
      <c r="J48" s="229"/>
      <c r="K48" s="230"/>
      <c r="L48" s="231">
        <f t="shared" si="25"/>
        <v>0.26711000000000001</v>
      </c>
      <c r="M48" s="171"/>
      <c r="N48" s="231">
        <f t="shared" si="26"/>
        <v>0.26711000000000001</v>
      </c>
      <c r="O48" s="193">
        <f t="shared" si="24"/>
        <v>0</v>
      </c>
      <c r="P48" s="232">
        <f t="shared" si="27"/>
        <v>0</v>
      </c>
      <c r="Q48" s="193">
        <f t="shared" si="28"/>
        <v>0</v>
      </c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77"/>
      <c r="AE48" s="77"/>
      <c r="AF48" s="77"/>
      <c r="AG48" s="77"/>
    </row>
    <row r="49" spans="1:33" x14ac:dyDescent="0.25">
      <c r="A49" s="180" t="s">
        <v>234</v>
      </c>
      <c r="B49" s="179"/>
      <c r="C49" s="229">
        <v>5.5999999999999995E-4</v>
      </c>
      <c r="D49" s="229">
        <v>0</v>
      </c>
      <c r="E49" s="229">
        <v>0</v>
      </c>
      <c r="F49" s="229">
        <v>0</v>
      </c>
      <c r="G49" s="229">
        <v>0</v>
      </c>
      <c r="H49" s="229">
        <v>0</v>
      </c>
      <c r="I49" s="229">
        <v>7.3999999999999999E-4</v>
      </c>
      <c r="J49" s="229"/>
      <c r="K49" s="230"/>
      <c r="L49" s="231">
        <f t="shared" si="25"/>
        <v>1.2999999999999999E-3</v>
      </c>
      <c r="M49" s="171"/>
      <c r="N49" s="231">
        <f t="shared" si="26"/>
        <v>1.2999999999999999E-3</v>
      </c>
      <c r="O49" s="193">
        <f t="shared" si="24"/>
        <v>3149.8532</v>
      </c>
      <c r="P49" s="232">
        <f t="shared" si="27"/>
        <v>3146.8957</v>
      </c>
      <c r="Q49" s="193">
        <f t="shared" si="28"/>
        <v>2.9574999999999818</v>
      </c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77"/>
      <c r="AE49" s="77"/>
      <c r="AF49" s="77"/>
      <c r="AG49" s="77"/>
    </row>
    <row r="50" spans="1:33" x14ac:dyDescent="0.25">
      <c r="A50" s="180" t="s">
        <v>235</v>
      </c>
      <c r="B50" s="179"/>
      <c r="C50" s="229">
        <v>0</v>
      </c>
      <c r="D50" s="229">
        <v>0</v>
      </c>
      <c r="E50" s="229">
        <v>0</v>
      </c>
      <c r="F50" s="229">
        <v>0</v>
      </c>
      <c r="G50" s="229">
        <v>0</v>
      </c>
      <c r="H50" s="229">
        <v>0</v>
      </c>
      <c r="I50" s="229">
        <v>0</v>
      </c>
      <c r="J50" s="229"/>
      <c r="K50" s="230"/>
      <c r="L50" s="231">
        <f t="shared" si="25"/>
        <v>0</v>
      </c>
      <c r="M50" s="171"/>
      <c r="N50" s="231">
        <f t="shared" si="26"/>
        <v>0</v>
      </c>
      <c r="O50" s="193">
        <f t="shared" si="24"/>
        <v>0</v>
      </c>
      <c r="P50" s="232">
        <f t="shared" si="27"/>
        <v>0</v>
      </c>
      <c r="Q50" s="193">
        <f t="shared" si="28"/>
        <v>0</v>
      </c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77"/>
      <c r="AE50" s="77"/>
      <c r="AF50" s="77"/>
      <c r="AG50" s="77"/>
    </row>
    <row r="51" spans="1:33" x14ac:dyDescent="0.25">
      <c r="A51" s="180" t="s">
        <v>236</v>
      </c>
      <c r="B51" s="179"/>
      <c r="C51" s="229">
        <v>0</v>
      </c>
      <c r="D51" s="229">
        <v>0</v>
      </c>
      <c r="E51" s="229">
        <v>0</v>
      </c>
      <c r="F51" s="229">
        <v>0</v>
      </c>
      <c r="G51" s="229">
        <v>0</v>
      </c>
      <c r="H51" s="229">
        <v>0</v>
      </c>
      <c r="I51" s="229">
        <v>0</v>
      </c>
      <c r="J51" s="229"/>
      <c r="K51" s="230"/>
      <c r="L51" s="231">
        <f t="shared" si="25"/>
        <v>0</v>
      </c>
      <c r="M51" s="171"/>
      <c r="N51" s="231">
        <f t="shared" si="26"/>
        <v>0</v>
      </c>
      <c r="O51" s="193">
        <f t="shared" si="24"/>
        <v>0</v>
      </c>
      <c r="P51" s="232">
        <f t="shared" si="27"/>
        <v>0</v>
      </c>
      <c r="Q51" s="193">
        <f t="shared" si="28"/>
        <v>0</v>
      </c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77"/>
      <c r="AE51" s="77"/>
      <c r="AF51" s="77"/>
      <c r="AG51" s="77"/>
    </row>
    <row r="52" spans="1:33" x14ac:dyDescent="0.25">
      <c r="A52" s="180"/>
      <c r="B52" s="179"/>
      <c r="C52" s="229"/>
      <c r="D52" s="229"/>
      <c r="E52" s="229"/>
      <c r="F52" s="229"/>
      <c r="G52" s="229"/>
      <c r="H52" s="229"/>
      <c r="I52" s="229"/>
      <c r="J52" s="229"/>
      <c r="K52" s="229"/>
      <c r="L52" s="230"/>
      <c r="M52" s="171"/>
      <c r="O52" s="233">
        <f>SUM(O42:O51)</f>
        <v>465381.14420000004</v>
      </c>
      <c r="P52" s="233">
        <f>SUM(P42:P51)</f>
        <v>507142.60151000001</v>
      </c>
      <c r="Q52" s="233">
        <f>SUM(Q42:Q51)</f>
        <v>-41761.457309999983</v>
      </c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77"/>
      <c r="AF52" s="77"/>
      <c r="AG52" s="77"/>
    </row>
    <row r="53" spans="1:33" ht="39" x14ac:dyDescent="0.25">
      <c r="A53" s="226" t="s">
        <v>267</v>
      </c>
      <c r="B53" s="175"/>
      <c r="C53" s="212" t="s">
        <v>268</v>
      </c>
      <c r="D53" s="212" t="s">
        <v>269</v>
      </c>
      <c r="E53" s="212" t="s">
        <v>259</v>
      </c>
      <c r="F53" s="212" t="s">
        <v>260</v>
      </c>
      <c r="G53" s="212" t="s">
        <v>270</v>
      </c>
      <c r="H53" s="212" t="s">
        <v>271</v>
      </c>
      <c r="I53" s="212" t="s">
        <v>272</v>
      </c>
      <c r="J53" s="212" t="s">
        <v>273</v>
      </c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77"/>
      <c r="AF53" s="77"/>
      <c r="AG53" s="77"/>
    </row>
    <row r="54" spans="1:33" x14ac:dyDescent="0.25">
      <c r="A54" s="180" t="s">
        <v>221</v>
      </c>
      <c r="B54" s="171"/>
      <c r="C54" s="188">
        <f>C42*$H4</f>
        <v>-40154.228660000001</v>
      </c>
      <c r="D54" s="188">
        <f t="shared" ref="D54:I54" si="29">D42*$H4</f>
        <v>13479.15634</v>
      </c>
      <c r="E54" s="188">
        <f>E42*$H4</f>
        <v>0</v>
      </c>
      <c r="F54" s="188">
        <f t="shared" si="29"/>
        <v>3813.9295999999999</v>
      </c>
      <c r="G54" s="188">
        <f t="shared" si="29"/>
        <v>0</v>
      </c>
      <c r="H54" s="188">
        <f t="shared" si="29"/>
        <v>-4245.8010400000003</v>
      </c>
      <c r="I54" s="188">
        <f t="shared" si="29"/>
        <v>-2746.8706200000001</v>
      </c>
      <c r="J54" s="188">
        <f>SUM(C54:I54)</f>
        <v>-29853.814380000003</v>
      </c>
      <c r="K54" s="171"/>
      <c r="L54" s="171"/>
      <c r="M54" s="171"/>
      <c r="N54" s="193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77"/>
      <c r="AF54" s="77"/>
      <c r="AG54" s="77"/>
    </row>
    <row r="55" spans="1:33" x14ac:dyDescent="0.25">
      <c r="A55" s="180" t="s">
        <v>223</v>
      </c>
      <c r="B55" s="171"/>
      <c r="C55" s="188">
        <f t="shared" ref="C55:I63" si="30">C43*$H5</f>
        <v>-79.610860000000002</v>
      </c>
      <c r="D55" s="188">
        <f t="shared" si="30"/>
        <v>26.724139999999998</v>
      </c>
      <c r="E55" s="188">
        <f t="shared" si="30"/>
        <v>0</v>
      </c>
      <c r="F55" s="188">
        <f t="shared" si="30"/>
        <v>7.5615999999999994</v>
      </c>
      <c r="G55" s="188">
        <f t="shared" si="30"/>
        <v>113.04313999999999</v>
      </c>
      <c r="H55" s="188">
        <f t="shared" si="30"/>
        <v>-8.41784</v>
      </c>
      <c r="I55" s="188">
        <f t="shared" si="30"/>
        <v>-5.4460199999999999</v>
      </c>
      <c r="J55" s="188">
        <f t="shared" ref="J55:J63" si="31">SUM(C55:I55)</f>
        <v>53.85416</v>
      </c>
      <c r="K55" s="171"/>
      <c r="L55" s="171"/>
      <c r="M55" s="171"/>
      <c r="N55" s="193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77"/>
      <c r="AF55" s="77"/>
      <c r="AG55" s="77"/>
    </row>
    <row r="56" spans="1:33" x14ac:dyDescent="0.25">
      <c r="A56" s="180" t="s">
        <v>225</v>
      </c>
      <c r="B56" s="171"/>
      <c r="C56" s="188">
        <f t="shared" si="30"/>
        <v>-31539.981000000003</v>
      </c>
      <c r="D56" s="188">
        <f t="shared" si="30"/>
        <v>9142.5702500000007</v>
      </c>
      <c r="E56" s="188">
        <f t="shared" si="30"/>
        <v>0</v>
      </c>
      <c r="F56" s="188">
        <f t="shared" si="30"/>
        <v>-789.98575000000005</v>
      </c>
      <c r="G56" s="188">
        <f t="shared" si="30"/>
        <v>0</v>
      </c>
      <c r="H56" s="188">
        <f t="shared" si="30"/>
        <v>-1858.9245000000001</v>
      </c>
      <c r="I56" s="188">
        <f t="shared" si="30"/>
        <v>-1876.0732500000001</v>
      </c>
      <c r="J56" s="188">
        <f t="shared" si="31"/>
        <v>-26922.394250000005</v>
      </c>
      <c r="K56" s="171"/>
      <c r="L56" s="171"/>
      <c r="M56" s="171"/>
      <c r="N56" s="193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77"/>
      <c r="AF56" s="77"/>
      <c r="AG56" s="77"/>
    </row>
    <row r="57" spans="1:33" x14ac:dyDescent="0.25">
      <c r="A57" s="180" t="s">
        <v>227</v>
      </c>
      <c r="B57" s="171"/>
      <c r="C57" s="188">
        <f t="shared" si="30"/>
        <v>11.86284</v>
      </c>
      <c r="D57" s="188">
        <f t="shared" si="30"/>
        <v>0</v>
      </c>
      <c r="E57" s="188">
        <f t="shared" si="30"/>
        <v>0</v>
      </c>
      <c r="F57" s="188">
        <f t="shared" si="30"/>
        <v>0</v>
      </c>
      <c r="G57" s="188">
        <f t="shared" si="30"/>
        <v>0</v>
      </c>
      <c r="H57" s="188">
        <f t="shared" si="30"/>
        <v>0.69918000000000002</v>
      </c>
      <c r="I57" s="188">
        <f t="shared" si="30"/>
        <v>0.70563000000000009</v>
      </c>
      <c r="J57" s="188">
        <f t="shared" si="31"/>
        <v>13.26765</v>
      </c>
      <c r="K57" s="171"/>
      <c r="L57" s="171"/>
      <c r="M57" s="171"/>
      <c r="N57" s="193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77"/>
      <c r="AF57" s="77"/>
      <c r="AG57" s="77"/>
    </row>
    <row r="58" spans="1:33" x14ac:dyDescent="0.25">
      <c r="A58" s="180" t="s">
        <v>229</v>
      </c>
      <c r="B58" s="171"/>
      <c r="C58" s="188">
        <f t="shared" si="30"/>
        <v>15064.503419999999</v>
      </c>
      <c r="D58" s="188">
        <f t="shared" si="30"/>
        <v>-2738.7522899999999</v>
      </c>
      <c r="E58" s="188">
        <f t="shared" si="30"/>
        <v>0</v>
      </c>
      <c r="F58" s="188">
        <f t="shared" si="30"/>
        <v>377.51402999999999</v>
      </c>
      <c r="G58" s="188">
        <f t="shared" si="30"/>
        <v>0</v>
      </c>
      <c r="H58" s="188">
        <f t="shared" si="30"/>
        <v>697.11707999999999</v>
      </c>
      <c r="I58" s="188">
        <f t="shared" si="30"/>
        <v>818.94866999999999</v>
      </c>
      <c r="J58" s="188">
        <f t="shared" si="31"/>
        <v>14219.330909999999</v>
      </c>
      <c r="K58" s="171"/>
      <c r="L58" s="171"/>
      <c r="M58" s="171"/>
      <c r="N58" s="193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77"/>
      <c r="AF58" s="77"/>
      <c r="AG58" s="77"/>
    </row>
    <row r="59" spans="1:33" x14ac:dyDescent="0.25">
      <c r="A59" s="180" t="s">
        <v>231</v>
      </c>
      <c r="B59" s="171"/>
      <c r="C59" s="188">
        <f t="shared" si="30"/>
        <v>659.01859999999999</v>
      </c>
      <c r="D59" s="188">
        <f t="shared" si="30"/>
        <v>0</v>
      </c>
      <c r="E59" s="188">
        <f t="shared" si="30"/>
        <v>0</v>
      </c>
      <c r="F59" s="188">
        <f t="shared" si="30"/>
        <v>0</v>
      </c>
      <c r="G59" s="188">
        <f t="shared" si="30"/>
        <v>0</v>
      </c>
      <c r="H59" s="188">
        <f t="shared" si="30"/>
        <v>30.496400000000001</v>
      </c>
      <c r="I59" s="188">
        <f t="shared" si="30"/>
        <v>35.826099999999997</v>
      </c>
      <c r="J59" s="188">
        <f t="shared" si="31"/>
        <v>725.34109999999998</v>
      </c>
      <c r="K59" s="171"/>
      <c r="L59" s="171"/>
      <c r="M59" s="171"/>
      <c r="N59" s="193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77"/>
      <c r="AF59" s="77"/>
      <c r="AG59" s="77"/>
    </row>
    <row r="60" spans="1:33" x14ac:dyDescent="0.25">
      <c r="A60" s="180" t="s">
        <v>232</v>
      </c>
      <c r="B60" s="171"/>
      <c r="C60" s="188">
        <f t="shared" si="30"/>
        <v>0</v>
      </c>
      <c r="D60" s="188">
        <f t="shared" si="30"/>
        <v>0</v>
      </c>
      <c r="E60" s="188">
        <f t="shared" si="30"/>
        <v>0</v>
      </c>
      <c r="F60" s="188">
        <f t="shared" si="30"/>
        <v>0</v>
      </c>
      <c r="G60" s="188">
        <f t="shared" si="30"/>
        <v>0</v>
      </c>
      <c r="H60" s="188">
        <f t="shared" si="30"/>
        <v>0</v>
      </c>
      <c r="I60" s="188">
        <f t="shared" si="30"/>
        <v>0</v>
      </c>
      <c r="J60" s="188">
        <f t="shared" si="31"/>
        <v>0</v>
      </c>
      <c r="K60" s="171"/>
      <c r="L60" s="171"/>
      <c r="M60" s="171"/>
      <c r="N60" s="193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77"/>
      <c r="AF60" s="77"/>
      <c r="AG60" s="77"/>
    </row>
    <row r="61" spans="1:33" x14ac:dyDescent="0.25">
      <c r="A61" s="180" t="s">
        <v>234</v>
      </c>
      <c r="B61" s="171"/>
      <c r="C61" s="188">
        <f t="shared" si="30"/>
        <v>1.2739999999999998</v>
      </c>
      <c r="D61" s="188">
        <f t="shared" si="30"/>
        <v>0</v>
      </c>
      <c r="E61" s="188">
        <f t="shared" si="30"/>
        <v>0</v>
      </c>
      <c r="F61" s="188">
        <f t="shared" si="30"/>
        <v>0</v>
      </c>
      <c r="G61" s="188">
        <f t="shared" si="30"/>
        <v>0</v>
      </c>
      <c r="H61" s="188">
        <f t="shared" si="30"/>
        <v>0</v>
      </c>
      <c r="I61" s="188">
        <f t="shared" si="30"/>
        <v>1.6835</v>
      </c>
      <c r="J61" s="188">
        <f t="shared" si="31"/>
        <v>2.9574999999999996</v>
      </c>
      <c r="K61" s="171"/>
      <c r="L61" s="171"/>
      <c r="M61" s="171"/>
      <c r="N61" s="193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77"/>
      <c r="AF61" s="77"/>
      <c r="AG61" s="77"/>
    </row>
    <row r="62" spans="1:33" x14ac:dyDescent="0.25">
      <c r="A62" s="180" t="s">
        <v>235</v>
      </c>
      <c r="B62" s="171"/>
      <c r="C62" s="188">
        <f t="shared" si="30"/>
        <v>0</v>
      </c>
      <c r="D62" s="188">
        <f t="shared" si="30"/>
        <v>0</v>
      </c>
      <c r="E62" s="188">
        <f t="shared" si="30"/>
        <v>0</v>
      </c>
      <c r="F62" s="188">
        <f t="shared" si="30"/>
        <v>0</v>
      </c>
      <c r="G62" s="188">
        <f t="shared" si="30"/>
        <v>0</v>
      </c>
      <c r="H62" s="188">
        <f t="shared" si="30"/>
        <v>0</v>
      </c>
      <c r="I62" s="188">
        <f t="shared" si="30"/>
        <v>0</v>
      </c>
      <c r="J62" s="188">
        <f t="shared" si="31"/>
        <v>0</v>
      </c>
      <c r="K62" s="171"/>
      <c r="L62" s="171"/>
      <c r="M62" s="171"/>
      <c r="N62" s="193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77"/>
      <c r="AF62" s="77"/>
      <c r="AG62" s="77"/>
    </row>
    <row r="63" spans="1:33" x14ac:dyDescent="0.25">
      <c r="A63" s="180" t="s">
        <v>236</v>
      </c>
      <c r="B63" s="171"/>
      <c r="C63" s="188">
        <f t="shared" si="30"/>
        <v>0</v>
      </c>
      <c r="D63" s="188">
        <f t="shared" si="30"/>
        <v>0</v>
      </c>
      <c r="E63" s="188">
        <f t="shared" si="30"/>
        <v>0</v>
      </c>
      <c r="F63" s="188">
        <f t="shared" si="30"/>
        <v>0</v>
      </c>
      <c r="G63" s="188">
        <f t="shared" si="30"/>
        <v>0</v>
      </c>
      <c r="H63" s="188">
        <f t="shared" si="30"/>
        <v>0</v>
      </c>
      <c r="I63" s="188">
        <f t="shared" si="30"/>
        <v>0</v>
      </c>
      <c r="J63" s="188">
        <f t="shared" si="31"/>
        <v>0</v>
      </c>
      <c r="K63" s="171"/>
      <c r="L63" s="171"/>
      <c r="M63" s="171"/>
      <c r="N63" s="234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77"/>
      <c r="AF63" s="77"/>
      <c r="AG63" s="77"/>
    </row>
    <row r="64" spans="1:33" x14ac:dyDescent="0.25">
      <c r="A64" s="171"/>
      <c r="B64" s="171"/>
      <c r="C64" s="196">
        <f>SUM(C54:C63)</f>
        <v>-56037.161660000005</v>
      </c>
      <c r="D64" s="196">
        <f t="shared" ref="D64:I64" si="32">SUM(D54:D63)</f>
        <v>19909.69844</v>
      </c>
      <c r="E64" s="196">
        <f t="shared" si="32"/>
        <v>0</v>
      </c>
      <c r="F64" s="196">
        <f t="shared" si="32"/>
        <v>3409.0194799999995</v>
      </c>
      <c r="G64" s="196">
        <f t="shared" si="32"/>
        <v>113.04313999999999</v>
      </c>
      <c r="H64" s="196">
        <f t="shared" si="32"/>
        <v>-5384.8307200000008</v>
      </c>
      <c r="I64" s="196">
        <f t="shared" si="32"/>
        <v>-3771.2259899999999</v>
      </c>
      <c r="J64" s="196">
        <f>SUM(J54:J63)</f>
        <v>-41761.457310000013</v>
      </c>
      <c r="K64" s="171"/>
      <c r="L64" s="171"/>
      <c r="M64" s="171"/>
      <c r="N64" s="234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77"/>
      <c r="AF64" s="77"/>
      <c r="AG64" s="77"/>
    </row>
    <row r="65" spans="1:33" x14ac:dyDescent="0.25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88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77"/>
      <c r="AF65" s="77"/>
      <c r="AG65" s="77"/>
    </row>
    <row r="66" spans="1:33" x14ac:dyDescent="0.25">
      <c r="A66" s="179" t="s">
        <v>28</v>
      </c>
      <c r="B66" s="179"/>
      <c r="C66" s="188">
        <f>C54+C55</f>
        <v>-40233.839520000001</v>
      </c>
      <c r="D66" s="188">
        <f>D54+D55</f>
        <v>13505.88048</v>
      </c>
      <c r="E66" s="188">
        <f t="shared" ref="E66:I66" si="33">E54+E55</f>
        <v>0</v>
      </c>
      <c r="F66" s="188">
        <f t="shared" si="33"/>
        <v>3821.4911999999999</v>
      </c>
      <c r="G66" s="188">
        <f t="shared" si="33"/>
        <v>113.04313999999999</v>
      </c>
      <c r="H66" s="188">
        <f t="shared" si="33"/>
        <v>-4254.2188800000004</v>
      </c>
      <c r="I66" s="188">
        <f t="shared" si="33"/>
        <v>-2752.31664</v>
      </c>
      <c r="J66" s="188">
        <f>J54+J55</f>
        <v>-29799.960220000004</v>
      </c>
      <c r="K66" s="171"/>
      <c r="L66" s="171"/>
      <c r="M66" s="171"/>
      <c r="N66" s="188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77"/>
      <c r="AF66" s="77"/>
      <c r="AG66" s="77"/>
    </row>
    <row r="67" spans="1:33" x14ac:dyDescent="0.25">
      <c r="A67" s="179"/>
      <c r="B67" s="179"/>
      <c r="C67" s="188"/>
      <c r="D67" s="188"/>
      <c r="E67" s="188"/>
      <c r="F67" s="188"/>
      <c r="G67" s="188"/>
      <c r="H67" s="188"/>
      <c r="I67" s="188"/>
      <c r="J67" s="188"/>
      <c r="K67" s="171"/>
      <c r="L67" s="171"/>
      <c r="M67" s="171"/>
      <c r="N67" s="179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77"/>
      <c r="AF67" s="77"/>
      <c r="AG67" s="77"/>
    </row>
    <row r="68" spans="1:33" x14ac:dyDescent="0.25">
      <c r="A68" s="179" t="s">
        <v>244</v>
      </c>
      <c r="B68" s="179"/>
      <c r="C68" s="222">
        <f>C56+C58</f>
        <v>-16475.477580000006</v>
      </c>
      <c r="D68" s="222">
        <f>D56+D58</f>
        <v>6403.8179600000003</v>
      </c>
      <c r="E68" s="222">
        <f t="shared" ref="E68:I68" si="34">E56+E58</f>
        <v>0</v>
      </c>
      <c r="F68" s="222">
        <f t="shared" si="34"/>
        <v>-412.47172000000006</v>
      </c>
      <c r="G68" s="222">
        <f t="shared" si="34"/>
        <v>0</v>
      </c>
      <c r="H68" s="222">
        <f t="shared" si="34"/>
        <v>-1161.8074200000001</v>
      </c>
      <c r="I68" s="222">
        <f t="shared" si="34"/>
        <v>-1057.1245800000002</v>
      </c>
      <c r="J68" s="222">
        <f>J56+J58</f>
        <v>-12703.063340000006</v>
      </c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77"/>
      <c r="AF68" s="77"/>
      <c r="AG68" s="77"/>
    </row>
    <row r="69" spans="1:33" x14ac:dyDescent="0.25">
      <c r="A69" s="171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77"/>
      <c r="AF69" s="77"/>
      <c r="AG69" s="77"/>
    </row>
    <row r="70" spans="1:33" x14ac:dyDescent="0.25">
      <c r="A70" s="171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77"/>
      <c r="AF70" s="77"/>
      <c r="AG70" s="77"/>
    </row>
    <row r="71" spans="1:33" x14ac:dyDescent="0.25">
      <c r="A71" s="171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77"/>
      <c r="AF71" s="77"/>
      <c r="AG71" s="77"/>
    </row>
    <row r="72" spans="1:33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77"/>
      <c r="AF72" s="77"/>
      <c r="AG72" s="77"/>
    </row>
    <row r="73" spans="1:33" x14ac:dyDescent="0.25">
      <c r="A73" s="171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77"/>
      <c r="AF73" s="77"/>
      <c r="AG73" s="77"/>
    </row>
  </sheetData>
  <mergeCells count="6">
    <mergeCell ref="A1:I1"/>
    <mergeCell ref="O40:O41"/>
    <mergeCell ref="P40:P41"/>
    <mergeCell ref="Q40:Q41"/>
    <mergeCell ref="K41:L41"/>
    <mergeCell ref="M41:N41"/>
  </mergeCells>
  <printOptions horizontalCentered="1"/>
  <pageMargins left="0.45" right="0.45" top="0.5" bottom="0.5" header="0.3" footer="0.3"/>
  <pageSetup scale="80" orientation="landscape" r:id="rId1"/>
  <headerFooter scaleWithDoc="0">
    <oddFooter>&amp;L&amp;F / &amp;A&amp;RPage &amp;P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G73"/>
  <sheetViews>
    <sheetView zoomScaleNormal="100" workbookViewId="0">
      <selection activeCell="R17" sqref="R17:S17"/>
    </sheetView>
  </sheetViews>
  <sheetFormatPr defaultRowHeight="15" x14ac:dyDescent="0.25"/>
  <cols>
    <col min="1" max="1" width="19" customWidth="1"/>
    <col min="2" max="2" width="5.85546875" customWidth="1"/>
    <col min="3" max="3" width="17.42578125" customWidth="1"/>
    <col min="4" max="4" width="16.42578125" customWidth="1"/>
    <col min="5" max="5" width="15.28515625" customWidth="1"/>
    <col min="6" max="6" width="15" customWidth="1"/>
    <col min="7" max="7" width="14.42578125" customWidth="1"/>
    <col min="8" max="8" width="14.7109375" customWidth="1"/>
    <col min="9" max="9" width="17.140625" customWidth="1"/>
    <col min="10" max="10" width="15.7109375" customWidth="1"/>
    <col min="11" max="11" width="10" customWidth="1"/>
    <col min="12" max="12" width="12.28515625" bestFit="1" customWidth="1"/>
    <col min="13" max="13" width="2.28515625" customWidth="1"/>
    <col min="14" max="14" width="17.5703125" customWidth="1"/>
    <col min="15" max="15" width="14.5703125" customWidth="1"/>
    <col min="16" max="16" width="12.85546875" customWidth="1"/>
    <col min="17" max="17" width="12.7109375" customWidth="1"/>
    <col min="18" max="18" width="15.42578125" customWidth="1"/>
    <col min="19" max="19" width="15.28515625" customWidth="1"/>
    <col min="20" max="20" width="11.140625" customWidth="1"/>
    <col min="21" max="21" width="15.5703125" customWidth="1"/>
    <col min="22" max="22" width="2.28515625" customWidth="1"/>
    <col min="23" max="23" width="16.7109375" customWidth="1"/>
    <col min="24" max="24" width="2.42578125" customWidth="1"/>
    <col min="25" max="25" width="14.28515625" customWidth="1"/>
    <col min="26" max="26" width="13.42578125" customWidth="1"/>
    <col min="27" max="27" width="13.85546875" customWidth="1"/>
    <col min="28" max="28" width="14.28515625" customWidth="1"/>
    <col min="29" max="29" width="16.140625" customWidth="1"/>
    <col min="30" max="30" width="10.5703125" customWidth="1"/>
  </cols>
  <sheetData>
    <row r="1" spans="1:33" x14ac:dyDescent="0.25">
      <c r="A1" s="319" t="s">
        <v>207</v>
      </c>
      <c r="B1" s="319"/>
      <c r="C1" s="319"/>
      <c r="D1" s="319"/>
      <c r="E1" s="319"/>
      <c r="F1" s="319"/>
      <c r="G1" s="319"/>
      <c r="H1" s="319"/>
      <c r="I1" s="319"/>
      <c r="J1" s="171"/>
      <c r="K1" s="171"/>
      <c r="L1" s="171" t="s">
        <v>208</v>
      </c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2" t="s">
        <v>209</v>
      </c>
      <c r="AA1" s="173" t="s">
        <v>324</v>
      </c>
      <c r="AB1" s="171"/>
      <c r="AC1" s="172" t="s">
        <v>211</v>
      </c>
      <c r="AD1" s="173" t="s">
        <v>66</v>
      </c>
      <c r="AE1" s="77"/>
      <c r="AF1" s="77"/>
      <c r="AG1" s="77"/>
    </row>
    <row r="2" spans="1:33" ht="51.75" x14ac:dyDescent="0.25">
      <c r="A2" s="174"/>
      <c r="B2" s="175"/>
      <c r="C2" s="176" t="s">
        <v>212</v>
      </c>
      <c r="D2" s="212"/>
      <c r="E2" s="176" t="s">
        <v>213</v>
      </c>
      <c r="F2" s="177" t="s">
        <v>214</v>
      </c>
      <c r="G2" s="177" t="s">
        <v>215</v>
      </c>
      <c r="H2" s="177" t="s">
        <v>115</v>
      </c>
      <c r="I2" s="177" t="s">
        <v>216</v>
      </c>
      <c r="J2" s="171"/>
      <c r="K2" s="171"/>
      <c r="L2" s="171"/>
      <c r="M2" s="171"/>
      <c r="N2" s="286" t="str">
        <f>AA1&amp;" Billed Schedule 175 Revenue"</f>
        <v>June Billed Schedule 175 Revenue</v>
      </c>
      <c r="O2" s="286" t="str">
        <f>AA1&amp;" Billed Therms"</f>
        <v>June Billed Therms</v>
      </c>
      <c r="P2" s="286" t="str">
        <f>AA1&amp;" Unbilled Therms"</f>
        <v>June Unbilled Therms</v>
      </c>
      <c r="Q2" s="286" t="s">
        <v>217</v>
      </c>
      <c r="R2" s="286" t="s">
        <v>218</v>
      </c>
      <c r="S2" s="286" t="str">
        <f>AD1&amp;" Unbilled Therms reversal"</f>
        <v>May Unbilled Therms reversal</v>
      </c>
      <c r="T2" s="286" t="s">
        <v>217</v>
      </c>
      <c r="U2" s="286" t="str">
        <f>AD1&amp;" Schedule 175 Unbilled Reversal"</f>
        <v>May Schedule 175 Unbilled Reversal</v>
      </c>
      <c r="V2" s="171"/>
      <c r="W2" s="286" t="str">
        <f>"Total "&amp;AA1&amp;" Schedule 175 Revenue"</f>
        <v>Total June Schedule 175 Revenue</v>
      </c>
      <c r="X2" s="171"/>
      <c r="Y2" s="286" t="str">
        <f>"Calendar "&amp;AA1&amp;" Usage"</f>
        <v>Calendar June Usage</v>
      </c>
      <c r="Z2" s="286" t="str">
        <f>Q2</f>
        <v>11/1/2018 rate</v>
      </c>
      <c r="AA2" s="286" t="s">
        <v>219</v>
      </c>
      <c r="AB2" s="286" t="s">
        <v>220</v>
      </c>
      <c r="AC2" s="286" t="str">
        <f>"implied "&amp;AD1&amp;" unbilled/Cancel-Rebill True-up therms"</f>
        <v>implied May unbilled/Cancel-Rebill True-up therms</v>
      </c>
      <c r="AD2" s="171"/>
      <c r="AE2" s="77"/>
      <c r="AF2" s="77"/>
      <c r="AG2" s="77"/>
    </row>
    <row r="3" spans="1:33" x14ac:dyDescent="0.25">
      <c r="A3" s="179"/>
      <c r="B3" s="179"/>
      <c r="C3" s="179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286"/>
      <c r="O3" s="286"/>
      <c r="P3" s="286"/>
      <c r="Q3" s="286"/>
      <c r="R3" s="286"/>
      <c r="S3" s="286"/>
      <c r="T3" s="286"/>
      <c r="U3" s="286"/>
      <c r="V3" s="171"/>
      <c r="W3" s="286"/>
      <c r="X3" s="171"/>
      <c r="Y3" s="286"/>
      <c r="Z3" s="286"/>
      <c r="AA3" s="286"/>
      <c r="AB3" s="286"/>
      <c r="AC3" s="286"/>
      <c r="AD3" s="171"/>
      <c r="AE3" s="77"/>
      <c r="AF3" s="77"/>
      <c r="AG3" s="77"/>
    </row>
    <row r="4" spans="1:33" x14ac:dyDescent="0.25">
      <c r="A4" s="180" t="s">
        <v>221</v>
      </c>
      <c r="B4" s="179"/>
      <c r="C4" s="181">
        <v>164425</v>
      </c>
      <c r="D4" s="274"/>
      <c r="E4" s="182">
        <v>3077535.4767700001</v>
      </c>
      <c r="F4" s="182">
        <v>-1899648</v>
      </c>
      <c r="G4" s="182">
        <f>1321131-G5</f>
        <v>1319825</v>
      </c>
      <c r="H4" s="183">
        <f>F4+G4</f>
        <v>-579823</v>
      </c>
      <c r="I4" s="184">
        <f t="shared" ref="I4:I13" si="0">SUM(E4:G4)</f>
        <v>2497712.4767700001</v>
      </c>
      <c r="J4" s="285">
        <f>(I22-C22)/I4</f>
        <v>0.36884043682260542</v>
      </c>
      <c r="K4" s="171"/>
      <c r="L4" s="171" t="s">
        <v>222</v>
      </c>
      <c r="M4" s="171"/>
      <c r="N4" s="185">
        <v>-83707.98</v>
      </c>
      <c r="O4" s="186">
        <f>E4</f>
        <v>3077535.4767700001</v>
      </c>
      <c r="P4" s="186">
        <f t="shared" ref="P4:P9" si="1">G4</f>
        <v>1319825</v>
      </c>
      <c r="Q4" s="187">
        <v>-2.7199999999999998E-2</v>
      </c>
      <c r="R4" s="188">
        <f>P4*Q4</f>
        <v>-35899.24</v>
      </c>
      <c r="S4" s="186">
        <f t="shared" ref="S4:S9" si="2">F4</f>
        <v>-1899648</v>
      </c>
      <c r="T4" s="187">
        <f>Q4</f>
        <v>-2.7199999999999998E-2</v>
      </c>
      <c r="U4" s="189">
        <f>S4*T4</f>
        <v>51670.425599999995</v>
      </c>
      <c r="V4" s="171"/>
      <c r="W4" s="190">
        <f>N4+R4+U4</f>
        <v>-67936.794400000013</v>
      </c>
      <c r="X4" s="171"/>
      <c r="Y4" s="191">
        <f>O4+P4+S4</f>
        <v>2497712.4767700005</v>
      </c>
      <c r="Z4" s="192">
        <f>Q4</f>
        <v>-2.7199999999999998E-2</v>
      </c>
      <c r="AA4" s="193">
        <f>Y4*Z4</f>
        <v>-67937.779368144009</v>
      </c>
      <c r="AB4" s="190">
        <f>W4-AA4</f>
        <v>0.98496814399550203</v>
      </c>
      <c r="AC4" s="191">
        <f>AB4/T4</f>
        <v>-36.212064117481695</v>
      </c>
      <c r="AD4" s="194">
        <f t="shared" ref="AD4:AD11" si="3">AB4/W4</f>
        <v>-1.4498301733169528E-5</v>
      </c>
      <c r="AE4" s="77"/>
      <c r="AF4" s="77"/>
      <c r="AG4" s="77"/>
    </row>
    <row r="5" spans="1:33" x14ac:dyDescent="0.25">
      <c r="A5" s="180" t="s">
        <v>223</v>
      </c>
      <c r="B5" s="179"/>
      <c r="C5" s="181">
        <v>162</v>
      </c>
      <c r="D5" s="274"/>
      <c r="E5" s="182">
        <v>3044.4360299999998</v>
      </c>
      <c r="F5" s="182">
        <v>-2097</v>
      </c>
      <c r="G5" s="182">
        <v>1306</v>
      </c>
      <c r="H5" s="183">
        <f>F5+G5</f>
        <v>-791</v>
      </c>
      <c r="I5" s="184">
        <f t="shared" si="0"/>
        <v>2253.4360299999998</v>
      </c>
      <c r="J5" s="285">
        <f t="shared" ref="J5:J13" si="4">(I23-C23)/I5</f>
        <v>0.35395026096084764</v>
      </c>
      <c r="K5" s="171"/>
      <c r="L5" s="171" t="s">
        <v>224</v>
      </c>
      <c r="M5" s="171"/>
      <c r="N5" s="185">
        <v>-82.86</v>
      </c>
      <c r="O5" s="186">
        <f t="shared" ref="O5:O7" si="5">E5</f>
        <v>3044.4360299999998</v>
      </c>
      <c r="P5" s="186">
        <f t="shared" si="1"/>
        <v>1306</v>
      </c>
      <c r="Q5" s="187">
        <v>-2.7199999999999998E-2</v>
      </c>
      <c r="R5" s="188">
        <f t="shared" ref="R5:R10" si="6">P5*Q5</f>
        <v>-35.523199999999996</v>
      </c>
      <c r="S5" s="186">
        <f t="shared" si="2"/>
        <v>-2097</v>
      </c>
      <c r="T5" s="187">
        <f t="shared" ref="T5:T10" si="7">Q5</f>
        <v>-2.7199999999999998E-2</v>
      </c>
      <c r="U5" s="189">
        <f t="shared" ref="U5:U10" si="8">S5*T5</f>
        <v>57.038399999999996</v>
      </c>
      <c r="V5" s="171"/>
      <c r="W5" s="190">
        <f t="shared" ref="W5:W10" si="9">N5+R5+U5</f>
        <v>-61.344799999999992</v>
      </c>
      <c r="X5" s="171"/>
      <c r="Y5" s="191">
        <f t="shared" ref="Y5:Y10" si="10">O5+P5+S5</f>
        <v>2253.4360299999998</v>
      </c>
      <c r="Z5" s="192">
        <f t="shared" ref="Z5:Z10" si="11">Q5</f>
        <v>-2.7199999999999998E-2</v>
      </c>
      <c r="AA5" s="193">
        <f t="shared" ref="AA5:AA10" si="12">Y5*Z5</f>
        <v>-61.29346001599999</v>
      </c>
      <c r="AB5" s="190">
        <f t="shared" ref="AB5:AB10" si="13">W5-AA5</f>
        <v>-5.1339984000001948E-2</v>
      </c>
      <c r="AC5" s="191">
        <f t="shared" ref="AC5:AC10" si="14">AB5/T5</f>
        <v>1.8874994117647776</v>
      </c>
      <c r="AD5" s="194">
        <f t="shared" si="3"/>
        <v>8.3690849102127575E-4</v>
      </c>
      <c r="AE5" s="77"/>
      <c r="AF5" s="77"/>
      <c r="AG5" s="77"/>
    </row>
    <row r="6" spans="1:33" x14ac:dyDescent="0.25">
      <c r="A6" s="180" t="s">
        <v>225</v>
      </c>
      <c r="B6" s="179"/>
      <c r="C6" s="181">
        <v>3094</v>
      </c>
      <c r="D6" s="274"/>
      <c r="E6" s="182">
        <v>2360232.3919600002</v>
      </c>
      <c r="F6" s="182">
        <v>-899949</v>
      </c>
      <c r="G6" s="182">
        <v>949948</v>
      </c>
      <c r="H6" s="183">
        <f t="shared" ref="H6:H13" si="15">F6+G6</f>
        <v>49999</v>
      </c>
      <c r="I6" s="184">
        <f>SUM(E6:G6)</f>
        <v>2410231.3919600002</v>
      </c>
      <c r="J6" s="285">
        <f t="shared" si="4"/>
        <v>0.23012477529759304</v>
      </c>
      <c r="K6" s="171"/>
      <c r="L6" s="171" t="s">
        <v>226</v>
      </c>
      <c r="M6" s="171"/>
      <c r="N6" s="185">
        <v>17466.48</v>
      </c>
      <c r="O6" s="186">
        <f t="shared" si="5"/>
        <v>2360232.3919600002</v>
      </c>
      <c r="P6" s="186">
        <f t="shared" si="1"/>
        <v>949948</v>
      </c>
      <c r="Q6" s="195">
        <v>6.9100000000000003E-3</v>
      </c>
      <c r="R6" s="188">
        <f t="shared" si="6"/>
        <v>6564.1406800000004</v>
      </c>
      <c r="S6" s="186">
        <f t="shared" si="2"/>
        <v>-899949</v>
      </c>
      <c r="T6" s="187">
        <f t="shared" si="7"/>
        <v>6.9100000000000003E-3</v>
      </c>
      <c r="U6" s="189">
        <f t="shared" si="8"/>
        <v>-6218.6475900000005</v>
      </c>
      <c r="V6" s="171"/>
      <c r="W6" s="190">
        <f t="shared" si="9"/>
        <v>17811.97309</v>
      </c>
      <c r="X6" s="171"/>
      <c r="Y6" s="191">
        <f t="shared" si="10"/>
        <v>2410231.3919600002</v>
      </c>
      <c r="Z6" s="179">
        <f t="shared" si="11"/>
        <v>6.9100000000000003E-3</v>
      </c>
      <c r="AA6" s="193">
        <f t="shared" si="12"/>
        <v>16654.698918443602</v>
      </c>
      <c r="AB6" s="190">
        <f t="shared" si="13"/>
        <v>1157.2741715563971</v>
      </c>
      <c r="AC6" s="191">
        <f t="shared" si="14"/>
        <v>167478.17243942068</v>
      </c>
      <c r="AD6" s="194">
        <f t="shared" si="3"/>
        <v>6.4971699974446628E-2</v>
      </c>
      <c r="AE6" s="77"/>
      <c r="AF6" s="77"/>
      <c r="AG6" s="77"/>
    </row>
    <row r="7" spans="1:33" x14ac:dyDescent="0.25">
      <c r="A7" s="180" t="s">
        <v>227</v>
      </c>
      <c r="B7" s="179"/>
      <c r="C7" s="181">
        <v>1</v>
      </c>
      <c r="D7" s="274"/>
      <c r="E7" s="182">
        <v>5926.2240000000002</v>
      </c>
      <c r="F7" s="182">
        <v>-2686</v>
      </c>
      <c r="G7" s="182">
        <v>2543</v>
      </c>
      <c r="H7" s="183">
        <f>F7+G7</f>
        <v>-143</v>
      </c>
      <c r="I7" s="184">
        <f>SUM(E7:G7)</f>
        <v>5783.2240000000002</v>
      </c>
      <c r="J7" s="285">
        <f t="shared" si="4"/>
        <v>0.25645913940044512</v>
      </c>
      <c r="K7" s="171"/>
      <c r="L7" s="171" t="s">
        <v>228</v>
      </c>
      <c r="M7" s="171"/>
      <c r="N7" s="185">
        <v>0</v>
      </c>
      <c r="O7" s="186">
        <f t="shared" si="5"/>
        <v>5926.2240000000002</v>
      </c>
      <c r="P7" s="186">
        <f t="shared" si="1"/>
        <v>2543</v>
      </c>
      <c r="Q7" s="187">
        <v>0</v>
      </c>
      <c r="R7" s="188">
        <f t="shared" si="6"/>
        <v>0</v>
      </c>
      <c r="S7" s="186">
        <f t="shared" si="2"/>
        <v>-2686</v>
      </c>
      <c r="T7" s="187">
        <f t="shared" si="7"/>
        <v>0</v>
      </c>
      <c r="U7" s="189">
        <f t="shared" si="8"/>
        <v>0</v>
      </c>
      <c r="V7" s="171"/>
      <c r="W7" s="190">
        <f t="shared" si="9"/>
        <v>0</v>
      </c>
      <c r="X7" s="171"/>
      <c r="Y7" s="191">
        <f t="shared" si="10"/>
        <v>5783.2240000000002</v>
      </c>
      <c r="Z7" s="192">
        <f t="shared" si="11"/>
        <v>0</v>
      </c>
      <c r="AA7" s="193">
        <f t="shared" si="12"/>
        <v>0</v>
      </c>
      <c r="AB7" s="190">
        <f t="shared" si="13"/>
        <v>0</v>
      </c>
      <c r="AC7" s="191"/>
      <c r="AD7" s="194"/>
      <c r="AE7" s="77"/>
      <c r="AF7" s="77"/>
      <c r="AG7" s="77"/>
    </row>
    <row r="8" spans="1:33" x14ac:dyDescent="0.25">
      <c r="A8" s="180" t="s">
        <v>229</v>
      </c>
      <c r="B8" s="179"/>
      <c r="C8" s="181">
        <v>-7</v>
      </c>
      <c r="D8" s="275"/>
      <c r="E8" s="182">
        <v>-41612.80474</v>
      </c>
      <c r="F8" s="182">
        <v>-31269</v>
      </c>
      <c r="G8" s="182">
        <v>-17856</v>
      </c>
      <c r="H8" s="183">
        <f t="shared" si="15"/>
        <v>-49125</v>
      </c>
      <c r="I8" s="184">
        <f t="shared" si="0"/>
        <v>-90737.804739999992</v>
      </c>
      <c r="J8" s="285">
        <f t="shared" si="4"/>
        <v>0.22685723165755314</v>
      </c>
      <c r="K8" s="171"/>
      <c r="L8" s="171" t="s">
        <v>230</v>
      </c>
      <c r="M8" s="171"/>
      <c r="N8" s="185">
        <v>-1444.86</v>
      </c>
      <c r="O8" s="186">
        <f>E8</f>
        <v>-41612.80474</v>
      </c>
      <c r="P8" s="186">
        <f t="shared" si="1"/>
        <v>-17856</v>
      </c>
      <c r="Q8" s="195">
        <v>6.9100000000000003E-3</v>
      </c>
      <c r="R8" s="188">
        <f t="shared" si="6"/>
        <v>-123.38496000000001</v>
      </c>
      <c r="S8" s="186">
        <f t="shared" si="2"/>
        <v>-31269</v>
      </c>
      <c r="T8" s="187">
        <f t="shared" si="7"/>
        <v>6.9100000000000003E-3</v>
      </c>
      <c r="U8" s="189">
        <f t="shared" si="8"/>
        <v>-216.06879000000001</v>
      </c>
      <c r="V8" s="171"/>
      <c r="W8" s="190">
        <f>N8+R8+U8</f>
        <v>-1784.31375</v>
      </c>
      <c r="X8" s="171"/>
      <c r="Y8" s="191">
        <f t="shared" si="10"/>
        <v>-90737.804739999992</v>
      </c>
      <c r="Z8" s="179">
        <f t="shared" si="11"/>
        <v>6.9100000000000003E-3</v>
      </c>
      <c r="AA8" s="193">
        <f t="shared" si="12"/>
        <v>-626.99823075339998</v>
      </c>
      <c r="AB8" s="190">
        <f t="shared" si="13"/>
        <v>-1157.3155192466002</v>
      </c>
      <c r="AC8" s="191">
        <f t="shared" si="14"/>
        <v>-167484.15618619393</v>
      </c>
      <c r="AD8" s="194">
        <f>AB8/W8</f>
        <v>0.64860539198703149</v>
      </c>
      <c r="AE8" s="77"/>
      <c r="AF8" s="77"/>
      <c r="AG8" s="77"/>
    </row>
    <row r="9" spans="1:33" x14ac:dyDescent="0.25">
      <c r="A9" s="180" t="s">
        <v>231</v>
      </c>
      <c r="B9" s="179"/>
      <c r="C9" s="181">
        <v>1</v>
      </c>
      <c r="D9" s="275"/>
      <c r="E9" s="182">
        <v>26141.696</v>
      </c>
      <c r="F9" s="182">
        <v>-11629</v>
      </c>
      <c r="G9" s="182">
        <v>11217</v>
      </c>
      <c r="H9" s="183">
        <f t="shared" si="15"/>
        <v>-412</v>
      </c>
      <c r="I9" s="184">
        <f t="shared" si="0"/>
        <v>25729.696</v>
      </c>
      <c r="J9" s="285">
        <f t="shared" si="4"/>
        <v>0.22781821207681582</v>
      </c>
      <c r="K9" s="171"/>
      <c r="L9" s="171" t="s">
        <v>137</v>
      </c>
      <c r="M9" s="171"/>
      <c r="N9" s="185">
        <v>0</v>
      </c>
      <c r="O9" s="186">
        <f>E9</f>
        <v>26141.696</v>
      </c>
      <c r="P9" s="186">
        <f t="shared" si="1"/>
        <v>11217</v>
      </c>
      <c r="Q9" s="187">
        <v>0</v>
      </c>
      <c r="R9" s="188">
        <f t="shared" si="6"/>
        <v>0</v>
      </c>
      <c r="S9" s="186">
        <f t="shared" si="2"/>
        <v>-11629</v>
      </c>
      <c r="T9" s="187">
        <f t="shared" si="7"/>
        <v>0</v>
      </c>
      <c r="U9" s="189">
        <f t="shared" si="8"/>
        <v>0</v>
      </c>
      <c r="V9" s="171"/>
      <c r="W9" s="190">
        <f>N9+R9+U9</f>
        <v>0</v>
      </c>
      <c r="X9" s="171"/>
      <c r="Y9" s="191">
        <f t="shared" si="10"/>
        <v>25729.695999999996</v>
      </c>
      <c r="Z9" s="192">
        <f t="shared" si="11"/>
        <v>0</v>
      </c>
      <c r="AA9" s="193">
        <f t="shared" si="12"/>
        <v>0</v>
      </c>
      <c r="AB9" s="190">
        <f t="shared" si="13"/>
        <v>0</v>
      </c>
      <c r="AC9" s="191"/>
      <c r="AD9" s="194"/>
      <c r="AE9" s="77"/>
      <c r="AF9" s="77"/>
      <c r="AG9" s="77"/>
    </row>
    <row r="10" spans="1:33" x14ac:dyDescent="0.25">
      <c r="A10" s="180" t="s">
        <v>232</v>
      </c>
      <c r="B10" s="179"/>
      <c r="C10" s="181">
        <v>2</v>
      </c>
      <c r="D10" s="274"/>
      <c r="E10" s="182">
        <v>52474.186000000002</v>
      </c>
      <c r="F10" s="182"/>
      <c r="G10" s="182"/>
      <c r="H10" s="183">
        <f t="shared" si="15"/>
        <v>0</v>
      </c>
      <c r="I10" s="184">
        <f t="shared" si="0"/>
        <v>52474.186000000002</v>
      </c>
      <c r="J10" s="285">
        <f t="shared" si="4"/>
        <v>0.21559324426680959</v>
      </c>
      <c r="K10" s="171"/>
      <c r="L10" s="171" t="s">
        <v>233</v>
      </c>
      <c r="M10" s="171"/>
      <c r="N10" s="185">
        <v>0</v>
      </c>
      <c r="O10" s="186">
        <v>0</v>
      </c>
      <c r="P10" s="186">
        <v>0</v>
      </c>
      <c r="Q10" s="195">
        <v>6.9100000000000003E-3</v>
      </c>
      <c r="R10" s="188">
        <f t="shared" si="6"/>
        <v>0</v>
      </c>
      <c r="S10" s="186">
        <v>0</v>
      </c>
      <c r="T10" s="187">
        <f t="shared" si="7"/>
        <v>6.9100000000000003E-3</v>
      </c>
      <c r="U10" s="189">
        <f t="shared" si="8"/>
        <v>0</v>
      </c>
      <c r="V10" s="171"/>
      <c r="W10" s="190">
        <f t="shared" si="9"/>
        <v>0</v>
      </c>
      <c r="X10" s="171"/>
      <c r="Y10" s="191">
        <f t="shared" si="10"/>
        <v>0</v>
      </c>
      <c r="Z10" s="179">
        <f t="shared" si="11"/>
        <v>6.9100000000000003E-3</v>
      </c>
      <c r="AA10" s="193">
        <f t="shared" si="12"/>
        <v>0</v>
      </c>
      <c r="AB10" s="190">
        <f t="shared" si="13"/>
        <v>0</v>
      </c>
      <c r="AC10" s="191">
        <f t="shared" si="14"/>
        <v>0</v>
      </c>
      <c r="AD10" s="194"/>
      <c r="AE10" s="77"/>
      <c r="AF10" s="77"/>
      <c r="AG10" s="77"/>
    </row>
    <row r="11" spans="1:33" x14ac:dyDescent="0.25">
      <c r="A11" s="180" t="s">
        <v>234</v>
      </c>
      <c r="B11" s="179"/>
      <c r="C11" s="181">
        <v>39</v>
      </c>
      <c r="D11" s="274"/>
      <c r="E11" s="182">
        <v>2599480</v>
      </c>
      <c r="F11" s="182">
        <v>-2599480</v>
      </c>
      <c r="G11" s="182">
        <v>2420689</v>
      </c>
      <c r="H11" s="183">
        <f t="shared" si="15"/>
        <v>-178791</v>
      </c>
      <c r="I11" s="184">
        <f t="shared" si="0"/>
        <v>2420689</v>
      </c>
      <c r="J11" s="285">
        <f t="shared" si="4"/>
        <v>8.4428317350969076E-2</v>
      </c>
      <c r="K11" s="171"/>
      <c r="L11" s="171"/>
      <c r="M11" s="171"/>
      <c r="N11" s="196">
        <f>SUM(N4:N10)</f>
        <v>-67769.22</v>
      </c>
      <c r="O11" s="197">
        <f>SUM(O4:O10)</f>
        <v>5431267.420020001</v>
      </c>
      <c r="P11" s="197">
        <f>SUM(P4:P10)</f>
        <v>2266983</v>
      </c>
      <c r="Q11" s="171"/>
      <c r="R11" s="196">
        <f>SUM(R4:R10)</f>
        <v>-29494.00748</v>
      </c>
      <c r="S11" s="197">
        <f>SUM(S4:S10)</f>
        <v>-2847278</v>
      </c>
      <c r="T11" s="198"/>
      <c r="U11" s="196">
        <f>SUM(U4:U10)</f>
        <v>45292.747619999995</v>
      </c>
      <c r="V11" s="171"/>
      <c r="W11" s="196">
        <f>SUM(W4:W10)</f>
        <v>-51970.479860000021</v>
      </c>
      <c r="X11" s="171"/>
      <c r="Y11" s="199">
        <f>SUM(Y4:Y10)</f>
        <v>4850972.420020001</v>
      </c>
      <c r="Z11" s="171"/>
      <c r="AA11" s="199">
        <f>SUM(AA4:AA10)</f>
        <v>-51971.372140469801</v>
      </c>
      <c r="AB11" s="196">
        <f>SUM(AB4:AB10)</f>
        <v>0.89228046979246756</v>
      </c>
      <c r="AC11" s="199">
        <f>SUM(AC4:AC10)</f>
        <v>-40.308311478962423</v>
      </c>
      <c r="AD11" s="194">
        <f t="shared" si="3"/>
        <v>-1.7168986551521657E-5</v>
      </c>
      <c r="AE11" s="77"/>
      <c r="AF11" s="77"/>
      <c r="AG11" s="77"/>
    </row>
    <row r="12" spans="1:33" x14ac:dyDescent="0.25">
      <c r="A12" s="180" t="s">
        <v>235</v>
      </c>
      <c r="B12" s="179"/>
      <c r="C12" s="181">
        <v>1</v>
      </c>
      <c r="D12" s="274"/>
      <c r="E12" s="182">
        <v>121440</v>
      </c>
      <c r="F12" s="182"/>
      <c r="G12" s="182"/>
      <c r="H12" s="183">
        <f t="shared" si="15"/>
        <v>0</v>
      </c>
      <c r="I12" s="184">
        <f t="shared" si="0"/>
        <v>121440</v>
      </c>
      <c r="J12" s="285">
        <f>(I30-C30)/I12</f>
        <v>2.0909996706192358E-2</v>
      </c>
      <c r="K12" s="171"/>
      <c r="L12" s="171"/>
      <c r="M12" s="171"/>
      <c r="N12" s="171"/>
      <c r="O12" s="200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77"/>
      <c r="AF12" s="77"/>
      <c r="AG12" s="77"/>
    </row>
    <row r="13" spans="1:33" x14ac:dyDescent="0.25">
      <c r="A13" s="180" t="s">
        <v>236</v>
      </c>
      <c r="B13" s="179"/>
      <c r="C13" s="181">
        <v>5</v>
      </c>
      <c r="D13" s="276"/>
      <c r="E13" s="182">
        <v>3756335</v>
      </c>
      <c r="F13" s="182">
        <v>-3756335</v>
      </c>
      <c r="G13" s="182">
        <v>3510549</v>
      </c>
      <c r="H13" s="183">
        <f t="shared" si="15"/>
        <v>-245786</v>
      </c>
      <c r="I13" s="184">
        <f t="shared" si="0"/>
        <v>3510549</v>
      </c>
      <c r="J13" s="285">
        <f t="shared" si="4"/>
        <v>2.7648359273720436E-2</v>
      </c>
      <c r="K13" s="171"/>
      <c r="L13" s="171"/>
      <c r="M13" s="171"/>
      <c r="N13" s="171"/>
      <c r="O13" s="171"/>
      <c r="P13" s="171"/>
      <c r="Q13" s="171"/>
      <c r="R13" s="171"/>
      <c r="S13" s="171"/>
      <c r="T13" s="172" t="s">
        <v>237</v>
      </c>
      <c r="U13" s="171" t="s">
        <v>238</v>
      </c>
      <c r="V13" s="171"/>
      <c r="W13" s="202">
        <v>0.95466099999999998</v>
      </c>
      <c r="X13" s="171"/>
      <c r="Y13" s="171"/>
      <c r="Z13" s="171" t="s">
        <v>239</v>
      </c>
      <c r="AA13" s="171" t="s">
        <v>240</v>
      </c>
      <c r="AB13" s="171"/>
      <c r="AC13" s="171" t="s">
        <v>241</v>
      </c>
      <c r="AD13" s="171"/>
      <c r="AE13" s="77"/>
      <c r="AF13" s="77"/>
      <c r="AG13" s="77"/>
    </row>
    <row r="14" spans="1:33" x14ac:dyDescent="0.25">
      <c r="A14" s="179"/>
      <c r="B14" s="179"/>
      <c r="C14" s="203">
        <f t="shared" ref="C14:I14" si="16">SUM(C4:C13)</f>
        <v>167723</v>
      </c>
      <c r="D14" s="203">
        <f t="shared" si="16"/>
        <v>0</v>
      </c>
      <c r="E14" s="203">
        <f t="shared" si="16"/>
        <v>11960996.60602</v>
      </c>
      <c r="F14" s="203">
        <f t="shared" si="16"/>
        <v>-9203093</v>
      </c>
      <c r="G14" s="203">
        <f t="shared" si="16"/>
        <v>8198221</v>
      </c>
      <c r="H14" s="203">
        <f t="shared" si="16"/>
        <v>-1004872</v>
      </c>
      <c r="I14" s="203">
        <f t="shared" si="16"/>
        <v>10956124.60602</v>
      </c>
      <c r="J14" s="171"/>
      <c r="K14" s="171"/>
      <c r="L14" s="171"/>
      <c r="M14" s="171"/>
      <c r="N14" s="171"/>
      <c r="O14" s="171"/>
      <c r="P14" s="171"/>
      <c r="Q14" s="171"/>
      <c r="R14" s="171"/>
      <c r="S14" s="171" t="s">
        <v>184</v>
      </c>
      <c r="T14" s="171" t="s">
        <v>242</v>
      </c>
      <c r="U14" s="171"/>
      <c r="V14" s="171"/>
      <c r="W14" s="204">
        <f>(W4+W5)*W13</f>
        <v>-64915.171566811216</v>
      </c>
      <c r="X14" s="171"/>
      <c r="Y14" s="171" t="s">
        <v>28</v>
      </c>
      <c r="Z14" s="183">
        <f>O4+O5+P4+P5+S4+S5</f>
        <v>2499965.9128</v>
      </c>
      <c r="AA14" s="179">
        <v>-2.597E-2</v>
      </c>
      <c r="AB14" s="190">
        <f>Z14*AA14</f>
        <v>-64924.114755415998</v>
      </c>
      <c r="AC14" s="190">
        <f>W14-AB14</f>
        <v>8.9431886047823355</v>
      </c>
      <c r="AD14" s="194">
        <f>AC14/W14</f>
        <v>-1.3776731061363573E-4</v>
      </c>
      <c r="AE14" s="77"/>
      <c r="AF14" s="77"/>
      <c r="AG14" s="77"/>
    </row>
    <row r="15" spans="1:33" ht="15.75" thickBot="1" x14ac:dyDescent="0.3">
      <c r="A15" s="179"/>
      <c r="B15" s="179"/>
      <c r="C15" s="179"/>
      <c r="D15" s="179"/>
      <c r="E15" s="179"/>
      <c r="F15" s="179"/>
      <c r="G15" s="179"/>
      <c r="H15" s="179"/>
      <c r="I15" s="179"/>
      <c r="J15" s="171"/>
      <c r="K15" s="171"/>
      <c r="L15" s="171"/>
      <c r="M15" s="171"/>
      <c r="N15" s="171"/>
      <c r="O15" s="171"/>
      <c r="P15" s="171"/>
      <c r="Q15" s="171"/>
      <c r="R15" s="171"/>
      <c r="S15" s="171" t="s">
        <v>184</v>
      </c>
      <c r="T15" s="171" t="s">
        <v>243</v>
      </c>
      <c r="U15" s="171"/>
      <c r="V15" s="171"/>
      <c r="W15" s="204">
        <f>SUM(W6:W10)*W13</f>
        <v>15300.98129318374</v>
      </c>
      <c r="X15" s="171"/>
      <c r="Y15" s="171" t="s">
        <v>244</v>
      </c>
      <c r="Z15" s="183">
        <f>SUM(O6:P10,S6:S10)</f>
        <v>2351006.50722</v>
      </c>
      <c r="AA15" s="192">
        <v>6.6E-3</v>
      </c>
      <c r="AB15" s="190">
        <f>(Z15-Y9-Y7)*AA15</f>
        <v>15308.657675652001</v>
      </c>
      <c r="AC15" s="190">
        <f>W15-AB15</f>
        <v>-7.6763824682602717</v>
      </c>
      <c r="AD15" s="194">
        <f>AC15/W15</f>
        <v>-5.0169216739582158E-4</v>
      </c>
      <c r="AE15" s="77"/>
      <c r="AF15" s="77"/>
      <c r="AG15" s="77"/>
    </row>
    <row r="16" spans="1:33" x14ac:dyDescent="0.25">
      <c r="A16" s="179" t="s">
        <v>28</v>
      </c>
      <c r="B16" s="179"/>
      <c r="C16" s="205">
        <f>C4+C5</f>
        <v>164587</v>
      </c>
      <c r="D16" s="283">
        <f>D4+D5</f>
        <v>0</v>
      </c>
      <c r="E16" s="206">
        <f>E4+E5</f>
        <v>3080579.9128</v>
      </c>
      <c r="F16" s="206">
        <f t="shared" ref="F16:H16" si="17">F4+F5</f>
        <v>-1901745</v>
      </c>
      <c r="G16" s="206">
        <f t="shared" si="17"/>
        <v>1321131</v>
      </c>
      <c r="H16" s="206">
        <f t="shared" si="17"/>
        <v>-580614</v>
      </c>
      <c r="I16" s="205">
        <f>I4+I5</f>
        <v>2499965.9128</v>
      </c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77"/>
      <c r="AF16" s="77"/>
      <c r="AG16" s="77"/>
    </row>
    <row r="17" spans="1:33" x14ac:dyDescent="0.25">
      <c r="A17" s="179"/>
      <c r="B17" s="179"/>
      <c r="C17" s="207"/>
      <c r="D17" s="284"/>
      <c r="E17" s="179"/>
      <c r="F17" s="179"/>
      <c r="G17" s="179"/>
      <c r="H17" s="179"/>
      <c r="I17" s="208"/>
      <c r="J17" s="171"/>
      <c r="K17" s="171"/>
      <c r="L17" s="171"/>
      <c r="M17" s="171"/>
      <c r="N17" s="171"/>
      <c r="O17" s="171"/>
      <c r="P17" s="171"/>
      <c r="Q17" s="171"/>
      <c r="R17" s="190">
        <f>R11+U11</f>
        <v>15798.740139999994</v>
      </c>
      <c r="S17" s="171" t="s">
        <v>320</v>
      </c>
      <c r="T17" s="171"/>
      <c r="U17" s="171"/>
      <c r="V17" s="171"/>
      <c r="W17" s="171"/>
      <c r="X17" s="171"/>
      <c r="Y17" s="171" t="s">
        <v>245</v>
      </c>
      <c r="Z17" s="171"/>
      <c r="AA17" s="171"/>
      <c r="AB17" s="171"/>
      <c r="AC17" s="171"/>
      <c r="AD17" s="171"/>
      <c r="AE17" s="77"/>
      <c r="AF17" s="77"/>
      <c r="AG17" s="77"/>
    </row>
    <row r="18" spans="1:33" ht="15.75" thickBot="1" x14ac:dyDescent="0.3">
      <c r="A18" s="179" t="s">
        <v>244</v>
      </c>
      <c r="B18" s="179"/>
      <c r="C18" s="209">
        <f>SUM(C6:C9)</f>
        <v>3089</v>
      </c>
      <c r="D18" s="283">
        <f>SUM(D6:D9)</f>
        <v>0</v>
      </c>
      <c r="E18" s="210">
        <f>SUM(E6:E9)</f>
        <v>2350687.50722</v>
      </c>
      <c r="F18" s="210">
        <f t="shared" ref="F18:H18" si="18">SUM(F6:F9)</f>
        <v>-945533</v>
      </c>
      <c r="G18" s="210">
        <f t="shared" si="18"/>
        <v>945852</v>
      </c>
      <c r="H18" s="210">
        <f t="shared" si="18"/>
        <v>319</v>
      </c>
      <c r="I18" s="209">
        <f>SUM(I6:I9)</f>
        <v>2351006.50722</v>
      </c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77"/>
      <c r="AF18" s="77"/>
      <c r="AG18" s="77"/>
    </row>
    <row r="19" spans="1:33" x14ac:dyDescent="0.25">
      <c r="A19" s="179"/>
      <c r="B19" s="179"/>
      <c r="C19" s="179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77"/>
      <c r="AF19" s="77"/>
      <c r="AG19" s="77"/>
    </row>
    <row r="20" spans="1:33" ht="51.75" x14ac:dyDescent="0.25">
      <c r="A20" s="174"/>
      <c r="B20" s="211"/>
      <c r="C20" s="177" t="s">
        <v>246</v>
      </c>
      <c r="D20" s="212" t="s">
        <v>247</v>
      </c>
      <c r="E20" s="177" t="s">
        <v>248</v>
      </c>
      <c r="F20" s="177" t="s">
        <v>249</v>
      </c>
      <c r="G20" s="177" t="s">
        <v>250</v>
      </c>
      <c r="H20" s="177" t="s">
        <v>251</v>
      </c>
      <c r="I20" s="177" t="s">
        <v>252</v>
      </c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77"/>
      <c r="AF20" s="77"/>
      <c r="AG20" s="77"/>
    </row>
    <row r="21" spans="1:33" x14ac:dyDescent="0.25">
      <c r="A21" s="179"/>
      <c r="B21" s="179"/>
      <c r="C21" s="179"/>
      <c r="D21" s="179"/>
      <c r="E21" s="179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77"/>
      <c r="AF21" s="77"/>
      <c r="AG21" s="77"/>
    </row>
    <row r="22" spans="1:33" x14ac:dyDescent="0.25">
      <c r="A22" s="180" t="s">
        <v>221</v>
      </c>
      <c r="B22" s="179"/>
      <c r="C22" s="213">
        <v>1591896</v>
      </c>
      <c r="D22" s="213">
        <v>2742209.28</v>
      </c>
      <c r="E22" s="213">
        <v>-1807422.6806656499</v>
      </c>
      <c r="F22" s="213">
        <f>1495154-F23</f>
        <v>1494942.2300847687</v>
      </c>
      <c r="G22" s="214">
        <f>SUM(D22:F22)</f>
        <v>2429728.8294191184</v>
      </c>
      <c r="H22" s="190">
        <f>-J54</f>
        <v>83424.531570000021</v>
      </c>
      <c r="I22" s="190">
        <f t="shared" ref="I22:I31" si="19">G22+H22</f>
        <v>2513153.3609891185</v>
      </c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77"/>
      <c r="AF22" s="77"/>
      <c r="AG22" s="77"/>
    </row>
    <row r="23" spans="1:33" x14ac:dyDescent="0.25">
      <c r="A23" s="180" t="s">
        <v>223</v>
      </c>
      <c r="B23" s="179"/>
      <c r="C23" s="213">
        <v>1558</v>
      </c>
      <c r="D23" s="213">
        <v>2678.57</v>
      </c>
      <c r="E23" s="213">
        <v>-337.319334354153</v>
      </c>
      <c r="F23" s="213">
        <f>G5*(K23-C23)/E5</f>
        <v>211.76991523122916</v>
      </c>
      <c r="G23" s="214">
        <f>SUM(D23:F23)</f>
        <v>2553.0205808770766</v>
      </c>
      <c r="H23" s="190">
        <f>-J55</f>
        <v>-197.41630999999992</v>
      </c>
      <c r="I23" s="190">
        <f t="shared" si="19"/>
        <v>2355.6042708770765</v>
      </c>
      <c r="J23" s="171"/>
      <c r="K23" s="277">
        <v>2051.66</v>
      </c>
      <c r="L23" s="171" t="s">
        <v>277</v>
      </c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77"/>
      <c r="AF23" s="77"/>
      <c r="AG23" s="77"/>
    </row>
    <row r="24" spans="1:33" x14ac:dyDescent="0.25">
      <c r="A24" s="180" t="s">
        <v>225</v>
      </c>
      <c r="B24" s="179"/>
      <c r="C24" s="213">
        <v>302098.55</v>
      </c>
      <c r="D24" s="213">
        <v>844040.16</v>
      </c>
      <c r="E24" s="213">
        <v>-429932</v>
      </c>
      <c r="F24" s="213">
        <v>465218</v>
      </c>
      <c r="G24" s="214">
        <f>SUM(D24:F24)</f>
        <v>879326.16</v>
      </c>
      <c r="H24" s="190">
        <f>-J56</f>
        <v>-22573.652510000004</v>
      </c>
      <c r="I24" s="190">
        <f t="shared" si="19"/>
        <v>856752.50748999999</v>
      </c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77"/>
      <c r="AF24" s="77"/>
      <c r="AG24" s="77"/>
    </row>
    <row r="25" spans="1:33" x14ac:dyDescent="0.25">
      <c r="A25" s="180" t="s">
        <v>227</v>
      </c>
      <c r="B25" s="179"/>
      <c r="C25" s="213">
        <v>97.26</v>
      </c>
      <c r="D25" s="213">
        <v>1616.53</v>
      </c>
      <c r="E25" s="213">
        <v>-1479</v>
      </c>
      <c r="F25" s="213">
        <v>1431</v>
      </c>
      <c r="G25" s="214">
        <f>SUM(D25:F25)</f>
        <v>1568.53</v>
      </c>
      <c r="H25" s="190">
        <f>-J57</f>
        <v>11.890650000000001</v>
      </c>
      <c r="I25" s="190">
        <f>G25+H25</f>
        <v>1580.42065</v>
      </c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77"/>
      <c r="AF25" s="77"/>
      <c r="AG25" s="77"/>
    </row>
    <row r="26" spans="1:33" x14ac:dyDescent="0.25">
      <c r="A26" s="180" t="s">
        <v>229</v>
      </c>
      <c r="B26" s="179"/>
      <c r="C26" s="213">
        <v>-1498.77</v>
      </c>
      <c r="D26" s="213">
        <v>-15399.51</v>
      </c>
      <c r="E26" s="213">
        <v>-12347</v>
      </c>
      <c r="F26" s="213">
        <v>-6833</v>
      </c>
      <c r="G26" s="214">
        <f t="shared" ref="G26:G31" si="20">SUM(D26:F26)</f>
        <v>-34579.51</v>
      </c>
      <c r="H26" s="190">
        <f t="shared" ref="H26:H31" si="21">-J58</f>
        <v>12496.212810000001</v>
      </c>
      <c r="I26" s="190">
        <f t="shared" si="19"/>
        <v>-22083.297190000001</v>
      </c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77"/>
      <c r="AF26" s="77"/>
      <c r="AG26" s="77"/>
    </row>
    <row r="27" spans="1:33" x14ac:dyDescent="0.25">
      <c r="A27" s="180" t="s">
        <v>231</v>
      </c>
      <c r="B27" s="179"/>
      <c r="C27" s="213">
        <v>240.44</v>
      </c>
      <c r="D27" s="213">
        <v>6241.78</v>
      </c>
      <c r="E27" s="213">
        <v>-4450</v>
      </c>
      <c r="F27" s="213">
        <v>4293</v>
      </c>
      <c r="G27" s="214">
        <f t="shared" si="20"/>
        <v>6084.78</v>
      </c>
      <c r="H27" s="190">
        <f t="shared" si="21"/>
        <v>17.35334000000001</v>
      </c>
      <c r="I27" s="190">
        <f t="shared" si="19"/>
        <v>6102.1333399999994</v>
      </c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77"/>
      <c r="AF27" s="77"/>
      <c r="AG27" s="77"/>
    </row>
    <row r="28" spans="1:33" x14ac:dyDescent="0.25">
      <c r="A28" s="180" t="s">
        <v>232</v>
      </c>
      <c r="B28" s="179"/>
      <c r="C28" s="213">
        <v>0</v>
      </c>
      <c r="D28" s="213">
        <v>11313.08</v>
      </c>
      <c r="E28" s="213"/>
      <c r="F28" s="213"/>
      <c r="G28" s="214">
        <f t="shared" si="20"/>
        <v>11313.08</v>
      </c>
      <c r="H28" s="190">
        <f t="shared" si="21"/>
        <v>0</v>
      </c>
      <c r="I28" s="190">
        <f t="shared" si="19"/>
        <v>11313.08</v>
      </c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77"/>
      <c r="AF28" s="77"/>
      <c r="AG28" s="77"/>
    </row>
    <row r="29" spans="1:33" x14ac:dyDescent="0.25">
      <c r="A29" s="180" t="s">
        <v>234</v>
      </c>
      <c r="B29" s="179"/>
      <c r="C29" s="213">
        <v>21450</v>
      </c>
      <c r="D29" s="213">
        <v>235484.43</v>
      </c>
      <c r="E29" s="213">
        <v>-134627</v>
      </c>
      <c r="F29" s="213">
        <v>133937</v>
      </c>
      <c r="G29" s="214">
        <f t="shared" si="20"/>
        <v>234794.43</v>
      </c>
      <c r="H29" s="190">
        <f t="shared" si="21"/>
        <v>-8969.7308999999987</v>
      </c>
      <c r="I29" s="190">
        <f t="shared" si="19"/>
        <v>225824.6991</v>
      </c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77"/>
      <c r="AF29" s="77"/>
      <c r="AG29" s="77"/>
    </row>
    <row r="30" spans="1:33" x14ac:dyDescent="0.25">
      <c r="A30" s="180" t="s">
        <v>235</v>
      </c>
      <c r="B30" s="179"/>
      <c r="C30" s="213">
        <v>0</v>
      </c>
      <c r="D30" s="213">
        <v>2539.31</v>
      </c>
      <c r="E30" s="213"/>
      <c r="F30" s="213"/>
      <c r="G30" s="214">
        <f t="shared" si="20"/>
        <v>2539.31</v>
      </c>
      <c r="H30" s="190">
        <f t="shared" si="21"/>
        <v>0</v>
      </c>
      <c r="I30" s="190">
        <f t="shared" si="19"/>
        <v>2539.31</v>
      </c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77"/>
      <c r="AF30" s="77"/>
      <c r="AG30" s="77"/>
    </row>
    <row r="31" spans="1:33" x14ac:dyDescent="0.25">
      <c r="A31" s="180" t="s">
        <v>236</v>
      </c>
      <c r="B31" s="179"/>
      <c r="C31" s="213">
        <v>1000</v>
      </c>
      <c r="D31" s="213">
        <v>103199.92</v>
      </c>
      <c r="E31" s="213">
        <v>-78545</v>
      </c>
      <c r="F31" s="213">
        <v>73406</v>
      </c>
      <c r="G31" s="214">
        <f t="shared" si="20"/>
        <v>98060.92</v>
      </c>
      <c r="H31" s="190">
        <f t="shared" si="21"/>
        <v>0</v>
      </c>
      <c r="I31" s="190">
        <f t="shared" si="19"/>
        <v>98060.92</v>
      </c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77"/>
      <c r="AF31" s="77"/>
      <c r="AG31" s="77"/>
    </row>
    <row r="32" spans="1:33" x14ac:dyDescent="0.25">
      <c r="A32" s="180" t="s">
        <v>253</v>
      </c>
      <c r="B32" s="179"/>
      <c r="C32" s="213"/>
      <c r="D32" s="213">
        <v>1163750.21</v>
      </c>
      <c r="E32" s="213"/>
      <c r="F32" s="213"/>
      <c r="G32" s="214"/>
      <c r="H32" s="190"/>
      <c r="I32" s="190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77"/>
      <c r="AF32" s="77"/>
      <c r="AG32" s="77"/>
    </row>
    <row r="33" spans="1:33" x14ac:dyDescent="0.25">
      <c r="A33" s="180" t="s">
        <v>254</v>
      </c>
      <c r="B33" s="179"/>
      <c r="C33" s="215"/>
      <c r="D33" s="213">
        <v>179723.35</v>
      </c>
      <c r="E33" s="213"/>
      <c r="F33" s="213"/>
      <c r="G33" s="214"/>
      <c r="H33" s="190"/>
      <c r="I33" s="190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77"/>
      <c r="AF33" s="77"/>
      <c r="AG33" s="77"/>
    </row>
    <row r="34" spans="1:33" x14ac:dyDescent="0.25">
      <c r="A34" s="179"/>
      <c r="B34" s="179"/>
      <c r="C34" s="196">
        <f>SUM(C22:C31)</f>
        <v>1916841.48</v>
      </c>
      <c r="D34" s="216">
        <f>SUM(D22:D33)</f>
        <v>5277397.1099999994</v>
      </c>
      <c r="E34" s="216">
        <f>SUM(E22:E33)</f>
        <v>-2469140.0000000042</v>
      </c>
      <c r="F34" s="216">
        <f>SUM(F22:F33)</f>
        <v>2166606</v>
      </c>
      <c r="G34" s="216">
        <f t="shared" ref="G34:I34" si="22">SUM(G22:G33)</f>
        <v>3631389.5499999956</v>
      </c>
      <c r="H34" s="216">
        <f t="shared" si="22"/>
        <v>64209.188650000026</v>
      </c>
      <c r="I34" s="216">
        <f t="shared" si="22"/>
        <v>3695598.7386499955</v>
      </c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77"/>
      <c r="AF34" s="77"/>
      <c r="AG34" s="77"/>
    </row>
    <row r="35" spans="1:33" ht="15.75" thickBot="1" x14ac:dyDescent="0.3">
      <c r="A35" s="179"/>
      <c r="B35" s="179"/>
      <c r="C35" s="171"/>
      <c r="D35" s="217"/>
      <c r="E35" s="179"/>
      <c r="F35" s="179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77"/>
      <c r="AF35" s="77"/>
      <c r="AG35" s="77"/>
    </row>
    <row r="36" spans="1:33" x14ac:dyDescent="0.25">
      <c r="A36" s="179" t="s">
        <v>28</v>
      </c>
      <c r="B36" s="179"/>
      <c r="C36" s="218">
        <f>C22+C23</f>
        <v>1593454</v>
      </c>
      <c r="D36" s="188">
        <f>D22+D23</f>
        <v>2744887.8499999996</v>
      </c>
      <c r="E36" s="188">
        <f t="shared" ref="E36:H36" si="23">E22+E23</f>
        <v>-1807760.0000000042</v>
      </c>
      <c r="F36" s="188">
        <f t="shared" si="23"/>
        <v>1495154</v>
      </c>
      <c r="G36" s="188">
        <f t="shared" si="23"/>
        <v>2432281.8499999954</v>
      </c>
      <c r="H36" s="188">
        <f t="shared" si="23"/>
        <v>83227.11526000002</v>
      </c>
      <c r="I36" s="218">
        <f>I22+I23</f>
        <v>2515508.9652599953</v>
      </c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77"/>
      <c r="AF36" s="77"/>
      <c r="AG36" s="77"/>
    </row>
    <row r="37" spans="1:33" x14ac:dyDescent="0.25">
      <c r="A37" s="179"/>
      <c r="B37" s="179"/>
      <c r="C37" s="219"/>
      <c r="D37" s="188"/>
      <c r="E37" s="179"/>
      <c r="F37" s="179"/>
      <c r="G37" s="171"/>
      <c r="H37" s="171"/>
      <c r="I37" s="220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77"/>
      <c r="AF37" s="77"/>
      <c r="AG37" s="77"/>
    </row>
    <row r="38" spans="1:33" ht="15.75" thickBot="1" x14ac:dyDescent="0.3">
      <c r="A38" s="179" t="s">
        <v>244</v>
      </c>
      <c r="B38" s="179"/>
      <c r="C38" s="221">
        <f>SUM(C24:C27)</f>
        <v>300937.48</v>
      </c>
      <c r="D38" s="222">
        <f>SUM(D24:D27)</f>
        <v>836498.96000000008</v>
      </c>
      <c r="E38" s="222">
        <f t="shared" ref="E38:H38" si="24">SUM(E24:E27)</f>
        <v>-448208</v>
      </c>
      <c r="F38" s="222">
        <f t="shared" si="24"/>
        <v>464109</v>
      </c>
      <c r="G38" s="222">
        <f t="shared" si="24"/>
        <v>852399.96000000008</v>
      </c>
      <c r="H38" s="222">
        <f t="shared" si="24"/>
        <v>-10048.195710000002</v>
      </c>
      <c r="I38" s="221">
        <f>SUM(I24:I27)</f>
        <v>842351.76428999996</v>
      </c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77"/>
      <c r="AF38" s="77"/>
      <c r="AG38" s="77"/>
    </row>
    <row r="39" spans="1:33" x14ac:dyDescent="0.25">
      <c r="A39" s="179"/>
      <c r="B39" s="179"/>
      <c r="C39" s="223"/>
      <c r="D39" s="222"/>
      <c r="E39" s="222"/>
      <c r="F39" s="222"/>
      <c r="G39" s="222"/>
      <c r="H39" s="222"/>
      <c r="I39" s="223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77"/>
      <c r="AF39" s="77"/>
      <c r="AG39" s="77"/>
    </row>
    <row r="40" spans="1:33" ht="76.150000000000006" customHeight="1" x14ac:dyDescent="0.25">
      <c r="A40" s="179" t="s">
        <v>255</v>
      </c>
      <c r="B40" s="171"/>
      <c r="C40" s="224">
        <v>43405</v>
      </c>
      <c r="D40" s="224">
        <v>43405</v>
      </c>
      <c r="E40" s="224">
        <v>43617</v>
      </c>
      <c r="F40" s="224">
        <v>43405</v>
      </c>
      <c r="G40" s="224">
        <v>42278</v>
      </c>
      <c r="H40" s="224">
        <v>43344</v>
      </c>
      <c r="I40" s="224">
        <v>43374</v>
      </c>
      <c r="J40" s="224">
        <v>43252</v>
      </c>
      <c r="K40" s="225"/>
      <c r="L40" s="171" t="s">
        <v>276</v>
      </c>
      <c r="M40" s="171"/>
      <c r="N40" s="171"/>
      <c r="O40" s="317" t="s">
        <v>265</v>
      </c>
      <c r="P40" s="317" t="s">
        <v>266</v>
      </c>
      <c r="Q40" s="317" t="s">
        <v>267</v>
      </c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77"/>
      <c r="AE40" s="77"/>
      <c r="AF40" s="77"/>
      <c r="AG40" s="77"/>
    </row>
    <row r="41" spans="1:33" ht="27" customHeight="1" x14ac:dyDescent="0.25">
      <c r="A41" s="226" t="s">
        <v>256</v>
      </c>
      <c r="B41" s="175"/>
      <c r="C41" s="227" t="s">
        <v>257</v>
      </c>
      <c r="D41" s="227" t="s">
        <v>258</v>
      </c>
      <c r="E41" s="227" t="s">
        <v>259</v>
      </c>
      <c r="F41" s="227" t="s">
        <v>260</v>
      </c>
      <c r="G41" s="227" t="s">
        <v>261</v>
      </c>
      <c r="H41" s="227" t="s">
        <v>262</v>
      </c>
      <c r="I41" s="227" t="s">
        <v>263</v>
      </c>
      <c r="J41" s="227" t="s">
        <v>259</v>
      </c>
      <c r="K41" s="317" t="s">
        <v>264</v>
      </c>
      <c r="L41" s="317"/>
      <c r="M41" s="317" t="s">
        <v>275</v>
      </c>
      <c r="N41" s="317"/>
      <c r="O41" s="317"/>
      <c r="P41" s="317"/>
      <c r="Q41" s="317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77"/>
      <c r="AE41" s="77"/>
      <c r="AF41" s="77"/>
      <c r="AG41" s="77"/>
    </row>
    <row r="42" spans="1:33" x14ac:dyDescent="0.25">
      <c r="A42" s="180" t="s">
        <v>221</v>
      </c>
      <c r="B42" s="179"/>
      <c r="C42" s="229">
        <v>0.28637000000000001</v>
      </c>
      <c r="D42" s="229">
        <v>-9.6129999999999993E-2</v>
      </c>
      <c r="E42" s="229">
        <v>0</v>
      </c>
      <c r="F42" s="229">
        <v>-2.7199999999999998E-2</v>
      </c>
      <c r="G42" s="229">
        <v>0</v>
      </c>
      <c r="H42" s="229">
        <v>3.0280000000000001E-2</v>
      </c>
      <c r="I42" s="229">
        <v>1.959E-2</v>
      </c>
      <c r="J42" s="229">
        <v>-2.1069999999999998E-2</v>
      </c>
      <c r="K42" s="230"/>
      <c r="L42" s="231">
        <f>SUM(C42:I42)</f>
        <v>0.21291000000000002</v>
      </c>
      <c r="M42" s="171"/>
      <c r="N42" s="231">
        <f>SUM(C42:I42)-E42+J42</f>
        <v>0.19184000000000001</v>
      </c>
      <c r="O42" s="193">
        <f t="shared" ref="O42:O51" si="25">L42*G4</f>
        <v>281003.94075000001</v>
      </c>
      <c r="P42" s="232">
        <f>-F4*N42</f>
        <v>364428.47232</v>
      </c>
      <c r="Q42" s="193">
        <f>O42-P42</f>
        <v>-83424.531569999992</v>
      </c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77"/>
      <c r="AE42" s="77"/>
      <c r="AF42" s="77"/>
      <c r="AG42" s="77"/>
    </row>
    <row r="43" spans="1:33" x14ac:dyDescent="0.25">
      <c r="A43" s="180" t="s">
        <v>223</v>
      </c>
      <c r="B43" s="179"/>
      <c r="C43" s="229">
        <v>0.28637000000000001</v>
      </c>
      <c r="D43" s="229">
        <v>-9.6129999999999993E-2</v>
      </c>
      <c r="E43" s="229">
        <v>0</v>
      </c>
      <c r="F43" s="229">
        <v>-2.7199999999999998E-2</v>
      </c>
      <c r="G43" s="229">
        <v>-0.40662999999999999</v>
      </c>
      <c r="H43" s="229">
        <v>3.0280000000000001E-2</v>
      </c>
      <c r="I43" s="229">
        <v>1.959E-2</v>
      </c>
      <c r="J43" s="229">
        <v>-2.1069999999999998E-2</v>
      </c>
      <c r="K43" s="230"/>
      <c r="L43" s="231">
        <f t="shared" ref="L43:L51" si="26">SUM(C43:I43)</f>
        <v>-0.19371999999999998</v>
      </c>
      <c r="M43" s="171"/>
      <c r="N43" s="231">
        <f t="shared" ref="N43:N51" si="27">SUM(C43:I43)-E43+J43</f>
        <v>-0.21478999999999998</v>
      </c>
      <c r="O43" s="193">
        <f t="shared" si="25"/>
        <v>-252.99831999999998</v>
      </c>
      <c r="P43" s="232">
        <f t="shared" ref="P43:P51" si="28">-F5*N43</f>
        <v>-450.41462999999999</v>
      </c>
      <c r="Q43" s="193">
        <f t="shared" ref="Q43:Q51" si="29">O43-P43</f>
        <v>197.41631000000001</v>
      </c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77"/>
      <c r="AE43" s="77"/>
      <c r="AF43" s="77"/>
      <c r="AG43" s="77"/>
    </row>
    <row r="44" spans="1:33" x14ac:dyDescent="0.25">
      <c r="A44" s="180" t="s">
        <v>225</v>
      </c>
      <c r="B44" s="179"/>
      <c r="C44" s="229">
        <v>0.27588000000000001</v>
      </c>
      <c r="D44" s="229">
        <v>-7.9969999999999999E-2</v>
      </c>
      <c r="E44" s="229">
        <v>0</v>
      </c>
      <c r="F44" s="229">
        <v>6.9100000000000003E-3</v>
      </c>
      <c r="G44" s="229">
        <v>0</v>
      </c>
      <c r="H44" s="229">
        <v>1.626E-2</v>
      </c>
      <c r="I44" s="229">
        <v>1.6410000000000001E-2</v>
      </c>
      <c r="J44" s="229">
        <v>-1.2E-2</v>
      </c>
      <c r="K44" s="230"/>
      <c r="L44" s="231">
        <f t="shared" si="26"/>
        <v>0.23549000000000003</v>
      </c>
      <c r="M44" s="171"/>
      <c r="N44" s="231">
        <f t="shared" si="27"/>
        <v>0.22349000000000002</v>
      </c>
      <c r="O44" s="193">
        <f t="shared" si="25"/>
        <v>223703.25452000002</v>
      </c>
      <c r="P44" s="232">
        <f t="shared" si="28"/>
        <v>201129.60201000003</v>
      </c>
      <c r="Q44" s="193">
        <f t="shared" si="29"/>
        <v>22573.652509999985</v>
      </c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77"/>
      <c r="AE44" s="77"/>
      <c r="AF44" s="77"/>
      <c r="AG44" s="77"/>
    </row>
    <row r="45" spans="1:33" x14ac:dyDescent="0.25">
      <c r="A45" s="180" t="s">
        <v>227</v>
      </c>
      <c r="B45" s="179"/>
      <c r="C45" s="229">
        <v>0.27588000000000001</v>
      </c>
      <c r="D45" s="229">
        <v>0</v>
      </c>
      <c r="E45" s="229">
        <v>0</v>
      </c>
      <c r="F45" s="229">
        <v>0</v>
      </c>
      <c r="G45" s="229">
        <v>0</v>
      </c>
      <c r="H45" s="229">
        <v>1.626E-2</v>
      </c>
      <c r="I45" s="229">
        <v>1.6410000000000001E-2</v>
      </c>
      <c r="J45" s="229">
        <v>-1.2E-2</v>
      </c>
      <c r="K45" s="230"/>
      <c r="L45" s="231">
        <f t="shared" si="26"/>
        <v>0.30854999999999999</v>
      </c>
      <c r="M45" s="171"/>
      <c r="N45" s="231">
        <f t="shared" si="27"/>
        <v>0.29654999999999998</v>
      </c>
      <c r="O45" s="193">
        <f t="shared" si="25"/>
        <v>784.64265</v>
      </c>
      <c r="P45" s="232">
        <f t="shared" si="28"/>
        <v>796.53329999999994</v>
      </c>
      <c r="Q45" s="193">
        <f t="shared" si="29"/>
        <v>-11.890649999999937</v>
      </c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77"/>
      <c r="AE45" s="77"/>
      <c r="AF45" s="77"/>
      <c r="AG45" s="77"/>
    </row>
    <row r="46" spans="1:33" x14ac:dyDescent="0.25">
      <c r="A46" s="180" t="s">
        <v>229</v>
      </c>
      <c r="B46" s="179"/>
      <c r="C46" s="229">
        <v>0.27573999999999999</v>
      </c>
      <c r="D46" s="229">
        <v>-5.0130000000000001E-2</v>
      </c>
      <c r="E46" s="229">
        <v>0</v>
      </c>
      <c r="F46" s="229">
        <v>6.9100000000000003E-3</v>
      </c>
      <c r="G46" s="229">
        <v>0</v>
      </c>
      <c r="H46" s="229">
        <v>1.2760000000000001E-2</v>
      </c>
      <c r="I46" s="229">
        <v>1.499E-2</v>
      </c>
      <c r="J46" s="229">
        <v>-9.2599999999999991E-3</v>
      </c>
      <c r="K46" s="230"/>
      <c r="L46" s="231">
        <f t="shared" si="26"/>
        <v>0.26026999999999995</v>
      </c>
      <c r="M46" s="171"/>
      <c r="N46" s="231">
        <f t="shared" si="27"/>
        <v>0.25100999999999996</v>
      </c>
      <c r="O46" s="193">
        <f t="shared" si="25"/>
        <v>-4647.3811199999991</v>
      </c>
      <c r="P46" s="232">
        <f t="shared" si="28"/>
        <v>7848.8316899999982</v>
      </c>
      <c r="Q46" s="193">
        <f t="shared" si="29"/>
        <v>-12496.212809999997</v>
      </c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77"/>
      <c r="AE46" s="77"/>
      <c r="AF46" s="77"/>
      <c r="AG46" s="77"/>
    </row>
    <row r="47" spans="1:33" x14ac:dyDescent="0.25">
      <c r="A47" s="180" t="s">
        <v>231</v>
      </c>
      <c r="B47" s="179"/>
      <c r="C47" s="229">
        <v>0.27573999999999999</v>
      </c>
      <c r="D47" s="229">
        <v>0</v>
      </c>
      <c r="E47" s="229">
        <v>0</v>
      </c>
      <c r="F47" s="229">
        <v>0</v>
      </c>
      <c r="G47" s="229">
        <v>0</v>
      </c>
      <c r="H47" s="229">
        <v>1.2760000000000001E-2</v>
      </c>
      <c r="I47" s="229">
        <v>1.499E-2</v>
      </c>
      <c r="J47" s="229">
        <v>-9.2599999999999991E-3</v>
      </c>
      <c r="K47" s="230"/>
      <c r="L47" s="231">
        <f t="shared" si="26"/>
        <v>0.30348999999999998</v>
      </c>
      <c r="M47" s="171"/>
      <c r="N47" s="231">
        <f t="shared" si="27"/>
        <v>0.29422999999999999</v>
      </c>
      <c r="O47" s="193">
        <f t="shared" si="25"/>
        <v>3404.2473299999997</v>
      </c>
      <c r="P47" s="232">
        <f t="shared" si="28"/>
        <v>3421.6006699999998</v>
      </c>
      <c r="Q47" s="193">
        <f t="shared" si="29"/>
        <v>-17.353340000000117</v>
      </c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77"/>
      <c r="AE47" s="77"/>
      <c r="AF47" s="77"/>
      <c r="AG47" s="77"/>
    </row>
    <row r="48" spans="1:33" x14ac:dyDescent="0.25">
      <c r="A48" s="180" t="s">
        <v>232</v>
      </c>
      <c r="B48" s="179"/>
      <c r="C48" s="229">
        <v>0.24138999999999999</v>
      </c>
      <c r="D48" s="229">
        <v>0</v>
      </c>
      <c r="E48" s="229">
        <v>0</v>
      </c>
      <c r="F48" s="229">
        <v>0</v>
      </c>
      <c r="G48" s="229">
        <v>0</v>
      </c>
      <c r="H48" s="229">
        <v>1.132E-2</v>
      </c>
      <c r="I48" s="229">
        <v>1.44E-2</v>
      </c>
      <c r="J48" s="229">
        <v>-7.8399999999999997E-3</v>
      </c>
      <c r="K48" s="230"/>
      <c r="L48" s="231">
        <f t="shared" si="26"/>
        <v>0.26711000000000001</v>
      </c>
      <c r="M48" s="171"/>
      <c r="N48" s="231">
        <f t="shared" si="27"/>
        <v>0.25927</v>
      </c>
      <c r="O48" s="193">
        <f t="shared" si="25"/>
        <v>0</v>
      </c>
      <c r="P48" s="232">
        <f t="shared" si="28"/>
        <v>0</v>
      </c>
      <c r="Q48" s="193">
        <f t="shared" si="29"/>
        <v>0</v>
      </c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77"/>
      <c r="AE48" s="77"/>
      <c r="AF48" s="77"/>
      <c r="AG48" s="77"/>
    </row>
    <row r="49" spans="1:33" x14ac:dyDescent="0.25">
      <c r="A49" s="180" t="s">
        <v>234</v>
      </c>
      <c r="B49" s="179"/>
      <c r="C49" s="229">
        <v>5.5999999999999995E-4</v>
      </c>
      <c r="D49" s="229">
        <v>0</v>
      </c>
      <c r="E49" s="229">
        <v>0</v>
      </c>
      <c r="F49" s="229">
        <v>0</v>
      </c>
      <c r="G49" s="229">
        <v>0</v>
      </c>
      <c r="H49" s="229">
        <v>0</v>
      </c>
      <c r="I49" s="229">
        <v>7.3999999999999999E-4</v>
      </c>
      <c r="J49" s="229">
        <v>-3.5400000000000002E-3</v>
      </c>
      <c r="K49" s="230"/>
      <c r="L49" s="231">
        <f t="shared" si="26"/>
        <v>1.2999999999999999E-3</v>
      </c>
      <c r="M49" s="171"/>
      <c r="N49" s="231">
        <f t="shared" si="27"/>
        <v>-2.2400000000000002E-3</v>
      </c>
      <c r="O49" s="193">
        <f t="shared" si="25"/>
        <v>3146.8957</v>
      </c>
      <c r="P49" s="232">
        <f t="shared" si="28"/>
        <v>-5822.8352000000004</v>
      </c>
      <c r="Q49" s="193">
        <f t="shared" si="29"/>
        <v>8969.7309000000005</v>
      </c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77"/>
      <c r="AE49" s="77"/>
      <c r="AF49" s="77"/>
      <c r="AG49" s="77"/>
    </row>
    <row r="50" spans="1:33" x14ac:dyDescent="0.25">
      <c r="A50" s="180" t="s">
        <v>235</v>
      </c>
      <c r="B50" s="179"/>
      <c r="C50" s="229">
        <v>0</v>
      </c>
      <c r="D50" s="229">
        <v>0</v>
      </c>
      <c r="E50" s="229">
        <v>0</v>
      </c>
      <c r="F50" s="229">
        <v>0</v>
      </c>
      <c r="G50" s="229">
        <v>0</v>
      </c>
      <c r="H50" s="229">
        <v>0</v>
      </c>
      <c r="I50" s="229">
        <v>0</v>
      </c>
      <c r="J50" s="229">
        <v>0</v>
      </c>
      <c r="K50" s="230"/>
      <c r="L50" s="231">
        <f t="shared" si="26"/>
        <v>0</v>
      </c>
      <c r="M50" s="171"/>
      <c r="N50" s="231">
        <f t="shared" si="27"/>
        <v>0</v>
      </c>
      <c r="O50" s="193">
        <f t="shared" si="25"/>
        <v>0</v>
      </c>
      <c r="P50" s="232">
        <f t="shared" si="28"/>
        <v>0</v>
      </c>
      <c r="Q50" s="193">
        <f t="shared" si="29"/>
        <v>0</v>
      </c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77"/>
      <c r="AE50" s="77"/>
      <c r="AF50" s="77"/>
      <c r="AG50" s="77"/>
    </row>
    <row r="51" spans="1:33" x14ac:dyDescent="0.25">
      <c r="A51" s="180" t="s">
        <v>236</v>
      </c>
      <c r="B51" s="179"/>
      <c r="C51" s="229">
        <v>0</v>
      </c>
      <c r="D51" s="229">
        <v>0</v>
      </c>
      <c r="E51" s="229">
        <v>0</v>
      </c>
      <c r="F51" s="229">
        <v>0</v>
      </c>
      <c r="G51" s="229">
        <v>0</v>
      </c>
      <c r="H51" s="229">
        <v>0</v>
      </c>
      <c r="I51" s="229">
        <v>0</v>
      </c>
      <c r="J51" s="229">
        <v>0</v>
      </c>
      <c r="K51" s="230"/>
      <c r="L51" s="231">
        <f t="shared" si="26"/>
        <v>0</v>
      </c>
      <c r="M51" s="171"/>
      <c r="N51" s="231">
        <f t="shared" si="27"/>
        <v>0</v>
      </c>
      <c r="O51" s="193">
        <f t="shared" si="25"/>
        <v>0</v>
      </c>
      <c r="P51" s="232">
        <f t="shared" si="28"/>
        <v>0</v>
      </c>
      <c r="Q51" s="193">
        <f t="shared" si="29"/>
        <v>0</v>
      </c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77"/>
      <c r="AE51" s="77"/>
      <c r="AF51" s="77"/>
      <c r="AG51" s="77"/>
    </row>
    <row r="52" spans="1:33" x14ac:dyDescent="0.25">
      <c r="A52" s="180"/>
      <c r="B52" s="179"/>
      <c r="C52" s="229"/>
      <c r="D52" s="229"/>
      <c r="E52" s="229"/>
      <c r="F52" s="229"/>
      <c r="G52" s="229"/>
      <c r="H52" s="229"/>
      <c r="I52" s="229"/>
      <c r="J52" s="229"/>
      <c r="K52" s="229"/>
      <c r="L52" s="230"/>
      <c r="M52" s="171"/>
      <c r="O52" s="233">
        <f>SUM(O42:O51)</f>
        <v>507142.60151000001</v>
      </c>
      <c r="P52" s="233">
        <f>SUM(P42:P51)</f>
        <v>571351.79015999998</v>
      </c>
      <c r="Q52" s="233">
        <f>SUM(Q42:Q51)</f>
        <v>-64209.188650000004</v>
      </c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77"/>
      <c r="AF52" s="77"/>
      <c r="AG52" s="77"/>
    </row>
    <row r="53" spans="1:33" ht="39" x14ac:dyDescent="0.25">
      <c r="A53" s="226" t="s">
        <v>267</v>
      </c>
      <c r="B53" s="175"/>
      <c r="C53" s="212" t="s">
        <v>268</v>
      </c>
      <c r="D53" s="212" t="s">
        <v>269</v>
      </c>
      <c r="E53" s="212" t="s">
        <v>259</v>
      </c>
      <c r="F53" s="212" t="s">
        <v>260</v>
      </c>
      <c r="G53" s="212" t="s">
        <v>270</v>
      </c>
      <c r="H53" s="212" t="s">
        <v>271</v>
      </c>
      <c r="I53" s="212" t="s">
        <v>272</v>
      </c>
      <c r="J53" s="212" t="s">
        <v>273</v>
      </c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77"/>
      <c r="AF53" s="77"/>
      <c r="AG53" s="77"/>
    </row>
    <row r="54" spans="1:33" x14ac:dyDescent="0.25">
      <c r="A54" s="180" t="s">
        <v>221</v>
      </c>
      <c r="B54" s="171"/>
      <c r="C54" s="188">
        <f>C42*$H4</f>
        <v>-166043.91250999999</v>
      </c>
      <c r="D54" s="188">
        <f t="shared" ref="D54:I54" si="30">D42*$H4</f>
        <v>55738.384989999999</v>
      </c>
      <c r="E54" s="188">
        <f>F4*J42+G4*E42</f>
        <v>40025.583359999997</v>
      </c>
      <c r="F54" s="188">
        <f t="shared" si="30"/>
        <v>15771.185599999999</v>
      </c>
      <c r="G54" s="188">
        <f t="shared" si="30"/>
        <v>0</v>
      </c>
      <c r="H54" s="188">
        <f t="shared" si="30"/>
        <v>-17557.040440000001</v>
      </c>
      <c r="I54" s="188">
        <f t="shared" si="30"/>
        <v>-11358.73257</v>
      </c>
      <c r="J54" s="188">
        <f>SUM(C54:I54)</f>
        <v>-83424.531570000021</v>
      </c>
      <c r="K54" s="171"/>
      <c r="L54" s="171"/>
      <c r="M54" s="171"/>
      <c r="N54" s="193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77"/>
      <c r="AF54" s="77"/>
      <c r="AG54" s="77"/>
    </row>
    <row r="55" spans="1:33" x14ac:dyDescent="0.25">
      <c r="A55" s="180" t="s">
        <v>223</v>
      </c>
      <c r="B55" s="171"/>
      <c r="C55" s="188">
        <f t="shared" ref="C55:I63" si="31">C43*$H5</f>
        <v>-226.51867000000001</v>
      </c>
      <c r="D55" s="188">
        <f t="shared" si="31"/>
        <v>76.03882999999999</v>
      </c>
      <c r="E55" s="188">
        <f t="shared" ref="E55:E63" si="32">F5*J43+G5*E43</f>
        <v>44.183789999999995</v>
      </c>
      <c r="F55" s="188">
        <f t="shared" si="31"/>
        <v>21.5152</v>
      </c>
      <c r="G55" s="188">
        <f t="shared" si="31"/>
        <v>321.64432999999997</v>
      </c>
      <c r="H55" s="188">
        <f t="shared" si="31"/>
        <v>-23.95148</v>
      </c>
      <c r="I55" s="188">
        <f t="shared" si="31"/>
        <v>-15.49569</v>
      </c>
      <c r="J55" s="188">
        <f t="shared" ref="J55:J63" si="33">SUM(C55:I55)</f>
        <v>197.41630999999992</v>
      </c>
      <c r="K55" s="171"/>
      <c r="L55" s="171"/>
      <c r="M55" s="171"/>
      <c r="N55" s="193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77"/>
      <c r="AF55" s="77"/>
      <c r="AG55" s="77"/>
    </row>
    <row r="56" spans="1:33" x14ac:dyDescent="0.25">
      <c r="A56" s="180" t="s">
        <v>225</v>
      </c>
      <c r="B56" s="171"/>
      <c r="C56" s="188">
        <f t="shared" si="31"/>
        <v>13793.724120000001</v>
      </c>
      <c r="D56" s="188">
        <f t="shared" si="31"/>
        <v>-3998.4200299999998</v>
      </c>
      <c r="E56" s="188">
        <f t="shared" si="32"/>
        <v>10799.388000000001</v>
      </c>
      <c r="F56" s="188">
        <f t="shared" si="31"/>
        <v>345.49309</v>
      </c>
      <c r="G56" s="188">
        <f t="shared" si="31"/>
        <v>0</v>
      </c>
      <c r="H56" s="188">
        <f t="shared" si="31"/>
        <v>812.98374000000001</v>
      </c>
      <c r="I56" s="188">
        <f t="shared" si="31"/>
        <v>820.48359000000005</v>
      </c>
      <c r="J56" s="188">
        <f t="shared" si="33"/>
        <v>22573.652510000004</v>
      </c>
      <c r="K56" s="171"/>
      <c r="L56" s="171"/>
      <c r="M56" s="171"/>
      <c r="N56" s="193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77"/>
      <c r="AF56" s="77"/>
      <c r="AG56" s="77"/>
    </row>
    <row r="57" spans="1:33" x14ac:dyDescent="0.25">
      <c r="A57" s="180" t="s">
        <v>227</v>
      </c>
      <c r="B57" s="171"/>
      <c r="C57" s="188">
        <f t="shared" si="31"/>
        <v>-39.450839999999999</v>
      </c>
      <c r="D57" s="188">
        <f t="shared" si="31"/>
        <v>0</v>
      </c>
      <c r="E57" s="188">
        <f t="shared" si="32"/>
        <v>32.231999999999999</v>
      </c>
      <c r="F57" s="188">
        <f t="shared" si="31"/>
        <v>0</v>
      </c>
      <c r="G57" s="188">
        <f t="shared" si="31"/>
        <v>0</v>
      </c>
      <c r="H57" s="188">
        <f t="shared" si="31"/>
        <v>-2.32518</v>
      </c>
      <c r="I57" s="188">
        <f t="shared" si="31"/>
        <v>-2.3466300000000002</v>
      </c>
      <c r="J57" s="188">
        <f t="shared" si="33"/>
        <v>-11.890650000000001</v>
      </c>
      <c r="K57" s="171"/>
      <c r="L57" s="171"/>
      <c r="M57" s="171"/>
      <c r="N57" s="193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77"/>
      <c r="AF57" s="77"/>
      <c r="AG57" s="77"/>
    </row>
    <row r="58" spans="1:33" x14ac:dyDescent="0.25">
      <c r="A58" s="180" t="s">
        <v>229</v>
      </c>
      <c r="B58" s="171"/>
      <c r="C58" s="188">
        <f t="shared" si="31"/>
        <v>-13545.727499999999</v>
      </c>
      <c r="D58" s="188">
        <f t="shared" si="31"/>
        <v>2462.63625</v>
      </c>
      <c r="E58" s="188">
        <f t="shared" si="32"/>
        <v>289.55093999999997</v>
      </c>
      <c r="F58" s="188">
        <f t="shared" si="31"/>
        <v>-339.45375000000001</v>
      </c>
      <c r="G58" s="188">
        <f t="shared" si="31"/>
        <v>0</v>
      </c>
      <c r="H58" s="188">
        <f t="shared" si="31"/>
        <v>-626.83500000000004</v>
      </c>
      <c r="I58" s="188">
        <f t="shared" si="31"/>
        <v>-736.38374999999996</v>
      </c>
      <c r="J58" s="188">
        <f t="shared" si="33"/>
        <v>-12496.212810000001</v>
      </c>
      <c r="K58" s="171"/>
      <c r="L58" s="171"/>
      <c r="M58" s="171"/>
      <c r="N58" s="193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77"/>
      <c r="AF58" s="77"/>
      <c r="AG58" s="77"/>
    </row>
    <row r="59" spans="1:33" x14ac:dyDescent="0.25">
      <c r="A59" s="180" t="s">
        <v>231</v>
      </c>
      <c r="B59" s="171"/>
      <c r="C59" s="188">
        <f t="shared" si="31"/>
        <v>-113.60487999999999</v>
      </c>
      <c r="D59" s="188">
        <f t="shared" si="31"/>
        <v>0</v>
      </c>
      <c r="E59" s="188">
        <f t="shared" si="32"/>
        <v>107.68453999999998</v>
      </c>
      <c r="F59" s="188">
        <f t="shared" si="31"/>
        <v>0</v>
      </c>
      <c r="G59" s="188">
        <f t="shared" si="31"/>
        <v>0</v>
      </c>
      <c r="H59" s="188">
        <f t="shared" si="31"/>
        <v>-5.2571200000000005</v>
      </c>
      <c r="I59" s="188">
        <f t="shared" si="31"/>
        <v>-6.1758800000000003</v>
      </c>
      <c r="J59" s="188">
        <f t="shared" si="33"/>
        <v>-17.35334000000001</v>
      </c>
      <c r="K59" s="171"/>
      <c r="L59" s="171"/>
      <c r="M59" s="171"/>
      <c r="N59" s="193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77"/>
      <c r="AF59" s="77"/>
      <c r="AG59" s="77"/>
    </row>
    <row r="60" spans="1:33" x14ac:dyDescent="0.25">
      <c r="A60" s="180" t="s">
        <v>232</v>
      </c>
      <c r="B60" s="171"/>
      <c r="C60" s="188">
        <f t="shared" si="31"/>
        <v>0</v>
      </c>
      <c r="D60" s="188">
        <f t="shared" si="31"/>
        <v>0</v>
      </c>
      <c r="E60" s="188">
        <f t="shared" si="32"/>
        <v>0</v>
      </c>
      <c r="F60" s="188">
        <f t="shared" si="31"/>
        <v>0</v>
      </c>
      <c r="G60" s="188">
        <f t="shared" si="31"/>
        <v>0</v>
      </c>
      <c r="H60" s="188">
        <f t="shared" si="31"/>
        <v>0</v>
      </c>
      <c r="I60" s="188">
        <f t="shared" si="31"/>
        <v>0</v>
      </c>
      <c r="J60" s="188">
        <f t="shared" si="33"/>
        <v>0</v>
      </c>
      <c r="K60" s="171"/>
      <c r="L60" s="171"/>
      <c r="M60" s="171"/>
      <c r="N60" s="193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77"/>
      <c r="AF60" s="77"/>
      <c r="AG60" s="77"/>
    </row>
    <row r="61" spans="1:33" x14ac:dyDescent="0.25">
      <c r="A61" s="180" t="s">
        <v>234</v>
      </c>
      <c r="B61" s="171"/>
      <c r="C61" s="188">
        <f t="shared" si="31"/>
        <v>-100.12295999999999</v>
      </c>
      <c r="D61" s="188">
        <f t="shared" si="31"/>
        <v>0</v>
      </c>
      <c r="E61" s="188">
        <f t="shared" si="32"/>
        <v>9202.1592000000001</v>
      </c>
      <c r="F61" s="188">
        <f t="shared" si="31"/>
        <v>0</v>
      </c>
      <c r="G61" s="188">
        <f t="shared" si="31"/>
        <v>0</v>
      </c>
      <c r="H61" s="188">
        <f t="shared" si="31"/>
        <v>0</v>
      </c>
      <c r="I61" s="188">
        <f t="shared" si="31"/>
        <v>-132.30534</v>
      </c>
      <c r="J61" s="188">
        <f t="shared" si="33"/>
        <v>8969.7308999999987</v>
      </c>
      <c r="K61" s="171"/>
      <c r="L61" s="171"/>
      <c r="M61" s="171"/>
      <c r="N61" s="193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77"/>
      <c r="AF61" s="77"/>
      <c r="AG61" s="77"/>
    </row>
    <row r="62" spans="1:33" x14ac:dyDescent="0.25">
      <c r="A62" s="180" t="s">
        <v>235</v>
      </c>
      <c r="B62" s="171"/>
      <c r="C62" s="188">
        <f t="shared" si="31"/>
        <v>0</v>
      </c>
      <c r="D62" s="188">
        <f t="shared" si="31"/>
        <v>0</v>
      </c>
      <c r="E62" s="188">
        <f t="shared" si="32"/>
        <v>0</v>
      </c>
      <c r="F62" s="188">
        <f t="shared" si="31"/>
        <v>0</v>
      </c>
      <c r="G62" s="188">
        <f t="shared" si="31"/>
        <v>0</v>
      </c>
      <c r="H62" s="188">
        <f t="shared" si="31"/>
        <v>0</v>
      </c>
      <c r="I62" s="188">
        <f t="shared" si="31"/>
        <v>0</v>
      </c>
      <c r="J62" s="188">
        <f t="shared" si="33"/>
        <v>0</v>
      </c>
      <c r="K62" s="171"/>
      <c r="L62" s="171"/>
      <c r="M62" s="171"/>
      <c r="N62" s="193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77"/>
      <c r="AF62" s="77"/>
      <c r="AG62" s="77"/>
    </row>
    <row r="63" spans="1:33" x14ac:dyDescent="0.25">
      <c r="A63" s="180" t="s">
        <v>236</v>
      </c>
      <c r="B63" s="171"/>
      <c r="C63" s="188">
        <f t="shared" si="31"/>
        <v>0</v>
      </c>
      <c r="D63" s="188">
        <f t="shared" si="31"/>
        <v>0</v>
      </c>
      <c r="E63" s="188">
        <f t="shared" si="32"/>
        <v>0</v>
      </c>
      <c r="F63" s="188">
        <f t="shared" si="31"/>
        <v>0</v>
      </c>
      <c r="G63" s="188">
        <f t="shared" si="31"/>
        <v>0</v>
      </c>
      <c r="H63" s="188">
        <f t="shared" si="31"/>
        <v>0</v>
      </c>
      <c r="I63" s="188">
        <f t="shared" si="31"/>
        <v>0</v>
      </c>
      <c r="J63" s="188">
        <f t="shared" si="33"/>
        <v>0</v>
      </c>
      <c r="K63" s="171"/>
      <c r="L63" s="171"/>
      <c r="M63" s="171"/>
      <c r="N63" s="234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77"/>
      <c r="AF63" s="77"/>
      <c r="AG63" s="77"/>
    </row>
    <row r="64" spans="1:33" x14ac:dyDescent="0.25">
      <c r="A64" s="171"/>
      <c r="B64" s="171"/>
      <c r="C64" s="196">
        <f>SUM(C54:C63)</f>
        <v>-166275.61324000001</v>
      </c>
      <c r="D64" s="196">
        <f t="shared" ref="D64:I64" si="34">SUM(D54:D63)</f>
        <v>54278.640039999998</v>
      </c>
      <c r="E64" s="196">
        <f t="shared" si="34"/>
        <v>60500.781830000007</v>
      </c>
      <c r="F64" s="196">
        <f t="shared" si="34"/>
        <v>15798.740139999998</v>
      </c>
      <c r="G64" s="196">
        <f t="shared" si="34"/>
        <v>321.64432999999997</v>
      </c>
      <c r="H64" s="196">
        <f t="shared" si="34"/>
        <v>-17402.425479999998</v>
      </c>
      <c r="I64" s="196">
        <f t="shared" si="34"/>
        <v>-11430.956270000002</v>
      </c>
      <c r="J64" s="196">
        <f>SUM(J54:J63)</f>
        <v>-64209.188650000026</v>
      </c>
      <c r="K64" s="171"/>
      <c r="L64" s="171"/>
      <c r="M64" s="171"/>
      <c r="N64" s="234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77"/>
      <c r="AF64" s="77"/>
      <c r="AG64" s="77"/>
    </row>
    <row r="65" spans="1:33" x14ac:dyDescent="0.25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88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77"/>
      <c r="AF65" s="77"/>
      <c r="AG65" s="77"/>
    </row>
    <row r="66" spans="1:33" x14ac:dyDescent="0.25">
      <c r="A66" s="179" t="s">
        <v>28</v>
      </c>
      <c r="B66" s="179"/>
      <c r="C66" s="188">
        <f>C54+C55</f>
        <v>-166270.43117999999</v>
      </c>
      <c r="D66" s="188">
        <f>D54+D55</f>
        <v>55814.423819999996</v>
      </c>
      <c r="E66" s="188">
        <f t="shared" ref="E66:I66" si="35">E54+E55</f>
        <v>40069.76715</v>
      </c>
      <c r="F66" s="188">
        <f t="shared" si="35"/>
        <v>15792.700799999999</v>
      </c>
      <c r="G66" s="188">
        <f t="shared" si="35"/>
        <v>321.64432999999997</v>
      </c>
      <c r="H66" s="188">
        <f t="shared" si="35"/>
        <v>-17580.99192</v>
      </c>
      <c r="I66" s="188">
        <f t="shared" si="35"/>
        <v>-11374.22826</v>
      </c>
      <c r="J66" s="188">
        <f>J54+J55</f>
        <v>-83227.11526000002</v>
      </c>
      <c r="K66" s="171"/>
      <c r="L66" s="171"/>
      <c r="M66" s="171"/>
      <c r="N66" s="188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77"/>
      <c r="AF66" s="77"/>
      <c r="AG66" s="77"/>
    </row>
    <row r="67" spans="1:33" x14ac:dyDescent="0.25">
      <c r="A67" s="179"/>
      <c r="B67" s="179"/>
      <c r="C67" s="188"/>
      <c r="D67" s="188"/>
      <c r="E67" s="188"/>
      <c r="F67" s="188"/>
      <c r="G67" s="188"/>
      <c r="H67" s="188"/>
      <c r="I67" s="188"/>
      <c r="J67" s="188"/>
      <c r="K67" s="171"/>
      <c r="L67" s="171"/>
      <c r="M67" s="171"/>
      <c r="N67" s="179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77"/>
      <c r="AF67" s="77"/>
      <c r="AG67" s="77"/>
    </row>
    <row r="68" spans="1:33" x14ac:dyDescent="0.25">
      <c r="A68" s="179" t="s">
        <v>244</v>
      </c>
      <c r="B68" s="179"/>
      <c r="C68" s="222">
        <f>C56+C58</f>
        <v>247.99662000000171</v>
      </c>
      <c r="D68" s="222">
        <f>D56+D58</f>
        <v>-1535.7837799999998</v>
      </c>
      <c r="E68" s="222">
        <f t="shared" ref="E68:I68" si="36">E56+E58</f>
        <v>11088.93894</v>
      </c>
      <c r="F68" s="222">
        <f t="shared" si="36"/>
        <v>6.0393399999999815</v>
      </c>
      <c r="G68" s="222">
        <f t="shared" si="36"/>
        <v>0</v>
      </c>
      <c r="H68" s="222">
        <f t="shared" si="36"/>
        <v>186.14873999999998</v>
      </c>
      <c r="I68" s="222">
        <f t="shared" si="36"/>
        <v>84.099840000000086</v>
      </c>
      <c r="J68" s="222">
        <f>J56+J58</f>
        <v>10077.439700000003</v>
      </c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77"/>
      <c r="AF68" s="77"/>
      <c r="AG68" s="77"/>
    </row>
    <row r="69" spans="1:33" x14ac:dyDescent="0.25">
      <c r="A69" s="171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77"/>
      <c r="AF69" s="77"/>
      <c r="AG69" s="77"/>
    </row>
    <row r="70" spans="1:33" x14ac:dyDescent="0.25">
      <c r="A70" s="171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77"/>
      <c r="AF70" s="77"/>
      <c r="AG70" s="77"/>
    </row>
    <row r="71" spans="1:33" x14ac:dyDescent="0.25">
      <c r="A71" s="171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77"/>
      <c r="AF71" s="77"/>
      <c r="AG71" s="77"/>
    </row>
    <row r="72" spans="1:33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77"/>
      <c r="AF72" s="77"/>
      <c r="AG72" s="77"/>
    </row>
    <row r="73" spans="1:33" x14ac:dyDescent="0.25">
      <c r="A73" s="171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77"/>
      <c r="AF73" s="77"/>
      <c r="AG73" s="77"/>
    </row>
  </sheetData>
  <mergeCells count="6">
    <mergeCell ref="A1:I1"/>
    <mergeCell ref="O40:O41"/>
    <mergeCell ref="P40:P41"/>
    <mergeCell ref="Q40:Q41"/>
    <mergeCell ref="K41:L41"/>
    <mergeCell ref="M41:N41"/>
  </mergeCells>
  <printOptions horizontalCentered="1"/>
  <pageMargins left="0.45" right="0.45" top="0.5" bottom="0.5" header="0.3" footer="0.3"/>
  <pageSetup scale="80" orientation="landscape" r:id="rId1"/>
  <headerFooter scaleWithDoc="0">
    <oddFooter>&amp;L&amp;F / &amp;A&amp;RPage &amp;P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G73"/>
  <sheetViews>
    <sheetView zoomScaleNormal="100" workbookViewId="0">
      <selection activeCell="F22" sqref="F22:F23"/>
    </sheetView>
  </sheetViews>
  <sheetFormatPr defaultRowHeight="15" x14ac:dyDescent="0.25"/>
  <cols>
    <col min="1" max="1" width="19" customWidth="1"/>
    <col min="2" max="2" width="5.85546875" customWidth="1"/>
    <col min="3" max="3" width="17.42578125" customWidth="1"/>
    <col min="4" max="4" width="16.42578125" customWidth="1"/>
    <col min="5" max="5" width="15.28515625" customWidth="1"/>
    <col min="6" max="6" width="15" customWidth="1"/>
    <col min="7" max="7" width="14.42578125" customWidth="1"/>
    <col min="8" max="8" width="14.7109375" customWidth="1"/>
    <col min="9" max="9" width="17.140625" customWidth="1"/>
    <col min="10" max="10" width="15.7109375" customWidth="1"/>
    <col min="11" max="11" width="10" customWidth="1"/>
    <col min="12" max="12" width="12.28515625" bestFit="1" customWidth="1"/>
    <col min="13" max="13" width="2.28515625" customWidth="1"/>
    <col min="14" max="14" width="17.5703125" customWidth="1"/>
    <col min="15" max="15" width="14.5703125" customWidth="1"/>
    <col min="16" max="16" width="12.85546875" customWidth="1"/>
    <col min="17" max="17" width="12.7109375" customWidth="1"/>
    <col min="18" max="18" width="15.42578125" customWidth="1"/>
    <col min="19" max="19" width="15.28515625" customWidth="1"/>
    <col min="20" max="20" width="11.140625" customWidth="1"/>
    <col min="21" max="21" width="15.5703125" customWidth="1"/>
    <col min="22" max="22" width="2.28515625" customWidth="1"/>
    <col min="23" max="23" width="16.7109375" customWidth="1"/>
    <col min="24" max="24" width="2.42578125" customWidth="1"/>
    <col min="25" max="25" width="14.28515625" customWidth="1"/>
    <col min="26" max="26" width="13.42578125" customWidth="1"/>
    <col min="27" max="27" width="13.85546875" customWidth="1"/>
    <col min="28" max="28" width="14.28515625" customWidth="1"/>
    <col min="29" max="29" width="16.140625" customWidth="1"/>
    <col min="30" max="30" width="10.5703125" customWidth="1"/>
  </cols>
  <sheetData>
    <row r="1" spans="1:33" x14ac:dyDescent="0.25">
      <c r="A1" s="319" t="s">
        <v>207</v>
      </c>
      <c r="B1" s="319"/>
      <c r="C1" s="319"/>
      <c r="D1" s="319"/>
      <c r="E1" s="319"/>
      <c r="F1" s="319"/>
      <c r="G1" s="319"/>
      <c r="H1" s="319"/>
      <c r="I1" s="319"/>
      <c r="J1" s="171"/>
      <c r="K1" s="171"/>
      <c r="L1" s="171" t="s">
        <v>208</v>
      </c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2" t="s">
        <v>209</v>
      </c>
      <c r="AA1" s="173" t="s">
        <v>66</v>
      </c>
      <c r="AB1" s="171"/>
      <c r="AC1" s="172" t="s">
        <v>211</v>
      </c>
      <c r="AD1" s="173" t="s">
        <v>323</v>
      </c>
      <c r="AE1" s="77"/>
      <c r="AF1" s="77"/>
      <c r="AG1" s="77"/>
    </row>
    <row r="2" spans="1:33" ht="51.75" x14ac:dyDescent="0.25">
      <c r="A2" s="174"/>
      <c r="B2" s="175"/>
      <c r="C2" s="176" t="s">
        <v>212</v>
      </c>
      <c r="D2" s="212"/>
      <c r="E2" s="176" t="s">
        <v>213</v>
      </c>
      <c r="F2" s="177" t="s">
        <v>214</v>
      </c>
      <c r="G2" s="177" t="s">
        <v>215</v>
      </c>
      <c r="H2" s="177" t="s">
        <v>115</v>
      </c>
      <c r="I2" s="177" t="s">
        <v>216</v>
      </c>
      <c r="J2" s="171"/>
      <c r="K2" s="171"/>
      <c r="L2" s="171"/>
      <c r="M2" s="171"/>
      <c r="N2" s="281" t="str">
        <f>AA1&amp;" Billed Schedule 175 Revenue"</f>
        <v>May Billed Schedule 175 Revenue</v>
      </c>
      <c r="O2" s="281" t="str">
        <f>AA1&amp;" Billed Therms"</f>
        <v>May Billed Therms</v>
      </c>
      <c r="P2" s="281" t="str">
        <f>AA1&amp;" Unbilled Therms"</f>
        <v>May Unbilled Therms</v>
      </c>
      <c r="Q2" s="281" t="s">
        <v>217</v>
      </c>
      <c r="R2" s="281" t="s">
        <v>218</v>
      </c>
      <c r="S2" s="281" t="str">
        <f>AD1&amp;" Unbilled Therms reversal"</f>
        <v>April Unbilled Therms reversal</v>
      </c>
      <c r="T2" s="281" t="s">
        <v>217</v>
      </c>
      <c r="U2" s="281" t="str">
        <f>AD1&amp;" Schedule 175 Unbilled Reversal"</f>
        <v>April Schedule 175 Unbilled Reversal</v>
      </c>
      <c r="V2" s="171"/>
      <c r="W2" s="281" t="str">
        <f>"Total "&amp;AA1&amp;" Schedule 175 Revenue"</f>
        <v>Total May Schedule 175 Revenue</v>
      </c>
      <c r="X2" s="171"/>
      <c r="Y2" s="281" t="str">
        <f>"Calendar "&amp;AA1&amp;" Usage"</f>
        <v>Calendar May Usage</v>
      </c>
      <c r="Z2" s="281" t="str">
        <f>Q2</f>
        <v>11/1/2018 rate</v>
      </c>
      <c r="AA2" s="281" t="s">
        <v>219</v>
      </c>
      <c r="AB2" s="281" t="s">
        <v>220</v>
      </c>
      <c r="AC2" s="281" t="str">
        <f>"implied "&amp;AD1&amp;" unbilled/Cancel-Rebill True-up therms"</f>
        <v>implied April unbilled/Cancel-Rebill True-up therms</v>
      </c>
      <c r="AD2" s="171"/>
      <c r="AE2" s="77"/>
      <c r="AF2" s="77"/>
      <c r="AG2" s="77"/>
    </row>
    <row r="3" spans="1:33" x14ac:dyDescent="0.25">
      <c r="A3" s="179"/>
      <c r="B3" s="179"/>
      <c r="C3" s="179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281"/>
      <c r="O3" s="281"/>
      <c r="P3" s="281"/>
      <c r="Q3" s="281"/>
      <c r="R3" s="281"/>
      <c r="S3" s="281"/>
      <c r="T3" s="281"/>
      <c r="U3" s="281"/>
      <c r="V3" s="171"/>
      <c r="W3" s="281"/>
      <c r="X3" s="171"/>
      <c r="Y3" s="281"/>
      <c r="Z3" s="281"/>
      <c r="AA3" s="281"/>
      <c r="AB3" s="281"/>
      <c r="AC3" s="281"/>
      <c r="AD3" s="171"/>
      <c r="AE3" s="77"/>
      <c r="AF3" s="77"/>
      <c r="AG3" s="77"/>
    </row>
    <row r="4" spans="1:33" x14ac:dyDescent="0.25">
      <c r="A4" s="180" t="s">
        <v>221</v>
      </c>
      <c r="B4" s="179"/>
      <c r="C4" s="181">
        <v>166722</v>
      </c>
      <c r="D4" s="274"/>
      <c r="E4" s="182">
        <v>6580393.5395900002</v>
      </c>
      <c r="F4" s="182">
        <v>-4167608</v>
      </c>
      <c r="G4" s="182">
        <f>1901745-G5</f>
        <v>1899648</v>
      </c>
      <c r="H4" s="183">
        <f>F4+G4</f>
        <v>-2267960</v>
      </c>
      <c r="I4" s="184">
        <f t="shared" ref="I4:I13" si="0">SUM(E4:G4)</f>
        <v>4312433.5395900002</v>
      </c>
      <c r="J4" s="285">
        <f>(I22-C22)/I4</f>
        <v>0.34971233025160303</v>
      </c>
      <c r="K4" s="171"/>
      <c r="L4" s="171" t="s">
        <v>222</v>
      </c>
      <c r="M4" s="171"/>
      <c r="N4" s="185">
        <v>-178988.72</v>
      </c>
      <c r="O4" s="186">
        <f>E4</f>
        <v>6580393.5395900002</v>
      </c>
      <c r="P4" s="186">
        <f t="shared" ref="P4:P9" si="1">G4</f>
        <v>1899648</v>
      </c>
      <c r="Q4" s="187">
        <v>-2.7199999999999998E-2</v>
      </c>
      <c r="R4" s="188">
        <f>P4*Q4</f>
        <v>-51670.425599999995</v>
      </c>
      <c r="S4" s="186">
        <f t="shared" ref="S4:S9" si="2">F4</f>
        <v>-4167608</v>
      </c>
      <c r="T4" s="187">
        <f>Q4</f>
        <v>-2.7199999999999998E-2</v>
      </c>
      <c r="U4" s="189">
        <f>S4*T4</f>
        <v>113358.93759999999</v>
      </c>
      <c r="V4" s="171"/>
      <c r="W4" s="190">
        <f>N4+R4+U4</f>
        <v>-117300.208</v>
      </c>
      <c r="X4" s="171"/>
      <c r="Y4" s="191">
        <f>O4+P4+S4</f>
        <v>4312433.5395900011</v>
      </c>
      <c r="Z4" s="192">
        <f>Q4</f>
        <v>-2.7199999999999998E-2</v>
      </c>
      <c r="AA4" s="193">
        <f>Y4*Z4</f>
        <v>-117298.19227684803</v>
      </c>
      <c r="AB4" s="190">
        <f>W4-AA4</f>
        <v>-2.0157231519697234</v>
      </c>
      <c r="AC4" s="191">
        <f>AB4/T4</f>
        <v>74.107468822416308</v>
      </c>
      <c r="AD4" s="194">
        <f t="shared" ref="AD4:AD11" si="3">AB4/W4</f>
        <v>1.7184310124750363E-5</v>
      </c>
      <c r="AE4" s="77"/>
      <c r="AF4" s="77"/>
      <c r="AG4" s="77"/>
    </row>
    <row r="5" spans="1:33" x14ac:dyDescent="0.25">
      <c r="A5" s="180" t="s">
        <v>223</v>
      </c>
      <c r="B5" s="179"/>
      <c r="C5" s="181">
        <v>164</v>
      </c>
      <c r="D5" s="274"/>
      <c r="E5" s="182">
        <v>7253.1650600000003</v>
      </c>
      <c r="F5" s="182">
        <v>-4476</v>
      </c>
      <c r="G5" s="182">
        <v>2097</v>
      </c>
      <c r="H5" s="183">
        <f>F5+G5</f>
        <v>-2379</v>
      </c>
      <c r="I5" s="184">
        <f t="shared" si="0"/>
        <v>4874.1650600000003</v>
      </c>
      <c r="J5" s="285">
        <f t="shared" ref="J5:J13" si="4">(I23-C23)/I5</f>
        <v>0.35994653098852325</v>
      </c>
      <c r="K5" s="171"/>
      <c r="L5" s="171" t="s">
        <v>224</v>
      </c>
      <c r="M5" s="171"/>
      <c r="N5" s="185">
        <v>-197.29</v>
      </c>
      <c r="O5" s="186">
        <f t="shared" ref="O5:O7" si="5">E5</f>
        <v>7253.1650600000003</v>
      </c>
      <c r="P5" s="186">
        <f t="shared" si="1"/>
        <v>2097</v>
      </c>
      <c r="Q5" s="187">
        <v>-2.7199999999999998E-2</v>
      </c>
      <c r="R5" s="188">
        <f t="shared" ref="R5:R10" si="6">P5*Q5</f>
        <v>-57.038399999999996</v>
      </c>
      <c r="S5" s="186">
        <f t="shared" si="2"/>
        <v>-4476</v>
      </c>
      <c r="T5" s="187">
        <f t="shared" ref="T5:T10" si="7">Q5</f>
        <v>-2.7199999999999998E-2</v>
      </c>
      <c r="U5" s="189">
        <f t="shared" ref="U5:U10" si="8">S5*T5</f>
        <v>121.74719999999999</v>
      </c>
      <c r="V5" s="171"/>
      <c r="W5" s="190">
        <f t="shared" ref="W5:W10" si="9">N5+R5+U5</f>
        <v>-132.5812</v>
      </c>
      <c r="X5" s="171"/>
      <c r="Y5" s="191">
        <f t="shared" ref="Y5:Y10" si="10">O5+P5+S5</f>
        <v>4874.1650599999994</v>
      </c>
      <c r="Z5" s="192">
        <f t="shared" ref="Z5:Z10" si="11">Q5</f>
        <v>-2.7199999999999998E-2</v>
      </c>
      <c r="AA5" s="193">
        <f t="shared" ref="AA5:AA10" si="12">Y5*Z5</f>
        <v>-132.57728963199997</v>
      </c>
      <c r="AB5" s="190">
        <f t="shared" ref="AB5:AB10" si="13">W5-AA5</f>
        <v>-3.9103680000209806E-3</v>
      </c>
      <c r="AC5" s="191">
        <f t="shared" ref="AC5:AC10" si="14">AB5/T5</f>
        <v>0.14376352941253606</v>
      </c>
      <c r="AD5" s="194">
        <f t="shared" si="3"/>
        <v>2.9494136423723581E-5</v>
      </c>
      <c r="AE5" s="77"/>
      <c r="AF5" s="77"/>
      <c r="AG5" s="77"/>
    </row>
    <row r="6" spans="1:33" x14ac:dyDescent="0.25">
      <c r="A6" s="180" t="s">
        <v>225</v>
      </c>
      <c r="B6" s="179"/>
      <c r="C6" s="181">
        <v>3103</v>
      </c>
      <c r="D6" s="274"/>
      <c r="E6" s="182">
        <v>3292591.0162300002</v>
      </c>
      <c r="F6" s="182">
        <v>-1797571</v>
      </c>
      <c r="G6" s="182">
        <v>899949</v>
      </c>
      <c r="H6" s="183">
        <f t="shared" ref="H6:H13" si="15">F6+G6</f>
        <v>-897622</v>
      </c>
      <c r="I6" s="184">
        <f>SUM(E6:G6)</f>
        <v>2394969.0162300002</v>
      </c>
      <c r="J6" s="285">
        <f t="shared" si="4"/>
        <v>0.23387154363345189</v>
      </c>
      <c r="K6" s="171"/>
      <c r="L6" s="171" t="s">
        <v>226</v>
      </c>
      <c r="M6" s="171"/>
      <c r="N6" s="185">
        <v>22751.75</v>
      </c>
      <c r="O6" s="186">
        <f t="shared" si="5"/>
        <v>3292591.0162300002</v>
      </c>
      <c r="P6" s="186">
        <f t="shared" si="1"/>
        <v>899949</v>
      </c>
      <c r="Q6" s="195">
        <v>6.9100000000000003E-3</v>
      </c>
      <c r="R6" s="188">
        <f t="shared" si="6"/>
        <v>6218.6475900000005</v>
      </c>
      <c r="S6" s="186">
        <f t="shared" si="2"/>
        <v>-1797571</v>
      </c>
      <c r="T6" s="187">
        <f t="shared" si="7"/>
        <v>6.9100000000000003E-3</v>
      </c>
      <c r="U6" s="189">
        <f t="shared" si="8"/>
        <v>-12421.215610000001</v>
      </c>
      <c r="V6" s="171"/>
      <c r="W6" s="190">
        <f t="shared" si="9"/>
        <v>16549.181980000001</v>
      </c>
      <c r="X6" s="171"/>
      <c r="Y6" s="191">
        <f t="shared" si="10"/>
        <v>2394969.0162300002</v>
      </c>
      <c r="Z6" s="179">
        <f t="shared" si="11"/>
        <v>6.9100000000000003E-3</v>
      </c>
      <c r="AA6" s="193">
        <f t="shared" si="12"/>
        <v>16549.235902149303</v>
      </c>
      <c r="AB6" s="190">
        <f t="shared" si="13"/>
        <v>-5.3922149301797617E-2</v>
      </c>
      <c r="AC6" s="191">
        <f t="shared" si="14"/>
        <v>-7.8034948338346766</v>
      </c>
      <c r="AD6" s="194">
        <f t="shared" si="3"/>
        <v>-3.2582969579380751E-6</v>
      </c>
      <c r="AE6" s="77"/>
      <c r="AF6" s="77"/>
      <c r="AG6" s="77"/>
    </row>
    <row r="7" spans="1:33" x14ac:dyDescent="0.25">
      <c r="A7" s="180" t="s">
        <v>227</v>
      </c>
      <c r="B7" s="179"/>
      <c r="C7" s="181">
        <v>1</v>
      </c>
      <c r="D7" s="274"/>
      <c r="E7" s="182">
        <v>9290.1059999999998</v>
      </c>
      <c r="F7" s="182">
        <v>-4303</v>
      </c>
      <c r="G7" s="182">
        <v>2686</v>
      </c>
      <c r="H7" s="183">
        <f>F7+G7</f>
        <v>-1617</v>
      </c>
      <c r="I7" s="184">
        <f>SUM(E7:G7)</f>
        <v>7673.1059999999998</v>
      </c>
      <c r="J7" s="285">
        <f t="shared" si="4"/>
        <v>0.25583269017787585</v>
      </c>
      <c r="K7" s="171"/>
      <c r="L7" s="171" t="s">
        <v>228</v>
      </c>
      <c r="M7" s="171"/>
      <c r="N7" s="185">
        <v>0</v>
      </c>
      <c r="O7" s="186">
        <f t="shared" si="5"/>
        <v>9290.1059999999998</v>
      </c>
      <c r="P7" s="186">
        <f t="shared" si="1"/>
        <v>2686</v>
      </c>
      <c r="Q7" s="187">
        <v>0</v>
      </c>
      <c r="R7" s="188">
        <f t="shared" si="6"/>
        <v>0</v>
      </c>
      <c r="S7" s="186">
        <f t="shared" si="2"/>
        <v>-4303</v>
      </c>
      <c r="T7" s="187">
        <f t="shared" si="7"/>
        <v>0</v>
      </c>
      <c r="U7" s="189">
        <f t="shared" si="8"/>
        <v>0</v>
      </c>
      <c r="V7" s="171"/>
      <c r="W7" s="190">
        <f t="shared" si="9"/>
        <v>0</v>
      </c>
      <c r="X7" s="171"/>
      <c r="Y7" s="191">
        <f t="shared" si="10"/>
        <v>7673.1059999999998</v>
      </c>
      <c r="Z7" s="192">
        <f t="shared" si="11"/>
        <v>0</v>
      </c>
      <c r="AA7" s="193">
        <f t="shared" si="12"/>
        <v>0</v>
      </c>
      <c r="AB7" s="190">
        <f t="shared" si="13"/>
        <v>0</v>
      </c>
      <c r="AC7" s="191"/>
      <c r="AD7" s="194"/>
      <c r="AE7" s="77"/>
      <c r="AF7" s="77"/>
      <c r="AG7" s="77"/>
    </row>
    <row r="8" spans="1:33" x14ac:dyDescent="0.25">
      <c r="A8" s="180" t="s">
        <v>229</v>
      </c>
      <c r="B8" s="179"/>
      <c r="C8" s="181">
        <v>5</v>
      </c>
      <c r="D8" s="275"/>
      <c r="E8" s="182">
        <v>108163.182</v>
      </c>
      <c r="F8" s="182">
        <v>-41565</v>
      </c>
      <c r="G8" s="182">
        <v>31269</v>
      </c>
      <c r="H8" s="183">
        <f t="shared" si="15"/>
        <v>-10296</v>
      </c>
      <c r="I8" s="184">
        <f t="shared" si="0"/>
        <v>97867.182000000001</v>
      </c>
      <c r="J8" s="285">
        <f t="shared" si="4"/>
        <v>0.20529475304602104</v>
      </c>
      <c r="K8" s="171"/>
      <c r="L8" s="171" t="s">
        <v>230</v>
      </c>
      <c r="M8" s="171"/>
      <c r="N8" s="185">
        <v>747.41</v>
      </c>
      <c r="O8" s="186">
        <f>E8</f>
        <v>108163.182</v>
      </c>
      <c r="P8" s="186">
        <f t="shared" si="1"/>
        <v>31269</v>
      </c>
      <c r="Q8" s="195">
        <v>6.9100000000000003E-3</v>
      </c>
      <c r="R8" s="188">
        <f t="shared" si="6"/>
        <v>216.06879000000001</v>
      </c>
      <c r="S8" s="186">
        <f t="shared" si="2"/>
        <v>-41565</v>
      </c>
      <c r="T8" s="187">
        <f t="shared" si="7"/>
        <v>6.9100000000000003E-3</v>
      </c>
      <c r="U8" s="189">
        <f t="shared" si="8"/>
        <v>-287.21415000000002</v>
      </c>
      <c r="V8" s="171"/>
      <c r="W8" s="190">
        <f>N8+R8+U8</f>
        <v>676.26463999999999</v>
      </c>
      <c r="X8" s="171"/>
      <c r="Y8" s="191">
        <f t="shared" si="10"/>
        <v>97867.182000000001</v>
      </c>
      <c r="Z8" s="179">
        <f t="shared" si="11"/>
        <v>6.9100000000000003E-3</v>
      </c>
      <c r="AA8" s="193">
        <f t="shared" si="12"/>
        <v>676.26222762000009</v>
      </c>
      <c r="AB8" s="190">
        <f t="shared" si="13"/>
        <v>2.4123799998960749E-3</v>
      </c>
      <c r="AC8" s="191">
        <f t="shared" si="14"/>
        <v>0.34911432704718881</v>
      </c>
      <c r="AD8" s="194">
        <f>AB8/W8</f>
        <v>3.5672129772984655E-6</v>
      </c>
      <c r="AE8" s="77"/>
      <c r="AF8" s="77"/>
      <c r="AG8" s="77"/>
    </row>
    <row r="9" spans="1:33" x14ac:dyDescent="0.25">
      <c r="A9" s="180" t="s">
        <v>231</v>
      </c>
      <c r="B9" s="179"/>
      <c r="C9" s="181">
        <v>1</v>
      </c>
      <c r="D9" s="275"/>
      <c r="E9" s="182">
        <v>40225.32</v>
      </c>
      <c r="F9" s="182">
        <v>-16621</v>
      </c>
      <c r="G9" s="182">
        <v>11629</v>
      </c>
      <c r="H9" s="183">
        <f t="shared" si="15"/>
        <v>-4992</v>
      </c>
      <c r="I9" s="184">
        <f t="shared" si="0"/>
        <v>35233.32</v>
      </c>
      <c r="J9" s="285">
        <f t="shared" si="4"/>
        <v>0.21528899802800305</v>
      </c>
      <c r="K9" s="171"/>
      <c r="L9" s="171" t="s">
        <v>137</v>
      </c>
      <c r="M9" s="171"/>
      <c r="N9" s="185">
        <v>0</v>
      </c>
      <c r="O9" s="186">
        <f>E9</f>
        <v>40225.32</v>
      </c>
      <c r="P9" s="186">
        <f t="shared" si="1"/>
        <v>11629</v>
      </c>
      <c r="Q9" s="187">
        <v>0</v>
      </c>
      <c r="R9" s="188">
        <f t="shared" si="6"/>
        <v>0</v>
      </c>
      <c r="S9" s="186">
        <f t="shared" si="2"/>
        <v>-16621</v>
      </c>
      <c r="T9" s="187">
        <f t="shared" si="7"/>
        <v>0</v>
      </c>
      <c r="U9" s="189">
        <f t="shared" si="8"/>
        <v>0</v>
      </c>
      <c r="V9" s="171"/>
      <c r="W9" s="190">
        <f>N9+R9+U9</f>
        <v>0</v>
      </c>
      <c r="X9" s="171"/>
      <c r="Y9" s="191">
        <f t="shared" si="10"/>
        <v>35233.32</v>
      </c>
      <c r="Z9" s="192">
        <f t="shared" si="11"/>
        <v>0</v>
      </c>
      <c r="AA9" s="193">
        <f t="shared" si="12"/>
        <v>0</v>
      </c>
      <c r="AB9" s="190">
        <f t="shared" si="13"/>
        <v>0</v>
      </c>
      <c r="AC9" s="191"/>
      <c r="AD9" s="194"/>
      <c r="AE9" s="77"/>
      <c r="AF9" s="77"/>
      <c r="AG9" s="77"/>
    </row>
    <row r="10" spans="1:33" x14ac:dyDescent="0.25">
      <c r="A10" s="180" t="s">
        <v>232</v>
      </c>
      <c r="B10" s="179"/>
      <c r="C10" s="181">
        <v>2</v>
      </c>
      <c r="D10" s="274"/>
      <c r="E10" s="182">
        <v>74295.216</v>
      </c>
      <c r="F10" s="182"/>
      <c r="G10" s="182"/>
      <c r="H10" s="183">
        <f t="shared" si="15"/>
        <v>0</v>
      </c>
      <c r="I10" s="184">
        <f t="shared" si="0"/>
        <v>74295.216</v>
      </c>
      <c r="J10" s="285">
        <f t="shared" si="4"/>
        <v>0.20710633642952192</v>
      </c>
      <c r="K10" s="171"/>
      <c r="L10" s="171" t="s">
        <v>233</v>
      </c>
      <c r="M10" s="171"/>
      <c r="N10" s="185">
        <v>0</v>
      </c>
      <c r="O10" s="186">
        <v>0</v>
      </c>
      <c r="P10" s="186">
        <v>0</v>
      </c>
      <c r="Q10" s="195">
        <v>6.9100000000000003E-3</v>
      </c>
      <c r="R10" s="188">
        <f t="shared" si="6"/>
        <v>0</v>
      </c>
      <c r="S10" s="186">
        <v>0</v>
      </c>
      <c r="T10" s="187">
        <f t="shared" si="7"/>
        <v>6.9100000000000003E-3</v>
      </c>
      <c r="U10" s="189">
        <f t="shared" si="8"/>
        <v>0</v>
      </c>
      <c r="V10" s="171"/>
      <c r="W10" s="190">
        <f t="shared" si="9"/>
        <v>0</v>
      </c>
      <c r="X10" s="171"/>
      <c r="Y10" s="191">
        <f t="shared" si="10"/>
        <v>0</v>
      </c>
      <c r="Z10" s="179">
        <f t="shared" si="11"/>
        <v>6.9100000000000003E-3</v>
      </c>
      <c r="AA10" s="193">
        <f t="shared" si="12"/>
        <v>0</v>
      </c>
      <c r="AB10" s="190">
        <f t="shared" si="13"/>
        <v>0</v>
      </c>
      <c r="AC10" s="191">
        <f t="shared" si="14"/>
        <v>0</v>
      </c>
      <c r="AD10" s="194"/>
      <c r="AE10" s="77"/>
      <c r="AF10" s="77"/>
      <c r="AG10" s="77"/>
    </row>
    <row r="11" spans="1:33" x14ac:dyDescent="0.25">
      <c r="A11" s="180" t="s">
        <v>234</v>
      </c>
      <c r="B11" s="179"/>
      <c r="C11" s="181">
        <v>39</v>
      </c>
      <c r="D11" s="274"/>
      <c r="E11" s="182">
        <v>3110140</v>
      </c>
      <c r="F11" s="182">
        <v>-3110199</v>
      </c>
      <c r="G11" s="182">
        <v>2599480</v>
      </c>
      <c r="H11" s="183">
        <f t="shared" si="15"/>
        <v>-510719</v>
      </c>
      <c r="I11" s="184">
        <f t="shared" si="0"/>
        <v>2599421</v>
      </c>
      <c r="J11" s="285">
        <f t="shared" si="4"/>
        <v>8.6956152712469426E-2</v>
      </c>
      <c r="K11" s="171"/>
      <c r="L11" s="171"/>
      <c r="M11" s="171"/>
      <c r="N11" s="196">
        <f>SUM(N4:N10)</f>
        <v>-155686.85</v>
      </c>
      <c r="O11" s="197">
        <f>SUM(O4:O10)</f>
        <v>10037916.328880001</v>
      </c>
      <c r="P11" s="197">
        <f>SUM(P4:P10)</f>
        <v>2847278</v>
      </c>
      <c r="Q11" s="171"/>
      <c r="R11" s="196">
        <f>SUM(R4:R10)</f>
        <v>-45292.747619999995</v>
      </c>
      <c r="S11" s="197">
        <f>SUM(S4:S10)</f>
        <v>-6032144</v>
      </c>
      <c r="T11" s="198"/>
      <c r="U11" s="196">
        <f>SUM(U4:U10)</f>
        <v>100772.25503999999</v>
      </c>
      <c r="V11" s="171"/>
      <c r="W11" s="196">
        <f>SUM(W4:W10)</f>
        <v>-100207.34258000001</v>
      </c>
      <c r="X11" s="171"/>
      <c r="Y11" s="199">
        <f>SUM(Y4:Y10)</f>
        <v>6853050.3288800009</v>
      </c>
      <c r="Z11" s="171"/>
      <c r="AA11" s="199">
        <f>SUM(AA4:AA10)</f>
        <v>-100205.27143671073</v>
      </c>
      <c r="AB11" s="196">
        <f>SUM(AB4:AB10)</f>
        <v>-2.0711432892716459</v>
      </c>
      <c r="AC11" s="199">
        <f>SUM(AC4:AC10)</f>
        <v>66.79685184504136</v>
      </c>
      <c r="AD11" s="194">
        <f t="shared" si="3"/>
        <v>2.0668578129573283E-5</v>
      </c>
      <c r="AE11" s="77"/>
      <c r="AF11" s="77"/>
      <c r="AG11" s="77"/>
    </row>
    <row r="12" spans="1:33" x14ac:dyDescent="0.25">
      <c r="A12" s="180" t="s">
        <v>235</v>
      </c>
      <c r="B12" s="179"/>
      <c r="C12" s="181">
        <v>3</v>
      </c>
      <c r="D12" s="274"/>
      <c r="E12" s="182">
        <v>68975</v>
      </c>
      <c r="F12" s="182"/>
      <c r="G12" s="182"/>
      <c r="H12" s="183">
        <f t="shared" si="15"/>
        <v>0</v>
      </c>
      <c r="I12" s="184">
        <f t="shared" si="0"/>
        <v>68975</v>
      </c>
      <c r="J12" s="285">
        <f>(I30-C30)/I12</f>
        <v>2.0909894889452701E-2</v>
      </c>
      <c r="K12" s="171"/>
      <c r="L12" s="171"/>
      <c r="M12" s="171"/>
      <c r="N12" s="171"/>
      <c r="O12" s="200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77"/>
      <c r="AF12" s="77"/>
      <c r="AG12" s="77"/>
    </row>
    <row r="13" spans="1:33" x14ac:dyDescent="0.25">
      <c r="A13" s="180" t="s">
        <v>236</v>
      </c>
      <c r="B13" s="179"/>
      <c r="C13" s="181">
        <v>5</v>
      </c>
      <c r="D13" s="276"/>
      <c r="E13" s="182">
        <v>3983350</v>
      </c>
      <c r="F13" s="182">
        <v>-4029134</v>
      </c>
      <c r="G13" s="182">
        <v>3756335</v>
      </c>
      <c r="H13" s="183">
        <f t="shared" si="15"/>
        <v>-272799</v>
      </c>
      <c r="I13" s="184">
        <f t="shared" si="0"/>
        <v>3710551</v>
      </c>
      <c r="J13" s="285">
        <f t="shared" si="4"/>
        <v>2.6559360051916819E-2</v>
      </c>
      <c r="K13" s="171"/>
      <c r="L13" s="171"/>
      <c r="M13" s="171"/>
      <c r="N13" s="171"/>
      <c r="O13" s="171"/>
      <c r="P13" s="171"/>
      <c r="Q13" s="171"/>
      <c r="R13" s="171"/>
      <c r="S13" s="171"/>
      <c r="T13" s="172" t="s">
        <v>237</v>
      </c>
      <c r="U13" s="171" t="s">
        <v>238</v>
      </c>
      <c r="V13" s="171"/>
      <c r="W13" s="202">
        <v>0.95466099999999998</v>
      </c>
      <c r="X13" s="171"/>
      <c r="Y13" s="171"/>
      <c r="Z13" s="171" t="s">
        <v>239</v>
      </c>
      <c r="AA13" s="171" t="s">
        <v>240</v>
      </c>
      <c r="AB13" s="171"/>
      <c r="AC13" s="171" t="s">
        <v>241</v>
      </c>
      <c r="AD13" s="171"/>
      <c r="AE13" s="77"/>
      <c r="AF13" s="77"/>
      <c r="AG13" s="77"/>
    </row>
    <row r="14" spans="1:33" x14ac:dyDescent="0.25">
      <c r="A14" s="179"/>
      <c r="B14" s="179"/>
      <c r="C14" s="203">
        <f t="shared" ref="C14:I14" si="16">SUM(C4:C13)</f>
        <v>170045</v>
      </c>
      <c r="D14" s="203">
        <f t="shared" si="16"/>
        <v>0</v>
      </c>
      <c r="E14" s="203">
        <f t="shared" si="16"/>
        <v>17274676.544880003</v>
      </c>
      <c r="F14" s="203">
        <f t="shared" si="16"/>
        <v>-13171477</v>
      </c>
      <c r="G14" s="203">
        <f t="shared" si="16"/>
        <v>9203093</v>
      </c>
      <c r="H14" s="203">
        <f t="shared" si="16"/>
        <v>-3968384</v>
      </c>
      <c r="I14" s="203">
        <f t="shared" si="16"/>
        <v>13306292.544879999</v>
      </c>
      <c r="J14" s="171"/>
      <c r="K14" s="171"/>
      <c r="L14" s="171"/>
      <c r="M14" s="171"/>
      <c r="N14" s="171"/>
      <c r="O14" s="171"/>
      <c r="P14" s="171"/>
      <c r="Q14" s="171"/>
      <c r="R14" s="171"/>
      <c r="S14" s="171" t="s">
        <v>184</v>
      </c>
      <c r="T14" s="171" t="s">
        <v>242</v>
      </c>
      <c r="U14" s="171"/>
      <c r="V14" s="171"/>
      <c r="W14" s="204">
        <f>(W4+W5)*W13</f>
        <v>-112108.5039704612</v>
      </c>
      <c r="X14" s="171"/>
      <c r="Y14" s="171" t="s">
        <v>28</v>
      </c>
      <c r="Z14" s="183">
        <f>O4+O5+P4+P5+S4+S5</f>
        <v>4317307.7046499997</v>
      </c>
      <c r="AA14" s="179">
        <v>-2.597E-2</v>
      </c>
      <c r="AB14" s="190">
        <f>Z14*AA14</f>
        <v>-112120.48108976049</v>
      </c>
      <c r="AC14" s="190">
        <f>W14-AB14</f>
        <v>11.977119299292099</v>
      </c>
      <c r="AD14" s="194">
        <f>AC14/W14</f>
        <v>-1.0683506491575231E-4</v>
      </c>
      <c r="AE14" s="77"/>
      <c r="AF14" s="77"/>
      <c r="AG14" s="77"/>
    </row>
    <row r="15" spans="1:33" ht="15.75" thickBot="1" x14ac:dyDescent="0.3">
      <c r="A15" s="179"/>
      <c r="B15" s="179"/>
      <c r="C15" s="179"/>
      <c r="D15" s="179"/>
      <c r="E15" s="179"/>
      <c r="F15" s="179"/>
      <c r="G15" s="179"/>
      <c r="H15" s="179"/>
      <c r="I15" s="179"/>
      <c r="J15" s="171"/>
      <c r="K15" s="171"/>
      <c r="L15" s="171"/>
      <c r="M15" s="171"/>
      <c r="N15" s="171"/>
      <c r="O15" s="171"/>
      <c r="P15" s="171"/>
      <c r="Q15" s="171"/>
      <c r="R15" s="171"/>
      <c r="S15" s="171" t="s">
        <v>184</v>
      </c>
      <c r="T15" s="171" t="s">
        <v>243</v>
      </c>
      <c r="U15" s="171"/>
      <c r="V15" s="171"/>
      <c r="W15" s="204">
        <f>SUM(W6:W10)*W13</f>
        <v>16444.462095695821</v>
      </c>
      <c r="X15" s="171"/>
      <c r="Y15" s="171" t="s">
        <v>244</v>
      </c>
      <c r="Z15" s="183">
        <f>SUM(O6:P10,S6:S10)</f>
        <v>2535742.6242300002</v>
      </c>
      <c r="AA15" s="192">
        <v>6.6E-3</v>
      </c>
      <c r="AB15" s="190">
        <f>(Z15-Y9-Y7)*AA15</f>
        <v>16452.718908318002</v>
      </c>
      <c r="AC15" s="190">
        <f>W15-AB15</f>
        <v>-8.2568126221813145</v>
      </c>
      <c r="AD15" s="194">
        <f>AC15/W15</f>
        <v>-5.0210293131706973E-4</v>
      </c>
      <c r="AE15" s="77"/>
      <c r="AF15" s="77"/>
      <c r="AG15" s="77"/>
    </row>
    <row r="16" spans="1:33" x14ac:dyDescent="0.25">
      <c r="A16" s="179" t="s">
        <v>28</v>
      </c>
      <c r="B16" s="179"/>
      <c r="C16" s="205">
        <f>C4+C5</f>
        <v>166886</v>
      </c>
      <c r="D16" s="283">
        <f>D4+D5</f>
        <v>0</v>
      </c>
      <c r="E16" s="206">
        <f>E4+E5</f>
        <v>6587646.7046499997</v>
      </c>
      <c r="F16" s="206">
        <f t="shared" ref="F16:H16" si="17">F4+F5</f>
        <v>-4172084</v>
      </c>
      <c r="G16" s="206">
        <f t="shared" si="17"/>
        <v>1901745</v>
      </c>
      <c r="H16" s="206">
        <f t="shared" si="17"/>
        <v>-2270339</v>
      </c>
      <c r="I16" s="205">
        <f>I4+I5</f>
        <v>4317307.7046499997</v>
      </c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77"/>
      <c r="AF16" s="77"/>
      <c r="AG16" s="77"/>
    </row>
    <row r="17" spans="1:33" x14ac:dyDescent="0.25">
      <c r="A17" s="179"/>
      <c r="B17" s="179"/>
      <c r="C17" s="207"/>
      <c r="D17" s="284"/>
      <c r="E17" s="179"/>
      <c r="F17" s="179"/>
      <c r="G17" s="179"/>
      <c r="H17" s="179"/>
      <c r="I17" s="208"/>
      <c r="J17" s="171"/>
      <c r="K17" s="171"/>
      <c r="L17" s="171"/>
      <c r="M17" s="171"/>
      <c r="N17" s="171"/>
      <c r="O17" s="171"/>
      <c r="P17" s="171"/>
      <c r="Q17" s="171"/>
      <c r="R17" s="190">
        <f>R11+U11</f>
        <v>55479.507419999994</v>
      </c>
      <c r="S17" s="171" t="s">
        <v>320</v>
      </c>
      <c r="T17" s="171"/>
      <c r="U17" s="171"/>
      <c r="V17" s="171"/>
      <c r="W17" s="171"/>
      <c r="X17" s="171"/>
      <c r="Y17" s="171" t="s">
        <v>245</v>
      </c>
      <c r="Z17" s="171"/>
      <c r="AA17" s="171"/>
      <c r="AB17" s="171"/>
      <c r="AC17" s="171"/>
      <c r="AD17" s="171"/>
      <c r="AE17" s="77"/>
      <c r="AF17" s="77"/>
      <c r="AG17" s="77"/>
    </row>
    <row r="18" spans="1:33" ht="15.75" thickBot="1" x14ac:dyDescent="0.3">
      <c r="A18" s="179" t="s">
        <v>244</v>
      </c>
      <c r="B18" s="179"/>
      <c r="C18" s="209">
        <f>SUM(C6:C9)</f>
        <v>3110</v>
      </c>
      <c r="D18" s="283">
        <f>SUM(D6:D9)</f>
        <v>0</v>
      </c>
      <c r="E18" s="210">
        <f>SUM(E6:E9)</f>
        <v>3450269.6242300002</v>
      </c>
      <c r="F18" s="210">
        <f t="shared" ref="F18:H18" si="18">SUM(F6:F9)</f>
        <v>-1860060</v>
      </c>
      <c r="G18" s="210">
        <f t="shared" si="18"/>
        <v>945533</v>
      </c>
      <c r="H18" s="210">
        <f t="shared" si="18"/>
        <v>-914527</v>
      </c>
      <c r="I18" s="209">
        <f>SUM(I6:I9)</f>
        <v>2535742.6242300002</v>
      </c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77"/>
      <c r="AF18" s="77"/>
      <c r="AG18" s="77"/>
    </row>
    <row r="19" spans="1:33" x14ac:dyDescent="0.25">
      <c r="A19" s="179"/>
      <c r="B19" s="179"/>
      <c r="C19" s="179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77"/>
      <c r="AF19" s="77"/>
      <c r="AG19" s="77"/>
    </row>
    <row r="20" spans="1:33" ht="51.75" x14ac:dyDescent="0.25">
      <c r="A20" s="174"/>
      <c r="B20" s="211"/>
      <c r="C20" s="177" t="s">
        <v>246</v>
      </c>
      <c r="D20" s="212" t="s">
        <v>247</v>
      </c>
      <c r="E20" s="177" t="s">
        <v>248</v>
      </c>
      <c r="F20" s="177" t="s">
        <v>249</v>
      </c>
      <c r="G20" s="177" t="s">
        <v>250</v>
      </c>
      <c r="H20" s="177" t="s">
        <v>251</v>
      </c>
      <c r="I20" s="177" t="s">
        <v>252</v>
      </c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77"/>
      <c r="AF20" s="77"/>
      <c r="AG20" s="77"/>
    </row>
    <row r="21" spans="1:33" x14ac:dyDescent="0.25">
      <c r="A21" s="179"/>
      <c r="B21" s="179"/>
      <c r="C21" s="179"/>
      <c r="D21" s="179"/>
      <c r="E21" s="179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77"/>
      <c r="AF21" s="77"/>
      <c r="AG21" s="77"/>
    </row>
    <row r="22" spans="1:33" x14ac:dyDescent="0.25">
      <c r="A22" s="180" t="s">
        <v>221</v>
      </c>
      <c r="B22" s="179"/>
      <c r="C22" s="213">
        <v>1610972</v>
      </c>
      <c r="D22" s="213">
        <v>4104582.71</v>
      </c>
      <c r="E22" s="213">
        <v>-3228007.6548804585</v>
      </c>
      <c r="F22" s="213">
        <f>1807760-F23</f>
        <v>1807422.6806656457</v>
      </c>
      <c r="G22" s="214">
        <f>SUM(D22:F22)</f>
        <v>2683997.7357851872</v>
      </c>
      <c r="H22" s="190">
        <f>-J54</f>
        <v>435085.44640000013</v>
      </c>
      <c r="I22" s="190">
        <f t="shared" ref="I22:I31" si="19">G22+H22</f>
        <v>3119083.1821851875</v>
      </c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77"/>
      <c r="AF22" s="77"/>
      <c r="AG22" s="77"/>
    </row>
    <row r="23" spans="1:33" x14ac:dyDescent="0.25">
      <c r="A23" s="180" t="s">
        <v>223</v>
      </c>
      <c r="B23" s="179"/>
      <c r="C23" s="213">
        <v>1567.5</v>
      </c>
      <c r="D23" s="213">
        <v>4291.95</v>
      </c>
      <c r="E23" s="213">
        <v>-796.34511954168568</v>
      </c>
      <c r="F23" s="213">
        <f>G5*(K23-C23)/E5</f>
        <v>337.31933435415294</v>
      </c>
      <c r="G23" s="214">
        <f>SUM(D23:F23)</f>
        <v>3832.9242148124672</v>
      </c>
      <c r="H23" s="190">
        <f>-J55</f>
        <v>-510.98541</v>
      </c>
      <c r="I23" s="190">
        <f t="shared" si="19"/>
        <v>3321.9388048124674</v>
      </c>
      <c r="J23" s="171"/>
      <c r="K23" s="277">
        <v>2734.23</v>
      </c>
      <c r="L23" s="171" t="s">
        <v>277</v>
      </c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77"/>
      <c r="AF23" s="77"/>
      <c r="AG23" s="77"/>
    </row>
    <row r="24" spans="1:33" x14ac:dyDescent="0.25">
      <c r="A24" s="180" t="s">
        <v>225</v>
      </c>
      <c r="B24" s="179"/>
      <c r="C24" s="213">
        <v>302763.40000000002</v>
      </c>
      <c r="D24" s="213">
        <v>1091090.96</v>
      </c>
      <c r="E24" s="213">
        <v>-858754</v>
      </c>
      <c r="F24" s="213">
        <v>429932</v>
      </c>
      <c r="G24" s="214">
        <f>SUM(D24:F24)</f>
        <v>662268.96</v>
      </c>
      <c r="H24" s="190">
        <f>-J56</f>
        <v>200609.54077999998</v>
      </c>
      <c r="I24" s="190">
        <f t="shared" si="19"/>
        <v>862878.50077999989</v>
      </c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77"/>
      <c r="AF24" s="77"/>
      <c r="AG24" s="77"/>
    </row>
    <row r="25" spans="1:33" x14ac:dyDescent="0.25">
      <c r="A25" s="180" t="s">
        <v>227</v>
      </c>
      <c r="B25" s="179"/>
      <c r="C25" s="213">
        <v>97.25</v>
      </c>
      <c r="D25" s="213">
        <v>2471.7600000000002</v>
      </c>
      <c r="E25" s="213">
        <v>-2370</v>
      </c>
      <c r="F25" s="213">
        <v>1479</v>
      </c>
      <c r="G25" s="214">
        <f>SUM(D25:F25)</f>
        <v>1580.7600000000002</v>
      </c>
      <c r="H25" s="190">
        <f>-J57</f>
        <v>479.52134999999998</v>
      </c>
      <c r="I25" s="190">
        <f>G25+H25</f>
        <v>2060.2813500000002</v>
      </c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77"/>
      <c r="AF25" s="77"/>
      <c r="AG25" s="77"/>
    </row>
    <row r="26" spans="1:33" x14ac:dyDescent="0.25">
      <c r="A26" s="180" t="s">
        <v>229</v>
      </c>
      <c r="B26" s="179"/>
      <c r="C26" s="213">
        <v>1202.24</v>
      </c>
      <c r="D26" s="213">
        <v>22775.46</v>
      </c>
      <c r="E26" s="213">
        <v>-16413</v>
      </c>
      <c r="F26" s="213">
        <v>12347</v>
      </c>
      <c r="G26" s="214">
        <f t="shared" ref="G26:G31" si="20">SUM(D26:F26)</f>
        <v>18709.46</v>
      </c>
      <c r="H26" s="190">
        <f t="shared" ref="H26:H31" si="21">-J58</f>
        <v>2584.3989599999995</v>
      </c>
      <c r="I26" s="190">
        <f t="shared" si="19"/>
        <v>21293.858959999998</v>
      </c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77"/>
      <c r="AF26" s="77"/>
      <c r="AG26" s="77"/>
    </row>
    <row r="27" spans="1:33" x14ac:dyDescent="0.25">
      <c r="A27" s="180" t="s">
        <v>231</v>
      </c>
      <c r="B27" s="179"/>
      <c r="C27" s="213">
        <v>240.44</v>
      </c>
      <c r="D27" s="213">
        <v>8267.99</v>
      </c>
      <c r="E27" s="213">
        <v>-6361</v>
      </c>
      <c r="F27" s="213">
        <v>4450</v>
      </c>
      <c r="G27" s="214">
        <f t="shared" si="20"/>
        <v>6356.99</v>
      </c>
      <c r="H27" s="190">
        <f t="shared" si="21"/>
        <v>1468.7961599999999</v>
      </c>
      <c r="I27" s="190">
        <f t="shared" si="19"/>
        <v>7825.7861599999997</v>
      </c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77"/>
      <c r="AF27" s="77"/>
      <c r="AG27" s="77"/>
    </row>
    <row r="28" spans="1:33" x14ac:dyDescent="0.25">
      <c r="A28" s="180" t="s">
        <v>232</v>
      </c>
      <c r="B28" s="179"/>
      <c r="C28" s="213">
        <v>0</v>
      </c>
      <c r="D28" s="213">
        <v>15387.01</v>
      </c>
      <c r="E28" s="213"/>
      <c r="F28" s="213"/>
      <c r="G28" s="214">
        <f t="shared" si="20"/>
        <v>15387.01</v>
      </c>
      <c r="H28" s="190">
        <f t="shared" si="21"/>
        <v>0</v>
      </c>
      <c r="I28" s="190">
        <f t="shared" si="19"/>
        <v>15387.01</v>
      </c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77"/>
      <c r="AF28" s="77"/>
      <c r="AG28" s="77"/>
    </row>
    <row r="29" spans="1:33" x14ac:dyDescent="0.25">
      <c r="A29" s="180" t="s">
        <v>234</v>
      </c>
      <c r="B29" s="179"/>
      <c r="C29" s="213">
        <v>21450</v>
      </c>
      <c r="D29" s="213">
        <v>275079.65999999997</v>
      </c>
      <c r="E29" s="213">
        <v>-161077</v>
      </c>
      <c r="F29" s="213">
        <v>134627</v>
      </c>
      <c r="G29" s="214">
        <f t="shared" si="20"/>
        <v>248629.65999999997</v>
      </c>
      <c r="H29" s="190">
        <f t="shared" si="21"/>
        <v>-1144.0105600000002</v>
      </c>
      <c r="I29" s="190">
        <f t="shared" si="19"/>
        <v>247485.64943999998</v>
      </c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77"/>
      <c r="AF29" s="77"/>
      <c r="AG29" s="77"/>
    </row>
    <row r="30" spans="1:33" x14ac:dyDescent="0.25">
      <c r="A30" s="180" t="s">
        <v>235</v>
      </c>
      <c r="B30" s="179"/>
      <c r="C30" s="213">
        <v>0</v>
      </c>
      <c r="D30" s="213">
        <v>1442.26</v>
      </c>
      <c r="E30" s="213"/>
      <c r="F30" s="213"/>
      <c r="G30" s="214">
        <f t="shared" si="20"/>
        <v>1442.26</v>
      </c>
      <c r="H30" s="190">
        <f t="shared" si="21"/>
        <v>0</v>
      </c>
      <c r="I30" s="190">
        <f t="shared" si="19"/>
        <v>1442.26</v>
      </c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77"/>
      <c r="AF30" s="77"/>
      <c r="AG30" s="77"/>
    </row>
    <row r="31" spans="1:33" x14ac:dyDescent="0.25">
      <c r="A31" s="180" t="s">
        <v>236</v>
      </c>
      <c r="B31" s="179"/>
      <c r="C31" s="213">
        <v>1000</v>
      </c>
      <c r="D31" s="213">
        <v>105253.86</v>
      </c>
      <c r="E31" s="213">
        <v>-84249</v>
      </c>
      <c r="F31" s="213">
        <v>78545</v>
      </c>
      <c r="G31" s="214">
        <f t="shared" si="20"/>
        <v>99549.86</v>
      </c>
      <c r="H31" s="190">
        <f t="shared" si="21"/>
        <v>0</v>
      </c>
      <c r="I31" s="190">
        <f t="shared" si="19"/>
        <v>99549.86</v>
      </c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77"/>
      <c r="AF31" s="77"/>
      <c r="AG31" s="77"/>
    </row>
    <row r="32" spans="1:33" x14ac:dyDescent="0.25">
      <c r="A32" s="180" t="s">
        <v>253</v>
      </c>
      <c r="B32" s="179"/>
      <c r="C32" s="213"/>
      <c r="D32" s="213">
        <v>2050867.01</v>
      </c>
      <c r="E32" s="213"/>
      <c r="F32" s="213"/>
      <c r="G32" s="214"/>
      <c r="H32" s="190"/>
      <c r="I32" s="190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77"/>
      <c r="AF32" s="77"/>
      <c r="AG32" s="77"/>
    </row>
    <row r="33" spans="1:33" x14ac:dyDescent="0.25">
      <c r="A33" s="180" t="s">
        <v>254</v>
      </c>
      <c r="B33" s="179"/>
      <c r="C33" s="215"/>
      <c r="D33" s="213">
        <v>285277.32</v>
      </c>
      <c r="E33" s="213"/>
      <c r="F33" s="213"/>
      <c r="G33" s="214"/>
      <c r="H33" s="190"/>
      <c r="I33" s="190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77"/>
      <c r="AF33" s="77"/>
      <c r="AG33" s="77"/>
    </row>
    <row r="34" spans="1:33" x14ac:dyDescent="0.25">
      <c r="A34" s="179"/>
      <c r="B34" s="179"/>
      <c r="C34" s="196">
        <f>SUM(C22:C31)</f>
        <v>1939292.8299999998</v>
      </c>
      <c r="D34" s="216">
        <f>SUM(D22:D33)</f>
        <v>7966787.9500000002</v>
      </c>
      <c r="E34" s="216">
        <f>SUM(E22:E33)</f>
        <v>-4358028</v>
      </c>
      <c r="F34" s="216">
        <f>SUM(F22:F33)</f>
        <v>2469140</v>
      </c>
      <c r="G34" s="216">
        <f t="shared" ref="G34:I34" si="22">SUM(G22:G33)</f>
        <v>3741755.6199999992</v>
      </c>
      <c r="H34" s="216">
        <f t="shared" si="22"/>
        <v>638572.70768000023</v>
      </c>
      <c r="I34" s="216">
        <f t="shared" si="22"/>
        <v>4380328.3276799992</v>
      </c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77"/>
      <c r="AF34" s="77"/>
      <c r="AG34" s="77"/>
    </row>
    <row r="35" spans="1:33" ht="15.75" thickBot="1" x14ac:dyDescent="0.3">
      <c r="A35" s="179"/>
      <c r="B35" s="179"/>
      <c r="C35" s="171"/>
      <c r="D35" s="217"/>
      <c r="E35" s="179"/>
      <c r="F35" s="179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77"/>
      <c r="AF35" s="77"/>
      <c r="AG35" s="77"/>
    </row>
    <row r="36" spans="1:33" x14ac:dyDescent="0.25">
      <c r="A36" s="179" t="s">
        <v>28</v>
      </c>
      <c r="B36" s="179"/>
      <c r="C36" s="218">
        <f>C22+C23</f>
        <v>1612539.5</v>
      </c>
      <c r="D36" s="188">
        <f>D22+D23</f>
        <v>4108874.66</v>
      </c>
      <c r="E36" s="188">
        <f t="shared" ref="E36:H36" si="23">E22+E23</f>
        <v>-3228804</v>
      </c>
      <c r="F36" s="188">
        <f t="shared" si="23"/>
        <v>1807760</v>
      </c>
      <c r="G36" s="188">
        <f t="shared" si="23"/>
        <v>2687830.6599999997</v>
      </c>
      <c r="H36" s="188">
        <f t="shared" si="23"/>
        <v>434574.46099000011</v>
      </c>
      <c r="I36" s="218">
        <f>I22+I23</f>
        <v>3122405.1209899997</v>
      </c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77"/>
      <c r="AF36" s="77"/>
      <c r="AG36" s="77"/>
    </row>
    <row r="37" spans="1:33" x14ac:dyDescent="0.25">
      <c r="A37" s="179"/>
      <c r="B37" s="179"/>
      <c r="C37" s="219"/>
      <c r="D37" s="188"/>
      <c r="E37" s="179"/>
      <c r="F37" s="179"/>
      <c r="G37" s="171"/>
      <c r="H37" s="171"/>
      <c r="I37" s="220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77"/>
      <c r="AF37" s="77"/>
      <c r="AG37" s="77"/>
    </row>
    <row r="38" spans="1:33" ht="15.75" thickBot="1" x14ac:dyDescent="0.3">
      <c r="A38" s="179" t="s">
        <v>244</v>
      </c>
      <c r="B38" s="179"/>
      <c r="C38" s="221">
        <f>SUM(C24:C27)</f>
        <v>304303.33</v>
      </c>
      <c r="D38" s="222">
        <f>SUM(D24:D27)</f>
        <v>1124606.17</v>
      </c>
      <c r="E38" s="222">
        <f t="shared" ref="E38:H38" si="24">SUM(E24:E27)</f>
        <v>-883898</v>
      </c>
      <c r="F38" s="222">
        <f t="shared" si="24"/>
        <v>448208</v>
      </c>
      <c r="G38" s="222">
        <f t="shared" si="24"/>
        <v>688916.16999999993</v>
      </c>
      <c r="H38" s="222">
        <f t="shared" si="24"/>
        <v>205142.25724999997</v>
      </c>
      <c r="I38" s="221">
        <f>SUM(I24:I27)</f>
        <v>894058.42724999983</v>
      </c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77"/>
      <c r="AF38" s="77"/>
      <c r="AG38" s="77"/>
    </row>
    <row r="39" spans="1:33" x14ac:dyDescent="0.25">
      <c r="A39" s="179"/>
      <c r="B39" s="179"/>
      <c r="C39" s="223"/>
      <c r="D39" s="222"/>
      <c r="E39" s="222"/>
      <c r="F39" s="222"/>
      <c r="G39" s="222"/>
      <c r="H39" s="222"/>
      <c r="I39" s="223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77"/>
      <c r="AF39" s="77"/>
      <c r="AG39" s="77"/>
    </row>
    <row r="40" spans="1:33" ht="76.150000000000006" customHeight="1" x14ac:dyDescent="0.25">
      <c r="A40" s="179" t="s">
        <v>255</v>
      </c>
      <c r="B40" s="171"/>
      <c r="C40" s="224">
        <v>43405</v>
      </c>
      <c r="D40" s="224">
        <v>43405</v>
      </c>
      <c r="E40" s="224">
        <v>43252</v>
      </c>
      <c r="F40" s="224">
        <v>43405</v>
      </c>
      <c r="G40" s="224">
        <v>42278</v>
      </c>
      <c r="H40" s="224">
        <v>43344</v>
      </c>
      <c r="I40" s="224">
        <v>43374</v>
      </c>
      <c r="J40" s="225"/>
      <c r="K40" s="225"/>
      <c r="L40" s="171" t="s">
        <v>276</v>
      </c>
      <c r="M40" s="171"/>
      <c r="N40" s="171"/>
      <c r="O40" s="317" t="s">
        <v>265</v>
      </c>
      <c r="P40" s="317" t="s">
        <v>266</v>
      </c>
      <c r="Q40" s="317" t="s">
        <v>267</v>
      </c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77"/>
      <c r="AE40" s="77"/>
      <c r="AF40" s="77"/>
      <c r="AG40" s="77"/>
    </row>
    <row r="41" spans="1:33" ht="27" customHeight="1" x14ac:dyDescent="0.25">
      <c r="A41" s="226" t="s">
        <v>256</v>
      </c>
      <c r="B41" s="175"/>
      <c r="C41" s="227" t="s">
        <v>257</v>
      </c>
      <c r="D41" s="227" t="s">
        <v>258</v>
      </c>
      <c r="E41" s="227" t="s">
        <v>259</v>
      </c>
      <c r="F41" s="227" t="s">
        <v>260</v>
      </c>
      <c r="G41" s="227" t="s">
        <v>261</v>
      </c>
      <c r="H41" s="227" t="s">
        <v>262</v>
      </c>
      <c r="I41" s="227" t="s">
        <v>263</v>
      </c>
      <c r="J41" s="282"/>
      <c r="K41" s="317" t="s">
        <v>264</v>
      </c>
      <c r="L41" s="317"/>
      <c r="M41" s="317" t="s">
        <v>275</v>
      </c>
      <c r="N41" s="317"/>
      <c r="O41" s="317"/>
      <c r="P41" s="317"/>
      <c r="Q41" s="317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77"/>
      <c r="AE41" s="77"/>
      <c r="AF41" s="77"/>
      <c r="AG41" s="77"/>
    </row>
    <row r="42" spans="1:33" x14ac:dyDescent="0.25">
      <c r="A42" s="180" t="s">
        <v>221</v>
      </c>
      <c r="B42" s="179"/>
      <c r="C42" s="229">
        <v>0.28637000000000001</v>
      </c>
      <c r="D42" s="229">
        <v>-9.6129999999999993E-2</v>
      </c>
      <c r="E42" s="229">
        <v>-2.1069999999999998E-2</v>
      </c>
      <c r="F42" s="229">
        <v>-2.7199999999999998E-2</v>
      </c>
      <c r="G42" s="229">
        <v>0</v>
      </c>
      <c r="H42" s="229">
        <v>3.0280000000000001E-2</v>
      </c>
      <c r="I42" s="229">
        <v>1.959E-2</v>
      </c>
      <c r="J42" s="229"/>
      <c r="K42" s="230"/>
      <c r="L42" s="231">
        <f>SUM(C42:I42)</f>
        <v>0.19184000000000001</v>
      </c>
      <c r="M42" s="171"/>
      <c r="N42" s="231">
        <f>SUM(C42:I42)</f>
        <v>0.19184000000000001</v>
      </c>
      <c r="O42" s="193">
        <f t="shared" ref="O42:O51" si="25">L42*G4</f>
        <v>364428.47232</v>
      </c>
      <c r="P42" s="232">
        <f>-F4*N42</f>
        <v>799513.91872000007</v>
      </c>
      <c r="Q42" s="193">
        <f>O42-P42</f>
        <v>-435085.44640000007</v>
      </c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77"/>
      <c r="AE42" s="77"/>
      <c r="AF42" s="77"/>
      <c r="AG42" s="77"/>
    </row>
    <row r="43" spans="1:33" x14ac:dyDescent="0.25">
      <c r="A43" s="180" t="s">
        <v>223</v>
      </c>
      <c r="B43" s="179"/>
      <c r="C43" s="229">
        <v>0.28637000000000001</v>
      </c>
      <c r="D43" s="229">
        <v>-9.6129999999999993E-2</v>
      </c>
      <c r="E43" s="229">
        <v>-2.1069999999999998E-2</v>
      </c>
      <c r="F43" s="229">
        <v>-2.7199999999999998E-2</v>
      </c>
      <c r="G43" s="229">
        <v>-0.40662999999999999</v>
      </c>
      <c r="H43" s="229">
        <v>3.0280000000000001E-2</v>
      </c>
      <c r="I43" s="229">
        <v>1.959E-2</v>
      </c>
      <c r="J43" s="229"/>
      <c r="K43" s="230"/>
      <c r="L43" s="231">
        <f t="shared" ref="L43:L51" si="26">SUM(C43:I43)</f>
        <v>-0.21479000000000001</v>
      </c>
      <c r="M43" s="171"/>
      <c r="N43" s="231">
        <f t="shared" ref="N43:N51" si="27">SUM(C43:I43)</f>
        <v>-0.21479000000000001</v>
      </c>
      <c r="O43" s="193">
        <f t="shared" si="25"/>
        <v>-450.41463000000005</v>
      </c>
      <c r="P43" s="232">
        <f t="shared" ref="P43:P51" si="28">-F5*N43</f>
        <v>-961.40003999999999</v>
      </c>
      <c r="Q43" s="193">
        <f t="shared" ref="Q43:Q51" si="29">O43-P43</f>
        <v>510.98540999999994</v>
      </c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77"/>
      <c r="AE43" s="77"/>
      <c r="AF43" s="77"/>
      <c r="AG43" s="77"/>
    </row>
    <row r="44" spans="1:33" x14ac:dyDescent="0.25">
      <c r="A44" s="180" t="s">
        <v>225</v>
      </c>
      <c r="B44" s="179"/>
      <c r="C44" s="229">
        <v>0.27588000000000001</v>
      </c>
      <c r="D44" s="229">
        <v>-7.9969999999999999E-2</v>
      </c>
      <c r="E44" s="229">
        <v>-1.2E-2</v>
      </c>
      <c r="F44" s="229">
        <v>6.9100000000000003E-3</v>
      </c>
      <c r="G44" s="229">
        <v>0</v>
      </c>
      <c r="H44" s="229">
        <v>1.626E-2</v>
      </c>
      <c r="I44" s="229">
        <v>1.6410000000000001E-2</v>
      </c>
      <c r="J44" s="229"/>
      <c r="K44" s="230"/>
      <c r="L44" s="231">
        <f t="shared" si="26"/>
        <v>0.22349000000000002</v>
      </c>
      <c r="M44" s="171"/>
      <c r="N44" s="231">
        <f t="shared" si="27"/>
        <v>0.22349000000000002</v>
      </c>
      <c r="O44" s="193">
        <f t="shared" si="25"/>
        <v>201129.60201000003</v>
      </c>
      <c r="P44" s="232">
        <f t="shared" si="28"/>
        <v>401739.14279000001</v>
      </c>
      <c r="Q44" s="193">
        <f t="shared" si="29"/>
        <v>-200609.54077999998</v>
      </c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77"/>
      <c r="AE44" s="77"/>
      <c r="AF44" s="77"/>
      <c r="AG44" s="77"/>
    </row>
    <row r="45" spans="1:33" x14ac:dyDescent="0.25">
      <c r="A45" s="180" t="s">
        <v>227</v>
      </c>
      <c r="B45" s="179"/>
      <c r="C45" s="229">
        <v>0.27588000000000001</v>
      </c>
      <c r="D45" s="229">
        <v>0</v>
      </c>
      <c r="E45" s="229">
        <v>-1.2E-2</v>
      </c>
      <c r="F45" s="229">
        <v>0</v>
      </c>
      <c r="G45" s="229">
        <v>0</v>
      </c>
      <c r="H45" s="229">
        <v>1.626E-2</v>
      </c>
      <c r="I45" s="229">
        <v>1.6410000000000001E-2</v>
      </c>
      <c r="J45" s="229"/>
      <c r="K45" s="230"/>
      <c r="L45" s="231">
        <f t="shared" si="26"/>
        <v>0.29654999999999998</v>
      </c>
      <c r="M45" s="171"/>
      <c r="N45" s="231">
        <f t="shared" si="27"/>
        <v>0.29654999999999998</v>
      </c>
      <c r="O45" s="193">
        <f t="shared" si="25"/>
        <v>796.53329999999994</v>
      </c>
      <c r="P45" s="232">
        <f t="shared" si="28"/>
        <v>1276.0546499999998</v>
      </c>
      <c r="Q45" s="193">
        <f t="shared" si="29"/>
        <v>-479.52134999999987</v>
      </c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77"/>
      <c r="AE45" s="77"/>
      <c r="AF45" s="77"/>
      <c r="AG45" s="77"/>
    </row>
    <row r="46" spans="1:33" x14ac:dyDescent="0.25">
      <c r="A46" s="180" t="s">
        <v>229</v>
      </c>
      <c r="B46" s="179"/>
      <c r="C46" s="229">
        <v>0.27573999999999999</v>
      </c>
      <c r="D46" s="229">
        <v>-5.0130000000000001E-2</v>
      </c>
      <c r="E46" s="229">
        <v>-9.2599999999999991E-3</v>
      </c>
      <c r="F46" s="229">
        <v>6.9100000000000003E-3</v>
      </c>
      <c r="G46" s="229">
        <v>0</v>
      </c>
      <c r="H46" s="229">
        <v>1.2760000000000001E-2</v>
      </c>
      <c r="I46" s="229">
        <v>1.499E-2</v>
      </c>
      <c r="J46" s="229"/>
      <c r="K46" s="230"/>
      <c r="L46" s="231">
        <f t="shared" si="26"/>
        <v>0.25100999999999996</v>
      </c>
      <c r="M46" s="171"/>
      <c r="N46" s="231">
        <f t="shared" si="27"/>
        <v>0.25100999999999996</v>
      </c>
      <c r="O46" s="193">
        <f t="shared" si="25"/>
        <v>7848.8316899999982</v>
      </c>
      <c r="P46" s="232">
        <f t="shared" si="28"/>
        <v>10433.230649999998</v>
      </c>
      <c r="Q46" s="193">
        <f t="shared" si="29"/>
        <v>-2584.3989599999995</v>
      </c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77"/>
      <c r="AE46" s="77"/>
      <c r="AF46" s="77"/>
      <c r="AG46" s="77"/>
    </row>
    <row r="47" spans="1:33" x14ac:dyDescent="0.25">
      <c r="A47" s="180" t="s">
        <v>231</v>
      </c>
      <c r="B47" s="179"/>
      <c r="C47" s="229">
        <v>0.27573999999999999</v>
      </c>
      <c r="D47" s="229">
        <v>0</v>
      </c>
      <c r="E47" s="229">
        <v>-9.2599999999999991E-3</v>
      </c>
      <c r="F47" s="229">
        <v>0</v>
      </c>
      <c r="G47" s="229">
        <v>0</v>
      </c>
      <c r="H47" s="229">
        <v>1.2760000000000001E-2</v>
      </c>
      <c r="I47" s="229">
        <v>1.499E-2</v>
      </c>
      <c r="J47" s="229"/>
      <c r="K47" s="230"/>
      <c r="L47" s="231">
        <f t="shared" si="26"/>
        <v>0.29422999999999999</v>
      </c>
      <c r="M47" s="171"/>
      <c r="N47" s="231">
        <f t="shared" si="27"/>
        <v>0.29422999999999999</v>
      </c>
      <c r="O47" s="193">
        <f t="shared" si="25"/>
        <v>3421.6006699999998</v>
      </c>
      <c r="P47" s="232">
        <f t="shared" si="28"/>
        <v>4890.3968299999997</v>
      </c>
      <c r="Q47" s="193">
        <f t="shared" si="29"/>
        <v>-1468.7961599999999</v>
      </c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77"/>
      <c r="AE47" s="77"/>
      <c r="AF47" s="77"/>
      <c r="AG47" s="77"/>
    </row>
    <row r="48" spans="1:33" x14ac:dyDescent="0.25">
      <c r="A48" s="180" t="s">
        <v>232</v>
      </c>
      <c r="B48" s="179"/>
      <c r="C48" s="229">
        <v>0.24138999999999999</v>
      </c>
      <c r="D48" s="229">
        <v>0</v>
      </c>
      <c r="E48" s="229">
        <v>-7.8399999999999997E-3</v>
      </c>
      <c r="F48" s="229">
        <v>0</v>
      </c>
      <c r="G48" s="229">
        <v>0</v>
      </c>
      <c r="H48" s="229">
        <v>1.132E-2</v>
      </c>
      <c r="I48" s="229">
        <v>1.44E-2</v>
      </c>
      <c r="J48" s="229"/>
      <c r="K48" s="230"/>
      <c r="L48" s="231">
        <f t="shared" si="26"/>
        <v>0.25927</v>
      </c>
      <c r="M48" s="171"/>
      <c r="N48" s="231">
        <f t="shared" si="27"/>
        <v>0.25927</v>
      </c>
      <c r="O48" s="193">
        <f t="shared" si="25"/>
        <v>0</v>
      </c>
      <c r="P48" s="232">
        <f t="shared" si="28"/>
        <v>0</v>
      </c>
      <c r="Q48" s="193">
        <f t="shared" si="29"/>
        <v>0</v>
      </c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77"/>
      <c r="AE48" s="77"/>
      <c r="AF48" s="77"/>
      <c r="AG48" s="77"/>
    </row>
    <row r="49" spans="1:33" x14ac:dyDescent="0.25">
      <c r="A49" s="180" t="s">
        <v>234</v>
      </c>
      <c r="B49" s="179"/>
      <c r="C49" s="229">
        <v>5.5999999999999995E-4</v>
      </c>
      <c r="D49" s="229">
        <v>0</v>
      </c>
      <c r="E49" s="229">
        <v>-3.5400000000000002E-3</v>
      </c>
      <c r="F49" s="229">
        <v>0</v>
      </c>
      <c r="G49" s="229">
        <v>0</v>
      </c>
      <c r="H49" s="229">
        <v>0</v>
      </c>
      <c r="I49" s="229">
        <v>7.3999999999999999E-4</v>
      </c>
      <c r="J49" s="229"/>
      <c r="K49" s="230"/>
      <c r="L49" s="231">
        <f t="shared" si="26"/>
        <v>-2.2399999999999998E-3</v>
      </c>
      <c r="M49" s="171"/>
      <c r="N49" s="231">
        <f t="shared" si="27"/>
        <v>-2.2399999999999998E-3</v>
      </c>
      <c r="O49" s="193">
        <f t="shared" si="25"/>
        <v>-5822.8351999999995</v>
      </c>
      <c r="P49" s="232">
        <f t="shared" si="28"/>
        <v>-6966.8457599999992</v>
      </c>
      <c r="Q49" s="193">
        <f t="shared" si="29"/>
        <v>1144.0105599999997</v>
      </c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77"/>
      <c r="AE49" s="77"/>
      <c r="AF49" s="77"/>
      <c r="AG49" s="77"/>
    </row>
    <row r="50" spans="1:33" x14ac:dyDescent="0.25">
      <c r="A50" s="180" t="s">
        <v>235</v>
      </c>
      <c r="B50" s="179"/>
      <c r="C50" s="229">
        <v>0</v>
      </c>
      <c r="D50" s="229">
        <v>0</v>
      </c>
      <c r="E50" s="229">
        <v>0</v>
      </c>
      <c r="F50" s="229">
        <v>0</v>
      </c>
      <c r="G50" s="229">
        <v>0</v>
      </c>
      <c r="H50" s="229">
        <v>0</v>
      </c>
      <c r="I50" s="229">
        <v>0</v>
      </c>
      <c r="J50" s="229"/>
      <c r="K50" s="230"/>
      <c r="L50" s="231">
        <f t="shared" si="26"/>
        <v>0</v>
      </c>
      <c r="M50" s="171"/>
      <c r="N50" s="231">
        <f t="shared" si="27"/>
        <v>0</v>
      </c>
      <c r="O50" s="193">
        <f t="shared" si="25"/>
        <v>0</v>
      </c>
      <c r="P50" s="232">
        <f t="shared" si="28"/>
        <v>0</v>
      </c>
      <c r="Q50" s="193">
        <f t="shared" si="29"/>
        <v>0</v>
      </c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77"/>
      <c r="AE50" s="77"/>
      <c r="AF50" s="77"/>
      <c r="AG50" s="77"/>
    </row>
    <row r="51" spans="1:33" x14ac:dyDescent="0.25">
      <c r="A51" s="180" t="s">
        <v>236</v>
      </c>
      <c r="B51" s="179"/>
      <c r="C51" s="229">
        <v>0</v>
      </c>
      <c r="D51" s="229">
        <v>0</v>
      </c>
      <c r="E51" s="229">
        <v>0</v>
      </c>
      <c r="F51" s="229">
        <v>0</v>
      </c>
      <c r="G51" s="229">
        <v>0</v>
      </c>
      <c r="H51" s="229">
        <v>0</v>
      </c>
      <c r="I51" s="229">
        <v>0</v>
      </c>
      <c r="J51" s="229"/>
      <c r="K51" s="230"/>
      <c r="L51" s="231">
        <f t="shared" si="26"/>
        <v>0</v>
      </c>
      <c r="M51" s="171"/>
      <c r="N51" s="231">
        <f t="shared" si="27"/>
        <v>0</v>
      </c>
      <c r="O51" s="193">
        <f t="shared" si="25"/>
        <v>0</v>
      </c>
      <c r="P51" s="232">
        <f t="shared" si="28"/>
        <v>0</v>
      </c>
      <c r="Q51" s="193">
        <f t="shared" si="29"/>
        <v>0</v>
      </c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77"/>
      <c r="AE51" s="77"/>
      <c r="AF51" s="77"/>
      <c r="AG51" s="77"/>
    </row>
    <row r="52" spans="1:33" x14ac:dyDescent="0.25">
      <c r="A52" s="180"/>
      <c r="B52" s="179"/>
      <c r="C52" s="229"/>
      <c r="D52" s="229"/>
      <c r="E52" s="229"/>
      <c r="F52" s="229"/>
      <c r="G52" s="229"/>
      <c r="H52" s="229"/>
      <c r="I52" s="229"/>
      <c r="J52" s="229"/>
      <c r="K52" s="229"/>
      <c r="L52" s="230"/>
      <c r="M52" s="171"/>
      <c r="O52" s="233">
        <f>SUM(O42:O51)</f>
        <v>571351.79015999998</v>
      </c>
      <c r="P52" s="233">
        <f>SUM(P42:P51)</f>
        <v>1209924.4978400003</v>
      </c>
      <c r="Q52" s="233">
        <f>SUM(Q42:Q51)</f>
        <v>-638572.70768000011</v>
      </c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77"/>
      <c r="AF52" s="77"/>
      <c r="AG52" s="77"/>
    </row>
    <row r="53" spans="1:33" ht="39" x14ac:dyDescent="0.25">
      <c r="A53" s="226" t="s">
        <v>267</v>
      </c>
      <c r="B53" s="175"/>
      <c r="C53" s="212" t="s">
        <v>268</v>
      </c>
      <c r="D53" s="212" t="s">
        <v>269</v>
      </c>
      <c r="E53" s="212" t="s">
        <v>259</v>
      </c>
      <c r="F53" s="212" t="s">
        <v>260</v>
      </c>
      <c r="G53" s="212" t="s">
        <v>270</v>
      </c>
      <c r="H53" s="212" t="s">
        <v>271</v>
      </c>
      <c r="I53" s="212" t="s">
        <v>272</v>
      </c>
      <c r="J53" s="212" t="s">
        <v>273</v>
      </c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77"/>
      <c r="AF53" s="77"/>
      <c r="AG53" s="77"/>
    </row>
    <row r="54" spans="1:33" x14ac:dyDescent="0.25">
      <c r="A54" s="180" t="s">
        <v>221</v>
      </c>
      <c r="B54" s="171"/>
      <c r="C54" s="188">
        <f>C42*$H4</f>
        <v>-649475.70520000008</v>
      </c>
      <c r="D54" s="188">
        <f t="shared" ref="D54:I54" si="30">D42*$H4</f>
        <v>218018.99479999999</v>
      </c>
      <c r="E54" s="188">
        <f>E42*$H4</f>
        <v>47785.917199999996</v>
      </c>
      <c r="F54" s="188">
        <f t="shared" si="30"/>
        <v>61688.511999999995</v>
      </c>
      <c r="G54" s="188">
        <f t="shared" si="30"/>
        <v>0</v>
      </c>
      <c r="H54" s="188">
        <f t="shared" si="30"/>
        <v>-68673.828800000003</v>
      </c>
      <c r="I54" s="188">
        <f t="shared" si="30"/>
        <v>-44429.3364</v>
      </c>
      <c r="J54" s="188">
        <f>SUM(C54:I54)</f>
        <v>-435085.44640000013</v>
      </c>
      <c r="K54" s="171"/>
      <c r="L54" s="171"/>
      <c r="M54" s="171"/>
      <c r="N54" s="193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77"/>
      <c r="AF54" s="77"/>
      <c r="AG54" s="77"/>
    </row>
    <row r="55" spans="1:33" x14ac:dyDescent="0.25">
      <c r="A55" s="180" t="s">
        <v>223</v>
      </c>
      <c r="B55" s="171"/>
      <c r="C55" s="188">
        <f t="shared" ref="C55:I63" si="31">C43*$H5</f>
        <v>-681.27422999999999</v>
      </c>
      <c r="D55" s="188">
        <f t="shared" si="31"/>
        <v>228.69326999999998</v>
      </c>
      <c r="E55" s="188">
        <f t="shared" si="31"/>
        <v>50.125529999999998</v>
      </c>
      <c r="F55" s="188">
        <f t="shared" si="31"/>
        <v>64.708799999999997</v>
      </c>
      <c r="G55" s="188">
        <f t="shared" si="31"/>
        <v>967.37276999999995</v>
      </c>
      <c r="H55" s="188">
        <f t="shared" si="31"/>
        <v>-72.036119999999997</v>
      </c>
      <c r="I55" s="188">
        <f t="shared" si="31"/>
        <v>-46.604610000000001</v>
      </c>
      <c r="J55" s="188">
        <f t="shared" ref="J55:J63" si="32">SUM(C55:I55)</f>
        <v>510.98541</v>
      </c>
      <c r="K55" s="171"/>
      <c r="L55" s="171"/>
      <c r="M55" s="171"/>
      <c r="N55" s="193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77"/>
      <c r="AF55" s="77"/>
      <c r="AG55" s="77"/>
    </row>
    <row r="56" spans="1:33" x14ac:dyDescent="0.25">
      <c r="A56" s="180" t="s">
        <v>225</v>
      </c>
      <c r="B56" s="171"/>
      <c r="C56" s="188">
        <f t="shared" si="31"/>
        <v>-247635.95736</v>
      </c>
      <c r="D56" s="188">
        <f t="shared" si="31"/>
        <v>71782.831340000004</v>
      </c>
      <c r="E56" s="188">
        <f t="shared" si="31"/>
        <v>10771.464</v>
      </c>
      <c r="F56" s="188">
        <f t="shared" si="31"/>
        <v>-6202.5680200000006</v>
      </c>
      <c r="G56" s="188">
        <f t="shared" si="31"/>
        <v>0</v>
      </c>
      <c r="H56" s="188">
        <f t="shared" si="31"/>
        <v>-14595.333720000001</v>
      </c>
      <c r="I56" s="188">
        <f t="shared" si="31"/>
        <v>-14729.97702</v>
      </c>
      <c r="J56" s="188">
        <f t="shared" si="32"/>
        <v>-200609.54077999998</v>
      </c>
      <c r="K56" s="171"/>
      <c r="L56" s="171"/>
      <c r="M56" s="171"/>
      <c r="N56" s="193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77"/>
      <c r="AF56" s="77"/>
      <c r="AG56" s="77"/>
    </row>
    <row r="57" spans="1:33" x14ac:dyDescent="0.25">
      <c r="A57" s="180" t="s">
        <v>227</v>
      </c>
      <c r="B57" s="171"/>
      <c r="C57" s="188">
        <f t="shared" si="31"/>
        <v>-446.09796</v>
      </c>
      <c r="D57" s="188">
        <f t="shared" si="31"/>
        <v>0</v>
      </c>
      <c r="E57" s="188">
        <f t="shared" si="31"/>
        <v>19.404</v>
      </c>
      <c r="F57" s="188">
        <f t="shared" si="31"/>
        <v>0</v>
      </c>
      <c r="G57" s="188">
        <f t="shared" si="31"/>
        <v>0</v>
      </c>
      <c r="H57" s="188">
        <f t="shared" si="31"/>
        <v>-26.29242</v>
      </c>
      <c r="I57" s="188">
        <f t="shared" si="31"/>
        <v>-26.534970000000001</v>
      </c>
      <c r="J57" s="188">
        <f t="shared" si="32"/>
        <v>-479.52134999999998</v>
      </c>
      <c r="K57" s="171"/>
      <c r="L57" s="171"/>
      <c r="M57" s="171"/>
      <c r="N57" s="193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77"/>
      <c r="AF57" s="77"/>
      <c r="AG57" s="77"/>
    </row>
    <row r="58" spans="1:33" x14ac:dyDescent="0.25">
      <c r="A58" s="180" t="s">
        <v>229</v>
      </c>
      <c r="B58" s="171"/>
      <c r="C58" s="188">
        <f t="shared" si="31"/>
        <v>-2839.0190399999997</v>
      </c>
      <c r="D58" s="188">
        <f t="shared" si="31"/>
        <v>516.13847999999996</v>
      </c>
      <c r="E58" s="188">
        <f t="shared" si="31"/>
        <v>95.340959999999995</v>
      </c>
      <c r="F58" s="188">
        <f t="shared" si="31"/>
        <v>-71.145359999999997</v>
      </c>
      <c r="G58" s="188">
        <f t="shared" si="31"/>
        <v>0</v>
      </c>
      <c r="H58" s="188">
        <f t="shared" si="31"/>
        <v>-131.37696</v>
      </c>
      <c r="I58" s="188">
        <f t="shared" si="31"/>
        <v>-154.33704</v>
      </c>
      <c r="J58" s="188">
        <f t="shared" si="32"/>
        <v>-2584.3989599999995</v>
      </c>
      <c r="K58" s="171"/>
      <c r="L58" s="171"/>
      <c r="M58" s="171"/>
      <c r="N58" s="193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77"/>
      <c r="AF58" s="77"/>
      <c r="AG58" s="77"/>
    </row>
    <row r="59" spans="1:33" x14ac:dyDescent="0.25">
      <c r="A59" s="180" t="s">
        <v>231</v>
      </c>
      <c r="B59" s="171"/>
      <c r="C59" s="188">
        <f t="shared" si="31"/>
        <v>-1376.4940799999999</v>
      </c>
      <c r="D59" s="188">
        <f t="shared" si="31"/>
        <v>0</v>
      </c>
      <c r="E59" s="188">
        <f t="shared" si="31"/>
        <v>46.225919999999995</v>
      </c>
      <c r="F59" s="188">
        <f t="shared" si="31"/>
        <v>0</v>
      </c>
      <c r="G59" s="188">
        <f t="shared" si="31"/>
        <v>0</v>
      </c>
      <c r="H59" s="188">
        <f t="shared" si="31"/>
        <v>-63.697920000000003</v>
      </c>
      <c r="I59" s="188">
        <f t="shared" si="31"/>
        <v>-74.830079999999995</v>
      </c>
      <c r="J59" s="188">
        <f t="shared" si="32"/>
        <v>-1468.7961599999999</v>
      </c>
      <c r="K59" s="171"/>
      <c r="L59" s="171"/>
      <c r="M59" s="171"/>
      <c r="N59" s="193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77"/>
      <c r="AF59" s="77"/>
      <c r="AG59" s="77"/>
    </row>
    <row r="60" spans="1:33" x14ac:dyDescent="0.25">
      <c r="A60" s="180" t="s">
        <v>232</v>
      </c>
      <c r="B60" s="171"/>
      <c r="C60" s="188">
        <f t="shared" si="31"/>
        <v>0</v>
      </c>
      <c r="D60" s="188">
        <f t="shared" si="31"/>
        <v>0</v>
      </c>
      <c r="E60" s="188">
        <f t="shared" si="31"/>
        <v>0</v>
      </c>
      <c r="F60" s="188">
        <f t="shared" si="31"/>
        <v>0</v>
      </c>
      <c r="G60" s="188">
        <f t="shared" si="31"/>
        <v>0</v>
      </c>
      <c r="H60" s="188">
        <f t="shared" si="31"/>
        <v>0</v>
      </c>
      <c r="I60" s="188">
        <f t="shared" si="31"/>
        <v>0</v>
      </c>
      <c r="J60" s="188">
        <f t="shared" si="32"/>
        <v>0</v>
      </c>
      <c r="K60" s="171"/>
      <c r="L60" s="171"/>
      <c r="M60" s="171"/>
      <c r="N60" s="193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77"/>
      <c r="AF60" s="77"/>
      <c r="AG60" s="77"/>
    </row>
    <row r="61" spans="1:33" x14ac:dyDescent="0.25">
      <c r="A61" s="180" t="s">
        <v>234</v>
      </c>
      <c r="B61" s="171"/>
      <c r="C61" s="188">
        <f t="shared" si="31"/>
        <v>-286.00263999999999</v>
      </c>
      <c r="D61" s="188">
        <f t="shared" si="31"/>
        <v>0</v>
      </c>
      <c r="E61" s="188">
        <f t="shared" si="31"/>
        <v>1807.9452600000002</v>
      </c>
      <c r="F61" s="188">
        <f t="shared" si="31"/>
        <v>0</v>
      </c>
      <c r="G61" s="188">
        <f t="shared" si="31"/>
        <v>0</v>
      </c>
      <c r="H61" s="188">
        <f t="shared" si="31"/>
        <v>0</v>
      </c>
      <c r="I61" s="188">
        <f t="shared" si="31"/>
        <v>-377.93205999999998</v>
      </c>
      <c r="J61" s="188">
        <f t="shared" si="32"/>
        <v>1144.0105600000002</v>
      </c>
      <c r="K61" s="171"/>
      <c r="L61" s="171"/>
      <c r="M61" s="171"/>
      <c r="N61" s="193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77"/>
      <c r="AF61" s="77"/>
      <c r="AG61" s="77"/>
    </row>
    <row r="62" spans="1:33" x14ac:dyDescent="0.25">
      <c r="A62" s="180" t="s">
        <v>235</v>
      </c>
      <c r="B62" s="171"/>
      <c r="C62" s="188">
        <f t="shared" si="31"/>
        <v>0</v>
      </c>
      <c r="D62" s="188">
        <f t="shared" si="31"/>
        <v>0</v>
      </c>
      <c r="E62" s="188">
        <f t="shared" si="31"/>
        <v>0</v>
      </c>
      <c r="F62" s="188">
        <f t="shared" si="31"/>
        <v>0</v>
      </c>
      <c r="G62" s="188">
        <f t="shared" si="31"/>
        <v>0</v>
      </c>
      <c r="H62" s="188">
        <f t="shared" si="31"/>
        <v>0</v>
      </c>
      <c r="I62" s="188">
        <f t="shared" si="31"/>
        <v>0</v>
      </c>
      <c r="J62" s="188">
        <f t="shared" si="32"/>
        <v>0</v>
      </c>
      <c r="K62" s="171"/>
      <c r="L62" s="171"/>
      <c r="M62" s="171"/>
      <c r="N62" s="193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77"/>
      <c r="AF62" s="77"/>
      <c r="AG62" s="77"/>
    </row>
    <row r="63" spans="1:33" x14ac:dyDescent="0.25">
      <c r="A63" s="180" t="s">
        <v>236</v>
      </c>
      <c r="B63" s="171"/>
      <c r="C63" s="188">
        <f t="shared" si="31"/>
        <v>0</v>
      </c>
      <c r="D63" s="188">
        <f t="shared" si="31"/>
        <v>0</v>
      </c>
      <c r="E63" s="188">
        <f t="shared" si="31"/>
        <v>0</v>
      </c>
      <c r="F63" s="188">
        <f t="shared" si="31"/>
        <v>0</v>
      </c>
      <c r="G63" s="188">
        <f t="shared" si="31"/>
        <v>0</v>
      </c>
      <c r="H63" s="188">
        <f t="shared" si="31"/>
        <v>0</v>
      </c>
      <c r="I63" s="188">
        <f t="shared" si="31"/>
        <v>0</v>
      </c>
      <c r="J63" s="188">
        <f t="shared" si="32"/>
        <v>0</v>
      </c>
      <c r="K63" s="171"/>
      <c r="L63" s="171"/>
      <c r="M63" s="171"/>
      <c r="N63" s="234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77"/>
      <c r="AF63" s="77"/>
      <c r="AG63" s="77"/>
    </row>
    <row r="64" spans="1:33" x14ac:dyDescent="0.25">
      <c r="A64" s="171"/>
      <c r="B64" s="171"/>
      <c r="C64" s="196">
        <f>SUM(C54:C63)</f>
        <v>-902740.55051000009</v>
      </c>
      <c r="D64" s="196">
        <f t="shared" ref="D64:I64" si="33">SUM(D54:D63)</f>
        <v>290546.65788999997</v>
      </c>
      <c r="E64" s="196">
        <f t="shared" si="33"/>
        <v>60576.422869999995</v>
      </c>
      <c r="F64" s="196">
        <f t="shared" si="33"/>
        <v>55479.507419999994</v>
      </c>
      <c r="G64" s="196">
        <f t="shared" si="33"/>
        <v>967.37276999999995</v>
      </c>
      <c r="H64" s="196">
        <f t="shared" si="33"/>
        <v>-83562.56594</v>
      </c>
      <c r="I64" s="196">
        <f t="shared" si="33"/>
        <v>-59839.552179999999</v>
      </c>
      <c r="J64" s="196">
        <f>SUM(J54:J63)</f>
        <v>-638572.70768000023</v>
      </c>
      <c r="K64" s="171"/>
      <c r="L64" s="171"/>
      <c r="M64" s="171"/>
      <c r="N64" s="234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77"/>
      <c r="AF64" s="77"/>
      <c r="AG64" s="77"/>
    </row>
    <row r="65" spans="1:33" x14ac:dyDescent="0.25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88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77"/>
      <c r="AF65" s="77"/>
      <c r="AG65" s="77"/>
    </row>
    <row r="66" spans="1:33" x14ac:dyDescent="0.25">
      <c r="A66" s="179" t="s">
        <v>28</v>
      </c>
      <c r="B66" s="179"/>
      <c r="C66" s="188">
        <f>C54+C55</f>
        <v>-650156.97943000006</v>
      </c>
      <c r="D66" s="188">
        <f>D54+D55</f>
        <v>218247.68806999997</v>
      </c>
      <c r="E66" s="188">
        <f t="shared" ref="E66:I66" si="34">E54+E55</f>
        <v>47836.042729999994</v>
      </c>
      <c r="F66" s="188">
        <f t="shared" si="34"/>
        <v>61753.220799999996</v>
      </c>
      <c r="G66" s="188">
        <f t="shared" si="34"/>
        <v>967.37276999999995</v>
      </c>
      <c r="H66" s="188">
        <f t="shared" si="34"/>
        <v>-68745.864920000007</v>
      </c>
      <c r="I66" s="188">
        <f t="shared" si="34"/>
        <v>-44475.941010000002</v>
      </c>
      <c r="J66" s="188">
        <f>J54+J55</f>
        <v>-434574.46099000011</v>
      </c>
      <c r="K66" s="171"/>
      <c r="L66" s="171"/>
      <c r="M66" s="171"/>
      <c r="N66" s="188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77"/>
      <c r="AF66" s="77"/>
      <c r="AG66" s="77"/>
    </row>
    <row r="67" spans="1:33" x14ac:dyDescent="0.25">
      <c r="A67" s="179"/>
      <c r="B67" s="179"/>
      <c r="C67" s="188"/>
      <c r="D67" s="188"/>
      <c r="E67" s="188"/>
      <c r="F67" s="188"/>
      <c r="G67" s="188"/>
      <c r="H67" s="188"/>
      <c r="I67" s="188"/>
      <c r="J67" s="188"/>
      <c r="K67" s="171"/>
      <c r="L67" s="171"/>
      <c r="M67" s="171"/>
      <c r="N67" s="179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77"/>
      <c r="AF67" s="77"/>
      <c r="AG67" s="77"/>
    </row>
    <row r="68" spans="1:33" x14ac:dyDescent="0.25">
      <c r="A68" s="179" t="s">
        <v>244</v>
      </c>
      <c r="B68" s="179"/>
      <c r="C68" s="222">
        <f>C56+C58</f>
        <v>-250474.97640000001</v>
      </c>
      <c r="D68" s="222">
        <f>D56+D58</f>
        <v>72298.969819999998</v>
      </c>
      <c r="E68" s="222">
        <f t="shared" ref="E68:I68" si="35">E56+E58</f>
        <v>10866.804959999999</v>
      </c>
      <c r="F68" s="222">
        <f t="shared" si="35"/>
        <v>-6273.7133800000011</v>
      </c>
      <c r="G68" s="222">
        <f t="shared" si="35"/>
        <v>0</v>
      </c>
      <c r="H68" s="222">
        <f t="shared" si="35"/>
        <v>-14726.71068</v>
      </c>
      <c r="I68" s="222">
        <f t="shared" si="35"/>
        <v>-14884.314060000001</v>
      </c>
      <c r="J68" s="222">
        <f>J56+J58</f>
        <v>-203193.93973999997</v>
      </c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77"/>
      <c r="AF68" s="77"/>
      <c r="AG68" s="77"/>
    </row>
    <row r="69" spans="1:33" x14ac:dyDescent="0.25">
      <c r="A69" s="171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77"/>
      <c r="AF69" s="77"/>
      <c r="AG69" s="77"/>
    </row>
    <row r="70" spans="1:33" x14ac:dyDescent="0.25">
      <c r="A70" s="171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77"/>
      <c r="AF70" s="77"/>
      <c r="AG70" s="77"/>
    </row>
    <row r="71" spans="1:33" x14ac:dyDescent="0.25">
      <c r="A71" s="171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77"/>
      <c r="AF71" s="77"/>
      <c r="AG71" s="77"/>
    </row>
    <row r="72" spans="1:33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77"/>
      <c r="AF72" s="77"/>
      <c r="AG72" s="77"/>
    </row>
    <row r="73" spans="1:33" x14ac:dyDescent="0.25">
      <c r="A73" s="171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77"/>
      <c r="AF73" s="77"/>
      <c r="AG73" s="77"/>
    </row>
  </sheetData>
  <mergeCells count="6">
    <mergeCell ref="A1:I1"/>
    <mergeCell ref="O40:O41"/>
    <mergeCell ref="P40:P41"/>
    <mergeCell ref="Q40:Q41"/>
    <mergeCell ref="K41:L41"/>
    <mergeCell ref="M41:N41"/>
  </mergeCells>
  <printOptions horizontalCentered="1"/>
  <pageMargins left="0.45" right="0.45" top="0.5" bottom="0.5" header="0.3" footer="0.3"/>
  <pageSetup scale="80" orientation="landscape" r:id="rId1"/>
  <headerFooter scaleWithDoc="0">
    <oddFooter>&amp;L&amp;F / &amp;A&amp;RPage &amp;P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G73"/>
  <sheetViews>
    <sheetView topLeftCell="A9" zoomScaleNormal="100" workbookViewId="0">
      <selection activeCell="F22" sqref="F22:F23"/>
    </sheetView>
  </sheetViews>
  <sheetFormatPr defaultRowHeight="15" x14ac:dyDescent="0.25"/>
  <cols>
    <col min="1" max="1" width="19" customWidth="1"/>
    <col min="2" max="2" width="5.85546875" customWidth="1"/>
    <col min="3" max="3" width="17.42578125" customWidth="1"/>
    <col min="4" max="4" width="16.42578125" customWidth="1"/>
    <col min="5" max="5" width="15.28515625" customWidth="1"/>
    <col min="6" max="6" width="15" customWidth="1"/>
    <col min="7" max="7" width="14.42578125" customWidth="1"/>
    <col min="8" max="8" width="14.7109375" customWidth="1"/>
    <col min="9" max="9" width="17.140625" customWidth="1"/>
    <col min="10" max="10" width="15.7109375" customWidth="1"/>
    <col min="11" max="11" width="10" customWidth="1"/>
    <col min="12" max="12" width="12.28515625" bestFit="1" customWidth="1"/>
    <col min="13" max="13" width="2.28515625" customWidth="1"/>
    <col min="14" max="14" width="17.5703125" customWidth="1"/>
    <col min="15" max="15" width="14.5703125" customWidth="1"/>
    <col min="16" max="16" width="12.85546875" customWidth="1"/>
    <col min="17" max="17" width="13.7109375" customWidth="1"/>
    <col min="18" max="18" width="15.42578125" customWidth="1"/>
    <col min="19" max="19" width="15.28515625" customWidth="1"/>
    <col min="20" max="20" width="11.140625" customWidth="1"/>
    <col min="21" max="21" width="15.5703125" customWidth="1"/>
    <col min="22" max="22" width="2.28515625" customWidth="1"/>
    <col min="23" max="23" width="16.7109375" customWidth="1"/>
    <col min="24" max="24" width="2.42578125" customWidth="1"/>
    <col min="25" max="25" width="14.28515625" customWidth="1"/>
    <col min="26" max="26" width="13.42578125" customWidth="1"/>
    <col min="27" max="27" width="13.85546875" customWidth="1"/>
    <col min="28" max="28" width="14.28515625" customWidth="1"/>
    <col min="29" max="29" width="16.140625" customWidth="1"/>
    <col min="30" max="30" width="10.5703125" customWidth="1"/>
  </cols>
  <sheetData>
    <row r="1" spans="1:33" x14ac:dyDescent="0.25">
      <c r="A1" s="319" t="s">
        <v>207</v>
      </c>
      <c r="B1" s="319"/>
      <c r="C1" s="319"/>
      <c r="D1" s="319"/>
      <c r="E1" s="319"/>
      <c r="F1" s="319"/>
      <c r="G1" s="319"/>
      <c r="H1" s="319"/>
      <c r="I1" s="319"/>
      <c r="J1" s="171"/>
      <c r="K1" s="171"/>
      <c r="L1" s="171" t="s">
        <v>208</v>
      </c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2" t="s">
        <v>209</v>
      </c>
      <c r="AA1" s="173" t="s">
        <v>323</v>
      </c>
      <c r="AB1" s="171"/>
      <c r="AC1" s="172" t="s">
        <v>211</v>
      </c>
      <c r="AD1" s="173" t="s">
        <v>322</v>
      </c>
      <c r="AE1" s="77"/>
      <c r="AF1" s="77"/>
      <c r="AG1" s="77"/>
    </row>
    <row r="2" spans="1:33" ht="51.75" x14ac:dyDescent="0.25">
      <c r="A2" s="174"/>
      <c r="B2" s="175"/>
      <c r="C2" s="176" t="s">
        <v>212</v>
      </c>
      <c r="D2" s="212" t="s">
        <v>321</v>
      </c>
      <c r="E2" s="176" t="s">
        <v>213</v>
      </c>
      <c r="F2" s="177" t="s">
        <v>214</v>
      </c>
      <c r="G2" s="177" t="s">
        <v>215</v>
      </c>
      <c r="H2" s="177" t="s">
        <v>115</v>
      </c>
      <c r="I2" s="177" t="s">
        <v>216</v>
      </c>
      <c r="J2" s="171"/>
      <c r="K2" s="171"/>
      <c r="L2" s="171"/>
      <c r="M2" s="171"/>
      <c r="N2" s="278" t="str">
        <f>AA1&amp;" Billed Schedule 175 Revenue"</f>
        <v>April Billed Schedule 175 Revenue</v>
      </c>
      <c r="O2" s="278" t="str">
        <f>AA1&amp;" Billed Therms"</f>
        <v>April Billed Therms</v>
      </c>
      <c r="P2" s="278" t="str">
        <f>AA1&amp;" Unbilled Therms"</f>
        <v>April Unbilled Therms</v>
      </c>
      <c r="Q2" s="278" t="s">
        <v>217</v>
      </c>
      <c r="R2" s="278" t="s">
        <v>218</v>
      </c>
      <c r="S2" s="278" t="str">
        <f>AD1&amp;" Unbilled Therms reversal"</f>
        <v>March Unbilled Therms reversal</v>
      </c>
      <c r="T2" s="278" t="s">
        <v>217</v>
      </c>
      <c r="U2" s="278" t="str">
        <f>AD1&amp;" Schedule 175 Unbilled Reversal"</f>
        <v>March Schedule 175 Unbilled Reversal</v>
      </c>
      <c r="V2" s="171"/>
      <c r="W2" s="278" t="str">
        <f>"Total "&amp;AA1&amp;" Schedule 175 Revenue"</f>
        <v>Total April Schedule 175 Revenue</v>
      </c>
      <c r="X2" s="171"/>
      <c r="Y2" s="278" t="str">
        <f>"Calendar "&amp;AA1&amp;" Usage"</f>
        <v>Calendar April Usage</v>
      </c>
      <c r="Z2" s="278" t="str">
        <f>Q2</f>
        <v>11/1/2018 rate</v>
      </c>
      <c r="AA2" s="278" t="s">
        <v>219</v>
      </c>
      <c r="AB2" s="278" t="s">
        <v>220</v>
      </c>
      <c r="AC2" s="278" t="str">
        <f>"implied "&amp;AD1&amp;" unbilled/Cancel-Rebill True-up therms"</f>
        <v>implied March unbilled/Cancel-Rebill True-up therms</v>
      </c>
      <c r="AD2" s="171"/>
      <c r="AE2" s="77"/>
      <c r="AF2" s="77"/>
      <c r="AG2" s="77"/>
    </row>
    <row r="3" spans="1:33" x14ac:dyDescent="0.25">
      <c r="A3" s="179"/>
      <c r="B3" s="179"/>
      <c r="C3" s="179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278"/>
      <c r="O3" s="278"/>
      <c r="P3" s="278"/>
      <c r="Q3" s="278"/>
      <c r="R3" s="278"/>
      <c r="S3" s="278"/>
      <c r="T3" s="278"/>
      <c r="U3" s="278"/>
      <c r="V3" s="171"/>
      <c r="W3" s="278"/>
      <c r="X3" s="171"/>
      <c r="Y3" s="278"/>
      <c r="Z3" s="278"/>
      <c r="AA3" s="278"/>
      <c r="AB3" s="278"/>
      <c r="AC3" s="278"/>
      <c r="AD3" s="171"/>
      <c r="AE3" s="77"/>
      <c r="AF3" s="77"/>
      <c r="AG3" s="77"/>
    </row>
    <row r="4" spans="1:33" x14ac:dyDescent="0.25">
      <c r="A4" s="180" t="s">
        <v>221</v>
      </c>
      <c r="B4" s="179"/>
      <c r="C4" s="181">
        <v>162943</v>
      </c>
      <c r="D4" s="274"/>
      <c r="E4" s="182">
        <v>11867790.09626</v>
      </c>
      <c r="F4" s="182">
        <v>-7356888</v>
      </c>
      <c r="G4" s="182">
        <f>4172084-G5</f>
        <v>4167608</v>
      </c>
      <c r="H4" s="183">
        <f>F4+G4</f>
        <v>-3189280</v>
      </c>
      <c r="I4" s="184">
        <f t="shared" ref="I4:I13" si="0">SUM(E4:G4)</f>
        <v>8678510.09626</v>
      </c>
      <c r="J4" s="171"/>
      <c r="K4" s="171"/>
      <c r="L4" s="171" t="s">
        <v>222</v>
      </c>
      <c r="M4" s="171"/>
      <c r="N4" s="185">
        <f>-322805.45+1.93</f>
        <v>-322803.52</v>
      </c>
      <c r="O4" s="186">
        <f>E4</f>
        <v>11867790.09626</v>
      </c>
      <c r="P4" s="186">
        <f t="shared" ref="P4:P9" si="1">G4</f>
        <v>4167608</v>
      </c>
      <c r="Q4" s="187">
        <v>-2.7199999999999998E-2</v>
      </c>
      <c r="R4" s="188">
        <f>P4*Q4</f>
        <v>-113358.93759999999</v>
      </c>
      <c r="S4" s="186">
        <f t="shared" ref="S4:S9" si="2">F4</f>
        <v>-7356888</v>
      </c>
      <c r="T4" s="187">
        <f>Q4</f>
        <v>-2.7199999999999998E-2</v>
      </c>
      <c r="U4" s="189">
        <f>S4*T4</f>
        <v>200107.3536</v>
      </c>
      <c r="V4" s="171"/>
      <c r="W4" s="190">
        <f>N4+R4+U4</f>
        <v>-236055.10400000002</v>
      </c>
      <c r="X4" s="171"/>
      <c r="Y4" s="191">
        <f>O4+P4+S4</f>
        <v>8678510.09626</v>
      </c>
      <c r="Z4" s="192">
        <f>Q4</f>
        <v>-2.7199999999999998E-2</v>
      </c>
      <c r="AA4" s="193">
        <f>Y4*Z4</f>
        <v>-236055.47461827198</v>
      </c>
      <c r="AB4" s="190">
        <f>W4-AA4</f>
        <v>0.37061827196157537</v>
      </c>
      <c r="AC4" s="191">
        <f>AB4/T4</f>
        <v>-13.625671763293212</v>
      </c>
      <c r="AD4" s="194">
        <f t="shared" ref="AD4:AD11" si="3">AB4/W4</f>
        <v>-1.5700498132909482E-6</v>
      </c>
      <c r="AE4" s="77"/>
      <c r="AF4" s="77"/>
      <c r="AG4" s="77"/>
    </row>
    <row r="5" spans="1:33" x14ac:dyDescent="0.25">
      <c r="A5" s="180" t="s">
        <v>223</v>
      </c>
      <c r="B5" s="179"/>
      <c r="C5" s="181">
        <v>163</v>
      </c>
      <c r="D5" s="274"/>
      <c r="E5" s="182">
        <v>12724.710569999999</v>
      </c>
      <c r="F5" s="182">
        <v>-7561</v>
      </c>
      <c r="G5" s="182">
        <v>4476</v>
      </c>
      <c r="H5" s="183">
        <f>F5+G5</f>
        <v>-3085</v>
      </c>
      <c r="I5" s="184">
        <f t="shared" si="0"/>
        <v>9639.7105699999993</v>
      </c>
      <c r="J5" s="171"/>
      <c r="K5" s="171"/>
      <c r="L5" s="171" t="s">
        <v>224</v>
      </c>
      <c r="M5" s="171"/>
      <c r="N5" s="185">
        <v>-346.1</v>
      </c>
      <c r="O5" s="186">
        <f t="shared" ref="O5:O7" si="4">E5</f>
        <v>12724.710569999999</v>
      </c>
      <c r="P5" s="186">
        <f t="shared" si="1"/>
        <v>4476</v>
      </c>
      <c r="Q5" s="187">
        <v>-2.7199999999999998E-2</v>
      </c>
      <c r="R5" s="188">
        <f t="shared" ref="R5:R10" si="5">P5*Q5</f>
        <v>-121.74719999999999</v>
      </c>
      <c r="S5" s="186">
        <f t="shared" si="2"/>
        <v>-7561</v>
      </c>
      <c r="T5" s="187">
        <f t="shared" ref="T5:T10" si="6">Q5</f>
        <v>-2.7199999999999998E-2</v>
      </c>
      <c r="U5" s="189">
        <f t="shared" ref="U5:U10" si="7">S5*T5</f>
        <v>205.6592</v>
      </c>
      <c r="V5" s="171"/>
      <c r="W5" s="190">
        <f t="shared" ref="W5:W10" si="8">N5+R5+U5</f>
        <v>-262.18800000000005</v>
      </c>
      <c r="X5" s="171"/>
      <c r="Y5" s="191">
        <f t="shared" ref="Y5:Y10" si="9">O5+P5+S5</f>
        <v>9639.7105699999993</v>
      </c>
      <c r="Z5" s="192">
        <f t="shared" ref="Z5:Z10" si="10">Q5</f>
        <v>-2.7199999999999998E-2</v>
      </c>
      <c r="AA5" s="193">
        <f t="shared" ref="AA5:AA10" si="11">Y5*Z5</f>
        <v>-262.20012750399997</v>
      </c>
      <c r="AB5" s="190">
        <f t="shared" ref="AB5:AB10" si="12">W5-AA5</f>
        <v>1.2127503999920464E-2</v>
      </c>
      <c r="AC5" s="191">
        <f t="shared" ref="AC5:AC10" si="13">AB5/T5</f>
        <v>-0.44586411764413469</v>
      </c>
      <c r="AD5" s="194">
        <f t="shared" si="3"/>
        <v>-4.6254992600425886E-5</v>
      </c>
      <c r="AE5" s="77"/>
      <c r="AF5" s="77"/>
      <c r="AG5" s="77"/>
    </row>
    <row r="6" spans="1:33" x14ac:dyDescent="0.25">
      <c r="A6" s="180" t="s">
        <v>225</v>
      </c>
      <c r="B6" s="179"/>
      <c r="C6" s="181">
        <v>3101</v>
      </c>
      <c r="D6" s="274"/>
      <c r="E6" s="182">
        <v>5350080.2127799997</v>
      </c>
      <c r="F6" s="182">
        <v>-2618736</v>
      </c>
      <c r="G6" s="182">
        <v>1797571</v>
      </c>
      <c r="H6" s="183">
        <f t="shared" ref="H6:H13" si="14">F6+G6</f>
        <v>-821165</v>
      </c>
      <c r="I6" s="184">
        <f>SUM(E6:G6)</f>
        <v>4528915.2127799997</v>
      </c>
      <c r="J6" s="171"/>
      <c r="K6" s="171"/>
      <c r="L6" s="171" t="s">
        <v>226</v>
      </c>
      <c r="M6" s="171"/>
      <c r="N6" s="185">
        <v>36969.08</v>
      </c>
      <c r="O6" s="186">
        <f t="shared" si="4"/>
        <v>5350080.2127799997</v>
      </c>
      <c r="P6" s="186">
        <f t="shared" si="1"/>
        <v>1797571</v>
      </c>
      <c r="Q6" s="195">
        <v>6.9100000000000003E-3</v>
      </c>
      <c r="R6" s="188">
        <f t="shared" si="5"/>
        <v>12421.215610000001</v>
      </c>
      <c r="S6" s="186">
        <f t="shared" si="2"/>
        <v>-2618736</v>
      </c>
      <c r="T6" s="187">
        <f t="shared" si="6"/>
        <v>6.9100000000000003E-3</v>
      </c>
      <c r="U6" s="189">
        <f t="shared" si="7"/>
        <v>-18095.465759999999</v>
      </c>
      <c r="V6" s="171"/>
      <c r="W6" s="190">
        <f t="shared" si="8"/>
        <v>31294.829850000002</v>
      </c>
      <c r="X6" s="171"/>
      <c r="Y6" s="191">
        <f t="shared" si="9"/>
        <v>4528915.2127799997</v>
      </c>
      <c r="Z6" s="179">
        <f t="shared" si="10"/>
        <v>6.9100000000000003E-3</v>
      </c>
      <c r="AA6" s="193">
        <f t="shared" si="11"/>
        <v>31294.8041203098</v>
      </c>
      <c r="AB6" s="190">
        <f t="shared" si="12"/>
        <v>2.5729690201842459E-2</v>
      </c>
      <c r="AC6" s="191">
        <f t="shared" si="13"/>
        <v>3.7235441681392847</v>
      </c>
      <c r="AD6" s="194">
        <f t="shared" si="3"/>
        <v>8.2217063729593843E-7</v>
      </c>
      <c r="AE6" s="77"/>
      <c r="AF6" s="77"/>
      <c r="AG6" s="77"/>
    </row>
    <row r="7" spans="1:33" x14ac:dyDescent="0.25">
      <c r="A7" s="180" t="s">
        <v>227</v>
      </c>
      <c r="B7" s="179"/>
      <c r="C7" s="181">
        <v>1</v>
      </c>
      <c r="D7" s="274"/>
      <c r="E7" s="182">
        <v>12233.788</v>
      </c>
      <c r="F7" s="182">
        <v>-5399</v>
      </c>
      <c r="G7" s="182">
        <v>4303</v>
      </c>
      <c r="H7" s="183">
        <f>F7+G7</f>
        <v>-1096</v>
      </c>
      <c r="I7" s="184">
        <f>SUM(E7:G7)</f>
        <v>11137.788</v>
      </c>
      <c r="J7" s="171"/>
      <c r="K7" s="171"/>
      <c r="L7" s="171" t="s">
        <v>228</v>
      </c>
      <c r="M7" s="171"/>
      <c r="N7" s="185">
        <v>0</v>
      </c>
      <c r="O7" s="186">
        <f t="shared" si="4"/>
        <v>12233.788</v>
      </c>
      <c r="P7" s="186">
        <f t="shared" si="1"/>
        <v>4303</v>
      </c>
      <c r="Q7" s="187">
        <v>0</v>
      </c>
      <c r="R7" s="188">
        <f t="shared" si="5"/>
        <v>0</v>
      </c>
      <c r="S7" s="186">
        <f t="shared" si="2"/>
        <v>-5399</v>
      </c>
      <c r="T7" s="187">
        <f t="shared" si="6"/>
        <v>0</v>
      </c>
      <c r="U7" s="189">
        <f t="shared" si="7"/>
        <v>0</v>
      </c>
      <c r="V7" s="171"/>
      <c r="W7" s="190">
        <f t="shared" si="8"/>
        <v>0</v>
      </c>
      <c r="X7" s="171"/>
      <c r="Y7" s="191">
        <f t="shared" si="9"/>
        <v>11137.788</v>
      </c>
      <c r="Z7" s="192">
        <f t="shared" si="10"/>
        <v>0</v>
      </c>
      <c r="AA7" s="193">
        <f t="shared" si="11"/>
        <v>0</v>
      </c>
      <c r="AB7" s="190">
        <f t="shared" si="12"/>
        <v>0</v>
      </c>
      <c r="AC7" s="191"/>
      <c r="AD7" s="194"/>
      <c r="AE7" s="77"/>
      <c r="AF7" s="77"/>
      <c r="AG7" s="77"/>
    </row>
    <row r="8" spans="1:33" x14ac:dyDescent="0.25">
      <c r="A8" s="180" t="s">
        <v>229</v>
      </c>
      <c r="B8" s="179"/>
      <c r="C8" s="181">
        <v>5</v>
      </c>
      <c r="D8" s="275"/>
      <c r="E8" s="182">
        <v>118160.238</v>
      </c>
      <c r="F8" s="182">
        <v>-50802</v>
      </c>
      <c r="G8" s="182">
        <v>41565</v>
      </c>
      <c r="H8" s="183">
        <f t="shared" si="14"/>
        <v>-9237</v>
      </c>
      <c r="I8" s="184">
        <f t="shared" si="0"/>
        <v>108923.238</v>
      </c>
      <c r="J8" s="171"/>
      <c r="K8" s="171"/>
      <c r="L8" s="171" t="s">
        <v>230</v>
      </c>
      <c r="M8" s="171"/>
      <c r="N8" s="185">
        <v>816.48</v>
      </c>
      <c r="O8" s="186">
        <f>E8</f>
        <v>118160.238</v>
      </c>
      <c r="P8" s="186">
        <f t="shared" si="1"/>
        <v>41565</v>
      </c>
      <c r="Q8" s="195">
        <v>6.9100000000000003E-3</v>
      </c>
      <c r="R8" s="188">
        <f t="shared" si="5"/>
        <v>287.21415000000002</v>
      </c>
      <c r="S8" s="186">
        <f t="shared" si="2"/>
        <v>-50802</v>
      </c>
      <c r="T8" s="187">
        <f t="shared" si="6"/>
        <v>6.9100000000000003E-3</v>
      </c>
      <c r="U8" s="189">
        <f t="shared" si="7"/>
        <v>-351.04182000000003</v>
      </c>
      <c r="V8" s="171"/>
      <c r="W8" s="190">
        <f>N8+R8+U8</f>
        <v>752.65233000000001</v>
      </c>
      <c r="X8" s="171"/>
      <c r="Y8" s="191">
        <f t="shared" si="9"/>
        <v>108923.23800000001</v>
      </c>
      <c r="Z8" s="179">
        <f t="shared" si="10"/>
        <v>6.9100000000000003E-3</v>
      </c>
      <c r="AA8" s="193">
        <f t="shared" si="11"/>
        <v>752.65957458000014</v>
      </c>
      <c r="AB8" s="190">
        <f t="shared" si="12"/>
        <v>-7.2445800001332827E-3</v>
      </c>
      <c r="AC8" s="191">
        <f t="shared" si="13"/>
        <v>-1.0484196816401277</v>
      </c>
      <c r="AD8" s="194">
        <f>AB8/W8</f>
        <v>-9.6254003493661974E-6</v>
      </c>
      <c r="AE8" s="77"/>
      <c r="AF8" s="77"/>
      <c r="AG8" s="77"/>
    </row>
    <row r="9" spans="1:33" x14ac:dyDescent="0.25">
      <c r="A9" s="180" t="s">
        <v>231</v>
      </c>
      <c r="B9" s="179"/>
      <c r="C9" s="181">
        <v>1</v>
      </c>
      <c r="D9" s="275"/>
      <c r="E9" s="182">
        <v>47250.396000000001</v>
      </c>
      <c r="F9" s="182">
        <v>-21399</v>
      </c>
      <c r="G9" s="182">
        <v>16621</v>
      </c>
      <c r="H9" s="183">
        <f t="shared" si="14"/>
        <v>-4778</v>
      </c>
      <c r="I9" s="184">
        <f t="shared" si="0"/>
        <v>42472.396000000001</v>
      </c>
      <c r="J9" s="171"/>
      <c r="K9" s="171"/>
      <c r="L9" s="171" t="s">
        <v>137</v>
      </c>
      <c r="M9" s="171"/>
      <c r="N9" s="185">
        <v>0</v>
      </c>
      <c r="O9" s="186">
        <f>E9</f>
        <v>47250.396000000001</v>
      </c>
      <c r="P9" s="186">
        <f t="shared" si="1"/>
        <v>16621</v>
      </c>
      <c r="Q9" s="187">
        <v>0</v>
      </c>
      <c r="R9" s="188">
        <f t="shared" si="5"/>
        <v>0</v>
      </c>
      <c r="S9" s="186">
        <f t="shared" si="2"/>
        <v>-21399</v>
      </c>
      <c r="T9" s="187">
        <f t="shared" si="6"/>
        <v>0</v>
      </c>
      <c r="U9" s="189">
        <f t="shared" si="7"/>
        <v>0</v>
      </c>
      <c r="V9" s="171"/>
      <c r="W9" s="190">
        <f>N9+R9+U9</f>
        <v>0</v>
      </c>
      <c r="X9" s="171"/>
      <c r="Y9" s="191">
        <f t="shared" si="9"/>
        <v>42472.396000000001</v>
      </c>
      <c r="Z9" s="192">
        <f t="shared" si="10"/>
        <v>0</v>
      </c>
      <c r="AA9" s="193">
        <f t="shared" si="11"/>
        <v>0</v>
      </c>
      <c r="AB9" s="190">
        <f t="shared" si="12"/>
        <v>0</v>
      </c>
      <c r="AC9" s="191"/>
      <c r="AD9" s="194"/>
      <c r="AE9" s="77"/>
      <c r="AF9" s="77"/>
      <c r="AG9" s="77"/>
    </row>
    <row r="10" spans="1:33" x14ac:dyDescent="0.25">
      <c r="A10" s="180" t="s">
        <v>232</v>
      </c>
      <c r="B10" s="179"/>
      <c r="C10" s="181">
        <v>2</v>
      </c>
      <c r="D10" s="274"/>
      <c r="E10" s="182">
        <v>97799.154999999999</v>
      </c>
      <c r="F10" s="182"/>
      <c r="G10" s="182"/>
      <c r="H10" s="183">
        <f t="shared" si="14"/>
        <v>0</v>
      </c>
      <c r="I10" s="184">
        <f t="shared" si="0"/>
        <v>97799.154999999999</v>
      </c>
      <c r="J10" s="171"/>
      <c r="K10" s="171"/>
      <c r="L10" s="171" t="s">
        <v>233</v>
      </c>
      <c r="M10" s="171"/>
      <c r="N10" s="185">
        <v>0</v>
      </c>
      <c r="O10" s="186">
        <v>0</v>
      </c>
      <c r="P10" s="186">
        <v>0</v>
      </c>
      <c r="Q10" s="195">
        <v>6.9100000000000003E-3</v>
      </c>
      <c r="R10" s="188">
        <f t="shared" si="5"/>
        <v>0</v>
      </c>
      <c r="S10" s="186">
        <v>0</v>
      </c>
      <c r="T10" s="187">
        <f t="shared" si="6"/>
        <v>6.9100000000000003E-3</v>
      </c>
      <c r="U10" s="189">
        <f t="shared" si="7"/>
        <v>0</v>
      </c>
      <c r="V10" s="171"/>
      <c r="W10" s="190">
        <f t="shared" si="8"/>
        <v>0</v>
      </c>
      <c r="X10" s="171"/>
      <c r="Y10" s="191">
        <f t="shared" si="9"/>
        <v>0</v>
      </c>
      <c r="Z10" s="179">
        <f t="shared" si="10"/>
        <v>6.9100000000000003E-3</v>
      </c>
      <c r="AA10" s="193">
        <f t="shared" si="11"/>
        <v>0</v>
      </c>
      <c r="AB10" s="190">
        <f t="shared" si="12"/>
        <v>0</v>
      </c>
      <c r="AC10" s="191">
        <f t="shared" si="13"/>
        <v>0</v>
      </c>
      <c r="AD10" s="194"/>
      <c r="AE10" s="77"/>
      <c r="AF10" s="77"/>
      <c r="AG10" s="77"/>
    </row>
    <row r="11" spans="1:33" x14ac:dyDescent="0.25">
      <c r="A11" s="180" t="s">
        <v>234</v>
      </c>
      <c r="B11" s="179"/>
      <c r="C11" s="181">
        <v>39</v>
      </c>
      <c r="D11" s="274"/>
      <c r="E11" s="182">
        <v>3694851</v>
      </c>
      <c r="F11" s="182">
        <v>-3691957</v>
      </c>
      <c r="G11" s="182">
        <v>3110199</v>
      </c>
      <c r="H11" s="183">
        <f t="shared" si="14"/>
        <v>-581758</v>
      </c>
      <c r="I11" s="184">
        <f t="shared" si="0"/>
        <v>3113093</v>
      </c>
      <c r="J11" s="171"/>
      <c r="K11" s="171"/>
      <c r="L11" s="171"/>
      <c r="M11" s="171"/>
      <c r="N11" s="196">
        <f>SUM(N4:N10)</f>
        <v>-285364.06</v>
      </c>
      <c r="O11" s="197">
        <f>SUM(O4:O10)</f>
        <v>17408239.441610001</v>
      </c>
      <c r="P11" s="197">
        <f>SUM(P4:P10)</f>
        <v>6032144</v>
      </c>
      <c r="Q11" s="171"/>
      <c r="R11" s="196">
        <f>SUM(R4:R10)</f>
        <v>-100772.25503999999</v>
      </c>
      <c r="S11" s="197">
        <f>SUM(S4:S10)</f>
        <v>-10060785</v>
      </c>
      <c r="T11" s="198"/>
      <c r="U11" s="196">
        <f>SUM(U4:U10)</f>
        <v>181866.50521999999</v>
      </c>
      <c r="V11" s="171"/>
      <c r="W11" s="196">
        <f>SUM(W4:W10)</f>
        <v>-204269.80981999999</v>
      </c>
      <c r="X11" s="171"/>
      <c r="Y11" s="199">
        <f>SUM(Y4:Y10)</f>
        <v>13379598.441609999</v>
      </c>
      <c r="Z11" s="171"/>
      <c r="AA11" s="199">
        <f>SUM(AA4:AA10)</f>
        <v>-204270.2110508862</v>
      </c>
      <c r="AB11" s="196">
        <f>SUM(AB4:AB10)</f>
        <v>0.40123088616320501</v>
      </c>
      <c r="AC11" s="199">
        <f>SUM(AC4:AC10)</f>
        <v>-11.396411394438191</v>
      </c>
      <c r="AD11" s="194">
        <f t="shared" si="3"/>
        <v>-1.9642201973789698E-6</v>
      </c>
      <c r="AE11" s="77"/>
      <c r="AF11" s="77"/>
      <c r="AG11" s="77"/>
    </row>
    <row r="12" spans="1:33" x14ac:dyDescent="0.25">
      <c r="A12" s="180" t="s">
        <v>235</v>
      </c>
      <c r="B12" s="179"/>
      <c r="C12" s="181">
        <v>3</v>
      </c>
      <c r="D12" s="274"/>
      <c r="E12" s="182">
        <v>814272</v>
      </c>
      <c r="F12" s="182"/>
      <c r="G12" s="182"/>
      <c r="H12" s="183">
        <f t="shared" si="14"/>
        <v>0</v>
      </c>
      <c r="I12" s="184">
        <f t="shared" si="0"/>
        <v>814272</v>
      </c>
      <c r="J12" s="171"/>
      <c r="K12" s="171"/>
      <c r="L12" s="171"/>
      <c r="M12" s="171"/>
      <c r="N12" s="171"/>
      <c r="O12" s="200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77"/>
      <c r="AF12" s="77"/>
      <c r="AG12" s="77"/>
    </row>
    <row r="13" spans="1:33" x14ac:dyDescent="0.25">
      <c r="A13" s="180" t="s">
        <v>236</v>
      </c>
      <c r="B13" s="179"/>
      <c r="C13" s="181">
        <v>5</v>
      </c>
      <c r="D13" s="276"/>
      <c r="E13" s="182">
        <v>4540506</v>
      </c>
      <c r="F13" s="182">
        <v>-4540256</v>
      </c>
      <c r="G13" s="182">
        <v>4029134</v>
      </c>
      <c r="H13" s="183">
        <f t="shared" si="14"/>
        <v>-511122</v>
      </c>
      <c r="I13" s="184">
        <f t="shared" si="0"/>
        <v>4029384</v>
      </c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2" t="s">
        <v>237</v>
      </c>
      <c r="U13" s="171" t="s">
        <v>238</v>
      </c>
      <c r="V13" s="171"/>
      <c r="W13" s="202">
        <v>0.95466099999999998</v>
      </c>
      <c r="X13" s="171"/>
      <c r="Y13" s="171"/>
      <c r="Z13" s="171" t="s">
        <v>239</v>
      </c>
      <c r="AA13" s="171" t="s">
        <v>240</v>
      </c>
      <c r="AB13" s="171"/>
      <c r="AC13" s="171" t="s">
        <v>241</v>
      </c>
      <c r="AD13" s="171"/>
      <c r="AE13" s="77"/>
      <c r="AF13" s="77"/>
      <c r="AG13" s="77"/>
    </row>
    <row r="14" spans="1:33" x14ac:dyDescent="0.25">
      <c r="A14" s="179"/>
      <c r="B14" s="179"/>
      <c r="C14" s="203">
        <f t="shared" ref="C14:I14" si="15">SUM(C4:C13)</f>
        <v>166263</v>
      </c>
      <c r="D14" s="203">
        <f t="shared" si="15"/>
        <v>0</v>
      </c>
      <c r="E14" s="203">
        <f t="shared" si="15"/>
        <v>26555667.596610002</v>
      </c>
      <c r="F14" s="203">
        <f t="shared" si="15"/>
        <v>-18292998</v>
      </c>
      <c r="G14" s="203">
        <f t="shared" si="15"/>
        <v>13171477</v>
      </c>
      <c r="H14" s="203">
        <f t="shared" si="15"/>
        <v>-5121521</v>
      </c>
      <c r="I14" s="203">
        <f t="shared" si="15"/>
        <v>21434146.596609998</v>
      </c>
      <c r="J14" s="171"/>
      <c r="K14" s="171"/>
      <c r="L14" s="171"/>
      <c r="M14" s="171"/>
      <c r="N14" s="171"/>
      <c r="O14" s="171"/>
      <c r="P14" s="171"/>
      <c r="Q14" s="171"/>
      <c r="R14" s="171"/>
      <c r="S14" s="171" t="s">
        <v>184</v>
      </c>
      <c r="T14" s="171" t="s">
        <v>242</v>
      </c>
      <c r="U14" s="171"/>
      <c r="V14" s="171"/>
      <c r="W14" s="204">
        <f>(W4+W5)*W13</f>
        <v>-225602.90229801202</v>
      </c>
      <c r="X14" s="171"/>
      <c r="Y14" s="171" t="s">
        <v>28</v>
      </c>
      <c r="Z14" s="183">
        <f>O4+O5+P4+P5+S4+S5</f>
        <v>8688149.8068300001</v>
      </c>
      <c r="AA14" s="179">
        <v>-2.597E-2</v>
      </c>
      <c r="AB14" s="190">
        <f>Z14*AA14</f>
        <v>-225631.2504833751</v>
      </c>
      <c r="AC14" s="190">
        <f>W14-AB14</f>
        <v>28.34818536308012</v>
      </c>
      <c r="AD14" s="194">
        <f>AC14/W14</f>
        <v>-1.2565523348468874E-4</v>
      </c>
      <c r="AE14" s="77"/>
      <c r="AF14" s="77"/>
      <c r="AG14" s="77"/>
    </row>
    <row r="15" spans="1:33" ht="15.75" thickBot="1" x14ac:dyDescent="0.3">
      <c r="A15" s="179"/>
      <c r="B15" s="179"/>
      <c r="C15" s="179"/>
      <c r="D15" s="179"/>
      <c r="E15" s="179"/>
      <c r="F15" s="179"/>
      <c r="G15" s="179"/>
      <c r="H15" s="179"/>
      <c r="I15" s="179"/>
      <c r="J15" s="171"/>
      <c r="K15" s="171"/>
      <c r="L15" s="171"/>
      <c r="M15" s="171"/>
      <c r="N15" s="171"/>
      <c r="O15" s="171"/>
      <c r="P15" s="171"/>
      <c r="Q15" s="171"/>
      <c r="R15" s="171"/>
      <c r="S15" s="171" t="s">
        <v>184</v>
      </c>
      <c r="T15" s="171" t="s">
        <v>243</v>
      </c>
      <c r="U15" s="171"/>
      <c r="V15" s="171"/>
      <c r="W15" s="204">
        <f>SUM(W6:W10)*W13</f>
        <v>30594.48138544098</v>
      </c>
      <c r="X15" s="171"/>
      <c r="Y15" s="171" t="s">
        <v>244</v>
      </c>
      <c r="Z15" s="183">
        <f>SUM(O6:P10,S6:S10)</f>
        <v>4691448.634779999</v>
      </c>
      <c r="AA15" s="192">
        <v>6.6E-3</v>
      </c>
      <c r="AB15" s="190">
        <f>(Z15-Y9-Y7)*AA15</f>
        <v>30609.733775147997</v>
      </c>
      <c r="AC15" s="190">
        <f>W15-AB15</f>
        <v>-15.252389707016846</v>
      </c>
      <c r="AD15" s="194">
        <f>AC15/W15</f>
        <v>-4.9853401712751416E-4</v>
      </c>
      <c r="AE15" s="77"/>
      <c r="AF15" s="77"/>
      <c r="AG15" s="77"/>
    </row>
    <row r="16" spans="1:33" x14ac:dyDescent="0.25">
      <c r="A16" s="179" t="s">
        <v>28</v>
      </c>
      <c r="B16" s="179"/>
      <c r="C16" s="205">
        <f>C4+C5</f>
        <v>163106</v>
      </c>
      <c r="D16" s="205">
        <f>D4+D5</f>
        <v>0</v>
      </c>
      <c r="E16" s="206">
        <f>E4+E5</f>
        <v>11880514.80683</v>
      </c>
      <c r="F16" s="206">
        <f t="shared" ref="F16:H16" si="16">F4+F5</f>
        <v>-7364449</v>
      </c>
      <c r="G16" s="206">
        <f t="shared" si="16"/>
        <v>4172084</v>
      </c>
      <c r="H16" s="206">
        <f t="shared" si="16"/>
        <v>-3192365</v>
      </c>
      <c r="I16" s="205">
        <f>I4+I5</f>
        <v>8688149.8068300001</v>
      </c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77"/>
      <c r="AF16" s="77"/>
      <c r="AG16" s="77"/>
    </row>
    <row r="17" spans="1:33" x14ac:dyDescent="0.25">
      <c r="A17" s="179"/>
      <c r="B17" s="179"/>
      <c r="C17" s="207"/>
      <c r="D17" s="207"/>
      <c r="E17" s="179"/>
      <c r="F17" s="179"/>
      <c r="G17" s="179"/>
      <c r="H17" s="179"/>
      <c r="I17" s="208"/>
      <c r="J17" s="171"/>
      <c r="K17" s="171"/>
      <c r="L17" s="171"/>
      <c r="M17" s="171"/>
      <c r="N17" s="171"/>
      <c r="O17" s="171"/>
      <c r="P17" s="171"/>
      <c r="Q17" s="171"/>
      <c r="R17" s="190">
        <f>R11+U11</f>
        <v>81094.250180000003</v>
      </c>
      <c r="S17" s="171" t="s">
        <v>320</v>
      </c>
      <c r="T17" s="171"/>
      <c r="U17" s="171"/>
      <c r="V17" s="171"/>
      <c r="W17" s="171"/>
      <c r="X17" s="171"/>
      <c r="Y17" s="171" t="s">
        <v>245</v>
      </c>
      <c r="Z17" s="171"/>
      <c r="AA17" s="171"/>
      <c r="AB17" s="171"/>
      <c r="AC17" s="171"/>
      <c r="AD17" s="171"/>
      <c r="AE17" s="77"/>
      <c r="AF17" s="77"/>
      <c r="AG17" s="77"/>
    </row>
    <row r="18" spans="1:33" ht="15.75" thickBot="1" x14ac:dyDescent="0.3">
      <c r="A18" s="179" t="s">
        <v>244</v>
      </c>
      <c r="B18" s="179"/>
      <c r="C18" s="209">
        <f>SUM(C6:C9)</f>
        <v>3108</v>
      </c>
      <c r="D18" s="209">
        <f>SUM(D6:D9)</f>
        <v>0</v>
      </c>
      <c r="E18" s="210">
        <f>SUM(E6:E9)</f>
        <v>5527724.634779999</v>
      </c>
      <c r="F18" s="210">
        <f t="shared" ref="F18:H18" si="17">SUM(F6:F9)</f>
        <v>-2696336</v>
      </c>
      <c r="G18" s="210">
        <f t="shared" si="17"/>
        <v>1860060</v>
      </c>
      <c r="H18" s="210">
        <f t="shared" si="17"/>
        <v>-836276</v>
      </c>
      <c r="I18" s="209">
        <f>SUM(I6:I9)</f>
        <v>4691448.634779999</v>
      </c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77"/>
      <c r="AF18" s="77"/>
      <c r="AG18" s="77"/>
    </row>
    <row r="19" spans="1:33" x14ac:dyDescent="0.25">
      <c r="A19" s="179"/>
      <c r="B19" s="179"/>
      <c r="C19" s="179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77"/>
      <c r="AF19" s="77"/>
      <c r="AG19" s="77"/>
    </row>
    <row r="20" spans="1:33" ht="51.75" x14ac:dyDescent="0.25">
      <c r="A20" s="174"/>
      <c r="B20" s="211"/>
      <c r="C20" s="177" t="s">
        <v>246</v>
      </c>
      <c r="D20" s="212" t="s">
        <v>247</v>
      </c>
      <c r="E20" s="177" t="s">
        <v>248</v>
      </c>
      <c r="F20" s="177" t="s">
        <v>249</v>
      </c>
      <c r="G20" s="177" t="s">
        <v>250</v>
      </c>
      <c r="H20" s="177" t="s">
        <v>251</v>
      </c>
      <c r="I20" s="177" t="s">
        <v>252</v>
      </c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77"/>
      <c r="AF20" s="77"/>
      <c r="AG20" s="77"/>
    </row>
    <row r="21" spans="1:33" x14ac:dyDescent="0.25">
      <c r="A21" s="179"/>
      <c r="B21" s="179"/>
      <c r="C21" s="179"/>
      <c r="D21" s="179"/>
      <c r="E21" s="179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77"/>
      <c r="AF21" s="77"/>
      <c r="AG21" s="77"/>
    </row>
    <row r="22" spans="1:33" x14ac:dyDescent="0.25">
      <c r="A22" s="180" t="s">
        <v>221</v>
      </c>
      <c r="B22" s="179"/>
      <c r="C22" s="213">
        <v>1568256</v>
      </c>
      <c r="D22" s="213">
        <v>6265225.6799999997</v>
      </c>
      <c r="E22" s="213">
        <v>-5260400.7555772401</v>
      </c>
      <c r="F22" s="213">
        <f>3228804-F23</f>
        <v>3228007.6548804585</v>
      </c>
      <c r="G22" s="214">
        <f>SUM(D22:F22)</f>
        <v>4232832.5793032181</v>
      </c>
      <c r="H22" s="190">
        <f>-J54</f>
        <v>611831.47519999999</v>
      </c>
      <c r="I22" s="190">
        <f t="shared" ref="I22:I31" si="18">G22+H22</f>
        <v>4844664.0545032183</v>
      </c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77"/>
      <c r="AF22" s="77"/>
      <c r="AG22" s="77"/>
    </row>
    <row r="23" spans="1:33" x14ac:dyDescent="0.25">
      <c r="A23" s="180" t="s">
        <v>223</v>
      </c>
      <c r="B23" s="179"/>
      <c r="C23" s="213">
        <v>1558</v>
      </c>
      <c r="D23" s="213">
        <v>6555.1</v>
      </c>
      <c r="E23" s="213">
        <v>-1596.24442276377</v>
      </c>
      <c r="F23" s="213">
        <f>G5*(K23-C23)/E5</f>
        <v>796.34511954168568</v>
      </c>
      <c r="G23" s="214">
        <f>SUM(D23:F23)</f>
        <v>5755.2006967779162</v>
      </c>
      <c r="H23" s="190">
        <f>-J55</f>
        <v>-662.6271499999998</v>
      </c>
      <c r="I23" s="190">
        <f t="shared" si="18"/>
        <v>5092.5735467779159</v>
      </c>
      <c r="J23" s="171"/>
      <c r="K23" s="277">
        <v>3821.91</v>
      </c>
      <c r="L23" s="171" t="s">
        <v>277</v>
      </c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77"/>
      <c r="AF23" s="77"/>
      <c r="AG23" s="77"/>
    </row>
    <row r="24" spans="1:33" x14ac:dyDescent="0.25">
      <c r="A24" s="180" t="s">
        <v>225</v>
      </c>
      <c r="B24" s="179"/>
      <c r="C24" s="213">
        <v>302739.45</v>
      </c>
      <c r="D24" s="213">
        <v>1646029.97</v>
      </c>
      <c r="E24" s="213">
        <v>-1251048</v>
      </c>
      <c r="F24" s="213">
        <v>858754</v>
      </c>
      <c r="G24" s="214">
        <f>SUM(D24:F24)</f>
        <v>1253735.97</v>
      </c>
      <c r="H24" s="190">
        <f>-J56</f>
        <v>183522.16585000002</v>
      </c>
      <c r="I24" s="190">
        <f t="shared" si="18"/>
        <v>1437258.13585</v>
      </c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77"/>
      <c r="AF24" s="77"/>
      <c r="AG24" s="77"/>
    </row>
    <row r="25" spans="1:33" x14ac:dyDescent="0.25">
      <c r="A25" s="180" t="s">
        <v>227</v>
      </c>
      <c r="B25" s="179"/>
      <c r="C25" s="213">
        <v>97.25</v>
      </c>
      <c r="D25" s="213">
        <v>3220.16</v>
      </c>
      <c r="E25" s="213">
        <v>-2974</v>
      </c>
      <c r="F25" s="213">
        <v>2370</v>
      </c>
      <c r="G25" s="214">
        <f>SUM(D25:F25)</f>
        <v>2616.16</v>
      </c>
      <c r="H25" s="190">
        <f>-J57</f>
        <v>325.01880000000006</v>
      </c>
      <c r="I25" s="190">
        <f>G25+H25</f>
        <v>2941.1787999999997</v>
      </c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77"/>
      <c r="AF25" s="77"/>
      <c r="AG25" s="77"/>
    </row>
    <row r="26" spans="1:33" x14ac:dyDescent="0.25">
      <c r="A26" s="180" t="s">
        <v>229</v>
      </c>
      <c r="B26" s="179"/>
      <c r="C26" s="213">
        <v>1202.23</v>
      </c>
      <c r="D26" s="213">
        <v>23703.96</v>
      </c>
      <c r="E26" s="213">
        <v>-20061</v>
      </c>
      <c r="F26" s="213">
        <v>16413</v>
      </c>
      <c r="G26" s="214">
        <f t="shared" ref="G26:G31" si="19">SUM(D26:F26)</f>
        <v>20055.96</v>
      </c>
      <c r="H26" s="190">
        <f t="shared" ref="H26:H31" si="20">-J58</f>
        <v>2318.5793699999999</v>
      </c>
      <c r="I26" s="190">
        <f t="shared" si="18"/>
        <v>22374.539369999999</v>
      </c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77"/>
      <c r="AF26" s="77"/>
      <c r="AG26" s="77"/>
    </row>
    <row r="27" spans="1:33" x14ac:dyDescent="0.25">
      <c r="A27" s="180" t="s">
        <v>231</v>
      </c>
      <c r="B27" s="179"/>
      <c r="C27" s="213">
        <v>240.46</v>
      </c>
      <c r="D27" s="213">
        <v>9278.7000000000007</v>
      </c>
      <c r="E27" s="213">
        <v>-8189</v>
      </c>
      <c r="F27" s="213">
        <v>6361</v>
      </c>
      <c r="G27" s="214">
        <f t="shared" si="19"/>
        <v>7450.7000000000007</v>
      </c>
      <c r="H27" s="190">
        <f t="shared" si="20"/>
        <v>1405.8309400000001</v>
      </c>
      <c r="I27" s="190">
        <f t="shared" si="18"/>
        <v>8856.5309400000006</v>
      </c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77"/>
      <c r="AF27" s="77"/>
      <c r="AG27" s="77"/>
    </row>
    <row r="28" spans="1:33" x14ac:dyDescent="0.25">
      <c r="A28" s="180" t="s">
        <v>232</v>
      </c>
      <c r="B28" s="179"/>
      <c r="C28" s="213">
        <v>0</v>
      </c>
      <c r="D28" s="213">
        <v>19748.61</v>
      </c>
      <c r="E28" s="213"/>
      <c r="F28" s="213"/>
      <c r="G28" s="214">
        <f t="shared" si="19"/>
        <v>19748.61</v>
      </c>
      <c r="H28" s="190">
        <f t="shared" si="20"/>
        <v>0</v>
      </c>
      <c r="I28" s="190">
        <f t="shared" si="18"/>
        <v>19748.61</v>
      </c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77"/>
      <c r="AF28" s="77"/>
      <c r="AG28" s="77"/>
    </row>
    <row r="29" spans="1:33" x14ac:dyDescent="0.25">
      <c r="A29" s="180" t="s">
        <v>234</v>
      </c>
      <c r="B29" s="179"/>
      <c r="C29" s="213">
        <v>21450</v>
      </c>
      <c r="D29" s="213">
        <v>319092.86</v>
      </c>
      <c r="E29" s="213">
        <v>-191206</v>
      </c>
      <c r="F29" s="213">
        <v>161077</v>
      </c>
      <c r="G29" s="214">
        <f t="shared" si="19"/>
        <v>288963.86</v>
      </c>
      <c r="H29" s="190">
        <f t="shared" si="20"/>
        <v>-1303.1379199999999</v>
      </c>
      <c r="I29" s="190">
        <f t="shared" si="18"/>
        <v>287660.72207999998</v>
      </c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77"/>
      <c r="AF29" s="77"/>
      <c r="AG29" s="77"/>
    </row>
    <row r="30" spans="1:33" x14ac:dyDescent="0.25">
      <c r="A30" s="180" t="s">
        <v>235</v>
      </c>
      <c r="B30" s="179"/>
      <c r="C30" s="213">
        <v>0</v>
      </c>
      <c r="D30" s="213">
        <v>17026.43</v>
      </c>
      <c r="E30" s="213"/>
      <c r="F30" s="213"/>
      <c r="G30" s="214">
        <f t="shared" si="19"/>
        <v>17026.43</v>
      </c>
      <c r="H30" s="190">
        <f t="shared" si="20"/>
        <v>0</v>
      </c>
      <c r="I30" s="190">
        <f t="shared" si="18"/>
        <v>17026.43</v>
      </c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77"/>
      <c r="AF30" s="77"/>
      <c r="AG30" s="77"/>
    </row>
    <row r="31" spans="1:33" x14ac:dyDescent="0.25">
      <c r="A31" s="180" t="s">
        <v>236</v>
      </c>
      <c r="B31" s="179"/>
      <c r="C31" s="213">
        <v>1000</v>
      </c>
      <c r="D31" s="213">
        <v>108404.16</v>
      </c>
      <c r="E31" s="213">
        <v>-94937</v>
      </c>
      <c r="F31" s="213">
        <v>84249</v>
      </c>
      <c r="G31" s="214">
        <f t="shared" si="19"/>
        <v>97716.160000000003</v>
      </c>
      <c r="H31" s="190">
        <f t="shared" si="20"/>
        <v>0</v>
      </c>
      <c r="I31" s="190">
        <f t="shared" si="18"/>
        <v>97716.160000000003</v>
      </c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77"/>
      <c r="AF31" s="77"/>
      <c r="AG31" s="77"/>
    </row>
    <row r="32" spans="1:33" x14ac:dyDescent="0.25">
      <c r="A32" s="180" t="s">
        <v>253</v>
      </c>
      <c r="B32" s="179"/>
      <c r="C32" s="213"/>
      <c r="D32" s="213">
        <v>3533956.37</v>
      </c>
      <c r="E32" s="213"/>
      <c r="F32" s="213"/>
      <c r="G32" s="214"/>
      <c r="H32" s="190"/>
      <c r="I32" s="190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77"/>
      <c r="AF32" s="77"/>
      <c r="AG32" s="77"/>
    </row>
    <row r="33" spans="1:33" x14ac:dyDescent="0.25">
      <c r="A33" s="180" t="s">
        <v>254</v>
      </c>
      <c r="B33" s="179"/>
      <c r="C33" s="215"/>
      <c r="D33" s="213">
        <v>468475.57</v>
      </c>
      <c r="E33" s="213"/>
      <c r="F33" s="213"/>
      <c r="G33" s="214"/>
      <c r="H33" s="190"/>
      <c r="I33" s="190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77"/>
      <c r="AF33" s="77"/>
      <c r="AG33" s="77"/>
    </row>
    <row r="34" spans="1:33" x14ac:dyDescent="0.25">
      <c r="A34" s="179"/>
      <c r="B34" s="179"/>
      <c r="C34" s="196">
        <f>SUM(C22:C31)</f>
        <v>1896543.39</v>
      </c>
      <c r="D34" s="216">
        <f>SUM(D22:D33)</f>
        <v>12420717.57</v>
      </c>
      <c r="E34" s="216">
        <f>SUM(E22:E33)</f>
        <v>-6830412.0000000037</v>
      </c>
      <c r="F34" s="216">
        <f>SUM(F22:F33)</f>
        <v>4358028</v>
      </c>
      <c r="G34" s="216">
        <f t="shared" ref="G34:I34" si="21">SUM(G22:G33)</f>
        <v>5945901.6299999962</v>
      </c>
      <c r="H34" s="216">
        <f t="shared" si="21"/>
        <v>797437.30509000004</v>
      </c>
      <c r="I34" s="216">
        <f t="shared" si="21"/>
        <v>6743338.9350899961</v>
      </c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77"/>
      <c r="AF34" s="77"/>
      <c r="AG34" s="77"/>
    </row>
    <row r="35" spans="1:33" ht="15.75" thickBot="1" x14ac:dyDescent="0.3">
      <c r="A35" s="179"/>
      <c r="B35" s="179"/>
      <c r="C35" s="171"/>
      <c r="D35" s="217"/>
      <c r="E35" s="179"/>
      <c r="F35" s="179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77"/>
      <c r="AF35" s="77"/>
      <c r="AG35" s="77"/>
    </row>
    <row r="36" spans="1:33" x14ac:dyDescent="0.25">
      <c r="A36" s="179" t="s">
        <v>28</v>
      </c>
      <c r="B36" s="179"/>
      <c r="C36" s="218">
        <f>C22+C23</f>
        <v>1569814</v>
      </c>
      <c r="D36" s="188">
        <f>D22+D23</f>
        <v>6271780.7799999993</v>
      </c>
      <c r="E36" s="188">
        <f t="shared" ref="E36:H36" si="22">E22+E23</f>
        <v>-5261997.0000000037</v>
      </c>
      <c r="F36" s="188">
        <f t="shared" si="22"/>
        <v>3228804</v>
      </c>
      <c r="G36" s="188">
        <f t="shared" si="22"/>
        <v>4238587.7799999956</v>
      </c>
      <c r="H36" s="188">
        <f t="shared" si="22"/>
        <v>611168.84805000003</v>
      </c>
      <c r="I36" s="218">
        <f>I22+I23</f>
        <v>4849756.6280499958</v>
      </c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77"/>
      <c r="AF36" s="77"/>
      <c r="AG36" s="77"/>
    </row>
    <row r="37" spans="1:33" x14ac:dyDescent="0.25">
      <c r="A37" s="179"/>
      <c r="B37" s="179"/>
      <c r="C37" s="219"/>
      <c r="D37" s="188"/>
      <c r="E37" s="179"/>
      <c r="F37" s="179"/>
      <c r="G37" s="171"/>
      <c r="H37" s="171"/>
      <c r="I37" s="220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77"/>
      <c r="AF37" s="77"/>
      <c r="AG37" s="77"/>
    </row>
    <row r="38" spans="1:33" ht="15.75" thickBot="1" x14ac:dyDescent="0.3">
      <c r="A38" s="179" t="s">
        <v>244</v>
      </c>
      <c r="B38" s="179"/>
      <c r="C38" s="221">
        <f>SUM(C24:C27)</f>
        <v>304279.39</v>
      </c>
      <c r="D38" s="222">
        <f>SUM(D24:D27)</f>
        <v>1682232.7899999998</v>
      </c>
      <c r="E38" s="222">
        <f t="shared" ref="E38:H38" si="23">SUM(E24:E27)</f>
        <v>-1282272</v>
      </c>
      <c r="F38" s="222">
        <f t="shared" si="23"/>
        <v>883898</v>
      </c>
      <c r="G38" s="222">
        <f t="shared" si="23"/>
        <v>1283858.7899999998</v>
      </c>
      <c r="H38" s="222">
        <f t="shared" si="23"/>
        <v>187571.59496000002</v>
      </c>
      <c r="I38" s="221">
        <f>SUM(I24:I27)</f>
        <v>1471430.3849599999</v>
      </c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77"/>
      <c r="AF38" s="77"/>
      <c r="AG38" s="77"/>
    </row>
    <row r="39" spans="1:33" x14ac:dyDescent="0.25">
      <c r="A39" s="179"/>
      <c r="B39" s="179"/>
      <c r="C39" s="223"/>
      <c r="D39" s="222"/>
      <c r="E39" s="222"/>
      <c r="F39" s="222"/>
      <c r="G39" s="222"/>
      <c r="H39" s="222"/>
      <c r="I39" s="223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77"/>
      <c r="AF39" s="77"/>
      <c r="AG39" s="77"/>
    </row>
    <row r="40" spans="1:33" ht="76.150000000000006" customHeight="1" x14ac:dyDescent="0.25">
      <c r="A40" s="179" t="s">
        <v>255</v>
      </c>
      <c r="B40" s="171"/>
      <c r="C40" s="224">
        <v>43405</v>
      </c>
      <c r="D40" s="224">
        <v>43405</v>
      </c>
      <c r="E40" s="224">
        <v>43252</v>
      </c>
      <c r="F40" s="224">
        <v>43405</v>
      </c>
      <c r="G40" s="224">
        <v>42278</v>
      </c>
      <c r="H40" s="224">
        <v>43344</v>
      </c>
      <c r="I40" s="224">
        <v>43374</v>
      </c>
      <c r="J40" s="225"/>
      <c r="K40" s="225"/>
      <c r="L40" s="171" t="s">
        <v>276</v>
      </c>
      <c r="M40" s="171"/>
      <c r="N40" s="171"/>
      <c r="O40" s="317" t="s">
        <v>265</v>
      </c>
      <c r="P40" s="317" t="s">
        <v>266</v>
      </c>
      <c r="Q40" s="317" t="s">
        <v>267</v>
      </c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77"/>
      <c r="AE40" s="77"/>
      <c r="AF40" s="77"/>
      <c r="AG40" s="77"/>
    </row>
    <row r="41" spans="1:33" ht="26.25" x14ac:dyDescent="0.25">
      <c r="A41" s="226" t="s">
        <v>256</v>
      </c>
      <c r="B41" s="175"/>
      <c r="C41" s="227" t="s">
        <v>257</v>
      </c>
      <c r="D41" s="227" t="s">
        <v>258</v>
      </c>
      <c r="E41" s="227" t="s">
        <v>259</v>
      </c>
      <c r="F41" s="227" t="s">
        <v>260</v>
      </c>
      <c r="G41" s="227" t="s">
        <v>261</v>
      </c>
      <c r="H41" s="227" t="s">
        <v>262</v>
      </c>
      <c r="I41" s="227" t="s">
        <v>263</v>
      </c>
      <c r="J41" s="279"/>
      <c r="K41" s="317" t="s">
        <v>264</v>
      </c>
      <c r="L41" s="317"/>
      <c r="M41" s="317" t="s">
        <v>275</v>
      </c>
      <c r="N41" s="317"/>
      <c r="O41" s="317"/>
      <c r="P41" s="317"/>
      <c r="Q41" s="317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77"/>
      <c r="AE41" s="77"/>
      <c r="AF41" s="77"/>
      <c r="AG41" s="77"/>
    </row>
    <row r="42" spans="1:33" x14ac:dyDescent="0.25">
      <c r="A42" s="180" t="s">
        <v>221</v>
      </c>
      <c r="B42" s="179"/>
      <c r="C42" s="229">
        <v>0.28637000000000001</v>
      </c>
      <c r="D42" s="229">
        <v>-9.6129999999999993E-2</v>
      </c>
      <c r="E42" s="229">
        <v>-2.1069999999999998E-2</v>
      </c>
      <c r="F42" s="229">
        <v>-2.7199999999999998E-2</v>
      </c>
      <c r="G42" s="229">
        <v>0</v>
      </c>
      <c r="H42" s="229">
        <v>3.0280000000000001E-2</v>
      </c>
      <c r="I42" s="229">
        <v>1.959E-2</v>
      </c>
      <c r="J42" s="229"/>
      <c r="K42" s="230"/>
      <c r="L42" s="231">
        <f>SUM(C42:I42)</f>
        <v>0.19184000000000001</v>
      </c>
      <c r="M42" s="171"/>
      <c r="N42" s="231">
        <f>SUM(C42:I42)</f>
        <v>0.19184000000000001</v>
      </c>
      <c r="O42" s="193">
        <f t="shared" ref="O42:O51" si="24">L42*G4</f>
        <v>799513.91872000007</v>
      </c>
      <c r="P42" s="232">
        <f>-F4*N42</f>
        <v>1411345.3939200002</v>
      </c>
      <c r="Q42" s="193">
        <f>O42-P42</f>
        <v>-611831.4752000001</v>
      </c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77"/>
      <c r="AE42" s="77"/>
      <c r="AF42" s="77"/>
      <c r="AG42" s="77"/>
    </row>
    <row r="43" spans="1:33" x14ac:dyDescent="0.25">
      <c r="A43" s="180" t="s">
        <v>223</v>
      </c>
      <c r="B43" s="179"/>
      <c r="C43" s="229">
        <v>0.28637000000000001</v>
      </c>
      <c r="D43" s="229">
        <v>-9.6129999999999993E-2</v>
      </c>
      <c r="E43" s="229">
        <v>-2.1069999999999998E-2</v>
      </c>
      <c r="F43" s="229">
        <v>-2.7199999999999998E-2</v>
      </c>
      <c r="G43" s="229">
        <v>-0.40662999999999999</v>
      </c>
      <c r="H43" s="229">
        <v>3.0280000000000001E-2</v>
      </c>
      <c r="I43" s="229">
        <v>1.959E-2</v>
      </c>
      <c r="J43" s="229"/>
      <c r="K43" s="230"/>
      <c r="L43" s="231">
        <f t="shared" ref="L43:L51" si="25">SUM(C43:I43)</f>
        <v>-0.21479000000000001</v>
      </c>
      <c r="M43" s="171"/>
      <c r="N43" s="231">
        <f t="shared" ref="N43:N51" si="26">SUM(C43:I43)</f>
        <v>-0.21479000000000001</v>
      </c>
      <c r="O43" s="193">
        <f t="shared" si="24"/>
        <v>-961.40003999999999</v>
      </c>
      <c r="P43" s="232">
        <f t="shared" ref="P43:P51" si="27">-F5*N43</f>
        <v>-1624.02719</v>
      </c>
      <c r="Q43" s="193">
        <f t="shared" ref="Q43:Q51" si="28">O43-P43</f>
        <v>662.62715000000003</v>
      </c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77"/>
      <c r="AE43" s="77"/>
      <c r="AF43" s="77"/>
      <c r="AG43" s="77"/>
    </row>
    <row r="44" spans="1:33" x14ac:dyDescent="0.25">
      <c r="A44" s="180" t="s">
        <v>225</v>
      </c>
      <c r="B44" s="179"/>
      <c r="C44" s="229">
        <v>0.27588000000000001</v>
      </c>
      <c r="D44" s="229">
        <v>-7.9969999999999999E-2</v>
      </c>
      <c r="E44" s="229">
        <v>-1.2E-2</v>
      </c>
      <c r="F44" s="229">
        <v>6.9100000000000003E-3</v>
      </c>
      <c r="G44" s="229">
        <v>0</v>
      </c>
      <c r="H44" s="229">
        <v>1.626E-2</v>
      </c>
      <c r="I44" s="229">
        <v>1.6410000000000001E-2</v>
      </c>
      <c r="J44" s="229"/>
      <c r="K44" s="230"/>
      <c r="L44" s="231">
        <f t="shared" si="25"/>
        <v>0.22349000000000002</v>
      </c>
      <c r="M44" s="171"/>
      <c r="N44" s="231">
        <f t="shared" si="26"/>
        <v>0.22349000000000002</v>
      </c>
      <c r="O44" s="193">
        <f t="shared" si="24"/>
        <v>401739.14279000001</v>
      </c>
      <c r="P44" s="232">
        <f t="shared" si="27"/>
        <v>585261.30864000006</v>
      </c>
      <c r="Q44" s="193">
        <f t="shared" si="28"/>
        <v>-183522.16585000005</v>
      </c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77"/>
      <c r="AE44" s="77"/>
      <c r="AF44" s="77"/>
      <c r="AG44" s="77"/>
    </row>
    <row r="45" spans="1:33" x14ac:dyDescent="0.25">
      <c r="A45" s="180" t="s">
        <v>227</v>
      </c>
      <c r="B45" s="179"/>
      <c r="C45" s="229">
        <v>0.27588000000000001</v>
      </c>
      <c r="D45" s="229">
        <v>0</v>
      </c>
      <c r="E45" s="229">
        <v>-1.2E-2</v>
      </c>
      <c r="F45" s="229">
        <v>0</v>
      </c>
      <c r="G45" s="229">
        <v>0</v>
      </c>
      <c r="H45" s="229">
        <v>1.626E-2</v>
      </c>
      <c r="I45" s="229">
        <v>1.6410000000000001E-2</v>
      </c>
      <c r="J45" s="229"/>
      <c r="K45" s="230"/>
      <c r="L45" s="231">
        <f t="shared" si="25"/>
        <v>0.29654999999999998</v>
      </c>
      <c r="M45" s="171"/>
      <c r="N45" s="231">
        <f t="shared" si="26"/>
        <v>0.29654999999999998</v>
      </c>
      <c r="O45" s="193">
        <f t="shared" si="24"/>
        <v>1276.0546499999998</v>
      </c>
      <c r="P45" s="232">
        <f t="shared" si="27"/>
        <v>1601.0734499999999</v>
      </c>
      <c r="Q45" s="193">
        <f t="shared" si="28"/>
        <v>-325.01880000000006</v>
      </c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77"/>
      <c r="AE45" s="77"/>
      <c r="AF45" s="77"/>
      <c r="AG45" s="77"/>
    </row>
    <row r="46" spans="1:33" x14ac:dyDescent="0.25">
      <c r="A46" s="180" t="s">
        <v>229</v>
      </c>
      <c r="B46" s="179"/>
      <c r="C46" s="229">
        <v>0.27573999999999999</v>
      </c>
      <c r="D46" s="229">
        <v>-5.0130000000000001E-2</v>
      </c>
      <c r="E46" s="229">
        <v>-9.2599999999999991E-3</v>
      </c>
      <c r="F46" s="229">
        <v>6.9100000000000003E-3</v>
      </c>
      <c r="G46" s="229">
        <v>0</v>
      </c>
      <c r="H46" s="229">
        <v>1.2760000000000001E-2</v>
      </c>
      <c r="I46" s="229">
        <v>1.499E-2</v>
      </c>
      <c r="J46" s="229"/>
      <c r="K46" s="230"/>
      <c r="L46" s="231">
        <f t="shared" si="25"/>
        <v>0.25100999999999996</v>
      </c>
      <c r="M46" s="171"/>
      <c r="N46" s="231">
        <f t="shared" si="26"/>
        <v>0.25100999999999996</v>
      </c>
      <c r="O46" s="193">
        <f t="shared" si="24"/>
        <v>10433.230649999998</v>
      </c>
      <c r="P46" s="232">
        <f t="shared" si="27"/>
        <v>12751.810019999997</v>
      </c>
      <c r="Q46" s="193">
        <f t="shared" si="28"/>
        <v>-2318.5793699999995</v>
      </c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77"/>
      <c r="AE46" s="77"/>
      <c r="AF46" s="77"/>
      <c r="AG46" s="77"/>
    </row>
    <row r="47" spans="1:33" x14ac:dyDescent="0.25">
      <c r="A47" s="180" t="s">
        <v>231</v>
      </c>
      <c r="B47" s="179"/>
      <c r="C47" s="229">
        <v>0.27573999999999999</v>
      </c>
      <c r="D47" s="229">
        <v>0</v>
      </c>
      <c r="E47" s="229">
        <v>-9.2599999999999991E-3</v>
      </c>
      <c r="F47" s="229">
        <v>0</v>
      </c>
      <c r="G47" s="229">
        <v>0</v>
      </c>
      <c r="H47" s="229">
        <v>1.2760000000000001E-2</v>
      </c>
      <c r="I47" s="229">
        <v>1.499E-2</v>
      </c>
      <c r="J47" s="229"/>
      <c r="K47" s="230"/>
      <c r="L47" s="231">
        <f t="shared" si="25"/>
        <v>0.29422999999999999</v>
      </c>
      <c r="M47" s="171"/>
      <c r="N47" s="231">
        <f t="shared" si="26"/>
        <v>0.29422999999999999</v>
      </c>
      <c r="O47" s="193">
        <f t="shared" si="24"/>
        <v>4890.3968299999997</v>
      </c>
      <c r="P47" s="232">
        <f t="shared" si="27"/>
        <v>6296.2277699999995</v>
      </c>
      <c r="Q47" s="193">
        <f t="shared" si="28"/>
        <v>-1405.8309399999998</v>
      </c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77"/>
      <c r="AE47" s="77"/>
      <c r="AF47" s="77"/>
      <c r="AG47" s="77"/>
    </row>
    <row r="48" spans="1:33" x14ac:dyDescent="0.25">
      <c r="A48" s="180" t="s">
        <v>232</v>
      </c>
      <c r="B48" s="179"/>
      <c r="C48" s="229">
        <v>0.24138999999999999</v>
      </c>
      <c r="D48" s="229">
        <v>0</v>
      </c>
      <c r="E48" s="229">
        <v>-7.8399999999999997E-3</v>
      </c>
      <c r="F48" s="229">
        <v>0</v>
      </c>
      <c r="G48" s="229">
        <v>0</v>
      </c>
      <c r="H48" s="229">
        <v>1.132E-2</v>
      </c>
      <c r="I48" s="229">
        <v>1.44E-2</v>
      </c>
      <c r="J48" s="229"/>
      <c r="K48" s="230"/>
      <c r="L48" s="231">
        <f t="shared" si="25"/>
        <v>0.25927</v>
      </c>
      <c r="M48" s="171"/>
      <c r="N48" s="231">
        <f t="shared" si="26"/>
        <v>0.25927</v>
      </c>
      <c r="O48" s="193">
        <f t="shared" si="24"/>
        <v>0</v>
      </c>
      <c r="P48" s="232">
        <f t="shared" si="27"/>
        <v>0</v>
      </c>
      <c r="Q48" s="193">
        <f t="shared" si="28"/>
        <v>0</v>
      </c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77"/>
      <c r="AE48" s="77"/>
      <c r="AF48" s="77"/>
      <c r="AG48" s="77"/>
    </row>
    <row r="49" spans="1:33" x14ac:dyDescent="0.25">
      <c r="A49" s="180" t="s">
        <v>234</v>
      </c>
      <c r="B49" s="179"/>
      <c r="C49" s="229">
        <v>5.5999999999999995E-4</v>
      </c>
      <c r="D49" s="229">
        <v>0</v>
      </c>
      <c r="E49" s="229">
        <v>-3.5400000000000002E-3</v>
      </c>
      <c r="F49" s="229">
        <v>0</v>
      </c>
      <c r="G49" s="229">
        <v>0</v>
      </c>
      <c r="H49" s="229">
        <v>0</v>
      </c>
      <c r="I49" s="229">
        <v>7.3999999999999999E-4</v>
      </c>
      <c r="J49" s="229"/>
      <c r="K49" s="230"/>
      <c r="L49" s="231">
        <f t="shared" si="25"/>
        <v>-2.2399999999999998E-3</v>
      </c>
      <c r="M49" s="171"/>
      <c r="N49" s="231">
        <f t="shared" si="26"/>
        <v>-2.2399999999999998E-3</v>
      </c>
      <c r="O49" s="193">
        <f t="shared" si="24"/>
        <v>-6966.8457599999992</v>
      </c>
      <c r="P49" s="232">
        <f t="shared" si="27"/>
        <v>-8269.9836799999994</v>
      </c>
      <c r="Q49" s="193">
        <f t="shared" si="28"/>
        <v>1303.1379200000001</v>
      </c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77"/>
      <c r="AE49" s="77"/>
      <c r="AF49" s="77"/>
      <c r="AG49" s="77"/>
    </row>
    <row r="50" spans="1:33" x14ac:dyDescent="0.25">
      <c r="A50" s="180" t="s">
        <v>235</v>
      </c>
      <c r="B50" s="179"/>
      <c r="C50" s="229">
        <v>0</v>
      </c>
      <c r="D50" s="229">
        <v>0</v>
      </c>
      <c r="E50" s="229">
        <v>0</v>
      </c>
      <c r="F50" s="229">
        <v>0</v>
      </c>
      <c r="G50" s="229">
        <v>0</v>
      </c>
      <c r="H50" s="229">
        <v>0</v>
      </c>
      <c r="I50" s="229">
        <v>0</v>
      </c>
      <c r="J50" s="229"/>
      <c r="K50" s="230"/>
      <c r="L50" s="231">
        <f t="shared" si="25"/>
        <v>0</v>
      </c>
      <c r="M50" s="171"/>
      <c r="N50" s="231">
        <f t="shared" si="26"/>
        <v>0</v>
      </c>
      <c r="O50" s="193">
        <f t="shared" si="24"/>
        <v>0</v>
      </c>
      <c r="P50" s="232">
        <f t="shared" si="27"/>
        <v>0</v>
      </c>
      <c r="Q50" s="193">
        <f t="shared" si="28"/>
        <v>0</v>
      </c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77"/>
      <c r="AE50" s="77"/>
      <c r="AF50" s="77"/>
      <c r="AG50" s="77"/>
    </row>
    <row r="51" spans="1:33" x14ac:dyDescent="0.25">
      <c r="A51" s="180" t="s">
        <v>236</v>
      </c>
      <c r="B51" s="179"/>
      <c r="C51" s="229">
        <v>0</v>
      </c>
      <c r="D51" s="229">
        <v>0</v>
      </c>
      <c r="E51" s="229">
        <v>0</v>
      </c>
      <c r="F51" s="229">
        <v>0</v>
      </c>
      <c r="G51" s="229">
        <v>0</v>
      </c>
      <c r="H51" s="229">
        <v>0</v>
      </c>
      <c r="I51" s="229">
        <v>0</v>
      </c>
      <c r="J51" s="229"/>
      <c r="K51" s="230"/>
      <c r="L51" s="231">
        <f t="shared" si="25"/>
        <v>0</v>
      </c>
      <c r="M51" s="171"/>
      <c r="N51" s="231">
        <f t="shared" si="26"/>
        <v>0</v>
      </c>
      <c r="O51" s="193">
        <f t="shared" si="24"/>
        <v>0</v>
      </c>
      <c r="P51" s="232">
        <f t="shared" si="27"/>
        <v>0</v>
      </c>
      <c r="Q51" s="193">
        <f t="shared" si="28"/>
        <v>0</v>
      </c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77"/>
      <c r="AE51" s="77"/>
      <c r="AF51" s="77"/>
      <c r="AG51" s="77"/>
    </row>
    <row r="52" spans="1:33" x14ac:dyDescent="0.25">
      <c r="A52" s="180"/>
      <c r="B52" s="179"/>
      <c r="C52" s="229"/>
      <c r="D52" s="229"/>
      <c r="E52" s="229"/>
      <c r="F52" s="229"/>
      <c r="G52" s="229"/>
      <c r="H52" s="229"/>
      <c r="I52" s="229"/>
      <c r="J52" s="229"/>
      <c r="K52" s="229"/>
      <c r="L52" s="230"/>
      <c r="M52" s="171"/>
      <c r="O52" s="233">
        <f>SUM(O42:O51)</f>
        <v>1209924.4978400003</v>
      </c>
      <c r="P52" s="233">
        <f>SUM(P42:P51)</f>
        <v>2007361.8029300002</v>
      </c>
      <c r="Q52" s="233">
        <f>SUM(Q42:Q51)</f>
        <v>-797437.30509000015</v>
      </c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77"/>
      <c r="AF52" s="77"/>
      <c r="AG52" s="77"/>
    </row>
    <row r="53" spans="1:33" ht="39" x14ac:dyDescent="0.25">
      <c r="A53" s="226" t="s">
        <v>267</v>
      </c>
      <c r="B53" s="175"/>
      <c r="C53" s="212" t="s">
        <v>268</v>
      </c>
      <c r="D53" s="212" t="s">
        <v>269</v>
      </c>
      <c r="E53" s="212" t="s">
        <v>259</v>
      </c>
      <c r="F53" s="212" t="s">
        <v>260</v>
      </c>
      <c r="G53" s="212" t="s">
        <v>270</v>
      </c>
      <c r="H53" s="212" t="s">
        <v>271</v>
      </c>
      <c r="I53" s="212" t="s">
        <v>272</v>
      </c>
      <c r="J53" s="212" t="s">
        <v>273</v>
      </c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77"/>
      <c r="AF53" s="77"/>
      <c r="AG53" s="77"/>
    </row>
    <row r="54" spans="1:33" x14ac:dyDescent="0.25">
      <c r="A54" s="180" t="s">
        <v>221</v>
      </c>
      <c r="B54" s="171"/>
      <c r="C54" s="188">
        <f>C42*$H4</f>
        <v>-913314.11360000004</v>
      </c>
      <c r="D54" s="188">
        <f t="shared" ref="D54:I54" si="29">D42*$H4</f>
        <v>306585.48639999999</v>
      </c>
      <c r="E54" s="188">
        <f>E42*$H4</f>
        <v>67198.1296</v>
      </c>
      <c r="F54" s="188">
        <f t="shared" si="29"/>
        <v>86748.415999999997</v>
      </c>
      <c r="G54" s="188">
        <f t="shared" si="29"/>
        <v>0</v>
      </c>
      <c r="H54" s="188">
        <f t="shared" si="29"/>
        <v>-96571.398400000005</v>
      </c>
      <c r="I54" s="188">
        <f t="shared" si="29"/>
        <v>-62477.995199999998</v>
      </c>
      <c r="J54" s="188">
        <f>SUM(C54:I54)</f>
        <v>-611831.47519999999</v>
      </c>
      <c r="K54" s="171"/>
      <c r="L54" s="171"/>
      <c r="M54" s="171"/>
      <c r="N54" s="193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77"/>
      <c r="AF54" s="77"/>
      <c r="AG54" s="77"/>
    </row>
    <row r="55" spans="1:33" x14ac:dyDescent="0.25">
      <c r="A55" s="180" t="s">
        <v>223</v>
      </c>
      <c r="B55" s="171"/>
      <c r="C55" s="188">
        <f t="shared" ref="C55:I63" si="30">C43*$H5</f>
        <v>-883.45145000000002</v>
      </c>
      <c r="D55" s="188">
        <f t="shared" si="30"/>
        <v>296.56104999999997</v>
      </c>
      <c r="E55" s="188">
        <f t="shared" si="30"/>
        <v>65.000949999999989</v>
      </c>
      <c r="F55" s="188">
        <f t="shared" si="30"/>
        <v>83.911999999999992</v>
      </c>
      <c r="G55" s="188">
        <f t="shared" si="30"/>
        <v>1254.45355</v>
      </c>
      <c r="H55" s="188">
        <f t="shared" si="30"/>
        <v>-93.413800000000009</v>
      </c>
      <c r="I55" s="188">
        <f t="shared" si="30"/>
        <v>-60.43515</v>
      </c>
      <c r="J55" s="188">
        <f t="shared" ref="J55:J63" si="31">SUM(C55:I55)</f>
        <v>662.6271499999998</v>
      </c>
      <c r="K55" s="171"/>
      <c r="L55" s="171"/>
      <c r="M55" s="171"/>
      <c r="N55" s="193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77"/>
      <c r="AF55" s="77"/>
      <c r="AG55" s="77"/>
    </row>
    <row r="56" spans="1:33" x14ac:dyDescent="0.25">
      <c r="A56" s="180" t="s">
        <v>225</v>
      </c>
      <c r="B56" s="171"/>
      <c r="C56" s="188">
        <f t="shared" si="30"/>
        <v>-226543.00020000001</v>
      </c>
      <c r="D56" s="188">
        <f t="shared" si="30"/>
        <v>65668.565050000005</v>
      </c>
      <c r="E56" s="188">
        <f t="shared" si="30"/>
        <v>9853.98</v>
      </c>
      <c r="F56" s="188">
        <f t="shared" si="30"/>
        <v>-5674.2501499999998</v>
      </c>
      <c r="G56" s="188">
        <f t="shared" si="30"/>
        <v>0</v>
      </c>
      <c r="H56" s="188">
        <f t="shared" si="30"/>
        <v>-13352.142900000001</v>
      </c>
      <c r="I56" s="188">
        <f t="shared" si="30"/>
        <v>-13475.317650000001</v>
      </c>
      <c r="J56" s="188">
        <f t="shared" si="31"/>
        <v>-183522.16585000002</v>
      </c>
      <c r="K56" s="171"/>
      <c r="L56" s="171"/>
      <c r="M56" s="171"/>
      <c r="N56" s="193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77"/>
      <c r="AF56" s="77"/>
      <c r="AG56" s="77"/>
    </row>
    <row r="57" spans="1:33" x14ac:dyDescent="0.25">
      <c r="A57" s="180" t="s">
        <v>227</v>
      </c>
      <c r="B57" s="171"/>
      <c r="C57" s="188">
        <f t="shared" si="30"/>
        <v>-302.36448000000001</v>
      </c>
      <c r="D57" s="188">
        <f t="shared" si="30"/>
        <v>0</v>
      </c>
      <c r="E57" s="188">
        <f t="shared" si="30"/>
        <v>13.152000000000001</v>
      </c>
      <c r="F57" s="188">
        <f t="shared" si="30"/>
        <v>0</v>
      </c>
      <c r="G57" s="188">
        <f t="shared" si="30"/>
        <v>0</v>
      </c>
      <c r="H57" s="188">
        <f t="shared" si="30"/>
        <v>-17.820959999999999</v>
      </c>
      <c r="I57" s="188">
        <f t="shared" si="30"/>
        <v>-17.98536</v>
      </c>
      <c r="J57" s="188">
        <f t="shared" si="31"/>
        <v>-325.01880000000006</v>
      </c>
      <c r="K57" s="171"/>
      <c r="L57" s="171"/>
      <c r="M57" s="171"/>
      <c r="N57" s="193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77"/>
      <c r="AF57" s="77"/>
      <c r="AG57" s="77"/>
    </row>
    <row r="58" spans="1:33" x14ac:dyDescent="0.25">
      <c r="A58" s="180" t="s">
        <v>229</v>
      </c>
      <c r="B58" s="171"/>
      <c r="C58" s="188">
        <f t="shared" si="30"/>
        <v>-2547.0103799999997</v>
      </c>
      <c r="D58" s="188">
        <f t="shared" si="30"/>
        <v>463.05081000000001</v>
      </c>
      <c r="E58" s="188">
        <f t="shared" si="30"/>
        <v>85.53461999999999</v>
      </c>
      <c r="F58" s="188">
        <f t="shared" si="30"/>
        <v>-63.827670000000005</v>
      </c>
      <c r="G58" s="188">
        <f t="shared" si="30"/>
        <v>0</v>
      </c>
      <c r="H58" s="188">
        <f t="shared" si="30"/>
        <v>-117.86412</v>
      </c>
      <c r="I58" s="188">
        <f t="shared" si="30"/>
        <v>-138.46262999999999</v>
      </c>
      <c r="J58" s="188">
        <f t="shared" si="31"/>
        <v>-2318.5793699999999</v>
      </c>
      <c r="K58" s="171"/>
      <c r="L58" s="171"/>
      <c r="M58" s="171"/>
      <c r="N58" s="193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77"/>
      <c r="AF58" s="77"/>
      <c r="AG58" s="77"/>
    </row>
    <row r="59" spans="1:33" x14ac:dyDescent="0.25">
      <c r="A59" s="180" t="s">
        <v>231</v>
      </c>
      <c r="B59" s="171"/>
      <c r="C59" s="188">
        <f t="shared" si="30"/>
        <v>-1317.4857199999999</v>
      </c>
      <c r="D59" s="188">
        <f t="shared" si="30"/>
        <v>0</v>
      </c>
      <c r="E59" s="188">
        <f t="shared" si="30"/>
        <v>44.244279999999996</v>
      </c>
      <c r="F59" s="188">
        <f t="shared" si="30"/>
        <v>0</v>
      </c>
      <c r="G59" s="188">
        <f t="shared" si="30"/>
        <v>0</v>
      </c>
      <c r="H59" s="188">
        <f t="shared" si="30"/>
        <v>-60.967280000000002</v>
      </c>
      <c r="I59" s="188">
        <f t="shared" si="30"/>
        <v>-71.622219999999999</v>
      </c>
      <c r="J59" s="188">
        <f t="shared" si="31"/>
        <v>-1405.8309400000001</v>
      </c>
      <c r="K59" s="171"/>
      <c r="L59" s="171"/>
      <c r="M59" s="171"/>
      <c r="N59" s="193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77"/>
      <c r="AF59" s="77"/>
      <c r="AG59" s="77"/>
    </row>
    <row r="60" spans="1:33" x14ac:dyDescent="0.25">
      <c r="A60" s="180" t="s">
        <v>232</v>
      </c>
      <c r="B60" s="171"/>
      <c r="C60" s="188">
        <f t="shared" si="30"/>
        <v>0</v>
      </c>
      <c r="D60" s="188">
        <f t="shared" si="30"/>
        <v>0</v>
      </c>
      <c r="E60" s="188">
        <f t="shared" si="30"/>
        <v>0</v>
      </c>
      <c r="F60" s="188">
        <f t="shared" si="30"/>
        <v>0</v>
      </c>
      <c r="G60" s="188">
        <f t="shared" si="30"/>
        <v>0</v>
      </c>
      <c r="H60" s="188">
        <f t="shared" si="30"/>
        <v>0</v>
      </c>
      <c r="I60" s="188">
        <f t="shared" si="30"/>
        <v>0</v>
      </c>
      <c r="J60" s="188">
        <f t="shared" si="31"/>
        <v>0</v>
      </c>
      <c r="K60" s="171"/>
      <c r="L60" s="171"/>
      <c r="M60" s="171"/>
      <c r="N60" s="193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77"/>
      <c r="AF60" s="77"/>
      <c r="AG60" s="77"/>
    </row>
    <row r="61" spans="1:33" x14ac:dyDescent="0.25">
      <c r="A61" s="180" t="s">
        <v>234</v>
      </c>
      <c r="B61" s="171"/>
      <c r="C61" s="188">
        <f t="shared" si="30"/>
        <v>-325.78447999999997</v>
      </c>
      <c r="D61" s="188">
        <f t="shared" si="30"/>
        <v>0</v>
      </c>
      <c r="E61" s="188">
        <f t="shared" si="30"/>
        <v>2059.4233199999999</v>
      </c>
      <c r="F61" s="188">
        <f t="shared" si="30"/>
        <v>0</v>
      </c>
      <c r="G61" s="188">
        <f t="shared" si="30"/>
        <v>0</v>
      </c>
      <c r="H61" s="188">
        <f t="shared" si="30"/>
        <v>0</v>
      </c>
      <c r="I61" s="188">
        <f t="shared" si="30"/>
        <v>-430.50092000000001</v>
      </c>
      <c r="J61" s="188">
        <f t="shared" si="31"/>
        <v>1303.1379199999999</v>
      </c>
      <c r="K61" s="171"/>
      <c r="L61" s="171"/>
      <c r="M61" s="171"/>
      <c r="N61" s="193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77"/>
      <c r="AF61" s="77"/>
      <c r="AG61" s="77"/>
    </row>
    <row r="62" spans="1:33" x14ac:dyDescent="0.25">
      <c r="A62" s="180" t="s">
        <v>235</v>
      </c>
      <c r="B62" s="171"/>
      <c r="C62" s="188">
        <f t="shared" si="30"/>
        <v>0</v>
      </c>
      <c r="D62" s="188">
        <f t="shared" si="30"/>
        <v>0</v>
      </c>
      <c r="E62" s="188">
        <f t="shared" si="30"/>
        <v>0</v>
      </c>
      <c r="F62" s="188">
        <f t="shared" si="30"/>
        <v>0</v>
      </c>
      <c r="G62" s="188">
        <f t="shared" si="30"/>
        <v>0</v>
      </c>
      <c r="H62" s="188">
        <f t="shared" si="30"/>
        <v>0</v>
      </c>
      <c r="I62" s="188">
        <f t="shared" si="30"/>
        <v>0</v>
      </c>
      <c r="J62" s="188">
        <f t="shared" si="31"/>
        <v>0</v>
      </c>
      <c r="K62" s="171"/>
      <c r="L62" s="171"/>
      <c r="M62" s="171"/>
      <c r="N62" s="193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77"/>
      <c r="AF62" s="77"/>
      <c r="AG62" s="77"/>
    </row>
    <row r="63" spans="1:33" x14ac:dyDescent="0.25">
      <c r="A63" s="180" t="s">
        <v>236</v>
      </c>
      <c r="B63" s="171"/>
      <c r="C63" s="188">
        <f t="shared" si="30"/>
        <v>0</v>
      </c>
      <c r="D63" s="188">
        <f t="shared" si="30"/>
        <v>0</v>
      </c>
      <c r="E63" s="188">
        <f t="shared" si="30"/>
        <v>0</v>
      </c>
      <c r="F63" s="188">
        <f t="shared" si="30"/>
        <v>0</v>
      </c>
      <c r="G63" s="188">
        <f t="shared" si="30"/>
        <v>0</v>
      </c>
      <c r="H63" s="188">
        <f t="shared" si="30"/>
        <v>0</v>
      </c>
      <c r="I63" s="188">
        <f t="shared" si="30"/>
        <v>0</v>
      </c>
      <c r="J63" s="188">
        <f t="shared" si="31"/>
        <v>0</v>
      </c>
      <c r="K63" s="171"/>
      <c r="L63" s="171"/>
      <c r="M63" s="171"/>
      <c r="N63" s="234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77"/>
      <c r="AF63" s="77"/>
      <c r="AG63" s="77"/>
    </row>
    <row r="64" spans="1:33" x14ac:dyDescent="0.25">
      <c r="A64" s="171"/>
      <c r="B64" s="171"/>
      <c r="C64" s="196">
        <f>SUM(C54:C63)</f>
        <v>-1145233.21031</v>
      </c>
      <c r="D64" s="196">
        <f t="shared" ref="D64:I64" si="32">SUM(D54:D63)</f>
        <v>373013.66331000003</v>
      </c>
      <c r="E64" s="196">
        <f t="shared" si="32"/>
        <v>79319.464770000006</v>
      </c>
      <c r="F64" s="196">
        <f t="shared" si="32"/>
        <v>81094.250180000003</v>
      </c>
      <c r="G64" s="196">
        <f t="shared" si="32"/>
        <v>1254.45355</v>
      </c>
      <c r="H64" s="196">
        <f t="shared" si="32"/>
        <v>-110213.60746</v>
      </c>
      <c r="I64" s="196">
        <f t="shared" si="32"/>
        <v>-76672.319130000003</v>
      </c>
      <c r="J64" s="196">
        <f>SUM(J54:J63)</f>
        <v>-797437.30509000004</v>
      </c>
      <c r="K64" s="171"/>
      <c r="L64" s="171"/>
      <c r="M64" s="171"/>
      <c r="N64" s="234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77"/>
      <c r="AF64" s="77"/>
      <c r="AG64" s="77"/>
    </row>
    <row r="65" spans="1:33" x14ac:dyDescent="0.25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88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77"/>
      <c r="AF65" s="77"/>
      <c r="AG65" s="77"/>
    </row>
    <row r="66" spans="1:33" x14ac:dyDescent="0.25">
      <c r="A66" s="179" t="s">
        <v>28</v>
      </c>
      <c r="B66" s="179"/>
      <c r="C66" s="188">
        <f>C54+C55</f>
        <v>-914197.56505000009</v>
      </c>
      <c r="D66" s="188">
        <f>D54+D55</f>
        <v>306882.04745000001</v>
      </c>
      <c r="E66" s="188">
        <f t="shared" ref="E66:I66" si="33">E54+E55</f>
        <v>67263.130550000002</v>
      </c>
      <c r="F66" s="188">
        <f t="shared" si="33"/>
        <v>86832.327999999994</v>
      </c>
      <c r="G66" s="188">
        <f t="shared" si="33"/>
        <v>1254.45355</v>
      </c>
      <c r="H66" s="188">
        <f t="shared" si="33"/>
        <v>-96664.8122</v>
      </c>
      <c r="I66" s="188">
        <f t="shared" si="33"/>
        <v>-62538.430349999995</v>
      </c>
      <c r="J66" s="188">
        <f>J54+J55</f>
        <v>-611168.84805000003</v>
      </c>
      <c r="K66" s="171"/>
      <c r="L66" s="171"/>
      <c r="M66" s="171"/>
      <c r="N66" s="188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77"/>
      <c r="AF66" s="77"/>
      <c r="AG66" s="77"/>
    </row>
    <row r="67" spans="1:33" x14ac:dyDescent="0.25">
      <c r="A67" s="179"/>
      <c r="B67" s="179"/>
      <c r="C67" s="188"/>
      <c r="D67" s="188"/>
      <c r="E67" s="188"/>
      <c r="F67" s="188"/>
      <c r="G67" s="188"/>
      <c r="H67" s="188"/>
      <c r="I67" s="188"/>
      <c r="J67" s="188"/>
      <c r="K67" s="171"/>
      <c r="L67" s="171"/>
      <c r="M67" s="171"/>
      <c r="N67" s="179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77"/>
      <c r="AF67" s="77"/>
      <c r="AG67" s="77"/>
    </row>
    <row r="68" spans="1:33" x14ac:dyDescent="0.25">
      <c r="A68" s="179" t="s">
        <v>244</v>
      </c>
      <c r="B68" s="179"/>
      <c r="C68" s="222">
        <f>C56+C58</f>
        <v>-229090.01058</v>
      </c>
      <c r="D68" s="222">
        <f>D56+D58</f>
        <v>66131.615860000005</v>
      </c>
      <c r="E68" s="222">
        <f t="shared" ref="E68:I68" si="34">E56+E58</f>
        <v>9939.5146199999999</v>
      </c>
      <c r="F68" s="222">
        <f t="shared" si="34"/>
        <v>-5738.0778199999995</v>
      </c>
      <c r="G68" s="222">
        <f t="shared" si="34"/>
        <v>0</v>
      </c>
      <c r="H68" s="222">
        <f t="shared" si="34"/>
        <v>-13470.007020000001</v>
      </c>
      <c r="I68" s="222">
        <f t="shared" si="34"/>
        <v>-13613.780280000001</v>
      </c>
      <c r="J68" s="222">
        <f>J56+J58</f>
        <v>-185840.74522000001</v>
      </c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77"/>
      <c r="AF68" s="77"/>
      <c r="AG68" s="77"/>
    </row>
    <row r="69" spans="1:33" x14ac:dyDescent="0.25">
      <c r="A69" s="171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77"/>
      <c r="AF69" s="77"/>
      <c r="AG69" s="77"/>
    </row>
    <row r="70" spans="1:33" x14ac:dyDescent="0.25">
      <c r="A70" s="171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77"/>
      <c r="AF70" s="77"/>
      <c r="AG70" s="77"/>
    </row>
    <row r="71" spans="1:33" x14ac:dyDescent="0.25">
      <c r="A71" s="171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77"/>
      <c r="AF71" s="77"/>
      <c r="AG71" s="77"/>
    </row>
    <row r="72" spans="1:33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77"/>
      <c r="AF72" s="77"/>
      <c r="AG72" s="77"/>
    </row>
    <row r="73" spans="1:33" x14ac:dyDescent="0.25">
      <c r="A73" s="171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77"/>
      <c r="AF73" s="77"/>
      <c r="AG73" s="77"/>
    </row>
  </sheetData>
  <mergeCells count="6">
    <mergeCell ref="A1:I1"/>
    <mergeCell ref="O40:O41"/>
    <mergeCell ref="P40:P41"/>
    <mergeCell ref="Q40:Q41"/>
    <mergeCell ref="K41:L41"/>
    <mergeCell ref="M41:N41"/>
  </mergeCells>
  <printOptions horizontalCentered="1"/>
  <pageMargins left="0.45" right="0.45" top="0.5" bottom="0.5" header="0.3" footer="0.3"/>
  <pageSetup scale="80" orientation="landscape" r:id="rId1"/>
  <headerFooter scaleWithDoc="0">
    <oddFooter>&amp;L&amp;F / &amp;A&amp;RPage &amp;P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G73"/>
  <sheetViews>
    <sheetView topLeftCell="J31" zoomScaleNormal="100" workbookViewId="0">
      <selection sqref="A1:XFD1048576"/>
    </sheetView>
  </sheetViews>
  <sheetFormatPr defaultRowHeight="15" x14ac:dyDescent="0.25"/>
  <cols>
    <col min="1" max="1" width="19" customWidth="1"/>
    <col min="2" max="2" width="5.85546875" customWidth="1"/>
    <col min="3" max="3" width="17.42578125" customWidth="1"/>
    <col min="4" max="4" width="16.42578125" customWidth="1"/>
    <col min="5" max="5" width="15.28515625" customWidth="1"/>
    <col min="6" max="6" width="15" customWidth="1"/>
    <col min="7" max="7" width="14.42578125" customWidth="1"/>
    <col min="8" max="8" width="14.7109375" customWidth="1"/>
    <col min="9" max="9" width="17.140625" customWidth="1"/>
    <col min="10" max="10" width="15.7109375" customWidth="1"/>
    <col min="11" max="11" width="10" customWidth="1"/>
    <col min="12" max="12" width="12.28515625" bestFit="1" customWidth="1"/>
    <col min="13" max="13" width="2.28515625" customWidth="1"/>
    <col min="14" max="14" width="17.5703125" customWidth="1"/>
    <col min="15" max="15" width="14.5703125" customWidth="1"/>
    <col min="16" max="16" width="12.85546875" customWidth="1"/>
    <col min="17" max="17" width="13.7109375" customWidth="1"/>
    <col min="18" max="18" width="15.42578125" customWidth="1"/>
    <col min="19" max="19" width="15.28515625" customWidth="1"/>
    <col min="20" max="20" width="11.140625" customWidth="1"/>
    <col min="21" max="21" width="15.5703125" customWidth="1"/>
    <col min="22" max="22" width="2.28515625" customWidth="1"/>
    <col min="23" max="23" width="16.7109375" customWidth="1"/>
    <col min="24" max="24" width="2.42578125" customWidth="1"/>
    <col min="25" max="25" width="14.28515625" customWidth="1"/>
    <col min="26" max="26" width="13.42578125" customWidth="1"/>
    <col min="27" max="27" width="13.85546875" customWidth="1"/>
    <col min="28" max="28" width="14.28515625" customWidth="1"/>
    <col min="29" max="29" width="16.140625" customWidth="1"/>
    <col min="30" max="30" width="10.5703125" customWidth="1"/>
  </cols>
  <sheetData>
    <row r="1" spans="1:33" x14ac:dyDescent="0.25">
      <c r="A1" s="319" t="s">
        <v>207</v>
      </c>
      <c r="B1" s="319"/>
      <c r="C1" s="319"/>
      <c r="D1" s="319"/>
      <c r="E1" s="319"/>
      <c r="F1" s="319"/>
      <c r="G1" s="319"/>
      <c r="H1" s="319"/>
      <c r="I1" s="319"/>
      <c r="J1" s="171"/>
      <c r="K1" s="171"/>
      <c r="L1" s="171" t="s">
        <v>208</v>
      </c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2" t="s">
        <v>209</v>
      </c>
      <c r="AA1" s="173" t="s">
        <v>322</v>
      </c>
      <c r="AB1" s="171"/>
      <c r="AC1" s="172" t="s">
        <v>211</v>
      </c>
      <c r="AD1" s="173" t="s">
        <v>319</v>
      </c>
      <c r="AE1" s="77"/>
      <c r="AF1" s="77"/>
      <c r="AG1" s="77"/>
    </row>
    <row r="2" spans="1:33" ht="51.75" x14ac:dyDescent="0.25">
      <c r="A2" s="174"/>
      <c r="B2" s="175"/>
      <c r="C2" s="176" t="s">
        <v>212</v>
      </c>
      <c r="D2" s="212" t="s">
        <v>321</v>
      </c>
      <c r="E2" s="176" t="s">
        <v>213</v>
      </c>
      <c r="F2" s="177" t="s">
        <v>214</v>
      </c>
      <c r="G2" s="177" t="s">
        <v>215</v>
      </c>
      <c r="H2" s="177" t="s">
        <v>115</v>
      </c>
      <c r="I2" s="177" t="s">
        <v>216</v>
      </c>
      <c r="J2" s="171"/>
      <c r="K2" s="171"/>
      <c r="L2" s="171"/>
      <c r="M2" s="171"/>
      <c r="N2" s="178" t="str">
        <f>AA1&amp;" Billed Schedule 175 Revenue"</f>
        <v>March Billed Schedule 175 Revenue</v>
      </c>
      <c r="O2" s="178" t="str">
        <f>AA1&amp;" Billed Therms"</f>
        <v>March Billed Therms</v>
      </c>
      <c r="P2" s="178" t="str">
        <f>AA1&amp;" Unbilled Therms"</f>
        <v>March Unbilled Therms</v>
      </c>
      <c r="Q2" s="178" t="s">
        <v>217</v>
      </c>
      <c r="R2" s="178" t="s">
        <v>218</v>
      </c>
      <c r="S2" s="178" t="str">
        <f>AD1&amp;" Unbilled Therms reversal"</f>
        <v>February Unbilled Therms reversal</v>
      </c>
      <c r="T2" s="178" t="s">
        <v>217</v>
      </c>
      <c r="U2" s="178" t="str">
        <f>AD1&amp;" Schedule 175 Unbilled Reversal"</f>
        <v>February Schedule 175 Unbilled Reversal</v>
      </c>
      <c r="V2" s="171"/>
      <c r="W2" s="178" t="str">
        <f>"Total "&amp;AA1&amp;" Schedule 175 Revenue"</f>
        <v>Total March Schedule 175 Revenue</v>
      </c>
      <c r="X2" s="171"/>
      <c r="Y2" s="178" t="str">
        <f>"Calendar "&amp;AA1&amp;" Usage"</f>
        <v>Calendar March Usage</v>
      </c>
      <c r="Z2" s="178" t="str">
        <f>Q2</f>
        <v>11/1/2018 rate</v>
      </c>
      <c r="AA2" s="178" t="s">
        <v>219</v>
      </c>
      <c r="AB2" s="178" t="s">
        <v>220</v>
      </c>
      <c r="AC2" s="178" t="str">
        <f>"implied "&amp;AD1&amp;" unbilled/Cancel-Rebill True-up therms"</f>
        <v>implied February unbilled/Cancel-Rebill True-up therms</v>
      </c>
      <c r="AD2" s="171"/>
      <c r="AE2" s="77"/>
      <c r="AF2" s="77"/>
      <c r="AG2" s="77"/>
    </row>
    <row r="3" spans="1:33" x14ac:dyDescent="0.25">
      <c r="A3" s="179"/>
      <c r="B3" s="179"/>
      <c r="C3" s="179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8"/>
      <c r="O3" s="178"/>
      <c r="P3" s="178"/>
      <c r="Q3" s="178"/>
      <c r="R3" s="178"/>
      <c r="S3" s="178"/>
      <c r="T3" s="178"/>
      <c r="U3" s="178"/>
      <c r="V3" s="171"/>
      <c r="W3" s="178"/>
      <c r="X3" s="171"/>
      <c r="Y3" s="178"/>
      <c r="Z3" s="178"/>
      <c r="AA3" s="178"/>
      <c r="AB3" s="178"/>
      <c r="AC3" s="178"/>
      <c r="AD3" s="171"/>
      <c r="AE3" s="77"/>
      <c r="AF3" s="77"/>
      <c r="AG3" s="77"/>
    </row>
    <row r="4" spans="1:33" x14ac:dyDescent="0.25">
      <c r="A4" s="180" t="s">
        <v>221</v>
      </c>
      <c r="B4" s="179"/>
      <c r="C4" s="181">
        <v>166929</v>
      </c>
      <c r="D4" s="274">
        <v>-2892</v>
      </c>
      <c r="E4" s="182">
        <v>23917039.473219998</v>
      </c>
      <c r="F4" s="182">
        <v>-12797322</v>
      </c>
      <c r="G4" s="235">
        <f>7364449-G5</f>
        <v>7356888</v>
      </c>
      <c r="H4" s="183">
        <f>F4+G4</f>
        <v>-5440434</v>
      </c>
      <c r="I4" s="184">
        <f t="shared" ref="I4:I13" si="0">SUM(E4:G4)</f>
        <v>18476605.473219998</v>
      </c>
      <c r="J4" s="171"/>
      <c r="K4" s="171"/>
      <c r="L4" s="171" t="s">
        <v>222</v>
      </c>
      <c r="M4" s="171"/>
      <c r="N4" s="185">
        <v>-650557.69999999995</v>
      </c>
      <c r="O4" s="186">
        <f>E4</f>
        <v>23917039.473219998</v>
      </c>
      <c r="P4" s="186">
        <f t="shared" ref="P4:P9" si="1">G4</f>
        <v>7356888</v>
      </c>
      <c r="Q4" s="187">
        <v>-2.7199999999999998E-2</v>
      </c>
      <c r="R4" s="188">
        <f>P4*Q4</f>
        <v>-200107.3536</v>
      </c>
      <c r="S4" s="186">
        <f t="shared" ref="S4:S9" si="2">F4</f>
        <v>-12797322</v>
      </c>
      <c r="T4" s="187">
        <f>Q4</f>
        <v>-2.7199999999999998E-2</v>
      </c>
      <c r="U4" s="189">
        <f>S4*T4</f>
        <v>348087.15839999996</v>
      </c>
      <c r="V4" s="171"/>
      <c r="W4" s="190">
        <f>N4+R4+U4</f>
        <v>-502577.89520000003</v>
      </c>
      <c r="X4" s="171"/>
      <c r="Y4" s="191">
        <f>O4+P4+S4</f>
        <v>18476605.473219998</v>
      </c>
      <c r="Z4" s="192">
        <f>Q4</f>
        <v>-2.7199999999999998E-2</v>
      </c>
      <c r="AA4" s="193">
        <f>Y4*Z4</f>
        <v>-502563.66887158394</v>
      </c>
      <c r="AB4" s="190">
        <f>W4-AA4</f>
        <v>-14.226328416087199</v>
      </c>
      <c r="AC4" s="191">
        <f>AB4/T4</f>
        <v>523.02678000320589</v>
      </c>
      <c r="AD4" s="194">
        <f t="shared" ref="AD4:AD11" si="3">AB4/W4</f>
        <v>2.8306713351222611E-5</v>
      </c>
      <c r="AE4" s="77"/>
      <c r="AF4" s="77"/>
      <c r="AG4" s="77"/>
    </row>
    <row r="5" spans="1:33" x14ac:dyDescent="0.25">
      <c r="A5" s="180" t="s">
        <v>223</v>
      </c>
      <c r="B5" s="179"/>
      <c r="C5" s="181">
        <v>166</v>
      </c>
      <c r="D5" s="274">
        <v>-2</v>
      </c>
      <c r="E5" s="182">
        <v>24533.96168</v>
      </c>
      <c r="F5" s="182">
        <v>-13182</v>
      </c>
      <c r="G5" s="182">
        <v>7561</v>
      </c>
      <c r="H5" s="183">
        <f>F5+G5</f>
        <v>-5621</v>
      </c>
      <c r="I5" s="184">
        <f t="shared" si="0"/>
        <v>18912.96168</v>
      </c>
      <c r="J5" s="171"/>
      <c r="K5" s="171"/>
      <c r="L5" s="171" t="s">
        <v>224</v>
      </c>
      <c r="M5" s="171"/>
      <c r="N5" s="185">
        <v>-667.3</v>
      </c>
      <c r="O5" s="186">
        <f t="shared" ref="O5:O7" si="4">E5</f>
        <v>24533.96168</v>
      </c>
      <c r="P5" s="186">
        <f t="shared" si="1"/>
        <v>7561</v>
      </c>
      <c r="Q5" s="187">
        <v>-2.7199999999999998E-2</v>
      </c>
      <c r="R5" s="188">
        <f t="shared" ref="R5:R10" si="5">P5*Q5</f>
        <v>-205.6592</v>
      </c>
      <c r="S5" s="186">
        <f t="shared" si="2"/>
        <v>-13182</v>
      </c>
      <c r="T5" s="187">
        <f t="shared" ref="T5:T10" si="6">Q5</f>
        <v>-2.7199999999999998E-2</v>
      </c>
      <c r="U5" s="189">
        <f t="shared" ref="U5:U10" si="7">S5*T5</f>
        <v>358.55039999999997</v>
      </c>
      <c r="V5" s="171"/>
      <c r="W5" s="190">
        <f t="shared" ref="W5:W10" si="8">N5+R5+U5</f>
        <v>-514.40880000000004</v>
      </c>
      <c r="X5" s="171"/>
      <c r="Y5" s="191">
        <f t="shared" ref="Y5:Y10" si="9">O5+P5+S5</f>
        <v>18912.96168</v>
      </c>
      <c r="Z5" s="192">
        <f t="shared" ref="Z5:Z10" si="10">Q5</f>
        <v>-2.7199999999999998E-2</v>
      </c>
      <c r="AA5" s="193">
        <f t="shared" ref="AA5:AA10" si="11">Y5*Z5</f>
        <v>-514.432557696</v>
      </c>
      <c r="AB5" s="190">
        <f t="shared" ref="AB5:AB10" si="12">W5-AA5</f>
        <v>2.375769599996147E-2</v>
      </c>
      <c r="AC5" s="191">
        <f t="shared" ref="AC5:AC10" si="13">AB5/T5</f>
        <v>-0.87344470588093648</v>
      </c>
      <c r="AD5" s="194">
        <f t="shared" si="3"/>
        <v>-4.6184466517605197E-5</v>
      </c>
      <c r="AE5" s="77"/>
      <c r="AF5" s="77"/>
      <c r="AG5" s="77"/>
    </row>
    <row r="6" spans="1:33" x14ac:dyDescent="0.25">
      <c r="A6" s="180" t="s">
        <v>225</v>
      </c>
      <c r="B6" s="179"/>
      <c r="C6" s="181">
        <v>3151</v>
      </c>
      <c r="D6" s="274">
        <v>-53</v>
      </c>
      <c r="E6" s="182">
        <v>8879428.6829899997</v>
      </c>
      <c r="F6" s="182">
        <v>-4671541</v>
      </c>
      <c r="G6" s="182">
        <v>2618736</v>
      </c>
      <c r="H6" s="183">
        <f t="shared" ref="H6:H13" si="14">F6+G6</f>
        <v>-2052805</v>
      </c>
      <c r="I6" s="184">
        <f>SUM(E6:G6)</f>
        <v>6826623.6829899997</v>
      </c>
      <c r="J6" s="171"/>
      <c r="K6" s="171"/>
      <c r="L6" s="171" t="s">
        <v>226</v>
      </c>
      <c r="M6" s="171"/>
      <c r="N6" s="185">
        <v>61356.66</v>
      </c>
      <c r="O6" s="186">
        <f t="shared" si="4"/>
        <v>8879428.6829899997</v>
      </c>
      <c r="P6" s="186">
        <f t="shared" si="1"/>
        <v>2618736</v>
      </c>
      <c r="Q6" s="195">
        <v>6.9100000000000003E-3</v>
      </c>
      <c r="R6" s="188">
        <f t="shared" si="5"/>
        <v>18095.465759999999</v>
      </c>
      <c r="S6" s="186">
        <f t="shared" si="2"/>
        <v>-4671541</v>
      </c>
      <c r="T6" s="187">
        <f t="shared" si="6"/>
        <v>6.9100000000000003E-3</v>
      </c>
      <c r="U6" s="189">
        <f t="shared" si="7"/>
        <v>-32280.348310000001</v>
      </c>
      <c r="V6" s="171"/>
      <c r="W6" s="190">
        <f t="shared" si="8"/>
        <v>47171.777449999994</v>
      </c>
      <c r="X6" s="171"/>
      <c r="Y6" s="191">
        <f t="shared" si="9"/>
        <v>6826623.6829899997</v>
      </c>
      <c r="Z6" s="179">
        <f t="shared" si="10"/>
        <v>6.9100000000000003E-3</v>
      </c>
      <c r="AA6" s="193">
        <f t="shared" si="11"/>
        <v>47171.969649460902</v>
      </c>
      <c r="AB6" s="190">
        <f t="shared" si="12"/>
        <v>-0.19219946090743179</v>
      </c>
      <c r="AC6" s="191">
        <f t="shared" si="13"/>
        <v>-27.814683199338898</v>
      </c>
      <c r="AD6" s="194">
        <f t="shared" si="3"/>
        <v>-4.0744587398928253E-6</v>
      </c>
      <c r="AE6" s="77"/>
      <c r="AF6" s="77"/>
      <c r="AG6" s="77"/>
    </row>
    <row r="7" spans="1:33" x14ac:dyDescent="0.25">
      <c r="A7" s="180" t="s">
        <v>227</v>
      </c>
      <c r="B7" s="179"/>
      <c r="C7" s="181">
        <v>1</v>
      </c>
      <c r="D7" s="274"/>
      <c r="E7" s="182">
        <v>17519.166000000001</v>
      </c>
      <c r="F7" s="182">
        <v>-13099</v>
      </c>
      <c r="G7" s="182">
        <v>5399</v>
      </c>
      <c r="H7" s="183">
        <f>F7+G7</f>
        <v>-7700</v>
      </c>
      <c r="I7" s="184">
        <f>SUM(E7:G7)</f>
        <v>9819.1660000000011</v>
      </c>
      <c r="J7" s="171"/>
      <c r="K7" s="171"/>
      <c r="L7" s="171" t="s">
        <v>228</v>
      </c>
      <c r="M7" s="171"/>
      <c r="N7" s="185">
        <v>0</v>
      </c>
      <c r="O7" s="186">
        <f t="shared" si="4"/>
        <v>17519.166000000001</v>
      </c>
      <c r="P7" s="186">
        <f t="shared" si="1"/>
        <v>5399</v>
      </c>
      <c r="Q7" s="187">
        <v>0</v>
      </c>
      <c r="R7" s="188">
        <f t="shared" si="5"/>
        <v>0</v>
      </c>
      <c r="S7" s="186">
        <f t="shared" si="2"/>
        <v>-13099</v>
      </c>
      <c r="T7" s="187">
        <f t="shared" si="6"/>
        <v>0</v>
      </c>
      <c r="U7" s="189">
        <f t="shared" si="7"/>
        <v>0</v>
      </c>
      <c r="V7" s="171"/>
      <c r="W7" s="190">
        <f t="shared" si="8"/>
        <v>0</v>
      </c>
      <c r="X7" s="171"/>
      <c r="Y7" s="191">
        <f t="shared" si="9"/>
        <v>9819.1660000000011</v>
      </c>
      <c r="Z7" s="192">
        <f t="shared" si="10"/>
        <v>0</v>
      </c>
      <c r="AA7" s="193">
        <f t="shared" si="11"/>
        <v>0</v>
      </c>
      <c r="AB7" s="190">
        <f t="shared" si="12"/>
        <v>0</v>
      </c>
      <c r="AC7" s="191"/>
      <c r="AD7" s="194"/>
      <c r="AE7" s="77"/>
      <c r="AF7" s="77"/>
      <c r="AG7" s="77"/>
    </row>
    <row r="8" spans="1:33" x14ac:dyDescent="0.25">
      <c r="A8" s="180" t="s">
        <v>229</v>
      </c>
      <c r="B8" s="179"/>
      <c r="C8" s="181">
        <v>5</v>
      </c>
      <c r="D8" s="275"/>
      <c r="E8" s="182">
        <v>164839.584</v>
      </c>
      <c r="F8" s="182">
        <v>-99707</v>
      </c>
      <c r="G8" s="182">
        <v>50802</v>
      </c>
      <c r="H8" s="183">
        <f t="shared" si="14"/>
        <v>-48905</v>
      </c>
      <c r="I8" s="184">
        <f t="shared" si="0"/>
        <v>115934.584</v>
      </c>
      <c r="J8" s="171"/>
      <c r="K8" s="171"/>
      <c r="L8" s="171" t="s">
        <v>230</v>
      </c>
      <c r="M8" s="171"/>
      <c r="N8" s="185">
        <v>1139.04</v>
      </c>
      <c r="O8" s="186">
        <f>E8</f>
        <v>164839.584</v>
      </c>
      <c r="P8" s="186">
        <f t="shared" si="1"/>
        <v>50802</v>
      </c>
      <c r="Q8" s="195">
        <v>6.9100000000000003E-3</v>
      </c>
      <c r="R8" s="188">
        <f t="shared" si="5"/>
        <v>351.04182000000003</v>
      </c>
      <c r="S8" s="186">
        <f t="shared" si="2"/>
        <v>-99707</v>
      </c>
      <c r="T8" s="187">
        <f t="shared" si="6"/>
        <v>6.9100000000000003E-3</v>
      </c>
      <c r="U8" s="189">
        <f t="shared" si="7"/>
        <v>-688.97537</v>
      </c>
      <c r="V8" s="171"/>
      <c r="W8" s="190">
        <f>N8+R8+U8</f>
        <v>801.10644999999988</v>
      </c>
      <c r="X8" s="171"/>
      <c r="Y8" s="191">
        <f t="shared" si="9"/>
        <v>115934.584</v>
      </c>
      <c r="Z8" s="179">
        <f t="shared" si="10"/>
        <v>6.9100000000000003E-3</v>
      </c>
      <c r="AA8" s="193">
        <f t="shared" si="11"/>
        <v>801.10797544000002</v>
      </c>
      <c r="AB8" s="190">
        <f t="shared" si="12"/>
        <v>-1.5254400001367685E-3</v>
      </c>
      <c r="AC8" s="191">
        <f t="shared" si="13"/>
        <v>-0.22075832129330947</v>
      </c>
      <c r="AD8" s="194">
        <f>AB8/W8</f>
        <v>-1.9041664190030785E-6</v>
      </c>
      <c r="AE8" s="77"/>
      <c r="AF8" s="77"/>
      <c r="AG8" s="77"/>
    </row>
    <row r="9" spans="1:33" x14ac:dyDescent="0.25">
      <c r="A9" s="180" t="s">
        <v>231</v>
      </c>
      <c r="B9" s="179"/>
      <c r="C9" s="181">
        <v>1</v>
      </c>
      <c r="D9" s="275"/>
      <c r="E9" s="182">
        <v>69433.48</v>
      </c>
      <c r="F9" s="182">
        <v>-32516</v>
      </c>
      <c r="G9" s="182">
        <v>21399</v>
      </c>
      <c r="H9" s="183">
        <f t="shared" si="14"/>
        <v>-11117</v>
      </c>
      <c r="I9" s="184">
        <f t="shared" si="0"/>
        <v>58316.479999999996</v>
      </c>
      <c r="J9" s="171"/>
      <c r="K9" s="171"/>
      <c r="L9" s="171" t="s">
        <v>137</v>
      </c>
      <c r="M9" s="171"/>
      <c r="N9" s="185">
        <v>0</v>
      </c>
      <c r="O9" s="186">
        <f>E9</f>
        <v>69433.48</v>
      </c>
      <c r="P9" s="186">
        <f t="shared" si="1"/>
        <v>21399</v>
      </c>
      <c r="Q9" s="187">
        <v>0</v>
      </c>
      <c r="R9" s="188">
        <f t="shared" si="5"/>
        <v>0</v>
      </c>
      <c r="S9" s="186">
        <f t="shared" si="2"/>
        <v>-32516</v>
      </c>
      <c r="T9" s="187">
        <f t="shared" si="6"/>
        <v>0</v>
      </c>
      <c r="U9" s="189">
        <f t="shared" si="7"/>
        <v>0</v>
      </c>
      <c r="V9" s="171"/>
      <c r="W9" s="190">
        <f>N9+R9+U9</f>
        <v>0</v>
      </c>
      <c r="X9" s="171"/>
      <c r="Y9" s="191">
        <f t="shared" si="9"/>
        <v>58316.479999999996</v>
      </c>
      <c r="Z9" s="192">
        <f t="shared" si="10"/>
        <v>0</v>
      </c>
      <c r="AA9" s="193">
        <f t="shared" si="11"/>
        <v>0</v>
      </c>
      <c r="AB9" s="190">
        <f t="shared" si="12"/>
        <v>0</v>
      </c>
      <c r="AC9" s="191"/>
      <c r="AD9" s="194"/>
      <c r="AE9" s="77"/>
      <c r="AF9" s="77"/>
      <c r="AG9" s="77"/>
    </row>
    <row r="10" spans="1:33" x14ac:dyDescent="0.25">
      <c r="A10" s="180" t="s">
        <v>232</v>
      </c>
      <c r="B10" s="179"/>
      <c r="C10" s="181">
        <v>2</v>
      </c>
      <c r="D10" s="274"/>
      <c r="E10" s="182">
        <v>133435.25399999999</v>
      </c>
      <c r="F10" s="182"/>
      <c r="G10" s="182"/>
      <c r="H10" s="183">
        <f t="shared" si="14"/>
        <v>0</v>
      </c>
      <c r="I10" s="184">
        <f t="shared" si="0"/>
        <v>133435.25399999999</v>
      </c>
      <c r="J10" s="171"/>
      <c r="K10" s="171"/>
      <c r="L10" s="171" t="s">
        <v>233</v>
      </c>
      <c r="M10" s="171"/>
      <c r="N10" s="185">
        <v>0</v>
      </c>
      <c r="O10" s="186">
        <v>0</v>
      </c>
      <c r="P10" s="186">
        <v>0</v>
      </c>
      <c r="Q10" s="195">
        <v>6.9100000000000003E-3</v>
      </c>
      <c r="R10" s="188">
        <f t="shared" si="5"/>
        <v>0</v>
      </c>
      <c r="S10" s="186">
        <v>0</v>
      </c>
      <c r="T10" s="187">
        <f t="shared" si="6"/>
        <v>6.9100000000000003E-3</v>
      </c>
      <c r="U10" s="189">
        <f t="shared" si="7"/>
        <v>0</v>
      </c>
      <c r="V10" s="171"/>
      <c r="W10" s="190">
        <f t="shared" si="8"/>
        <v>0</v>
      </c>
      <c r="X10" s="171"/>
      <c r="Y10" s="191">
        <f t="shared" si="9"/>
        <v>0</v>
      </c>
      <c r="Z10" s="179">
        <f t="shared" si="10"/>
        <v>6.9100000000000003E-3</v>
      </c>
      <c r="AA10" s="193">
        <f t="shared" si="11"/>
        <v>0</v>
      </c>
      <c r="AB10" s="190">
        <f t="shared" si="12"/>
        <v>0</v>
      </c>
      <c r="AC10" s="191">
        <f t="shared" si="13"/>
        <v>0</v>
      </c>
      <c r="AD10" s="194"/>
      <c r="AE10" s="77"/>
      <c r="AF10" s="77"/>
      <c r="AG10" s="77"/>
    </row>
    <row r="11" spans="1:33" x14ac:dyDescent="0.25">
      <c r="A11" s="180" t="s">
        <v>234</v>
      </c>
      <c r="B11" s="179"/>
      <c r="C11" s="181">
        <v>39</v>
      </c>
      <c r="D11" s="274"/>
      <c r="E11" s="182">
        <v>4055434</v>
      </c>
      <c r="F11" s="182">
        <v>-3900871</v>
      </c>
      <c r="G11" s="182">
        <v>3691957</v>
      </c>
      <c r="H11" s="183">
        <f t="shared" si="14"/>
        <v>-208914</v>
      </c>
      <c r="I11" s="184">
        <f t="shared" si="0"/>
        <v>3846520</v>
      </c>
      <c r="J11" s="171"/>
      <c r="K11" s="171"/>
      <c r="L11" s="171"/>
      <c r="M11" s="171"/>
      <c r="N11" s="196">
        <f>SUM(N4:N10)</f>
        <v>-588729.29999999993</v>
      </c>
      <c r="O11" s="197">
        <f>SUM(O4:O10)</f>
        <v>33072794.347889997</v>
      </c>
      <c r="P11" s="197">
        <f>SUM(P4:P10)</f>
        <v>10060785</v>
      </c>
      <c r="Q11" s="171"/>
      <c r="R11" s="196">
        <f>SUM(R4:R10)</f>
        <v>-181866.50521999999</v>
      </c>
      <c r="S11" s="197">
        <f>SUM(S4:S10)</f>
        <v>-17627367</v>
      </c>
      <c r="T11" s="198"/>
      <c r="U11" s="196">
        <f>SUM(U4:U10)</f>
        <v>315476.38511999999</v>
      </c>
      <c r="V11" s="171"/>
      <c r="W11" s="196">
        <f>SUM(W4:W10)</f>
        <v>-455119.42009999999</v>
      </c>
      <c r="X11" s="171"/>
      <c r="Y11" s="199">
        <f>SUM(Y4:Y10)</f>
        <v>25506212.347889997</v>
      </c>
      <c r="Z11" s="171"/>
      <c r="AA11" s="199">
        <f>SUM(AA4:AA10)</f>
        <v>-455105.02380437905</v>
      </c>
      <c r="AB11" s="196">
        <f>SUM(AB4:AB10)</f>
        <v>-14.396295620994806</v>
      </c>
      <c r="AC11" s="199">
        <f>SUM(AC4:AC10)</f>
        <v>494.11789377669271</v>
      </c>
      <c r="AD11" s="194">
        <f t="shared" si="3"/>
        <v>3.1631907989844983E-5</v>
      </c>
      <c r="AE11" s="77"/>
      <c r="AF11" s="77"/>
      <c r="AG11" s="77"/>
    </row>
    <row r="12" spans="1:33" x14ac:dyDescent="0.25">
      <c r="A12" s="180" t="s">
        <v>235</v>
      </c>
      <c r="B12" s="179"/>
      <c r="C12" s="181">
        <v>3</v>
      </c>
      <c r="D12" s="274"/>
      <c r="E12" s="182">
        <v>583729</v>
      </c>
      <c r="F12" s="182">
        <v>0</v>
      </c>
      <c r="G12" s="182"/>
      <c r="H12" s="183">
        <f t="shared" si="14"/>
        <v>0</v>
      </c>
      <c r="I12" s="184">
        <f t="shared" si="0"/>
        <v>583729</v>
      </c>
      <c r="J12" s="171"/>
      <c r="K12" s="171"/>
      <c r="L12" s="171"/>
      <c r="M12" s="171"/>
      <c r="N12" s="171"/>
      <c r="O12" s="200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77"/>
      <c r="AF12" s="77"/>
      <c r="AG12" s="77"/>
    </row>
    <row r="13" spans="1:33" x14ac:dyDescent="0.25">
      <c r="A13" s="180" t="s">
        <v>236</v>
      </c>
      <c r="B13" s="179"/>
      <c r="C13" s="181">
        <v>5</v>
      </c>
      <c r="D13" s="276"/>
      <c r="E13" s="182">
        <v>4089100</v>
      </c>
      <c r="F13" s="182">
        <v>-3966821</v>
      </c>
      <c r="G13" s="182">
        <v>4540256</v>
      </c>
      <c r="H13" s="183">
        <f t="shared" si="14"/>
        <v>573435</v>
      </c>
      <c r="I13" s="184">
        <f t="shared" si="0"/>
        <v>4662535</v>
      </c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2" t="s">
        <v>237</v>
      </c>
      <c r="U13" s="171" t="s">
        <v>238</v>
      </c>
      <c r="V13" s="171"/>
      <c r="W13" s="202">
        <v>0.95466099999999998</v>
      </c>
      <c r="X13" s="171"/>
      <c r="Y13" s="171"/>
      <c r="Z13" s="171" t="s">
        <v>239</v>
      </c>
      <c r="AA13" s="171" t="s">
        <v>240</v>
      </c>
      <c r="AB13" s="171"/>
      <c r="AC13" s="171" t="s">
        <v>241</v>
      </c>
      <c r="AD13" s="171"/>
      <c r="AE13" s="77"/>
      <c r="AF13" s="77"/>
      <c r="AG13" s="77"/>
    </row>
    <row r="14" spans="1:33" x14ac:dyDescent="0.25">
      <c r="A14" s="179"/>
      <c r="B14" s="179"/>
      <c r="C14" s="203">
        <f t="shared" ref="C14:H14" si="15">SUM(C4:C13)</f>
        <v>170302</v>
      </c>
      <c r="D14" s="203">
        <f t="shared" si="15"/>
        <v>-2947</v>
      </c>
      <c r="E14" s="203">
        <f t="shared" si="15"/>
        <v>41934492.601889998</v>
      </c>
      <c r="F14" s="203">
        <f t="shared" si="15"/>
        <v>-25495059</v>
      </c>
      <c r="G14" s="203">
        <f t="shared" si="15"/>
        <v>18292998</v>
      </c>
      <c r="H14" s="203">
        <f t="shared" si="15"/>
        <v>-7202061</v>
      </c>
      <c r="I14" s="203">
        <f t="shared" ref="I14" si="16">SUM(I4:I13)</f>
        <v>34732431.601889998</v>
      </c>
      <c r="J14" s="171"/>
      <c r="K14" s="171"/>
      <c r="L14" s="171"/>
      <c r="M14" s="171"/>
      <c r="N14" s="171"/>
      <c r="O14" s="171"/>
      <c r="P14" s="171"/>
      <c r="Q14" s="171"/>
      <c r="R14" s="171"/>
      <c r="S14" s="171" t="s">
        <v>184</v>
      </c>
      <c r="T14" s="171" t="s">
        <v>242</v>
      </c>
      <c r="U14" s="171"/>
      <c r="V14" s="171"/>
      <c r="W14" s="204">
        <f>(W4+W5)*W13</f>
        <v>-480282.60202894401</v>
      </c>
      <c r="X14" s="171"/>
      <c r="Y14" s="171" t="s">
        <v>28</v>
      </c>
      <c r="Z14" s="183">
        <f>O4+O5+P4+P5+S4+S5</f>
        <v>18495518.434899997</v>
      </c>
      <c r="AA14" s="179">
        <v>-2.597E-2</v>
      </c>
      <c r="AB14" s="190">
        <f>Z14*AA14</f>
        <v>-480328.6137543529</v>
      </c>
      <c r="AC14" s="190">
        <f>W14-AB14</f>
        <v>46.011725408898201</v>
      </c>
      <c r="AD14" s="194">
        <f>AC14/W14</f>
        <v>-9.5801357814175682E-5</v>
      </c>
      <c r="AE14" s="77"/>
      <c r="AF14" s="77"/>
      <c r="AG14" s="77"/>
    </row>
    <row r="15" spans="1:33" ht="15.75" thickBot="1" x14ac:dyDescent="0.3">
      <c r="A15" s="179"/>
      <c r="B15" s="179"/>
      <c r="C15" s="179"/>
      <c r="D15" s="179"/>
      <c r="E15" s="179"/>
      <c r="F15" s="179"/>
      <c r="G15" s="179"/>
      <c r="H15" s="179"/>
      <c r="I15" s="179"/>
      <c r="J15" s="171"/>
      <c r="K15" s="171"/>
      <c r="L15" s="171"/>
      <c r="M15" s="171"/>
      <c r="N15" s="171"/>
      <c r="O15" s="171"/>
      <c r="P15" s="171"/>
      <c r="Q15" s="171"/>
      <c r="R15" s="171"/>
      <c r="S15" s="171" t="s">
        <v>184</v>
      </c>
      <c r="T15" s="171" t="s">
        <v>243</v>
      </c>
      <c r="U15" s="171"/>
      <c r="V15" s="171"/>
      <c r="W15" s="204">
        <f>SUM(W6:W10)*W13</f>
        <v>45797.841316857892</v>
      </c>
      <c r="X15" s="171"/>
      <c r="Y15" s="171" t="s">
        <v>244</v>
      </c>
      <c r="Z15" s="183">
        <f>SUM(O6:P10,S6:S10)</f>
        <v>7010693.9129900001</v>
      </c>
      <c r="AA15" s="192">
        <v>6.6E-3</v>
      </c>
      <c r="AB15" s="190">
        <f>(Z15-Y9-Y7)*AA15</f>
        <v>45820.884562133993</v>
      </c>
      <c r="AC15" s="190">
        <f>W15-AB15</f>
        <v>-23.043245276101516</v>
      </c>
      <c r="AD15" s="194">
        <f>AC15/W15</f>
        <v>-5.0315134105719179E-4</v>
      </c>
      <c r="AE15" s="77"/>
      <c r="AF15" s="77"/>
      <c r="AG15" s="77"/>
    </row>
    <row r="16" spans="1:33" x14ac:dyDescent="0.25">
      <c r="A16" s="179" t="s">
        <v>28</v>
      </c>
      <c r="B16" s="179"/>
      <c r="C16" s="205">
        <f>C4+C5</f>
        <v>167095</v>
      </c>
      <c r="D16" s="205">
        <f>D4+D5</f>
        <v>-2894</v>
      </c>
      <c r="E16" s="206">
        <f>E4+E5</f>
        <v>23941573.434899997</v>
      </c>
      <c r="F16" s="206">
        <f t="shared" ref="F16:H16" si="17">F4+F5</f>
        <v>-12810504</v>
      </c>
      <c r="G16" s="206">
        <f t="shared" si="17"/>
        <v>7364449</v>
      </c>
      <c r="H16" s="206">
        <f t="shared" si="17"/>
        <v>-5446055</v>
      </c>
      <c r="I16" s="205">
        <f>I4+I5</f>
        <v>18495518.434899997</v>
      </c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77"/>
      <c r="AF16" s="77"/>
      <c r="AG16" s="77"/>
    </row>
    <row r="17" spans="1:33" x14ac:dyDescent="0.25">
      <c r="A17" s="179"/>
      <c r="B17" s="179"/>
      <c r="C17" s="207"/>
      <c r="D17" s="207"/>
      <c r="E17" s="179"/>
      <c r="F17" s="179"/>
      <c r="G17" s="179"/>
      <c r="H17" s="179"/>
      <c r="I17" s="208"/>
      <c r="J17" s="171"/>
      <c r="K17" s="171"/>
      <c r="L17" s="171"/>
      <c r="M17" s="171"/>
      <c r="N17" s="171"/>
      <c r="O17" s="171"/>
      <c r="P17" s="171"/>
      <c r="Q17" s="171"/>
      <c r="R17" s="190">
        <f>R11+U11</f>
        <v>133609.8799</v>
      </c>
      <c r="S17" s="171" t="s">
        <v>320</v>
      </c>
      <c r="T17" s="171"/>
      <c r="U17" s="171"/>
      <c r="V17" s="171"/>
      <c r="W17" s="171"/>
      <c r="X17" s="171"/>
      <c r="Y17" s="171" t="s">
        <v>245</v>
      </c>
      <c r="Z17" s="171"/>
      <c r="AA17" s="171"/>
      <c r="AB17" s="171"/>
      <c r="AC17" s="171"/>
      <c r="AD17" s="171"/>
      <c r="AE17" s="77"/>
      <c r="AF17" s="77"/>
      <c r="AG17" s="77"/>
    </row>
    <row r="18" spans="1:33" ht="15.75" thickBot="1" x14ac:dyDescent="0.3">
      <c r="A18" s="179" t="s">
        <v>244</v>
      </c>
      <c r="B18" s="179"/>
      <c r="C18" s="209">
        <f>SUM(C6:C9)</f>
        <v>3158</v>
      </c>
      <c r="D18" s="209">
        <f>SUM(D6:D9)</f>
        <v>-53</v>
      </c>
      <c r="E18" s="210">
        <f>SUM(E6:E9)</f>
        <v>9131220.9129900001</v>
      </c>
      <c r="F18" s="210">
        <f t="shared" ref="F18:H18" si="18">SUM(F6:F9)</f>
        <v>-4816863</v>
      </c>
      <c r="G18" s="210">
        <f t="shared" si="18"/>
        <v>2696336</v>
      </c>
      <c r="H18" s="210">
        <f t="shared" si="18"/>
        <v>-2120527</v>
      </c>
      <c r="I18" s="209">
        <f>SUM(I6:I9)</f>
        <v>7010693.9129900001</v>
      </c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77"/>
      <c r="AF18" s="77"/>
      <c r="AG18" s="77"/>
    </row>
    <row r="19" spans="1:33" x14ac:dyDescent="0.25">
      <c r="A19" s="179"/>
      <c r="B19" s="179"/>
      <c r="C19" s="179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77"/>
      <c r="AF19" s="77"/>
      <c r="AG19" s="77"/>
    </row>
    <row r="20" spans="1:33" ht="51.75" x14ac:dyDescent="0.25">
      <c r="A20" s="174"/>
      <c r="B20" s="211"/>
      <c r="C20" s="177" t="s">
        <v>246</v>
      </c>
      <c r="D20" s="212" t="s">
        <v>247</v>
      </c>
      <c r="E20" s="177" t="s">
        <v>248</v>
      </c>
      <c r="F20" s="177" t="s">
        <v>249</v>
      </c>
      <c r="G20" s="177" t="s">
        <v>250</v>
      </c>
      <c r="H20" s="177" t="s">
        <v>251</v>
      </c>
      <c r="I20" s="177" t="s">
        <v>252</v>
      </c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77"/>
      <c r="AF20" s="77"/>
      <c r="AG20" s="77"/>
    </row>
    <row r="21" spans="1:33" x14ac:dyDescent="0.25">
      <c r="A21" s="179"/>
      <c r="B21" s="179"/>
      <c r="C21" s="179"/>
      <c r="D21" s="179"/>
      <c r="E21" s="179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77"/>
      <c r="AF21" s="77"/>
      <c r="AG21" s="77"/>
    </row>
    <row r="22" spans="1:33" x14ac:dyDescent="0.25">
      <c r="A22" s="180" t="s">
        <v>221</v>
      </c>
      <c r="B22" s="179"/>
      <c r="C22" s="213">
        <v>1604208</v>
      </c>
      <c r="D22" s="213">
        <v>11819472.51</v>
      </c>
      <c r="E22" s="213">
        <v>-10142806.420380777</v>
      </c>
      <c r="F22" s="236">
        <f>5261997-F23</f>
        <v>5260400.7555772364</v>
      </c>
      <c r="G22" s="214">
        <f>SUM(D22:F22)</f>
        <v>6937066.8451964594</v>
      </c>
      <c r="H22" s="190">
        <f>-J54</f>
        <v>1043692.8585600001</v>
      </c>
      <c r="I22" s="190">
        <f t="shared" ref="I22:I31" si="19">G22+H22</f>
        <v>7980759.7037564591</v>
      </c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77"/>
      <c r="AF22" s="77"/>
      <c r="AG22" s="77"/>
    </row>
    <row r="23" spans="1:33" x14ac:dyDescent="0.25">
      <c r="A23" s="180" t="s">
        <v>223</v>
      </c>
      <c r="B23" s="179"/>
      <c r="C23" s="213">
        <v>1586.5</v>
      </c>
      <c r="D23" s="213">
        <v>12035.53</v>
      </c>
      <c r="E23" s="213">
        <v>-2728.5796192235016</v>
      </c>
      <c r="F23" s="213">
        <f>G5*(K23-C23)/E5</f>
        <v>1596.2444227637677</v>
      </c>
      <c r="G23" s="214">
        <f>SUM(D23:F23)</f>
        <v>10903.194803540267</v>
      </c>
      <c r="H23" s="190">
        <f>-J55</f>
        <v>-1207.3345899999999</v>
      </c>
      <c r="I23" s="190">
        <f t="shared" si="19"/>
        <v>9695.8602135402671</v>
      </c>
      <c r="J23" s="171"/>
      <c r="K23" s="277">
        <v>6766</v>
      </c>
      <c r="L23" s="171" t="s">
        <v>277</v>
      </c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77"/>
      <c r="AF23" s="77"/>
      <c r="AG23" s="77"/>
    </row>
    <row r="24" spans="1:33" x14ac:dyDescent="0.25">
      <c r="A24" s="180" t="s">
        <v>225</v>
      </c>
      <c r="B24" s="179"/>
      <c r="C24" s="213">
        <v>306640.94</v>
      </c>
      <c r="D24" s="213">
        <v>2580713.69</v>
      </c>
      <c r="E24" s="213">
        <v>-2464751</v>
      </c>
      <c r="F24" s="213">
        <v>1251048</v>
      </c>
      <c r="G24" s="214">
        <f>SUM(D24:F24)</f>
        <v>1367010.69</v>
      </c>
      <c r="H24" s="190">
        <f>-J56</f>
        <v>458781.38945000002</v>
      </c>
      <c r="I24" s="190">
        <f t="shared" si="19"/>
        <v>1825792.0794500001</v>
      </c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77"/>
      <c r="AF24" s="77"/>
      <c r="AG24" s="77"/>
    </row>
    <row r="25" spans="1:33" x14ac:dyDescent="0.25">
      <c r="A25" s="180" t="s">
        <v>227</v>
      </c>
      <c r="B25" s="179"/>
      <c r="C25" s="213">
        <v>97.25</v>
      </c>
      <c r="D25" s="213">
        <v>4563.91</v>
      </c>
      <c r="E25" s="213">
        <v>-7426</v>
      </c>
      <c r="F25" s="213">
        <v>2974</v>
      </c>
      <c r="G25" s="214">
        <f>SUM(D25:F25)</f>
        <v>111.90999999999985</v>
      </c>
      <c r="H25" s="190">
        <f>-J57</f>
        <v>2283.4350000000004</v>
      </c>
      <c r="I25" s="190">
        <f>G25+H25</f>
        <v>2395.3450000000003</v>
      </c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77"/>
      <c r="AF25" s="77"/>
      <c r="AG25" s="77"/>
    </row>
    <row r="26" spans="1:33" x14ac:dyDescent="0.25">
      <c r="A26" s="180" t="s">
        <v>229</v>
      </c>
      <c r="B26" s="179"/>
      <c r="C26" s="213">
        <v>1274.3499999999999</v>
      </c>
      <c r="D26" s="213">
        <v>31040.12</v>
      </c>
      <c r="E26" s="213">
        <v>-44763</v>
      </c>
      <c r="F26" s="213">
        <v>20061</v>
      </c>
      <c r="G26" s="214">
        <f t="shared" ref="G26:G31" si="20">SUM(D26:F26)</f>
        <v>6338.119999999999</v>
      </c>
      <c r="H26" s="190">
        <f t="shared" ref="H26:H31" si="21">-J58</f>
        <v>12275.644049999999</v>
      </c>
      <c r="I26" s="190">
        <f t="shared" si="19"/>
        <v>18613.764049999998</v>
      </c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77"/>
      <c r="AF26" s="77"/>
      <c r="AG26" s="77"/>
    </row>
    <row r="27" spans="1:33" x14ac:dyDescent="0.25">
      <c r="A27" s="180" t="s">
        <v>231</v>
      </c>
      <c r="B27" s="179"/>
      <c r="C27" s="213">
        <v>240.45</v>
      </c>
      <c r="D27" s="213">
        <v>12470.17</v>
      </c>
      <c r="E27" s="213">
        <v>-14598</v>
      </c>
      <c r="F27" s="213">
        <v>8189</v>
      </c>
      <c r="G27" s="214">
        <f t="shared" si="20"/>
        <v>6061.17</v>
      </c>
      <c r="H27" s="190">
        <f t="shared" si="21"/>
        <v>3270.9549099999995</v>
      </c>
      <c r="I27" s="190">
        <f t="shared" si="19"/>
        <v>9332.1249099999986</v>
      </c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77"/>
      <c r="AF27" s="77"/>
      <c r="AG27" s="77"/>
    </row>
    <row r="28" spans="1:33" x14ac:dyDescent="0.25">
      <c r="A28" s="180" t="s">
        <v>232</v>
      </c>
      <c r="B28" s="179"/>
      <c r="C28" s="213">
        <v>0</v>
      </c>
      <c r="D28" s="213">
        <v>26253.81</v>
      </c>
      <c r="E28" s="213"/>
      <c r="F28" s="213"/>
      <c r="G28" s="214">
        <f t="shared" si="20"/>
        <v>26253.81</v>
      </c>
      <c r="H28" s="190">
        <f t="shared" si="21"/>
        <v>0</v>
      </c>
      <c r="I28" s="190">
        <f t="shared" si="19"/>
        <v>26253.81</v>
      </c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77"/>
      <c r="AF28" s="77"/>
      <c r="AG28" s="77"/>
    </row>
    <row r="29" spans="1:33" x14ac:dyDescent="0.25">
      <c r="A29" s="180" t="s">
        <v>234</v>
      </c>
      <c r="B29" s="179"/>
      <c r="C29" s="213">
        <v>21340</v>
      </c>
      <c r="D29" s="213">
        <v>347895.68</v>
      </c>
      <c r="E29" s="213">
        <v>-223130</v>
      </c>
      <c r="F29" s="213">
        <v>191206</v>
      </c>
      <c r="G29" s="214">
        <f t="shared" si="20"/>
        <v>315971.68</v>
      </c>
      <c r="H29" s="190">
        <f t="shared" si="21"/>
        <v>-467.96735999999999</v>
      </c>
      <c r="I29" s="190">
        <f t="shared" si="19"/>
        <v>315503.71263999998</v>
      </c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77"/>
      <c r="AF29" s="77"/>
      <c r="AG29" s="77"/>
    </row>
    <row r="30" spans="1:33" x14ac:dyDescent="0.25">
      <c r="A30" s="180" t="s">
        <v>235</v>
      </c>
      <c r="B30" s="179"/>
      <c r="C30" s="213">
        <v>0</v>
      </c>
      <c r="D30" s="213">
        <v>12205.77</v>
      </c>
      <c r="E30" s="213"/>
      <c r="F30" s="213"/>
      <c r="G30" s="214">
        <f t="shared" si="20"/>
        <v>12205.77</v>
      </c>
      <c r="H30" s="190">
        <f t="shared" si="21"/>
        <v>0</v>
      </c>
      <c r="I30" s="190">
        <f t="shared" si="19"/>
        <v>12205.77</v>
      </c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77"/>
      <c r="AF30" s="77"/>
      <c r="AG30" s="77"/>
    </row>
    <row r="31" spans="1:33" x14ac:dyDescent="0.25">
      <c r="A31" s="180" t="s">
        <v>236</v>
      </c>
      <c r="B31" s="179"/>
      <c r="C31" s="213">
        <v>1000</v>
      </c>
      <c r="D31" s="213">
        <v>106140.79</v>
      </c>
      <c r="E31" s="213">
        <v>-82946</v>
      </c>
      <c r="F31" s="213">
        <v>94937</v>
      </c>
      <c r="G31" s="214">
        <f t="shared" si="20"/>
        <v>118131.79</v>
      </c>
      <c r="H31" s="190">
        <f t="shared" si="21"/>
        <v>0</v>
      </c>
      <c r="I31" s="190">
        <f t="shared" si="19"/>
        <v>118131.79</v>
      </c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77"/>
      <c r="AF31" s="77"/>
      <c r="AG31" s="77"/>
    </row>
    <row r="32" spans="1:33" x14ac:dyDescent="0.25">
      <c r="A32" s="180" t="s">
        <v>253</v>
      </c>
      <c r="B32" s="179"/>
      <c r="C32" s="213"/>
      <c r="D32" s="213">
        <v>6659919.9699999997</v>
      </c>
      <c r="E32" s="213"/>
      <c r="F32" s="213"/>
      <c r="G32" s="214"/>
      <c r="H32" s="190"/>
      <c r="I32" s="190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77"/>
      <c r="AF32" s="77"/>
      <c r="AG32" s="77"/>
    </row>
    <row r="33" spans="1:33" x14ac:dyDescent="0.25">
      <c r="A33" s="180" t="s">
        <v>254</v>
      </c>
      <c r="B33" s="179"/>
      <c r="C33" s="215"/>
      <c r="D33" s="213">
        <v>800577.72</v>
      </c>
      <c r="E33" s="213"/>
      <c r="F33" s="213"/>
      <c r="G33" s="214"/>
      <c r="H33" s="190"/>
      <c r="I33" s="190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77"/>
      <c r="AF33" s="77"/>
      <c r="AG33" s="77"/>
    </row>
    <row r="34" spans="1:33" x14ac:dyDescent="0.25">
      <c r="A34" s="179"/>
      <c r="B34" s="179"/>
      <c r="C34" s="196">
        <f>SUM(C22:C31)</f>
        <v>1936387.49</v>
      </c>
      <c r="D34" s="216">
        <f>SUM(D22:D33)</f>
        <v>22413289.669999994</v>
      </c>
      <c r="E34" s="216">
        <f>SUM(E22:E33)</f>
        <v>-12983149</v>
      </c>
      <c r="F34" s="216">
        <f>SUM(F22:F33)</f>
        <v>6830412</v>
      </c>
      <c r="G34" s="216">
        <f t="shared" ref="G34:I34" si="22">SUM(G22:G33)</f>
        <v>8800054.9799999986</v>
      </c>
      <c r="H34" s="216">
        <f t="shared" si="22"/>
        <v>1518628.9800200004</v>
      </c>
      <c r="I34" s="216">
        <f t="shared" si="22"/>
        <v>10318683.96002</v>
      </c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77"/>
      <c r="AF34" s="77"/>
      <c r="AG34" s="77"/>
    </row>
    <row r="35" spans="1:33" ht="15.75" thickBot="1" x14ac:dyDescent="0.3">
      <c r="A35" s="179"/>
      <c r="B35" s="179"/>
      <c r="C35" s="171"/>
      <c r="D35" s="217"/>
      <c r="E35" s="179"/>
      <c r="F35" s="179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77"/>
      <c r="AF35" s="77"/>
      <c r="AG35" s="77"/>
    </row>
    <row r="36" spans="1:33" x14ac:dyDescent="0.25">
      <c r="A36" s="179" t="s">
        <v>28</v>
      </c>
      <c r="B36" s="179"/>
      <c r="C36" s="218">
        <f>C22+C23</f>
        <v>1605794.5</v>
      </c>
      <c r="D36" s="188">
        <f>D22+D23</f>
        <v>11831508.039999999</v>
      </c>
      <c r="E36" s="188">
        <f t="shared" ref="E36:H36" si="23">E22+E23</f>
        <v>-10145535</v>
      </c>
      <c r="F36" s="188">
        <f t="shared" si="23"/>
        <v>5261997</v>
      </c>
      <c r="G36" s="188">
        <f t="shared" si="23"/>
        <v>6947970.04</v>
      </c>
      <c r="H36" s="188">
        <f t="shared" si="23"/>
        <v>1042485.5239700001</v>
      </c>
      <c r="I36" s="218">
        <f>I22+I23</f>
        <v>7990455.5639699996</v>
      </c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77"/>
      <c r="AF36" s="77"/>
      <c r="AG36" s="77"/>
    </row>
    <row r="37" spans="1:33" x14ac:dyDescent="0.25">
      <c r="A37" s="179"/>
      <c r="B37" s="179"/>
      <c r="C37" s="219"/>
      <c r="D37" s="188"/>
      <c r="E37" s="179"/>
      <c r="F37" s="179"/>
      <c r="G37" s="171"/>
      <c r="H37" s="171"/>
      <c r="I37" s="220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77"/>
      <c r="AF37" s="77"/>
      <c r="AG37" s="77"/>
    </row>
    <row r="38" spans="1:33" ht="15.75" thickBot="1" x14ac:dyDescent="0.3">
      <c r="A38" s="179" t="s">
        <v>244</v>
      </c>
      <c r="B38" s="179"/>
      <c r="C38" s="221">
        <f>SUM(C24:C27)</f>
        <v>308252.99</v>
      </c>
      <c r="D38" s="222">
        <f>SUM(D24:D27)</f>
        <v>2628787.89</v>
      </c>
      <c r="E38" s="222">
        <f t="shared" ref="E38:H38" si="24">SUM(E24:E27)</f>
        <v>-2531538</v>
      </c>
      <c r="F38" s="222">
        <f t="shared" si="24"/>
        <v>1282272</v>
      </c>
      <c r="G38" s="222">
        <f t="shared" si="24"/>
        <v>1379521.89</v>
      </c>
      <c r="H38" s="222">
        <f t="shared" si="24"/>
        <v>476611.42340999999</v>
      </c>
      <c r="I38" s="221">
        <f>SUM(I24:I27)</f>
        <v>1856133.3134100002</v>
      </c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77"/>
      <c r="AF38" s="77"/>
      <c r="AG38" s="77"/>
    </row>
    <row r="39" spans="1:33" x14ac:dyDescent="0.25">
      <c r="A39" s="179"/>
      <c r="B39" s="179"/>
      <c r="C39" s="223"/>
      <c r="D39" s="222"/>
      <c r="E39" s="222"/>
      <c r="F39" s="222"/>
      <c r="G39" s="222"/>
      <c r="H39" s="222"/>
      <c r="I39" s="223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77"/>
      <c r="AF39" s="77"/>
      <c r="AG39" s="77"/>
    </row>
    <row r="40" spans="1:33" ht="76.150000000000006" customHeight="1" x14ac:dyDescent="0.25">
      <c r="A40" s="179" t="s">
        <v>255</v>
      </c>
      <c r="B40" s="171"/>
      <c r="C40" s="224">
        <v>43405</v>
      </c>
      <c r="D40" s="224">
        <v>43405</v>
      </c>
      <c r="E40" s="224">
        <v>43252</v>
      </c>
      <c r="F40" s="224">
        <v>43405</v>
      </c>
      <c r="G40" s="224">
        <v>42278</v>
      </c>
      <c r="H40" s="224">
        <v>43344</v>
      </c>
      <c r="I40" s="224">
        <v>43374</v>
      </c>
      <c r="J40" s="225"/>
      <c r="K40" s="225"/>
      <c r="L40" s="171" t="s">
        <v>276</v>
      </c>
      <c r="M40" s="171"/>
      <c r="N40" s="171"/>
      <c r="O40" s="317" t="s">
        <v>265</v>
      </c>
      <c r="P40" s="317" t="s">
        <v>266</v>
      </c>
      <c r="Q40" s="317" t="s">
        <v>267</v>
      </c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77"/>
      <c r="AE40" s="77"/>
      <c r="AF40" s="77"/>
      <c r="AG40" s="77"/>
    </row>
    <row r="41" spans="1:33" ht="26.25" x14ac:dyDescent="0.25">
      <c r="A41" s="226" t="s">
        <v>256</v>
      </c>
      <c r="B41" s="175"/>
      <c r="C41" s="227" t="s">
        <v>257</v>
      </c>
      <c r="D41" s="227" t="s">
        <v>258</v>
      </c>
      <c r="E41" s="227" t="s">
        <v>259</v>
      </c>
      <c r="F41" s="227" t="s">
        <v>260</v>
      </c>
      <c r="G41" s="227" t="s">
        <v>261</v>
      </c>
      <c r="H41" s="227" t="s">
        <v>262</v>
      </c>
      <c r="I41" s="227" t="s">
        <v>263</v>
      </c>
      <c r="J41" s="228"/>
      <c r="K41" s="317" t="s">
        <v>264</v>
      </c>
      <c r="L41" s="317"/>
      <c r="M41" s="317" t="s">
        <v>275</v>
      </c>
      <c r="N41" s="317"/>
      <c r="O41" s="317"/>
      <c r="P41" s="317"/>
      <c r="Q41" s="317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77"/>
      <c r="AE41" s="77"/>
      <c r="AF41" s="77"/>
      <c r="AG41" s="77"/>
    </row>
    <row r="42" spans="1:33" x14ac:dyDescent="0.25">
      <c r="A42" s="180" t="s">
        <v>221</v>
      </c>
      <c r="B42" s="179"/>
      <c r="C42" s="229">
        <v>0.28637000000000001</v>
      </c>
      <c r="D42" s="229">
        <v>-9.6129999999999993E-2</v>
      </c>
      <c r="E42" s="229">
        <v>-2.1069999999999998E-2</v>
      </c>
      <c r="F42" s="229">
        <v>-2.7199999999999998E-2</v>
      </c>
      <c r="G42" s="229">
        <v>0</v>
      </c>
      <c r="H42" s="229">
        <v>3.0280000000000001E-2</v>
      </c>
      <c r="I42" s="229">
        <v>1.959E-2</v>
      </c>
      <c r="J42" s="229"/>
      <c r="K42" s="230"/>
      <c r="L42" s="231">
        <f>SUM(C42:I42)</f>
        <v>0.19184000000000001</v>
      </c>
      <c r="M42" s="171"/>
      <c r="N42" s="231">
        <f>SUM(C42:I42)</f>
        <v>0.19184000000000001</v>
      </c>
      <c r="O42" s="193">
        <f t="shared" ref="O42:O51" si="25">L42*G4</f>
        <v>1411345.3939200002</v>
      </c>
      <c r="P42" s="232">
        <f>-F4*N42</f>
        <v>2455038.2524800003</v>
      </c>
      <c r="Q42" s="193">
        <f>O42-P42</f>
        <v>-1043692.8585600001</v>
      </c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77"/>
      <c r="AE42" s="77"/>
      <c r="AF42" s="77"/>
      <c r="AG42" s="77"/>
    </row>
    <row r="43" spans="1:33" x14ac:dyDescent="0.25">
      <c r="A43" s="180" t="s">
        <v>223</v>
      </c>
      <c r="B43" s="179"/>
      <c r="C43" s="229">
        <v>0.28637000000000001</v>
      </c>
      <c r="D43" s="229">
        <v>-9.6129999999999993E-2</v>
      </c>
      <c r="E43" s="229">
        <v>-2.1069999999999998E-2</v>
      </c>
      <c r="F43" s="229">
        <v>-2.7199999999999998E-2</v>
      </c>
      <c r="G43" s="229">
        <v>-0.40662999999999999</v>
      </c>
      <c r="H43" s="229">
        <v>3.0280000000000001E-2</v>
      </c>
      <c r="I43" s="229">
        <v>1.959E-2</v>
      </c>
      <c r="J43" s="229"/>
      <c r="K43" s="230"/>
      <c r="L43" s="231">
        <f t="shared" ref="L43:L51" si="26">SUM(C43:I43)</f>
        <v>-0.21479000000000001</v>
      </c>
      <c r="M43" s="171"/>
      <c r="N43" s="231">
        <f t="shared" ref="N43:N51" si="27">SUM(C43:I43)</f>
        <v>-0.21479000000000001</v>
      </c>
      <c r="O43" s="193">
        <f t="shared" si="25"/>
        <v>-1624.02719</v>
      </c>
      <c r="P43" s="232">
        <f t="shared" ref="P43:P51" si="28">-F5*N43</f>
        <v>-2831.3617800000002</v>
      </c>
      <c r="Q43" s="193">
        <f t="shared" ref="Q43:Q51" si="29">O43-P43</f>
        <v>1207.3345900000002</v>
      </c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77"/>
      <c r="AE43" s="77"/>
      <c r="AF43" s="77"/>
      <c r="AG43" s="77"/>
    </row>
    <row r="44" spans="1:33" x14ac:dyDescent="0.25">
      <c r="A44" s="180" t="s">
        <v>225</v>
      </c>
      <c r="B44" s="179"/>
      <c r="C44" s="229">
        <v>0.27588000000000001</v>
      </c>
      <c r="D44" s="229">
        <v>-7.9969999999999999E-2</v>
      </c>
      <c r="E44" s="229">
        <v>-1.2E-2</v>
      </c>
      <c r="F44" s="229">
        <v>6.9100000000000003E-3</v>
      </c>
      <c r="G44" s="229">
        <v>0</v>
      </c>
      <c r="H44" s="229">
        <v>1.626E-2</v>
      </c>
      <c r="I44" s="229">
        <v>1.6410000000000001E-2</v>
      </c>
      <c r="J44" s="229"/>
      <c r="K44" s="230"/>
      <c r="L44" s="231">
        <f t="shared" si="26"/>
        <v>0.22349000000000002</v>
      </c>
      <c r="M44" s="171"/>
      <c r="N44" s="231">
        <f t="shared" si="27"/>
        <v>0.22349000000000002</v>
      </c>
      <c r="O44" s="193">
        <f t="shared" si="25"/>
        <v>585261.30864000006</v>
      </c>
      <c r="P44" s="232">
        <f t="shared" si="28"/>
        <v>1044042.6980900001</v>
      </c>
      <c r="Q44" s="193">
        <f t="shared" si="29"/>
        <v>-458781.38945000002</v>
      </c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77"/>
      <c r="AE44" s="77"/>
      <c r="AF44" s="77"/>
      <c r="AG44" s="77"/>
    </row>
    <row r="45" spans="1:33" x14ac:dyDescent="0.25">
      <c r="A45" s="180" t="s">
        <v>227</v>
      </c>
      <c r="B45" s="179"/>
      <c r="C45" s="229">
        <v>0.27588000000000001</v>
      </c>
      <c r="D45" s="229">
        <v>0</v>
      </c>
      <c r="E45" s="229">
        <v>-1.2E-2</v>
      </c>
      <c r="F45" s="229">
        <v>0</v>
      </c>
      <c r="G45" s="229">
        <v>0</v>
      </c>
      <c r="H45" s="229">
        <v>1.626E-2</v>
      </c>
      <c r="I45" s="229">
        <v>1.6410000000000001E-2</v>
      </c>
      <c r="J45" s="229"/>
      <c r="K45" s="230"/>
      <c r="L45" s="231">
        <f t="shared" si="26"/>
        <v>0.29654999999999998</v>
      </c>
      <c r="M45" s="171"/>
      <c r="N45" s="231">
        <f t="shared" si="27"/>
        <v>0.29654999999999998</v>
      </c>
      <c r="O45" s="193">
        <f t="shared" si="25"/>
        <v>1601.0734499999999</v>
      </c>
      <c r="P45" s="232">
        <f t="shared" si="28"/>
        <v>3884.5084499999998</v>
      </c>
      <c r="Q45" s="193">
        <f t="shared" si="29"/>
        <v>-2283.4349999999999</v>
      </c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77"/>
      <c r="AE45" s="77"/>
      <c r="AF45" s="77"/>
      <c r="AG45" s="77"/>
    </row>
    <row r="46" spans="1:33" x14ac:dyDescent="0.25">
      <c r="A46" s="180" t="s">
        <v>229</v>
      </c>
      <c r="B46" s="179"/>
      <c r="C46" s="229">
        <v>0.27573999999999999</v>
      </c>
      <c r="D46" s="229">
        <v>-5.0130000000000001E-2</v>
      </c>
      <c r="E46" s="229">
        <v>-9.2599999999999991E-3</v>
      </c>
      <c r="F46" s="229">
        <v>6.9100000000000003E-3</v>
      </c>
      <c r="G46" s="229">
        <v>0</v>
      </c>
      <c r="H46" s="229">
        <v>1.2760000000000001E-2</v>
      </c>
      <c r="I46" s="229">
        <v>1.499E-2</v>
      </c>
      <c r="J46" s="229"/>
      <c r="K46" s="230"/>
      <c r="L46" s="231">
        <f t="shared" si="26"/>
        <v>0.25100999999999996</v>
      </c>
      <c r="M46" s="171"/>
      <c r="N46" s="231">
        <f t="shared" si="27"/>
        <v>0.25100999999999996</v>
      </c>
      <c r="O46" s="193">
        <f t="shared" si="25"/>
        <v>12751.810019999997</v>
      </c>
      <c r="P46" s="232">
        <f t="shared" si="28"/>
        <v>25027.454069999996</v>
      </c>
      <c r="Q46" s="193">
        <f t="shared" si="29"/>
        <v>-12275.644049999999</v>
      </c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77"/>
      <c r="AE46" s="77"/>
      <c r="AF46" s="77"/>
      <c r="AG46" s="77"/>
    </row>
    <row r="47" spans="1:33" x14ac:dyDescent="0.25">
      <c r="A47" s="180" t="s">
        <v>231</v>
      </c>
      <c r="B47" s="179"/>
      <c r="C47" s="229">
        <v>0.27573999999999999</v>
      </c>
      <c r="D47" s="229">
        <v>0</v>
      </c>
      <c r="E47" s="229">
        <v>-9.2599999999999991E-3</v>
      </c>
      <c r="F47" s="229">
        <v>0</v>
      </c>
      <c r="G47" s="229">
        <v>0</v>
      </c>
      <c r="H47" s="229">
        <v>1.2760000000000001E-2</v>
      </c>
      <c r="I47" s="229">
        <v>1.499E-2</v>
      </c>
      <c r="J47" s="229"/>
      <c r="K47" s="230"/>
      <c r="L47" s="231">
        <f t="shared" si="26"/>
        <v>0.29422999999999999</v>
      </c>
      <c r="M47" s="171"/>
      <c r="N47" s="231">
        <f t="shared" si="27"/>
        <v>0.29422999999999999</v>
      </c>
      <c r="O47" s="193">
        <f t="shared" si="25"/>
        <v>6296.2277699999995</v>
      </c>
      <c r="P47" s="232">
        <f t="shared" si="28"/>
        <v>9567.1826799999999</v>
      </c>
      <c r="Q47" s="193">
        <f t="shared" si="29"/>
        <v>-3270.9549100000004</v>
      </c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77"/>
      <c r="AE47" s="77"/>
      <c r="AF47" s="77"/>
      <c r="AG47" s="77"/>
    </row>
    <row r="48" spans="1:33" x14ac:dyDescent="0.25">
      <c r="A48" s="180" t="s">
        <v>232</v>
      </c>
      <c r="B48" s="179"/>
      <c r="C48" s="229">
        <v>0.24138999999999999</v>
      </c>
      <c r="D48" s="229">
        <v>0</v>
      </c>
      <c r="E48" s="229">
        <v>-7.8399999999999997E-3</v>
      </c>
      <c r="F48" s="229">
        <v>0</v>
      </c>
      <c r="G48" s="229">
        <v>0</v>
      </c>
      <c r="H48" s="229">
        <v>1.132E-2</v>
      </c>
      <c r="I48" s="229">
        <v>1.44E-2</v>
      </c>
      <c r="J48" s="229"/>
      <c r="K48" s="230"/>
      <c r="L48" s="231">
        <f t="shared" si="26"/>
        <v>0.25927</v>
      </c>
      <c r="M48" s="171"/>
      <c r="N48" s="231">
        <f t="shared" si="27"/>
        <v>0.25927</v>
      </c>
      <c r="O48" s="193">
        <f t="shared" si="25"/>
        <v>0</v>
      </c>
      <c r="P48" s="232">
        <f t="shared" si="28"/>
        <v>0</v>
      </c>
      <c r="Q48" s="193">
        <f t="shared" si="29"/>
        <v>0</v>
      </c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77"/>
      <c r="AE48" s="77"/>
      <c r="AF48" s="77"/>
      <c r="AG48" s="77"/>
    </row>
    <row r="49" spans="1:33" x14ac:dyDescent="0.25">
      <c r="A49" s="180" t="s">
        <v>234</v>
      </c>
      <c r="B49" s="179"/>
      <c r="C49" s="229">
        <v>5.5999999999999995E-4</v>
      </c>
      <c r="D49" s="229">
        <v>0</v>
      </c>
      <c r="E49" s="229">
        <v>-3.5400000000000002E-3</v>
      </c>
      <c r="F49" s="229">
        <v>0</v>
      </c>
      <c r="G49" s="229">
        <v>0</v>
      </c>
      <c r="H49" s="229">
        <v>0</v>
      </c>
      <c r="I49" s="229">
        <v>7.3999999999999999E-4</v>
      </c>
      <c r="J49" s="229"/>
      <c r="K49" s="230"/>
      <c r="L49" s="231">
        <f t="shared" si="26"/>
        <v>-2.2399999999999998E-3</v>
      </c>
      <c r="M49" s="171"/>
      <c r="N49" s="231">
        <f t="shared" si="27"/>
        <v>-2.2399999999999998E-3</v>
      </c>
      <c r="O49" s="193">
        <f t="shared" si="25"/>
        <v>-8269.9836799999994</v>
      </c>
      <c r="P49" s="232">
        <f t="shared" si="28"/>
        <v>-8737.9510399999999</v>
      </c>
      <c r="Q49" s="193">
        <f t="shared" si="29"/>
        <v>467.96736000000055</v>
      </c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77"/>
      <c r="AE49" s="77"/>
      <c r="AF49" s="77"/>
      <c r="AG49" s="77"/>
    </row>
    <row r="50" spans="1:33" x14ac:dyDescent="0.25">
      <c r="A50" s="180" t="s">
        <v>235</v>
      </c>
      <c r="B50" s="179"/>
      <c r="C50" s="229">
        <v>0</v>
      </c>
      <c r="D50" s="229">
        <v>0</v>
      </c>
      <c r="E50" s="229">
        <v>0</v>
      </c>
      <c r="F50" s="229">
        <v>0</v>
      </c>
      <c r="G50" s="229">
        <v>0</v>
      </c>
      <c r="H50" s="229">
        <v>0</v>
      </c>
      <c r="I50" s="229">
        <v>0</v>
      </c>
      <c r="J50" s="229"/>
      <c r="K50" s="230"/>
      <c r="L50" s="231">
        <f t="shared" si="26"/>
        <v>0</v>
      </c>
      <c r="M50" s="171"/>
      <c r="N50" s="231">
        <f t="shared" si="27"/>
        <v>0</v>
      </c>
      <c r="O50" s="193">
        <f t="shared" si="25"/>
        <v>0</v>
      </c>
      <c r="P50" s="232">
        <f t="shared" si="28"/>
        <v>0</v>
      </c>
      <c r="Q50" s="193">
        <f t="shared" si="29"/>
        <v>0</v>
      </c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77"/>
      <c r="AE50" s="77"/>
      <c r="AF50" s="77"/>
      <c r="AG50" s="77"/>
    </row>
    <row r="51" spans="1:33" x14ac:dyDescent="0.25">
      <c r="A51" s="180" t="s">
        <v>236</v>
      </c>
      <c r="B51" s="179"/>
      <c r="C51" s="229">
        <v>0</v>
      </c>
      <c r="D51" s="229">
        <v>0</v>
      </c>
      <c r="E51" s="229">
        <v>0</v>
      </c>
      <c r="F51" s="229">
        <v>0</v>
      </c>
      <c r="G51" s="229">
        <v>0</v>
      </c>
      <c r="H51" s="229">
        <v>0</v>
      </c>
      <c r="I51" s="229">
        <v>0</v>
      </c>
      <c r="J51" s="229"/>
      <c r="K51" s="230"/>
      <c r="L51" s="231">
        <f t="shared" si="26"/>
        <v>0</v>
      </c>
      <c r="M51" s="171"/>
      <c r="N51" s="231">
        <f t="shared" si="27"/>
        <v>0</v>
      </c>
      <c r="O51" s="193">
        <f t="shared" si="25"/>
        <v>0</v>
      </c>
      <c r="P51" s="232">
        <f t="shared" si="28"/>
        <v>0</v>
      </c>
      <c r="Q51" s="193">
        <f t="shared" si="29"/>
        <v>0</v>
      </c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77"/>
      <c r="AE51" s="77"/>
      <c r="AF51" s="77"/>
      <c r="AG51" s="77"/>
    </row>
    <row r="52" spans="1:33" x14ac:dyDescent="0.25">
      <c r="A52" s="180"/>
      <c r="B52" s="179"/>
      <c r="C52" s="229"/>
      <c r="D52" s="229"/>
      <c r="E52" s="229"/>
      <c r="F52" s="229"/>
      <c r="G52" s="229"/>
      <c r="H52" s="229"/>
      <c r="I52" s="229"/>
      <c r="J52" s="229"/>
      <c r="K52" s="229"/>
      <c r="L52" s="230"/>
      <c r="M52" s="171"/>
      <c r="O52" s="233">
        <f>SUM(O42:O51)</f>
        <v>2007361.8029300002</v>
      </c>
      <c r="P52" s="233">
        <f>SUM(P42:P51)</f>
        <v>3525990.7829500004</v>
      </c>
      <c r="Q52" s="233">
        <f>SUM(Q42:Q51)</f>
        <v>-1518628.9800200004</v>
      </c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77"/>
      <c r="AF52" s="77"/>
      <c r="AG52" s="77"/>
    </row>
    <row r="53" spans="1:33" ht="39" x14ac:dyDescent="0.25">
      <c r="A53" s="226" t="s">
        <v>267</v>
      </c>
      <c r="B53" s="175"/>
      <c r="C53" s="212" t="s">
        <v>268</v>
      </c>
      <c r="D53" s="212" t="s">
        <v>269</v>
      </c>
      <c r="E53" s="212" t="s">
        <v>259</v>
      </c>
      <c r="F53" s="212" t="s">
        <v>260</v>
      </c>
      <c r="G53" s="212" t="s">
        <v>270</v>
      </c>
      <c r="H53" s="212" t="s">
        <v>271</v>
      </c>
      <c r="I53" s="212" t="s">
        <v>272</v>
      </c>
      <c r="J53" s="212" t="s">
        <v>273</v>
      </c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77"/>
      <c r="AF53" s="77"/>
      <c r="AG53" s="77"/>
    </row>
    <row r="54" spans="1:33" x14ac:dyDescent="0.25">
      <c r="A54" s="180" t="s">
        <v>221</v>
      </c>
      <c r="B54" s="171"/>
      <c r="C54" s="188">
        <f>C42*$H4</f>
        <v>-1557977.08458</v>
      </c>
      <c r="D54" s="188">
        <f t="shared" ref="D54:I54" si="30">D42*$H4</f>
        <v>522988.92041999998</v>
      </c>
      <c r="E54" s="188">
        <f>E42*$H4</f>
        <v>114629.94437999999</v>
      </c>
      <c r="F54" s="188">
        <f t="shared" si="30"/>
        <v>147979.80479999998</v>
      </c>
      <c r="G54" s="188">
        <f t="shared" si="30"/>
        <v>0</v>
      </c>
      <c r="H54" s="188">
        <f t="shared" si="30"/>
        <v>-164736.34152000002</v>
      </c>
      <c r="I54" s="188">
        <f t="shared" si="30"/>
        <v>-106578.10206</v>
      </c>
      <c r="J54" s="188">
        <f>SUM(C54:I54)</f>
        <v>-1043692.8585600001</v>
      </c>
      <c r="K54" s="171"/>
      <c r="L54" s="171"/>
      <c r="M54" s="171"/>
      <c r="N54" s="193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77"/>
      <c r="AF54" s="77"/>
      <c r="AG54" s="77"/>
    </row>
    <row r="55" spans="1:33" x14ac:dyDescent="0.25">
      <c r="A55" s="180" t="s">
        <v>223</v>
      </c>
      <c r="B55" s="171"/>
      <c r="C55" s="188">
        <f t="shared" ref="C55:I63" si="31">C43*$H5</f>
        <v>-1609.68577</v>
      </c>
      <c r="D55" s="188">
        <f t="shared" si="31"/>
        <v>540.34672999999998</v>
      </c>
      <c r="E55" s="188">
        <f t="shared" si="31"/>
        <v>118.43446999999999</v>
      </c>
      <c r="F55" s="188">
        <f t="shared" si="31"/>
        <v>152.8912</v>
      </c>
      <c r="G55" s="188">
        <f t="shared" si="31"/>
        <v>2285.66723</v>
      </c>
      <c r="H55" s="188">
        <f t="shared" si="31"/>
        <v>-170.20388</v>
      </c>
      <c r="I55" s="188">
        <f t="shared" si="31"/>
        <v>-110.11539</v>
      </c>
      <c r="J55" s="188">
        <f t="shared" ref="J55:J63" si="32">SUM(C55:I55)</f>
        <v>1207.3345899999999</v>
      </c>
      <c r="K55" s="171"/>
      <c r="L55" s="171"/>
      <c r="M55" s="171"/>
      <c r="N55" s="193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77"/>
      <c r="AF55" s="77"/>
      <c r="AG55" s="77"/>
    </row>
    <row r="56" spans="1:33" x14ac:dyDescent="0.25">
      <c r="A56" s="180" t="s">
        <v>225</v>
      </c>
      <c r="B56" s="171"/>
      <c r="C56" s="188">
        <f t="shared" si="31"/>
        <v>-566327.84340000001</v>
      </c>
      <c r="D56" s="188">
        <f t="shared" si="31"/>
        <v>164162.81584999998</v>
      </c>
      <c r="E56" s="188">
        <f t="shared" si="31"/>
        <v>24633.66</v>
      </c>
      <c r="F56" s="188">
        <f t="shared" si="31"/>
        <v>-14184.88255</v>
      </c>
      <c r="G56" s="188">
        <f t="shared" si="31"/>
        <v>0</v>
      </c>
      <c r="H56" s="188">
        <f t="shared" si="31"/>
        <v>-33378.609300000004</v>
      </c>
      <c r="I56" s="188">
        <f t="shared" si="31"/>
        <v>-33686.530050000001</v>
      </c>
      <c r="J56" s="188">
        <f t="shared" si="32"/>
        <v>-458781.38945000002</v>
      </c>
      <c r="K56" s="171"/>
      <c r="L56" s="171"/>
      <c r="M56" s="171"/>
      <c r="N56" s="193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77"/>
      <c r="AF56" s="77"/>
      <c r="AG56" s="77"/>
    </row>
    <row r="57" spans="1:33" x14ac:dyDescent="0.25">
      <c r="A57" s="180" t="s">
        <v>227</v>
      </c>
      <c r="B57" s="171"/>
      <c r="C57" s="188">
        <f t="shared" si="31"/>
        <v>-2124.2760000000003</v>
      </c>
      <c r="D57" s="188">
        <f t="shared" si="31"/>
        <v>0</v>
      </c>
      <c r="E57" s="188">
        <f t="shared" si="31"/>
        <v>92.4</v>
      </c>
      <c r="F57" s="188">
        <f t="shared" si="31"/>
        <v>0</v>
      </c>
      <c r="G57" s="188">
        <f t="shared" si="31"/>
        <v>0</v>
      </c>
      <c r="H57" s="188">
        <f t="shared" si="31"/>
        <v>-125.202</v>
      </c>
      <c r="I57" s="188">
        <f t="shared" si="31"/>
        <v>-126.35700000000001</v>
      </c>
      <c r="J57" s="188">
        <f t="shared" si="32"/>
        <v>-2283.4350000000004</v>
      </c>
      <c r="K57" s="171"/>
      <c r="L57" s="171"/>
      <c r="M57" s="171"/>
      <c r="N57" s="193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77"/>
      <c r="AF57" s="77"/>
      <c r="AG57" s="77"/>
    </row>
    <row r="58" spans="1:33" x14ac:dyDescent="0.25">
      <c r="A58" s="180" t="s">
        <v>229</v>
      </c>
      <c r="B58" s="171"/>
      <c r="C58" s="188">
        <f t="shared" si="31"/>
        <v>-13485.064699999999</v>
      </c>
      <c r="D58" s="188">
        <f t="shared" si="31"/>
        <v>2451.6076499999999</v>
      </c>
      <c r="E58" s="188">
        <f t="shared" si="31"/>
        <v>452.86029999999994</v>
      </c>
      <c r="F58" s="188">
        <f t="shared" si="31"/>
        <v>-337.93355000000003</v>
      </c>
      <c r="G58" s="188">
        <f t="shared" si="31"/>
        <v>0</v>
      </c>
      <c r="H58" s="188">
        <f t="shared" si="31"/>
        <v>-624.02780000000007</v>
      </c>
      <c r="I58" s="188">
        <f t="shared" si="31"/>
        <v>-733.08595000000003</v>
      </c>
      <c r="J58" s="188">
        <f t="shared" si="32"/>
        <v>-12275.644049999999</v>
      </c>
      <c r="K58" s="171"/>
      <c r="L58" s="171"/>
      <c r="M58" s="171"/>
      <c r="N58" s="193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77"/>
      <c r="AF58" s="77"/>
      <c r="AG58" s="77"/>
    </row>
    <row r="59" spans="1:33" x14ac:dyDescent="0.25">
      <c r="A59" s="180" t="s">
        <v>231</v>
      </c>
      <c r="B59" s="171"/>
      <c r="C59" s="188">
        <f t="shared" si="31"/>
        <v>-3065.4015799999997</v>
      </c>
      <c r="D59" s="188">
        <f t="shared" si="31"/>
        <v>0</v>
      </c>
      <c r="E59" s="188">
        <f t="shared" si="31"/>
        <v>102.94341999999999</v>
      </c>
      <c r="F59" s="188">
        <f t="shared" si="31"/>
        <v>0</v>
      </c>
      <c r="G59" s="188">
        <f t="shared" si="31"/>
        <v>0</v>
      </c>
      <c r="H59" s="188">
        <f t="shared" si="31"/>
        <v>-141.85292000000001</v>
      </c>
      <c r="I59" s="188">
        <f t="shared" si="31"/>
        <v>-166.64383000000001</v>
      </c>
      <c r="J59" s="188">
        <f t="shared" si="32"/>
        <v>-3270.9549099999995</v>
      </c>
      <c r="K59" s="171"/>
      <c r="L59" s="171"/>
      <c r="M59" s="171"/>
      <c r="N59" s="193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77"/>
      <c r="AF59" s="77"/>
      <c r="AG59" s="77"/>
    </row>
    <row r="60" spans="1:33" x14ac:dyDescent="0.25">
      <c r="A60" s="180" t="s">
        <v>232</v>
      </c>
      <c r="B60" s="171"/>
      <c r="C60" s="188">
        <f t="shared" si="31"/>
        <v>0</v>
      </c>
      <c r="D60" s="188">
        <f t="shared" si="31"/>
        <v>0</v>
      </c>
      <c r="E60" s="188">
        <f t="shared" si="31"/>
        <v>0</v>
      </c>
      <c r="F60" s="188">
        <f t="shared" si="31"/>
        <v>0</v>
      </c>
      <c r="G60" s="188">
        <f t="shared" si="31"/>
        <v>0</v>
      </c>
      <c r="H60" s="188">
        <f t="shared" si="31"/>
        <v>0</v>
      </c>
      <c r="I60" s="188">
        <f t="shared" si="31"/>
        <v>0</v>
      </c>
      <c r="J60" s="188">
        <f t="shared" si="32"/>
        <v>0</v>
      </c>
      <c r="K60" s="171"/>
      <c r="L60" s="171"/>
      <c r="M60" s="171"/>
      <c r="N60" s="193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77"/>
      <c r="AF60" s="77"/>
      <c r="AG60" s="77"/>
    </row>
    <row r="61" spans="1:33" x14ac:dyDescent="0.25">
      <c r="A61" s="180" t="s">
        <v>234</v>
      </c>
      <c r="B61" s="171"/>
      <c r="C61" s="188">
        <f t="shared" si="31"/>
        <v>-116.99184</v>
      </c>
      <c r="D61" s="188">
        <f t="shared" si="31"/>
        <v>0</v>
      </c>
      <c r="E61" s="188">
        <f t="shared" si="31"/>
        <v>739.55556000000001</v>
      </c>
      <c r="F61" s="188">
        <f t="shared" si="31"/>
        <v>0</v>
      </c>
      <c r="G61" s="188">
        <f t="shared" si="31"/>
        <v>0</v>
      </c>
      <c r="H61" s="188">
        <f t="shared" si="31"/>
        <v>0</v>
      </c>
      <c r="I61" s="188">
        <f t="shared" si="31"/>
        <v>-154.59636</v>
      </c>
      <c r="J61" s="188">
        <f t="shared" si="32"/>
        <v>467.96735999999999</v>
      </c>
      <c r="K61" s="171"/>
      <c r="L61" s="171"/>
      <c r="M61" s="171"/>
      <c r="N61" s="193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77"/>
      <c r="AF61" s="77"/>
      <c r="AG61" s="77"/>
    </row>
    <row r="62" spans="1:33" x14ac:dyDescent="0.25">
      <c r="A62" s="180" t="s">
        <v>235</v>
      </c>
      <c r="B62" s="171"/>
      <c r="C62" s="188">
        <f t="shared" si="31"/>
        <v>0</v>
      </c>
      <c r="D62" s="188">
        <f t="shared" si="31"/>
        <v>0</v>
      </c>
      <c r="E62" s="188">
        <f t="shared" si="31"/>
        <v>0</v>
      </c>
      <c r="F62" s="188">
        <f t="shared" si="31"/>
        <v>0</v>
      </c>
      <c r="G62" s="188">
        <f t="shared" si="31"/>
        <v>0</v>
      </c>
      <c r="H62" s="188">
        <f t="shared" si="31"/>
        <v>0</v>
      </c>
      <c r="I62" s="188">
        <f t="shared" si="31"/>
        <v>0</v>
      </c>
      <c r="J62" s="188">
        <f t="shared" si="32"/>
        <v>0</v>
      </c>
      <c r="K62" s="171"/>
      <c r="L62" s="171"/>
      <c r="M62" s="171"/>
      <c r="N62" s="193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77"/>
      <c r="AF62" s="77"/>
      <c r="AG62" s="77"/>
    </row>
    <row r="63" spans="1:33" x14ac:dyDescent="0.25">
      <c r="A63" s="180" t="s">
        <v>236</v>
      </c>
      <c r="B63" s="171"/>
      <c r="C63" s="188">
        <f t="shared" si="31"/>
        <v>0</v>
      </c>
      <c r="D63" s="188">
        <f t="shared" si="31"/>
        <v>0</v>
      </c>
      <c r="E63" s="188">
        <f t="shared" si="31"/>
        <v>0</v>
      </c>
      <c r="F63" s="188">
        <f t="shared" si="31"/>
        <v>0</v>
      </c>
      <c r="G63" s="188">
        <f t="shared" si="31"/>
        <v>0</v>
      </c>
      <c r="H63" s="188">
        <f t="shared" si="31"/>
        <v>0</v>
      </c>
      <c r="I63" s="188">
        <f t="shared" si="31"/>
        <v>0</v>
      </c>
      <c r="J63" s="188">
        <f t="shared" si="32"/>
        <v>0</v>
      </c>
      <c r="K63" s="171"/>
      <c r="L63" s="171"/>
      <c r="M63" s="171"/>
      <c r="N63" s="234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77"/>
      <c r="AF63" s="77"/>
      <c r="AG63" s="77"/>
    </row>
    <row r="64" spans="1:33" x14ac:dyDescent="0.25">
      <c r="A64" s="171"/>
      <c r="B64" s="171"/>
      <c r="C64" s="196">
        <f>SUM(C54:C63)</f>
        <v>-2144706.3478699997</v>
      </c>
      <c r="D64" s="196">
        <f t="shared" ref="D64:I64" si="33">SUM(D54:D63)</f>
        <v>690143.69065</v>
      </c>
      <c r="E64" s="196">
        <f t="shared" si="33"/>
        <v>140769.79812999998</v>
      </c>
      <c r="F64" s="196">
        <f t="shared" si="33"/>
        <v>133609.8799</v>
      </c>
      <c r="G64" s="196">
        <f t="shared" si="33"/>
        <v>2285.66723</v>
      </c>
      <c r="H64" s="196">
        <f t="shared" si="33"/>
        <v>-199176.23742000002</v>
      </c>
      <c r="I64" s="196">
        <f t="shared" si="33"/>
        <v>-141555.43063999998</v>
      </c>
      <c r="J64" s="196">
        <f>SUM(J54:J63)</f>
        <v>-1518628.9800200004</v>
      </c>
      <c r="K64" s="171"/>
      <c r="L64" s="171"/>
      <c r="M64" s="171"/>
      <c r="N64" s="234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77"/>
      <c r="AF64" s="77"/>
      <c r="AG64" s="77"/>
    </row>
    <row r="65" spans="1:33" x14ac:dyDescent="0.25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88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77"/>
      <c r="AF65" s="77"/>
      <c r="AG65" s="77"/>
    </row>
    <row r="66" spans="1:33" x14ac:dyDescent="0.25">
      <c r="A66" s="179" t="s">
        <v>28</v>
      </c>
      <c r="B66" s="179"/>
      <c r="C66" s="188">
        <f>C54+C55</f>
        <v>-1559586.7703500001</v>
      </c>
      <c r="D66" s="188">
        <f>D54+D55</f>
        <v>523529.26714999997</v>
      </c>
      <c r="E66" s="188">
        <f t="shared" ref="E66:I66" si="34">E54+E55</f>
        <v>114748.37884999998</v>
      </c>
      <c r="F66" s="188">
        <f t="shared" si="34"/>
        <v>148132.696</v>
      </c>
      <c r="G66" s="188">
        <f t="shared" si="34"/>
        <v>2285.66723</v>
      </c>
      <c r="H66" s="188">
        <f t="shared" si="34"/>
        <v>-164906.5454</v>
      </c>
      <c r="I66" s="188">
        <f t="shared" si="34"/>
        <v>-106688.21745000001</v>
      </c>
      <c r="J66" s="188">
        <f>J54+J55</f>
        <v>-1042485.5239700001</v>
      </c>
      <c r="K66" s="171"/>
      <c r="L66" s="171"/>
      <c r="M66" s="171"/>
      <c r="N66" s="188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77"/>
      <c r="AF66" s="77"/>
      <c r="AG66" s="77"/>
    </row>
    <row r="67" spans="1:33" x14ac:dyDescent="0.25">
      <c r="A67" s="179"/>
      <c r="B67" s="179"/>
      <c r="C67" s="188"/>
      <c r="D67" s="188"/>
      <c r="E67" s="188"/>
      <c r="F67" s="188"/>
      <c r="G67" s="188"/>
      <c r="H67" s="188"/>
      <c r="I67" s="188"/>
      <c r="J67" s="188"/>
      <c r="K67" s="171"/>
      <c r="L67" s="171"/>
      <c r="M67" s="171"/>
      <c r="N67" s="179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77"/>
      <c r="AF67" s="77"/>
      <c r="AG67" s="77"/>
    </row>
    <row r="68" spans="1:33" x14ac:dyDescent="0.25">
      <c r="A68" s="179" t="s">
        <v>244</v>
      </c>
      <c r="B68" s="179"/>
      <c r="C68" s="222">
        <f>C56+C58</f>
        <v>-579812.9081</v>
      </c>
      <c r="D68" s="222">
        <f>D56+D58</f>
        <v>166614.42349999998</v>
      </c>
      <c r="E68" s="222">
        <f t="shared" ref="E68:I68" si="35">E56+E58</f>
        <v>25086.5203</v>
      </c>
      <c r="F68" s="222">
        <f t="shared" si="35"/>
        <v>-14522.8161</v>
      </c>
      <c r="G68" s="222">
        <f t="shared" si="35"/>
        <v>0</v>
      </c>
      <c r="H68" s="222">
        <f t="shared" si="35"/>
        <v>-34002.637100000007</v>
      </c>
      <c r="I68" s="222">
        <f t="shared" si="35"/>
        <v>-34419.616000000002</v>
      </c>
      <c r="J68" s="222">
        <f>J56+J58</f>
        <v>-471057.03350000002</v>
      </c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77"/>
      <c r="AF68" s="77"/>
      <c r="AG68" s="77"/>
    </row>
    <row r="69" spans="1:33" x14ac:dyDescent="0.25">
      <c r="A69" s="171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77"/>
      <c r="AF69" s="77"/>
      <c r="AG69" s="77"/>
    </row>
    <row r="70" spans="1:33" x14ac:dyDescent="0.25">
      <c r="A70" s="171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77"/>
      <c r="AF70" s="77"/>
      <c r="AG70" s="77"/>
    </row>
    <row r="71" spans="1:33" x14ac:dyDescent="0.25">
      <c r="A71" s="171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77"/>
      <c r="AF71" s="77"/>
      <c r="AG71" s="77"/>
    </row>
    <row r="72" spans="1:33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77"/>
      <c r="AF72" s="77"/>
      <c r="AG72" s="77"/>
    </row>
    <row r="73" spans="1:33" x14ac:dyDescent="0.25">
      <c r="A73" s="171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77"/>
      <c r="AF73" s="77"/>
      <c r="AG73" s="77"/>
    </row>
  </sheetData>
  <mergeCells count="6">
    <mergeCell ref="A1:I1"/>
    <mergeCell ref="O40:O41"/>
    <mergeCell ref="P40:P41"/>
    <mergeCell ref="Q40:Q41"/>
    <mergeCell ref="K41:L41"/>
    <mergeCell ref="M41:N41"/>
  </mergeCells>
  <printOptions horizontalCentered="1"/>
  <pageMargins left="0.45" right="0.45" top="0.5" bottom="0.5" header="0.3" footer="0.3"/>
  <pageSetup scale="80" orientation="landscape" r:id="rId1"/>
  <headerFooter scaleWithDoc="0">
    <oddFooter>&amp;L&amp;F / &amp;A&amp;RPage &amp;P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G73"/>
  <sheetViews>
    <sheetView zoomScaleNormal="100" workbookViewId="0">
      <selection activeCell="R17" sqref="R17:S17"/>
    </sheetView>
  </sheetViews>
  <sheetFormatPr defaultRowHeight="15" x14ac:dyDescent="0.25"/>
  <cols>
    <col min="1" max="1" width="19" customWidth="1"/>
    <col min="2" max="2" width="5.85546875" customWidth="1"/>
    <col min="3" max="3" width="17.42578125" customWidth="1"/>
    <col min="4" max="4" width="16.42578125" customWidth="1"/>
    <col min="5" max="5" width="15.28515625" customWidth="1"/>
    <col min="6" max="6" width="15" customWidth="1"/>
    <col min="7" max="7" width="14.42578125" customWidth="1"/>
    <col min="8" max="8" width="14.7109375" customWidth="1"/>
    <col min="9" max="9" width="17.140625" customWidth="1"/>
    <col min="10" max="10" width="15.7109375" customWidth="1"/>
    <col min="11" max="11" width="10" customWidth="1"/>
    <col min="12" max="12" width="12.28515625" bestFit="1" customWidth="1"/>
    <col min="13" max="13" width="2.28515625" customWidth="1"/>
    <col min="14" max="14" width="17.5703125" customWidth="1"/>
    <col min="15" max="15" width="14.5703125" customWidth="1"/>
    <col min="16" max="16" width="12.85546875" customWidth="1"/>
    <col min="17" max="17" width="12.7109375" customWidth="1"/>
    <col min="18" max="18" width="15.42578125" customWidth="1"/>
    <col min="19" max="19" width="15.28515625" customWidth="1"/>
    <col min="20" max="20" width="11.140625" customWidth="1"/>
    <col min="21" max="21" width="15.5703125" customWidth="1"/>
    <col min="22" max="22" width="2.28515625" customWidth="1"/>
    <col min="23" max="23" width="16.7109375" customWidth="1"/>
    <col min="24" max="24" width="2.42578125" customWidth="1"/>
    <col min="25" max="25" width="14.28515625" customWidth="1"/>
    <col min="26" max="26" width="13.42578125" customWidth="1"/>
    <col min="27" max="27" width="13.85546875" customWidth="1"/>
    <col min="28" max="28" width="14.28515625" customWidth="1"/>
    <col min="29" max="29" width="16.140625" customWidth="1"/>
    <col min="30" max="30" width="10.5703125" customWidth="1"/>
  </cols>
  <sheetData>
    <row r="1" spans="1:33" x14ac:dyDescent="0.25">
      <c r="A1" s="319" t="s">
        <v>207</v>
      </c>
      <c r="B1" s="319"/>
      <c r="C1" s="319"/>
      <c r="D1" s="319"/>
      <c r="E1" s="319"/>
      <c r="F1" s="319"/>
      <c r="G1" s="319"/>
      <c r="H1" s="319"/>
      <c r="I1" s="319"/>
      <c r="J1" s="171"/>
      <c r="K1" s="171"/>
      <c r="L1" s="171" t="s">
        <v>208</v>
      </c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2" t="s">
        <v>209</v>
      </c>
      <c r="AA1" s="173" t="s">
        <v>319</v>
      </c>
      <c r="AB1" s="171"/>
      <c r="AC1" s="172" t="s">
        <v>211</v>
      </c>
      <c r="AD1" s="173" t="s">
        <v>274</v>
      </c>
      <c r="AE1" s="77"/>
      <c r="AF1" s="77"/>
      <c r="AG1" s="77"/>
    </row>
    <row r="2" spans="1:33" ht="51.75" x14ac:dyDescent="0.25">
      <c r="A2" s="174"/>
      <c r="B2" s="175"/>
      <c r="C2" s="176" t="s">
        <v>212</v>
      </c>
      <c r="D2" s="212" t="s">
        <v>321</v>
      </c>
      <c r="E2" s="176" t="s">
        <v>213</v>
      </c>
      <c r="F2" s="177" t="s">
        <v>214</v>
      </c>
      <c r="G2" s="177" t="s">
        <v>215</v>
      </c>
      <c r="H2" s="177" t="s">
        <v>115</v>
      </c>
      <c r="I2" s="177" t="s">
        <v>216</v>
      </c>
      <c r="J2" s="171"/>
      <c r="K2" s="171"/>
      <c r="L2" s="171"/>
      <c r="M2" s="171"/>
      <c r="N2" s="178" t="str">
        <f>AA1&amp;" Billed Schedule 175 Revenue"</f>
        <v>February Billed Schedule 175 Revenue</v>
      </c>
      <c r="O2" s="178" t="str">
        <f>AA1&amp;" Billed Therms"</f>
        <v>February Billed Therms</v>
      </c>
      <c r="P2" s="178" t="str">
        <f>AA1&amp;" Unbilled Therms"</f>
        <v>February Unbilled Therms</v>
      </c>
      <c r="Q2" s="178" t="s">
        <v>217</v>
      </c>
      <c r="R2" s="178" t="s">
        <v>218</v>
      </c>
      <c r="S2" s="178" t="str">
        <f>AD1&amp;" Unbilled Therms reversal"</f>
        <v>January Unbilled Therms reversal</v>
      </c>
      <c r="T2" s="178" t="s">
        <v>217</v>
      </c>
      <c r="U2" s="178" t="str">
        <f>AD1&amp;" Schedule 175 Unbilled Reversal"</f>
        <v>January Schedule 175 Unbilled Reversal</v>
      </c>
      <c r="V2" s="171"/>
      <c r="W2" s="178" t="str">
        <f>"Total "&amp;AA1&amp;" Schedule 175 Revenue"</f>
        <v>Total February Schedule 175 Revenue</v>
      </c>
      <c r="X2" s="171"/>
      <c r="Y2" s="178" t="str">
        <f>"Calendar "&amp;AA1&amp;" Usage"</f>
        <v>Calendar February Usage</v>
      </c>
      <c r="Z2" s="178" t="str">
        <f>Q2</f>
        <v>11/1/2018 rate</v>
      </c>
      <c r="AA2" s="178" t="s">
        <v>219</v>
      </c>
      <c r="AB2" s="178" t="s">
        <v>220</v>
      </c>
      <c r="AC2" s="178" t="str">
        <f>"implied "&amp;AD1&amp;" unbilled/Cancel-Rebill True-up therms"</f>
        <v>implied January unbilled/Cancel-Rebill True-up therms</v>
      </c>
      <c r="AD2" s="171"/>
      <c r="AE2" s="77"/>
      <c r="AF2" s="77"/>
      <c r="AG2" s="77"/>
    </row>
    <row r="3" spans="1:33" x14ac:dyDescent="0.25">
      <c r="A3" s="179"/>
      <c r="B3" s="179"/>
      <c r="C3" s="179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8"/>
      <c r="O3" s="178"/>
      <c r="P3" s="178"/>
      <c r="Q3" s="178"/>
      <c r="R3" s="178"/>
      <c r="S3" s="178"/>
      <c r="T3" s="178"/>
      <c r="U3" s="178"/>
      <c r="V3" s="171"/>
      <c r="W3" s="178"/>
      <c r="X3" s="171"/>
      <c r="Y3" s="178"/>
      <c r="Z3" s="178"/>
      <c r="AA3" s="178"/>
      <c r="AB3" s="178"/>
      <c r="AC3" s="178"/>
      <c r="AD3" s="171"/>
      <c r="AE3" s="77"/>
      <c r="AF3" s="77"/>
      <c r="AG3" s="77"/>
    </row>
    <row r="4" spans="1:33" x14ac:dyDescent="0.25">
      <c r="A4" s="180" t="s">
        <v>221</v>
      </c>
      <c r="B4" s="179"/>
      <c r="C4" s="181">
        <v>161396</v>
      </c>
      <c r="D4" s="274">
        <v>2892</v>
      </c>
      <c r="E4" s="182">
        <v>21909865.068100002</v>
      </c>
      <c r="F4" s="182">
        <v>-11312505</v>
      </c>
      <c r="G4" s="235">
        <f>12810504-G5</f>
        <v>12797322</v>
      </c>
      <c r="H4" s="183">
        <f>F4+G4</f>
        <v>1484817</v>
      </c>
      <c r="I4" s="184">
        <f t="shared" ref="I4:I13" si="0">SUM(E4:G4)</f>
        <v>23394682.068100002</v>
      </c>
      <c r="J4" s="171"/>
      <c r="K4" s="171"/>
      <c r="L4" s="171" t="s">
        <v>222</v>
      </c>
      <c r="M4" s="171"/>
      <c r="N4" s="185">
        <v>-596140.27</v>
      </c>
      <c r="O4" s="186">
        <f>E4</f>
        <v>21909865.068100002</v>
      </c>
      <c r="P4" s="186">
        <f t="shared" ref="P4:P9" si="1">G4</f>
        <v>12797322</v>
      </c>
      <c r="Q4" s="187">
        <v>-2.7199999999999998E-2</v>
      </c>
      <c r="R4" s="188">
        <f>P4*Q4</f>
        <v>-348087.15839999996</v>
      </c>
      <c r="S4" s="186">
        <f t="shared" ref="S4:S9" si="2">F4</f>
        <v>-11312505</v>
      </c>
      <c r="T4" s="187">
        <f>Q4</f>
        <v>-2.7199999999999998E-2</v>
      </c>
      <c r="U4" s="189">
        <f>S4*T4</f>
        <v>307700.136</v>
      </c>
      <c r="V4" s="171"/>
      <c r="W4" s="190">
        <f>N4+R4+U4</f>
        <v>-636527.29239999992</v>
      </c>
      <c r="X4" s="171"/>
      <c r="Y4" s="191">
        <f>O4+P4+S4</f>
        <v>23394682.068100005</v>
      </c>
      <c r="Z4" s="192">
        <f>Q4</f>
        <v>-2.7199999999999998E-2</v>
      </c>
      <c r="AA4" s="193">
        <f>Y4*Z4</f>
        <v>-636335.35225232015</v>
      </c>
      <c r="AB4" s="190">
        <f>W4-AA4</f>
        <v>-191.94014767976478</v>
      </c>
      <c r="AC4" s="191">
        <f>AB4/T4</f>
        <v>7056.6230764619404</v>
      </c>
      <c r="AD4" s="194">
        <f t="shared" ref="AD4:AD11" si="3">AB4/W4</f>
        <v>3.0154268319911682E-4</v>
      </c>
      <c r="AE4" s="77"/>
      <c r="AF4" s="77"/>
      <c r="AG4" s="77"/>
    </row>
    <row r="5" spans="1:33" x14ac:dyDescent="0.25">
      <c r="A5" s="180" t="s">
        <v>223</v>
      </c>
      <c r="B5" s="179"/>
      <c r="C5" s="181">
        <v>165</v>
      </c>
      <c r="D5" s="274">
        <v>2</v>
      </c>
      <c r="E5" s="182">
        <v>22522.469840000002</v>
      </c>
      <c r="F5" s="182">
        <v>-11768</v>
      </c>
      <c r="G5" s="182">
        <v>13182</v>
      </c>
      <c r="H5" s="183">
        <f>F5+G5</f>
        <v>1414</v>
      </c>
      <c r="I5" s="184">
        <f t="shared" si="0"/>
        <v>23936.469840000002</v>
      </c>
      <c r="J5" s="171"/>
      <c r="K5" s="171"/>
      <c r="L5" s="171" t="s">
        <v>224</v>
      </c>
      <c r="M5" s="171"/>
      <c r="N5" s="185">
        <v>-612.69000000000005</v>
      </c>
      <c r="O5" s="186">
        <f t="shared" ref="O5:O7" si="4">E5</f>
        <v>22522.469840000002</v>
      </c>
      <c r="P5" s="186">
        <f t="shared" si="1"/>
        <v>13182</v>
      </c>
      <c r="Q5" s="187">
        <v>-2.7199999999999998E-2</v>
      </c>
      <c r="R5" s="188">
        <f t="shared" ref="R5:R10" si="5">P5*Q5</f>
        <v>-358.55039999999997</v>
      </c>
      <c r="S5" s="186">
        <f t="shared" si="2"/>
        <v>-11768</v>
      </c>
      <c r="T5" s="187">
        <f t="shared" ref="T5:T10" si="6">Q5</f>
        <v>-2.7199999999999998E-2</v>
      </c>
      <c r="U5" s="189">
        <f t="shared" ref="U5:U10" si="7">S5*T5</f>
        <v>320.08959999999996</v>
      </c>
      <c r="V5" s="171"/>
      <c r="W5" s="190">
        <f t="shared" ref="W5:W10" si="8">N5+R5+U5</f>
        <v>-651.15080000000012</v>
      </c>
      <c r="X5" s="171"/>
      <c r="Y5" s="191">
        <f t="shared" ref="Y5:Y10" si="9">O5+P5+S5</f>
        <v>23936.469840000005</v>
      </c>
      <c r="Z5" s="192">
        <f t="shared" ref="Z5:Z10" si="10">Q5</f>
        <v>-2.7199999999999998E-2</v>
      </c>
      <c r="AA5" s="193">
        <f t="shared" ref="AA5:AA10" si="11">Y5*Z5</f>
        <v>-651.07197964800014</v>
      </c>
      <c r="AB5" s="190">
        <f t="shared" ref="AB5:AB10" si="12">W5-AA5</f>
        <v>-7.8820351999979721E-2</v>
      </c>
      <c r="AC5" s="191">
        <f t="shared" ref="AC5:AC10" si="13">AB5/T5</f>
        <v>2.8978070588227842</v>
      </c>
      <c r="AD5" s="194">
        <f t="shared" si="3"/>
        <v>1.2104776957961153E-4</v>
      </c>
      <c r="AE5" s="77"/>
      <c r="AF5" s="77"/>
      <c r="AG5" s="77"/>
    </row>
    <row r="6" spans="1:33" x14ac:dyDescent="0.25">
      <c r="A6" s="180" t="s">
        <v>225</v>
      </c>
      <c r="B6" s="179"/>
      <c r="C6" s="181">
        <v>3047</v>
      </c>
      <c r="D6" s="274">
        <v>53</v>
      </c>
      <c r="E6" s="182">
        <v>8359692.2839900004</v>
      </c>
      <c r="F6" s="182">
        <v>-4053424</v>
      </c>
      <c r="G6" s="182">
        <v>4671541</v>
      </c>
      <c r="H6" s="183">
        <f t="shared" ref="H6:H13" si="14">F6+G6</f>
        <v>618117</v>
      </c>
      <c r="I6" s="184">
        <f>SUM(E6:G6)</f>
        <v>8977809.2839899994</v>
      </c>
      <c r="J6" s="171"/>
      <c r="K6" s="171"/>
      <c r="L6" s="171" t="s">
        <v>226</v>
      </c>
      <c r="M6" s="171"/>
      <c r="N6" s="185">
        <v>57825.760000000002</v>
      </c>
      <c r="O6" s="186">
        <f t="shared" si="4"/>
        <v>8359692.2839900004</v>
      </c>
      <c r="P6" s="186">
        <f t="shared" si="1"/>
        <v>4671541</v>
      </c>
      <c r="Q6" s="195">
        <v>6.9100000000000003E-3</v>
      </c>
      <c r="R6" s="188">
        <f t="shared" si="5"/>
        <v>32280.348310000001</v>
      </c>
      <c r="S6" s="186">
        <f t="shared" si="2"/>
        <v>-4053424</v>
      </c>
      <c r="T6" s="187">
        <f t="shared" si="6"/>
        <v>6.9100000000000003E-3</v>
      </c>
      <c r="U6" s="189">
        <f t="shared" si="7"/>
        <v>-28009.15984</v>
      </c>
      <c r="V6" s="171"/>
      <c r="W6" s="190">
        <f t="shared" si="8"/>
        <v>62096.94847000001</v>
      </c>
      <c r="X6" s="171"/>
      <c r="Y6" s="191">
        <f t="shared" si="9"/>
        <v>8977809.2839899994</v>
      </c>
      <c r="Z6" s="179">
        <f t="shared" si="10"/>
        <v>6.9100000000000003E-3</v>
      </c>
      <c r="AA6" s="193">
        <f t="shared" si="11"/>
        <v>62036.662152370896</v>
      </c>
      <c r="AB6" s="190">
        <f t="shared" si="12"/>
        <v>60.28631762911391</v>
      </c>
      <c r="AC6" s="191">
        <f t="shared" si="13"/>
        <v>8724.5032748355879</v>
      </c>
      <c r="AD6" s="194">
        <f t="shared" si="3"/>
        <v>9.7084187088902047E-4</v>
      </c>
      <c r="AE6" s="77"/>
      <c r="AF6" s="77"/>
      <c r="AG6" s="77"/>
    </row>
    <row r="7" spans="1:33" x14ac:dyDescent="0.25">
      <c r="A7" s="180" t="s">
        <v>227</v>
      </c>
      <c r="B7" s="179"/>
      <c r="C7" s="181">
        <v>1</v>
      </c>
      <c r="D7" s="274"/>
      <c r="E7" s="182">
        <v>22381.554</v>
      </c>
      <c r="F7" s="182">
        <v>-9263</v>
      </c>
      <c r="G7" s="182">
        <v>13099</v>
      </c>
      <c r="H7" s="183">
        <f>F7+G7</f>
        <v>3836</v>
      </c>
      <c r="I7" s="184">
        <f>SUM(E7:G7)</f>
        <v>26217.554</v>
      </c>
      <c r="J7" s="171"/>
      <c r="K7" s="171"/>
      <c r="L7" s="171" t="s">
        <v>228</v>
      </c>
      <c r="M7" s="171"/>
      <c r="N7" s="185">
        <v>0</v>
      </c>
      <c r="O7" s="186">
        <f t="shared" si="4"/>
        <v>22381.554</v>
      </c>
      <c r="P7" s="186">
        <f t="shared" si="1"/>
        <v>13099</v>
      </c>
      <c r="Q7" s="187">
        <v>0</v>
      </c>
      <c r="R7" s="188">
        <f t="shared" si="5"/>
        <v>0</v>
      </c>
      <c r="S7" s="186">
        <f t="shared" si="2"/>
        <v>-9263</v>
      </c>
      <c r="T7" s="187">
        <f t="shared" si="6"/>
        <v>0</v>
      </c>
      <c r="U7" s="189">
        <f t="shared" si="7"/>
        <v>0</v>
      </c>
      <c r="V7" s="171"/>
      <c r="W7" s="190">
        <f t="shared" si="8"/>
        <v>0</v>
      </c>
      <c r="X7" s="171"/>
      <c r="Y7" s="191">
        <f t="shared" si="9"/>
        <v>26217.554000000004</v>
      </c>
      <c r="Z7" s="192">
        <f t="shared" si="10"/>
        <v>0</v>
      </c>
      <c r="AA7" s="193">
        <f t="shared" si="11"/>
        <v>0</v>
      </c>
      <c r="AB7" s="190">
        <f t="shared" si="12"/>
        <v>0</v>
      </c>
      <c r="AC7" s="191"/>
      <c r="AD7" s="194"/>
      <c r="AE7" s="77"/>
      <c r="AF7" s="77"/>
      <c r="AG7" s="77"/>
    </row>
    <row r="8" spans="1:33" x14ac:dyDescent="0.25">
      <c r="A8" s="180" t="s">
        <v>229</v>
      </c>
      <c r="B8" s="179"/>
      <c r="C8" s="181">
        <v>3</v>
      </c>
      <c r="D8" s="275"/>
      <c r="E8" s="182">
        <v>170359.236</v>
      </c>
      <c r="F8" s="182">
        <v>-92544</v>
      </c>
      <c r="G8" s="182">
        <v>99707</v>
      </c>
      <c r="H8" s="183">
        <f t="shared" si="14"/>
        <v>7163</v>
      </c>
      <c r="I8" s="184">
        <f t="shared" si="0"/>
        <v>177522.236</v>
      </c>
      <c r="J8" s="171"/>
      <c r="K8" s="171"/>
      <c r="L8" s="171" t="s">
        <v>230</v>
      </c>
      <c r="M8" s="171"/>
      <c r="N8" s="185">
        <v>1177.17</v>
      </c>
      <c r="O8" s="186">
        <f>E8</f>
        <v>170359.236</v>
      </c>
      <c r="P8" s="186">
        <f t="shared" si="1"/>
        <v>99707</v>
      </c>
      <c r="Q8" s="195">
        <v>6.9100000000000003E-3</v>
      </c>
      <c r="R8" s="188">
        <f t="shared" si="5"/>
        <v>688.97537</v>
      </c>
      <c r="S8" s="186">
        <f t="shared" si="2"/>
        <v>-92544</v>
      </c>
      <c r="T8" s="187">
        <f t="shared" si="6"/>
        <v>6.9100000000000003E-3</v>
      </c>
      <c r="U8" s="189">
        <f t="shared" si="7"/>
        <v>-639.47904000000005</v>
      </c>
      <c r="V8" s="171"/>
      <c r="W8" s="190">
        <f>N8+R8+U8</f>
        <v>1226.66633</v>
      </c>
      <c r="X8" s="171"/>
      <c r="Y8" s="191">
        <f t="shared" si="9"/>
        <v>177522.23600000003</v>
      </c>
      <c r="Z8" s="179">
        <f t="shared" si="10"/>
        <v>6.9100000000000003E-3</v>
      </c>
      <c r="AA8" s="193">
        <f t="shared" si="11"/>
        <v>1226.6786507600002</v>
      </c>
      <c r="AB8" s="190">
        <f t="shared" si="12"/>
        <v>-1.2320760000193332E-2</v>
      </c>
      <c r="AC8" s="191">
        <f t="shared" si="13"/>
        <v>-1.783033285122045</v>
      </c>
      <c r="AD8" s="194">
        <f>AB8/W8</f>
        <v>-1.0044100582913474E-5</v>
      </c>
      <c r="AE8" s="77"/>
      <c r="AF8" s="77"/>
      <c r="AG8" s="77"/>
    </row>
    <row r="9" spans="1:33" x14ac:dyDescent="0.25">
      <c r="A9" s="180" t="s">
        <v>231</v>
      </c>
      <c r="B9" s="179"/>
      <c r="C9" s="181">
        <v>1</v>
      </c>
      <c r="D9" s="275"/>
      <c r="E9" s="182">
        <v>55557.243999999999</v>
      </c>
      <c r="F9" s="182">
        <v>-31328</v>
      </c>
      <c r="G9" s="182">
        <v>32516</v>
      </c>
      <c r="H9" s="183">
        <f t="shared" si="14"/>
        <v>1188</v>
      </c>
      <c r="I9" s="184">
        <f t="shared" si="0"/>
        <v>56745.243999999999</v>
      </c>
      <c r="J9" s="171"/>
      <c r="K9" s="171"/>
      <c r="L9" s="171" t="s">
        <v>137</v>
      </c>
      <c r="M9" s="171"/>
      <c r="N9" s="185">
        <v>0</v>
      </c>
      <c r="O9" s="186">
        <f>E9</f>
        <v>55557.243999999999</v>
      </c>
      <c r="P9" s="186">
        <f t="shared" si="1"/>
        <v>32516</v>
      </c>
      <c r="Q9" s="187">
        <v>0</v>
      </c>
      <c r="R9" s="188">
        <f t="shared" si="5"/>
        <v>0</v>
      </c>
      <c r="S9" s="186">
        <f t="shared" si="2"/>
        <v>-31328</v>
      </c>
      <c r="T9" s="187">
        <f t="shared" si="6"/>
        <v>0</v>
      </c>
      <c r="U9" s="189">
        <f t="shared" si="7"/>
        <v>0</v>
      </c>
      <c r="V9" s="171"/>
      <c r="W9" s="190">
        <f>N9+R9+U9</f>
        <v>0</v>
      </c>
      <c r="X9" s="171"/>
      <c r="Y9" s="191">
        <f t="shared" si="9"/>
        <v>56745.244000000006</v>
      </c>
      <c r="Z9" s="192">
        <f t="shared" si="10"/>
        <v>0</v>
      </c>
      <c r="AA9" s="193">
        <f t="shared" si="11"/>
        <v>0</v>
      </c>
      <c r="AB9" s="190">
        <f t="shared" si="12"/>
        <v>0</v>
      </c>
      <c r="AC9" s="191"/>
      <c r="AD9" s="194"/>
      <c r="AE9" s="77"/>
      <c r="AF9" s="77"/>
      <c r="AG9" s="77"/>
    </row>
    <row r="10" spans="1:33" x14ac:dyDescent="0.25">
      <c r="A10" s="180" t="s">
        <v>232</v>
      </c>
      <c r="B10" s="179"/>
      <c r="C10" s="181">
        <v>2</v>
      </c>
      <c r="D10" s="274"/>
      <c r="E10" s="182">
        <v>142095.962</v>
      </c>
      <c r="F10" s="182"/>
      <c r="G10" s="182"/>
      <c r="H10" s="183">
        <f t="shared" si="14"/>
        <v>0</v>
      </c>
      <c r="I10" s="184">
        <f t="shared" si="0"/>
        <v>142095.962</v>
      </c>
      <c r="J10" s="171"/>
      <c r="K10" s="171"/>
      <c r="L10" s="171" t="s">
        <v>233</v>
      </c>
      <c r="M10" s="171"/>
      <c r="N10" s="185"/>
      <c r="O10" s="186">
        <v>0</v>
      </c>
      <c r="P10" s="186">
        <v>0</v>
      </c>
      <c r="Q10" s="195">
        <v>6.9100000000000003E-3</v>
      </c>
      <c r="R10" s="188">
        <f t="shared" si="5"/>
        <v>0</v>
      </c>
      <c r="S10" s="186">
        <v>0</v>
      </c>
      <c r="T10" s="187">
        <f t="shared" si="6"/>
        <v>6.9100000000000003E-3</v>
      </c>
      <c r="U10" s="189">
        <f t="shared" si="7"/>
        <v>0</v>
      </c>
      <c r="V10" s="171"/>
      <c r="W10" s="190">
        <f t="shared" si="8"/>
        <v>0</v>
      </c>
      <c r="X10" s="171"/>
      <c r="Y10" s="191">
        <f t="shared" si="9"/>
        <v>0</v>
      </c>
      <c r="Z10" s="179">
        <f t="shared" si="10"/>
        <v>6.9100000000000003E-3</v>
      </c>
      <c r="AA10" s="193">
        <f t="shared" si="11"/>
        <v>0</v>
      </c>
      <c r="AB10" s="190">
        <f t="shared" si="12"/>
        <v>0</v>
      </c>
      <c r="AC10" s="191">
        <f t="shared" si="13"/>
        <v>0</v>
      </c>
      <c r="AD10" s="194"/>
      <c r="AE10" s="77"/>
      <c r="AF10" s="77"/>
      <c r="AG10" s="77"/>
    </row>
    <row r="11" spans="1:33" x14ac:dyDescent="0.25">
      <c r="A11" s="180" t="s">
        <v>234</v>
      </c>
      <c r="B11" s="179"/>
      <c r="C11" s="181">
        <v>39</v>
      </c>
      <c r="D11" s="274"/>
      <c r="E11" s="182">
        <v>3917949</v>
      </c>
      <c r="F11" s="182">
        <v>-3917947</v>
      </c>
      <c r="G11" s="182">
        <v>3900871</v>
      </c>
      <c r="H11" s="183">
        <f t="shared" si="14"/>
        <v>-17076</v>
      </c>
      <c r="I11" s="184">
        <f t="shared" si="0"/>
        <v>3900873</v>
      </c>
      <c r="J11" s="171"/>
      <c r="K11" s="171"/>
      <c r="L11" s="171"/>
      <c r="M11" s="171"/>
      <c r="N11" s="196">
        <f>SUM(N4:N10)</f>
        <v>-537750.02999999991</v>
      </c>
      <c r="O11" s="197">
        <f>SUM(O4:O10)</f>
        <v>30540377.855930004</v>
      </c>
      <c r="P11" s="197">
        <f>SUM(P4:P10)</f>
        <v>17627367</v>
      </c>
      <c r="Q11" s="171"/>
      <c r="R11" s="196">
        <f>SUM(R4:R10)</f>
        <v>-315476.38511999999</v>
      </c>
      <c r="S11" s="197">
        <f>SUM(S4:S10)</f>
        <v>-15510832</v>
      </c>
      <c r="T11" s="198"/>
      <c r="U11" s="196">
        <f>SUM(U4:U10)</f>
        <v>279371.58672000002</v>
      </c>
      <c r="V11" s="171"/>
      <c r="W11" s="196">
        <f>SUM(W4:W10)</f>
        <v>-573854.82839999977</v>
      </c>
      <c r="X11" s="171"/>
      <c r="Y11" s="199">
        <f>SUM(Y4:Y10)</f>
        <v>32656912.855930008</v>
      </c>
      <c r="Z11" s="171"/>
      <c r="AA11" s="199">
        <f>SUM(AA4:AA10)</f>
        <v>-573723.08342883724</v>
      </c>
      <c r="AB11" s="196">
        <f>SUM(AB4:AB10)</f>
        <v>-131.74497116265104</v>
      </c>
      <c r="AC11" s="199">
        <f>SUM(AC4:AC10)</f>
        <v>15782.241125071228</v>
      </c>
      <c r="AD11" s="194">
        <f t="shared" si="3"/>
        <v>2.2957891899241724E-4</v>
      </c>
      <c r="AE11" s="77"/>
      <c r="AF11" s="77"/>
      <c r="AG11" s="77"/>
    </row>
    <row r="12" spans="1:33" x14ac:dyDescent="0.25">
      <c r="A12" s="180" t="s">
        <v>235</v>
      </c>
      <c r="B12" s="179"/>
      <c r="C12" s="181">
        <v>3</v>
      </c>
      <c r="D12" s="274"/>
      <c r="E12" s="182">
        <v>176712</v>
      </c>
      <c r="F12" s="182">
        <v>0</v>
      </c>
      <c r="G12" s="182">
        <v>0</v>
      </c>
      <c r="H12" s="183">
        <f t="shared" si="14"/>
        <v>0</v>
      </c>
      <c r="I12" s="184">
        <f t="shared" si="0"/>
        <v>176712</v>
      </c>
      <c r="J12" s="171"/>
      <c r="K12" s="171"/>
      <c r="L12" s="171"/>
      <c r="M12" s="171"/>
      <c r="N12" s="171"/>
      <c r="O12" s="200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77"/>
      <c r="AF12" s="77"/>
      <c r="AG12" s="77"/>
    </row>
    <row r="13" spans="1:33" x14ac:dyDescent="0.25">
      <c r="A13" s="180" t="s">
        <v>236</v>
      </c>
      <c r="B13" s="179"/>
      <c r="C13" s="181">
        <v>5</v>
      </c>
      <c r="D13" s="276"/>
      <c r="E13" s="182">
        <v>4829560</v>
      </c>
      <c r="F13" s="182">
        <v>-4829560</v>
      </c>
      <c r="G13" s="182">
        <v>3966821</v>
      </c>
      <c r="H13" s="183">
        <f t="shared" si="14"/>
        <v>-862739</v>
      </c>
      <c r="I13" s="184">
        <f t="shared" si="0"/>
        <v>3966821</v>
      </c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2" t="s">
        <v>237</v>
      </c>
      <c r="U13" s="171" t="s">
        <v>238</v>
      </c>
      <c r="V13" s="171"/>
      <c r="W13" s="202">
        <v>0.95466099999999998</v>
      </c>
      <c r="X13" s="171"/>
      <c r="Y13" s="171"/>
      <c r="Z13" s="171" t="s">
        <v>239</v>
      </c>
      <c r="AA13" s="171" t="s">
        <v>240</v>
      </c>
      <c r="AB13" s="171"/>
      <c r="AC13" s="171" t="s">
        <v>241</v>
      </c>
      <c r="AD13" s="171"/>
      <c r="AE13" s="77"/>
      <c r="AF13" s="77"/>
      <c r="AG13" s="77"/>
    </row>
    <row r="14" spans="1:33" x14ac:dyDescent="0.25">
      <c r="A14" s="179"/>
      <c r="B14" s="179"/>
      <c r="C14" s="203">
        <f t="shared" ref="C14:H14" si="15">SUM(C4:C13)</f>
        <v>164662</v>
      </c>
      <c r="D14" s="203">
        <f t="shared" si="15"/>
        <v>2947</v>
      </c>
      <c r="E14" s="203">
        <f t="shared" si="15"/>
        <v>39606694.817930005</v>
      </c>
      <c r="F14" s="203">
        <f t="shared" si="15"/>
        <v>-24258339</v>
      </c>
      <c r="G14" s="203">
        <f t="shared" si="15"/>
        <v>25495059</v>
      </c>
      <c r="H14" s="203">
        <f t="shared" si="15"/>
        <v>1236720</v>
      </c>
      <c r="I14" s="203">
        <f t="shared" ref="I14" si="16">SUM(I4:I13)</f>
        <v>40843414.817930005</v>
      </c>
      <c r="J14" s="171"/>
      <c r="K14" s="171"/>
      <c r="L14" s="171"/>
      <c r="M14" s="171"/>
      <c r="N14" s="171"/>
      <c r="O14" s="171"/>
      <c r="P14" s="171"/>
      <c r="Q14" s="171"/>
      <c r="R14" s="171"/>
      <c r="S14" s="171" t="s">
        <v>184</v>
      </c>
      <c r="T14" s="171" t="s">
        <v>242</v>
      </c>
      <c r="U14" s="171"/>
      <c r="V14" s="171"/>
      <c r="W14" s="204">
        <f>(W4+W5)*W13</f>
        <v>-608289.40976375504</v>
      </c>
      <c r="X14" s="171"/>
      <c r="Y14" s="171" t="s">
        <v>28</v>
      </c>
      <c r="Z14" s="183">
        <f>O4+O5+P4+P5+S4+S5</f>
        <v>23418618.537940003</v>
      </c>
      <c r="AA14" s="179">
        <v>-2.597E-2</v>
      </c>
      <c r="AB14" s="190">
        <f>Z14*AA14</f>
        <v>-608181.52343030192</v>
      </c>
      <c r="AC14" s="190">
        <f>W14-AB14</f>
        <v>-107.88633345311973</v>
      </c>
      <c r="AD14" s="194">
        <f>AC14/W14</f>
        <v>1.7736020341866578E-4</v>
      </c>
      <c r="AE14" s="77"/>
      <c r="AF14" s="77"/>
      <c r="AG14" s="77"/>
    </row>
    <row r="15" spans="1:33" ht="15.75" thickBot="1" x14ac:dyDescent="0.3">
      <c r="A15" s="179"/>
      <c r="B15" s="179"/>
      <c r="C15" s="179"/>
      <c r="D15" s="179"/>
      <c r="E15" s="179"/>
      <c r="F15" s="179"/>
      <c r="G15" s="179"/>
      <c r="H15" s="179"/>
      <c r="I15" s="179"/>
      <c r="J15" s="171"/>
      <c r="K15" s="171"/>
      <c r="L15" s="171"/>
      <c r="M15" s="171"/>
      <c r="N15" s="171"/>
      <c r="O15" s="171"/>
      <c r="P15" s="171"/>
      <c r="Q15" s="171"/>
      <c r="R15" s="171"/>
      <c r="S15" s="171" t="s">
        <v>184</v>
      </c>
      <c r="T15" s="171" t="s">
        <v>243</v>
      </c>
      <c r="U15" s="171"/>
      <c r="V15" s="171"/>
      <c r="W15" s="204">
        <f>SUM(W6:W10)*W13</f>
        <v>60452.58542858281</v>
      </c>
      <c r="X15" s="171"/>
      <c r="Y15" s="171" t="s">
        <v>244</v>
      </c>
      <c r="Z15" s="183">
        <f>SUM(O6:P10,S6:S10)</f>
        <v>9238294.3179899994</v>
      </c>
      <c r="AA15" s="192">
        <v>6.6E-3</v>
      </c>
      <c r="AB15" s="190">
        <f>(Z15-Y9-Y7)*AA15</f>
        <v>60425.188031933991</v>
      </c>
      <c r="AC15" s="190">
        <f>W15-AB15</f>
        <v>27.397396648819267</v>
      </c>
      <c r="AD15" s="194">
        <f>AC15/W15</f>
        <v>4.5320471332340075E-4</v>
      </c>
      <c r="AE15" s="77"/>
      <c r="AF15" s="77"/>
      <c r="AG15" s="77"/>
    </row>
    <row r="16" spans="1:33" x14ac:dyDescent="0.25">
      <c r="A16" s="179" t="s">
        <v>28</v>
      </c>
      <c r="B16" s="179"/>
      <c r="C16" s="205">
        <f>C4+C5</f>
        <v>161561</v>
      </c>
      <c r="D16" s="205">
        <f>D4+D5</f>
        <v>2894</v>
      </c>
      <c r="E16" s="206">
        <f>E4+E5</f>
        <v>21932387.537940003</v>
      </c>
      <c r="F16" s="206">
        <f t="shared" ref="F16:H16" si="17">F4+F5</f>
        <v>-11324273</v>
      </c>
      <c r="G16" s="206">
        <f t="shared" si="17"/>
        <v>12810504</v>
      </c>
      <c r="H16" s="206">
        <f t="shared" si="17"/>
        <v>1486231</v>
      </c>
      <c r="I16" s="205">
        <f>I4+I5</f>
        <v>23418618.537940003</v>
      </c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77"/>
      <c r="AF16" s="77"/>
      <c r="AG16" s="77"/>
    </row>
    <row r="17" spans="1:33" x14ac:dyDescent="0.25">
      <c r="A17" s="179"/>
      <c r="B17" s="179"/>
      <c r="C17" s="207"/>
      <c r="D17" s="207"/>
      <c r="E17" s="179"/>
      <c r="F17" s="179"/>
      <c r="G17" s="179"/>
      <c r="H17" s="179"/>
      <c r="I17" s="208"/>
      <c r="J17" s="171"/>
      <c r="K17" s="171"/>
      <c r="L17" s="171"/>
      <c r="M17" s="171"/>
      <c r="N17" s="171"/>
      <c r="O17" s="171"/>
      <c r="P17" s="171"/>
      <c r="Q17" s="171"/>
      <c r="R17" s="190">
        <f>R11+U11</f>
        <v>-36104.798399999971</v>
      </c>
      <c r="S17" s="171" t="s">
        <v>320</v>
      </c>
      <c r="T17" s="171"/>
      <c r="U17" s="171"/>
      <c r="V17" s="171"/>
      <c r="W17" s="171"/>
      <c r="X17" s="171"/>
      <c r="Y17" s="171" t="s">
        <v>245</v>
      </c>
      <c r="Z17" s="171"/>
      <c r="AA17" s="171"/>
      <c r="AB17" s="171"/>
      <c r="AC17" s="171"/>
      <c r="AD17" s="171"/>
      <c r="AE17" s="77"/>
      <c r="AF17" s="77"/>
      <c r="AG17" s="77"/>
    </row>
    <row r="18" spans="1:33" ht="15.75" thickBot="1" x14ac:dyDescent="0.3">
      <c r="A18" s="179" t="s">
        <v>244</v>
      </c>
      <c r="B18" s="179"/>
      <c r="C18" s="209">
        <f>SUM(C6:C9)</f>
        <v>3052</v>
      </c>
      <c r="D18" s="209">
        <f>SUM(D6:D9)</f>
        <v>53</v>
      </c>
      <c r="E18" s="210">
        <f>SUM(E6:E9)</f>
        <v>8607990.3179900013</v>
      </c>
      <c r="F18" s="210">
        <f t="shared" ref="F18:H18" si="18">SUM(F6:F9)</f>
        <v>-4186559</v>
      </c>
      <c r="G18" s="210">
        <f t="shared" si="18"/>
        <v>4816863</v>
      </c>
      <c r="H18" s="210">
        <f t="shared" si="18"/>
        <v>630304</v>
      </c>
      <c r="I18" s="209">
        <f>SUM(I6:I9)</f>
        <v>9238294.3179899994</v>
      </c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77"/>
      <c r="AF18" s="77"/>
      <c r="AG18" s="77"/>
    </row>
    <row r="19" spans="1:33" x14ac:dyDescent="0.25">
      <c r="A19" s="179"/>
      <c r="B19" s="179"/>
      <c r="C19" s="179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77"/>
      <c r="AF19" s="77"/>
      <c r="AG19" s="77"/>
    </row>
    <row r="20" spans="1:33" ht="51.75" x14ac:dyDescent="0.25">
      <c r="A20" s="174"/>
      <c r="B20" s="211"/>
      <c r="C20" s="177" t="s">
        <v>246</v>
      </c>
      <c r="D20" s="212" t="s">
        <v>247</v>
      </c>
      <c r="E20" s="177" t="s">
        <v>248</v>
      </c>
      <c r="F20" s="177" t="s">
        <v>249</v>
      </c>
      <c r="G20" s="177" t="s">
        <v>250</v>
      </c>
      <c r="H20" s="177" t="s">
        <v>251</v>
      </c>
      <c r="I20" s="177" t="s">
        <v>252</v>
      </c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77"/>
      <c r="AF20" s="77"/>
      <c r="AG20" s="77"/>
    </row>
    <row r="21" spans="1:33" x14ac:dyDescent="0.25">
      <c r="A21" s="179"/>
      <c r="B21" s="179"/>
      <c r="C21" s="179"/>
      <c r="D21" s="179"/>
      <c r="E21" s="179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77"/>
      <c r="AF21" s="77"/>
      <c r="AG21" s="77"/>
    </row>
    <row r="22" spans="1:33" x14ac:dyDescent="0.25">
      <c r="A22" s="180" t="s">
        <v>221</v>
      </c>
      <c r="B22" s="179"/>
      <c r="C22" s="213">
        <v>1548025</v>
      </c>
      <c r="D22" s="213">
        <v>10852029.07</v>
      </c>
      <c r="E22" s="213">
        <v>-9797419.7150132935</v>
      </c>
      <c r="F22" s="236">
        <f>10145535-F23</f>
        <v>10142806.420380777</v>
      </c>
      <c r="G22" s="214">
        <f>SUM(D22:F22)</f>
        <v>11197415.775367483</v>
      </c>
      <c r="H22" s="190">
        <f>-J54</f>
        <v>-284847.29328000004</v>
      </c>
      <c r="I22" s="190">
        <f t="shared" ref="I22:I31" si="19">G22+H22</f>
        <v>10912568.482087484</v>
      </c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77"/>
      <c r="AF22" s="77"/>
      <c r="AG22" s="77"/>
    </row>
    <row r="23" spans="1:33" x14ac:dyDescent="0.25">
      <c r="A23" s="180" t="s">
        <v>223</v>
      </c>
      <c r="B23" s="179"/>
      <c r="C23" s="213">
        <v>1577</v>
      </c>
      <c r="D23" s="213">
        <v>11076.49</v>
      </c>
      <c r="E23" s="213">
        <v>-2411.2849867065352</v>
      </c>
      <c r="F23" s="213">
        <f>G5*(K23-C23)/E5</f>
        <v>2728.5796192235016</v>
      </c>
      <c r="G23" s="214">
        <f>SUM(D23:F23)</f>
        <v>11393.784632516965</v>
      </c>
      <c r="H23" s="190">
        <f>-J55</f>
        <v>303.71305999999998</v>
      </c>
      <c r="I23" s="190">
        <f t="shared" si="19"/>
        <v>11697.497692516965</v>
      </c>
      <c r="J23" s="171"/>
      <c r="K23" s="277">
        <v>6238.99</v>
      </c>
      <c r="L23" s="171" t="s">
        <v>277</v>
      </c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77"/>
      <c r="AF23" s="77"/>
      <c r="AG23" s="77"/>
    </row>
    <row r="24" spans="1:33" x14ac:dyDescent="0.25">
      <c r="A24" s="180" t="s">
        <v>225</v>
      </c>
      <c r="B24" s="179"/>
      <c r="C24" s="213">
        <v>296356.93</v>
      </c>
      <c r="D24" s="213">
        <v>2437334.4300000002</v>
      </c>
      <c r="E24" s="213">
        <v>-2367281</v>
      </c>
      <c r="F24" s="213">
        <v>2464751</v>
      </c>
      <c r="G24" s="214">
        <f>SUM(D24:F24)</f>
        <v>2534804.4300000002</v>
      </c>
      <c r="H24" s="190">
        <f>-J56</f>
        <v>-138142.96833</v>
      </c>
      <c r="I24" s="190">
        <f t="shared" si="19"/>
        <v>2396661.4616700001</v>
      </c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77"/>
      <c r="AF24" s="77"/>
      <c r="AG24" s="77"/>
    </row>
    <row r="25" spans="1:33" x14ac:dyDescent="0.25">
      <c r="A25" s="180" t="s">
        <v>227</v>
      </c>
      <c r="B25" s="179"/>
      <c r="C25" s="213">
        <v>97.26</v>
      </c>
      <c r="D25" s="213">
        <v>5800.14</v>
      </c>
      <c r="E25" s="213">
        <v>-5774</v>
      </c>
      <c r="F25" s="213">
        <v>7426</v>
      </c>
      <c r="G25" s="214">
        <f>SUM(D25:F25)</f>
        <v>7452.14</v>
      </c>
      <c r="H25" s="190">
        <f>-J57</f>
        <v>-1137.5657999999999</v>
      </c>
      <c r="I25" s="190">
        <f>G25+H25</f>
        <v>6314.5742000000009</v>
      </c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77"/>
      <c r="AF25" s="77"/>
      <c r="AG25" s="77"/>
    </row>
    <row r="26" spans="1:33" x14ac:dyDescent="0.25">
      <c r="A26" s="180" t="s">
        <v>229</v>
      </c>
      <c r="B26" s="179"/>
      <c r="C26" s="213">
        <v>721.38</v>
      </c>
      <c r="D26" s="213">
        <v>31311.360000000001</v>
      </c>
      <c r="E26" s="213">
        <v>-46768</v>
      </c>
      <c r="F26" s="213">
        <v>44763</v>
      </c>
      <c r="G26" s="214">
        <f t="shared" ref="G26:G31" si="20">SUM(D26:F26)</f>
        <v>29306.36</v>
      </c>
      <c r="H26" s="190">
        <f t="shared" ref="H26:H31" si="21">-J58</f>
        <v>-1797.9846299999999</v>
      </c>
      <c r="I26" s="190">
        <f t="shared" si="19"/>
        <v>27508.375370000002</v>
      </c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77"/>
      <c r="AF26" s="77"/>
      <c r="AG26" s="77"/>
    </row>
    <row r="27" spans="1:33" x14ac:dyDescent="0.25">
      <c r="A27" s="180" t="s">
        <v>231</v>
      </c>
      <c r="B27" s="179"/>
      <c r="C27" s="213">
        <v>240.46</v>
      </c>
      <c r="D27" s="213">
        <v>10473.81</v>
      </c>
      <c r="E27" s="213">
        <v>-15832</v>
      </c>
      <c r="F27" s="213">
        <v>14598</v>
      </c>
      <c r="G27" s="214">
        <f t="shared" si="20"/>
        <v>9239.81</v>
      </c>
      <c r="H27" s="190">
        <f t="shared" si="21"/>
        <v>-349.54523999999998</v>
      </c>
      <c r="I27" s="190">
        <f t="shared" si="19"/>
        <v>8890.26476</v>
      </c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77"/>
      <c r="AF27" s="77"/>
      <c r="AG27" s="77"/>
    </row>
    <row r="28" spans="1:33" x14ac:dyDescent="0.25">
      <c r="A28" s="180" t="s">
        <v>232</v>
      </c>
      <c r="B28" s="179"/>
      <c r="C28" s="213">
        <v>0</v>
      </c>
      <c r="D28" s="213">
        <v>27830.34</v>
      </c>
      <c r="E28" s="213"/>
      <c r="F28" s="213"/>
      <c r="G28" s="214">
        <f t="shared" si="20"/>
        <v>27830.34</v>
      </c>
      <c r="H28" s="190">
        <f t="shared" si="21"/>
        <v>0</v>
      </c>
      <c r="I28" s="190">
        <f t="shared" si="19"/>
        <v>27830.34</v>
      </c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77"/>
      <c r="AF28" s="77"/>
      <c r="AG28" s="77"/>
    </row>
    <row r="29" spans="1:33" x14ac:dyDescent="0.25">
      <c r="A29" s="180" t="s">
        <v>234</v>
      </c>
      <c r="B29" s="179"/>
      <c r="C29" s="213">
        <v>21450</v>
      </c>
      <c r="D29" s="213">
        <v>336640.37</v>
      </c>
      <c r="E29" s="213">
        <v>-224107</v>
      </c>
      <c r="F29" s="213">
        <v>223130</v>
      </c>
      <c r="G29" s="214">
        <f t="shared" si="20"/>
        <v>335663.37</v>
      </c>
      <c r="H29" s="190">
        <f t="shared" si="21"/>
        <v>-38.250240000000005</v>
      </c>
      <c r="I29" s="190">
        <f t="shared" si="19"/>
        <v>335625.11975999997</v>
      </c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77"/>
      <c r="AF29" s="77"/>
      <c r="AG29" s="77"/>
    </row>
    <row r="30" spans="1:33" x14ac:dyDescent="0.25">
      <c r="A30" s="180" t="s">
        <v>235</v>
      </c>
      <c r="B30" s="179"/>
      <c r="C30" s="213">
        <v>0</v>
      </c>
      <c r="D30" s="213">
        <v>3695.05</v>
      </c>
      <c r="E30" s="213"/>
      <c r="F30" s="213"/>
      <c r="G30" s="214">
        <f t="shared" si="20"/>
        <v>3695.05</v>
      </c>
      <c r="H30" s="190">
        <f t="shared" si="21"/>
        <v>0</v>
      </c>
      <c r="I30" s="190">
        <f t="shared" si="19"/>
        <v>3695.05</v>
      </c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77"/>
      <c r="AF30" s="77"/>
      <c r="AG30" s="77"/>
    </row>
    <row r="31" spans="1:33" x14ac:dyDescent="0.25">
      <c r="A31" s="180" t="s">
        <v>236</v>
      </c>
      <c r="B31" s="179"/>
      <c r="C31" s="213">
        <v>1000</v>
      </c>
      <c r="D31" s="213">
        <v>120443.2</v>
      </c>
      <c r="E31" s="213">
        <v>-100986</v>
      </c>
      <c r="F31" s="213">
        <v>82946</v>
      </c>
      <c r="G31" s="214">
        <f t="shared" si="20"/>
        <v>102403.2</v>
      </c>
      <c r="H31" s="190">
        <f t="shared" si="21"/>
        <v>0</v>
      </c>
      <c r="I31" s="190">
        <f t="shared" si="19"/>
        <v>102403.2</v>
      </c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77"/>
      <c r="AF31" s="77"/>
      <c r="AG31" s="77"/>
    </row>
    <row r="32" spans="1:33" x14ac:dyDescent="0.25">
      <c r="A32" s="180" t="s">
        <v>253</v>
      </c>
      <c r="B32" s="179"/>
      <c r="C32" s="213"/>
      <c r="D32" s="213">
        <v>6160285.7800000003</v>
      </c>
      <c r="E32" s="213"/>
      <c r="F32" s="213"/>
      <c r="G32" s="214"/>
      <c r="H32" s="190"/>
      <c r="I32" s="190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77"/>
      <c r="AF32" s="77"/>
      <c r="AG32" s="77"/>
    </row>
    <row r="33" spans="1:33" x14ac:dyDescent="0.25">
      <c r="A33" s="180" t="s">
        <v>254</v>
      </c>
      <c r="B33" s="179"/>
      <c r="C33" s="215"/>
      <c r="D33" s="213">
        <v>723634.55</v>
      </c>
      <c r="E33" s="213"/>
      <c r="F33" s="213"/>
      <c r="G33" s="214"/>
      <c r="H33" s="190"/>
      <c r="I33" s="190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77"/>
      <c r="AF33" s="77"/>
      <c r="AG33" s="77"/>
    </row>
    <row r="34" spans="1:33" x14ac:dyDescent="0.25">
      <c r="A34" s="179"/>
      <c r="B34" s="179"/>
      <c r="C34" s="196">
        <f>SUM(C22:C31)</f>
        <v>1869468.0299999998</v>
      </c>
      <c r="D34" s="216">
        <f>SUM(D22:D33)</f>
        <v>20720554.59</v>
      </c>
      <c r="E34" s="216">
        <f>SUM(E22:E33)</f>
        <v>-12560579</v>
      </c>
      <c r="F34" s="216">
        <f>SUM(F22:F33)</f>
        <v>12983149</v>
      </c>
      <c r="G34" s="216">
        <f t="shared" ref="G34:I34" si="22">SUM(G22:G33)</f>
        <v>14259204.26</v>
      </c>
      <c r="H34" s="216">
        <f t="shared" si="22"/>
        <v>-426009.8944600001</v>
      </c>
      <c r="I34" s="216">
        <f t="shared" si="22"/>
        <v>13833194.36554</v>
      </c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77"/>
      <c r="AF34" s="77"/>
      <c r="AG34" s="77"/>
    </row>
    <row r="35" spans="1:33" ht="15.75" thickBot="1" x14ac:dyDescent="0.3">
      <c r="A35" s="179"/>
      <c r="B35" s="179"/>
      <c r="C35" s="171"/>
      <c r="D35" s="217"/>
      <c r="E35" s="179"/>
      <c r="F35" s="179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77"/>
      <c r="AF35" s="77"/>
      <c r="AG35" s="77"/>
    </row>
    <row r="36" spans="1:33" x14ac:dyDescent="0.25">
      <c r="A36" s="179" t="s">
        <v>28</v>
      </c>
      <c r="B36" s="179"/>
      <c r="C36" s="218">
        <f>C22+C23</f>
        <v>1549602</v>
      </c>
      <c r="D36" s="188">
        <f>D22+D23</f>
        <v>10863105.560000001</v>
      </c>
      <c r="E36" s="188">
        <f t="shared" ref="E36:H36" si="23">E22+E23</f>
        <v>-9799831</v>
      </c>
      <c r="F36" s="188">
        <f t="shared" si="23"/>
        <v>10145535</v>
      </c>
      <c r="G36" s="188">
        <f t="shared" si="23"/>
        <v>11208809.560000001</v>
      </c>
      <c r="H36" s="188">
        <f t="shared" si="23"/>
        <v>-284543.58022000006</v>
      </c>
      <c r="I36" s="218">
        <f>I22+I23</f>
        <v>10924265.97978</v>
      </c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77"/>
      <c r="AF36" s="77"/>
      <c r="AG36" s="77"/>
    </row>
    <row r="37" spans="1:33" x14ac:dyDescent="0.25">
      <c r="A37" s="179"/>
      <c r="B37" s="179"/>
      <c r="C37" s="219"/>
      <c r="D37" s="188"/>
      <c r="E37" s="179"/>
      <c r="F37" s="179"/>
      <c r="G37" s="171"/>
      <c r="H37" s="171"/>
      <c r="I37" s="220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77"/>
      <c r="AF37" s="77"/>
      <c r="AG37" s="77"/>
    </row>
    <row r="38" spans="1:33" ht="15.75" thickBot="1" x14ac:dyDescent="0.3">
      <c r="A38" s="179" t="s">
        <v>244</v>
      </c>
      <c r="B38" s="179"/>
      <c r="C38" s="221">
        <f>SUM(C24:C27)</f>
        <v>297416.03000000003</v>
      </c>
      <c r="D38" s="222">
        <f>SUM(D24:D27)</f>
        <v>2484919.7400000002</v>
      </c>
      <c r="E38" s="222">
        <f t="shared" ref="E38:H38" si="24">SUM(E24:E27)</f>
        <v>-2435655</v>
      </c>
      <c r="F38" s="222">
        <f t="shared" si="24"/>
        <v>2531538</v>
      </c>
      <c r="G38" s="222">
        <f t="shared" si="24"/>
        <v>2580802.7400000002</v>
      </c>
      <c r="H38" s="222">
        <f t="shared" si="24"/>
        <v>-141428.06400000001</v>
      </c>
      <c r="I38" s="221">
        <f>SUM(I24:I27)</f>
        <v>2439374.6760000004</v>
      </c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77"/>
      <c r="AF38" s="77"/>
      <c r="AG38" s="77"/>
    </row>
    <row r="39" spans="1:33" x14ac:dyDescent="0.25">
      <c r="A39" s="179"/>
      <c r="B39" s="179"/>
      <c r="C39" s="223"/>
      <c r="D39" s="222"/>
      <c r="E39" s="222"/>
      <c r="F39" s="222"/>
      <c r="G39" s="222"/>
      <c r="H39" s="222"/>
      <c r="I39" s="223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77"/>
      <c r="AF39" s="77"/>
      <c r="AG39" s="77"/>
    </row>
    <row r="40" spans="1:33" ht="76.150000000000006" customHeight="1" x14ac:dyDescent="0.25">
      <c r="A40" s="179" t="s">
        <v>255</v>
      </c>
      <c r="B40" s="171"/>
      <c r="C40" s="224">
        <v>43405</v>
      </c>
      <c r="D40" s="224">
        <v>43405</v>
      </c>
      <c r="E40" s="224">
        <v>43252</v>
      </c>
      <c r="F40" s="224">
        <v>43405</v>
      </c>
      <c r="G40" s="224">
        <v>42278</v>
      </c>
      <c r="H40" s="224">
        <v>43344</v>
      </c>
      <c r="I40" s="224">
        <v>43374</v>
      </c>
      <c r="J40" s="225"/>
      <c r="K40" s="225"/>
      <c r="L40" s="171" t="s">
        <v>276</v>
      </c>
      <c r="M40" s="171"/>
      <c r="N40" s="171"/>
      <c r="O40" s="317" t="s">
        <v>265</v>
      </c>
      <c r="P40" s="317" t="s">
        <v>266</v>
      </c>
      <c r="Q40" s="317" t="s">
        <v>267</v>
      </c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77"/>
      <c r="AE40" s="77"/>
      <c r="AF40" s="77"/>
      <c r="AG40" s="77"/>
    </row>
    <row r="41" spans="1:33" ht="26.25" x14ac:dyDescent="0.25">
      <c r="A41" s="226" t="s">
        <v>256</v>
      </c>
      <c r="B41" s="175"/>
      <c r="C41" s="227" t="s">
        <v>257</v>
      </c>
      <c r="D41" s="227" t="s">
        <v>258</v>
      </c>
      <c r="E41" s="227" t="s">
        <v>259</v>
      </c>
      <c r="F41" s="227" t="s">
        <v>260</v>
      </c>
      <c r="G41" s="227" t="s">
        <v>261</v>
      </c>
      <c r="H41" s="227" t="s">
        <v>262</v>
      </c>
      <c r="I41" s="227" t="s">
        <v>263</v>
      </c>
      <c r="J41" s="228"/>
      <c r="K41" s="317" t="s">
        <v>264</v>
      </c>
      <c r="L41" s="317"/>
      <c r="M41" s="317" t="s">
        <v>275</v>
      </c>
      <c r="N41" s="317"/>
      <c r="O41" s="317"/>
      <c r="P41" s="317"/>
      <c r="Q41" s="317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77"/>
      <c r="AE41" s="77"/>
      <c r="AF41" s="77"/>
      <c r="AG41" s="77"/>
    </row>
    <row r="42" spans="1:33" x14ac:dyDescent="0.25">
      <c r="A42" s="180" t="s">
        <v>221</v>
      </c>
      <c r="B42" s="179"/>
      <c r="C42" s="229">
        <v>0.28637000000000001</v>
      </c>
      <c r="D42" s="229">
        <v>-9.6129999999999993E-2</v>
      </c>
      <c r="E42" s="229">
        <v>-2.1069999999999998E-2</v>
      </c>
      <c r="F42" s="229">
        <v>-2.7199999999999998E-2</v>
      </c>
      <c r="G42" s="229">
        <v>0</v>
      </c>
      <c r="H42" s="229">
        <v>3.0280000000000001E-2</v>
      </c>
      <c r="I42" s="229">
        <v>1.959E-2</v>
      </c>
      <c r="J42" s="229"/>
      <c r="K42" s="230"/>
      <c r="L42" s="231">
        <f>SUM(C42:I42)</f>
        <v>0.19184000000000001</v>
      </c>
      <c r="M42" s="171"/>
      <c r="N42" s="231">
        <f>SUM(C42:I42)</f>
        <v>0.19184000000000001</v>
      </c>
      <c r="O42" s="193">
        <f t="shared" ref="O42:O51" si="25">L42*G4</f>
        <v>2455038.2524800003</v>
      </c>
      <c r="P42" s="232">
        <f>-F4*N42</f>
        <v>2170190.9591999999</v>
      </c>
      <c r="Q42" s="193">
        <f>O42-P42</f>
        <v>284847.29328000033</v>
      </c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77"/>
      <c r="AE42" s="77"/>
      <c r="AF42" s="77"/>
      <c r="AG42" s="77"/>
    </row>
    <row r="43" spans="1:33" x14ac:dyDescent="0.25">
      <c r="A43" s="180" t="s">
        <v>223</v>
      </c>
      <c r="B43" s="179"/>
      <c r="C43" s="229">
        <v>0.28637000000000001</v>
      </c>
      <c r="D43" s="229">
        <v>-9.6129999999999993E-2</v>
      </c>
      <c r="E43" s="229">
        <v>-2.1069999999999998E-2</v>
      </c>
      <c r="F43" s="229">
        <v>-2.7199999999999998E-2</v>
      </c>
      <c r="G43" s="229">
        <v>-0.40662999999999999</v>
      </c>
      <c r="H43" s="229">
        <v>3.0280000000000001E-2</v>
      </c>
      <c r="I43" s="229">
        <v>1.959E-2</v>
      </c>
      <c r="J43" s="229"/>
      <c r="K43" s="230"/>
      <c r="L43" s="231">
        <f t="shared" ref="L43:L51" si="26">SUM(C43:I43)</f>
        <v>-0.21479000000000001</v>
      </c>
      <c r="M43" s="171"/>
      <c r="N43" s="231">
        <f t="shared" ref="N43:N51" si="27">SUM(C43:I43)</f>
        <v>-0.21479000000000001</v>
      </c>
      <c r="O43" s="193">
        <f t="shared" si="25"/>
        <v>-2831.3617800000002</v>
      </c>
      <c r="P43" s="232">
        <f t="shared" ref="P43:P51" si="28">-F5*N43</f>
        <v>-2527.6487200000001</v>
      </c>
      <c r="Q43" s="193">
        <f t="shared" ref="Q43:Q51" si="29">O43-P43</f>
        <v>-303.71306000000004</v>
      </c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77"/>
      <c r="AE43" s="77"/>
      <c r="AF43" s="77"/>
      <c r="AG43" s="77"/>
    </row>
    <row r="44" spans="1:33" x14ac:dyDescent="0.25">
      <c r="A44" s="180" t="s">
        <v>225</v>
      </c>
      <c r="B44" s="179"/>
      <c r="C44" s="229">
        <v>0.27588000000000001</v>
      </c>
      <c r="D44" s="229">
        <v>-7.9969999999999999E-2</v>
      </c>
      <c r="E44" s="229">
        <v>-1.2E-2</v>
      </c>
      <c r="F44" s="229">
        <v>6.9100000000000003E-3</v>
      </c>
      <c r="G44" s="229">
        <v>0</v>
      </c>
      <c r="H44" s="229">
        <v>1.626E-2</v>
      </c>
      <c r="I44" s="229">
        <v>1.6410000000000001E-2</v>
      </c>
      <c r="J44" s="229"/>
      <c r="K44" s="230"/>
      <c r="L44" s="231">
        <f t="shared" si="26"/>
        <v>0.22349000000000002</v>
      </c>
      <c r="M44" s="171"/>
      <c r="N44" s="231">
        <f t="shared" si="27"/>
        <v>0.22349000000000002</v>
      </c>
      <c r="O44" s="193">
        <f t="shared" si="25"/>
        <v>1044042.6980900001</v>
      </c>
      <c r="P44" s="232">
        <f t="shared" si="28"/>
        <v>905899.72976000013</v>
      </c>
      <c r="Q44" s="193">
        <f t="shared" si="29"/>
        <v>138142.96832999995</v>
      </c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77"/>
      <c r="AE44" s="77"/>
      <c r="AF44" s="77"/>
      <c r="AG44" s="77"/>
    </row>
    <row r="45" spans="1:33" x14ac:dyDescent="0.25">
      <c r="A45" s="180" t="s">
        <v>227</v>
      </c>
      <c r="B45" s="179"/>
      <c r="C45" s="229">
        <v>0.27588000000000001</v>
      </c>
      <c r="D45" s="229">
        <v>0</v>
      </c>
      <c r="E45" s="229">
        <v>-1.2E-2</v>
      </c>
      <c r="F45" s="229">
        <v>0</v>
      </c>
      <c r="G45" s="229">
        <v>0</v>
      </c>
      <c r="H45" s="229">
        <v>1.626E-2</v>
      </c>
      <c r="I45" s="229">
        <v>1.6410000000000001E-2</v>
      </c>
      <c r="J45" s="229"/>
      <c r="K45" s="230"/>
      <c r="L45" s="231">
        <f t="shared" si="26"/>
        <v>0.29654999999999998</v>
      </c>
      <c r="M45" s="171"/>
      <c r="N45" s="231">
        <f t="shared" si="27"/>
        <v>0.29654999999999998</v>
      </c>
      <c r="O45" s="193">
        <f t="shared" si="25"/>
        <v>3884.5084499999998</v>
      </c>
      <c r="P45" s="232">
        <f t="shared" si="28"/>
        <v>2746.94265</v>
      </c>
      <c r="Q45" s="193">
        <f t="shared" si="29"/>
        <v>1137.5657999999999</v>
      </c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77"/>
      <c r="AE45" s="77"/>
      <c r="AF45" s="77"/>
      <c r="AG45" s="77"/>
    </row>
    <row r="46" spans="1:33" x14ac:dyDescent="0.25">
      <c r="A46" s="180" t="s">
        <v>229</v>
      </c>
      <c r="B46" s="179"/>
      <c r="C46" s="229">
        <v>0.27573999999999999</v>
      </c>
      <c r="D46" s="229">
        <v>-5.0130000000000001E-2</v>
      </c>
      <c r="E46" s="229">
        <v>-9.2599999999999991E-3</v>
      </c>
      <c r="F46" s="229">
        <v>6.9100000000000003E-3</v>
      </c>
      <c r="G46" s="229">
        <v>0</v>
      </c>
      <c r="H46" s="229">
        <v>1.2760000000000001E-2</v>
      </c>
      <c r="I46" s="229">
        <v>1.499E-2</v>
      </c>
      <c r="J46" s="229"/>
      <c r="K46" s="230"/>
      <c r="L46" s="231">
        <f t="shared" si="26"/>
        <v>0.25100999999999996</v>
      </c>
      <c r="M46" s="171"/>
      <c r="N46" s="231">
        <f t="shared" si="27"/>
        <v>0.25100999999999996</v>
      </c>
      <c r="O46" s="193">
        <f t="shared" si="25"/>
        <v>25027.454069999996</v>
      </c>
      <c r="P46" s="232">
        <f t="shared" si="28"/>
        <v>23229.469439999997</v>
      </c>
      <c r="Q46" s="193">
        <f t="shared" si="29"/>
        <v>1797.984629999999</v>
      </c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77"/>
      <c r="AE46" s="77"/>
      <c r="AF46" s="77"/>
      <c r="AG46" s="77"/>
    </row>
    <row r="47" spans="1:33" x14ac:dyDescent="0.25">
      <c r="A47" s="180" t="s">
        <v>231</v>
      </c>
      <c r="B47" s="179"/>
      <c r="C47" s="229">
        <v>0.27573999999999999</v>
      </c>
      <c r="D47" s="229">
        <v>0</v>
      </c>
      <c r="E47" s="229">
        <v>-9.2599999999999991E-3</v>
      </c>
      <c r="F47" s="229">
        <v>0</v>
      </c>
      <c r="G47" s="229">
        <v>0</v>
      </c>
      <c r="H47" s="229">
        <v>1.2760000000000001E-2</v>
      </c>
      <c r="I47" s="229">
        <v>1.499E-2</v>
      </c>
      <c r="J47" s="229"/>
      <c r="K47" s="230"/>
      <c r="L47" s="231">
        <f t="shared" si="26"/>
        <v>0.29422999999999999</v>
      </c>
      <c r="M47" s="171"/>
      <c r="N47" s="231">
        <f t="shared" si="27"/>
        <v>0.29422999999999999</v>
      </c>
      <c r="O47" s="193">
        <f t="shared" si="25"/>
        <v>9567.1826799999999</v>
      </c>
      <c r="P47" s="232">
        <f t="shared" si="28"/>
        <v>9217.6374400000004</v>
      </c>
      <c r="Q47" s="193">
        <f t="shared" si="29"/>
        <v>349.54523999999947</v>
      </c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77"/>
      <c r="AE47" s="77"/>
      <c r="AF47" s="77"/>
      <c r="AG47" s="77"/>
    </row>
    <row r="48" spans="1:33" x14ac:dyDescent="0.25">
      <c r="A48" s="180" t="s">
        <v>232</v>
      </c>
      <c r="B48" s="179"/>
      <c r="C48" s="229">
        <v>0.24138999999999999</v>
      </c>
      <c r="D48" s="229">
        <v>0</v>
      </c>
      <c r="E48" s="229">
        <v>-7.8399999999999997E-3</v>
      </c>
      <c r="F48" s="229">
        <v>0</v>
      </c>
      <c r="G48" s="229">
        <v>0</v>
      </c>
      <c r="H48" s="229">
        <v>1.132E-2</v>
      </c>
      <c r="I48" s="229">
        <v>1.44E-2</v>
      </c>
      <c r="J48" s="229"/>
      <c r="K48" s="230"/>
      <c r="L48" s="231">
        <f t="shared" si="26"/>
        <v>0.25927</v>
      </c>
      <c r="M48" s="171"/>
      <c r="N48" s="231">
        <f t="shared" si="27"/>
        <v>0.25927</v>
      </c>
      <c r="O48" s="193">
        <f t="shared" si="25"/>
        <v>0</v>
      </c>
      <c r="P48" s="232">
        <f t="shared" si="28"/>
        <v>0</v>
      </c>
      <c r="Q48" s="193">
        <f t="shared" si="29"/>
        <v>0</v>
      </c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77"/>
      <c r="AE48" s="77"/>
      <c r="AF48" s="77"/>
      <c r="AG48" s="77"/>
    </row>
    <row r="49" spans="1:33" x14ac:dyDescent="0.25">
      <c r="A49" s="180" t="s">
        <v>234</v>
      </c>
      <c r="B49" s="179"/>
      <c r="C49" s="229">
        <v>5.5999999999999995E-4</v>
      </c>
      <c r="D49" s="229">
        <v>0</v>
      </c>
      <c r="E49" s="229">
        <v>-3.5400000000000002E-3</v>
      </c>
      <c r="F49" s="229">
        <v>0</v>
      </c>
      <c r="G49" s="229">
        <v>0</v>
      </c>
      <c r="H49" s="229">
        <v>0</v>
      </c>
      <c r="I49" s="229">
        <v>7.3999999999999999E-4</v>
      </c>
      <c r="J49" s="229"/>
      <c r="K49" s="230"/>
      <c r="L49" s="231">
        <f t="shared" si="26"/>
        <v>-2.2399999999999998E-3</v>
      </c>
      <c r="M49" s="171"/>
      <c r="N49" s="231">
        <f t="shared" si="27"/>
        <v>-2.2399999999999998E-3</v>
      </c>
      <c r="O49" s="193">
        <f t="shared" si="25"/>
        <v>-8737.9510399999999</v>
      </c>
      <c r="P49" s="232">
        <f t="shared" si="28"/>
        <v>-8776.2012799999993</v>
      </c>
      <c r="Q49" s="193">
        <f t="shared" si="29"/>
        <v>38.250239999999394</v>
      </c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77"/>
      <c r="AE49" s="77"/>
      <c r="AF49" s="77"/>
      <c r="AG49" s="77"/>
    </row>
    <row r="50" spans="1:33" x14ac:dyDescent="0.25">
      <c r="A50" s="180" t="s">
        <v>235</v>
      </c>
      <c r="B50" s="179"/>
      <c r="C50" s="229">
        <v>0</v>
      </c>
      <c r="D50" s="229">
        <v>0</v>
      </c>
      <c r="E50" s="229">
        <v>0</v>
      </c>
      <c r="F50" s="229">
        <v>0</v>
      </c>
      <c r="G50" s="229">
        <v>0</v>
      </c>
      <c r="H50" s="229">
        <v>0</v>
      </c>
      <c r="I50" s="229">
        <v>0</v>
      </c>
      <c r="J50" s="229"/>
      <c r="K50" s="230"/>
      <c r="L50" s="231">
        <f t="shared" si="26"/>
        <v>0</v>
      </c>
      <c r="M50" s="171"/>
      <c r="N50" s="231">
        <f t="shared" si="27"/>
        <v>0</v>
      </c>
      <c r="O50" s="193">
        <f t="shared" si="25"/>
        <v>0</v>
      </c>
      <c r="P50" s="232">
        <f t="shared" si="28"/>
        <v>0</v>
      </c>
      <c r="Q50" s="193">
        <f t="shared" si="29"/>
        <v>0</v>
      </c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77"/>
      <c r="AE50" s="77"/>
      <c r="AF50" s="77"/>
      <c r="AG50" s="77"/>
    </row>
    <row r="51" spans="1:33" x14ac:dyDescent="0.25">
      <c r="A51" s="180" t="s">
        <v>236</v>
      </c>
      <c r="B51" s="179"/>
      <c r="C51" s="229">
        <v>0</v>
      </c>
      <c r="D51" s="229">
        <v>0</v>
      </c>
      <c r="E51" s="229">
        <v>0</v>
      </c>
      <c r="F51" s="229">
        <v>0</v>
      </c>
      <c r="G51" s="229">
        <v>0</v>
      </c>
      <c r="H51" s="229">
        <v>0</v>
      </c>
      <c r="I51" s="229">
        <v>0</v>
      </c>
      <c r="J51" s="229"/>
      <c r="K51" s="230"/>
      <c r="L51" s="231">
        <f t="shared" si="26"/>
        <v>0</v>
      </c>
      <c r="M51" s="171"/>
      <c r="N51" s="231">
        <f t="shared" si="27"/>
        <v>0</v>
      </c>
      <c r="O51" s="193">
        <f t="shared" si="25"/>
        <v>0</v>
      </c>
      <c r="P51" s="232">
        <f t="shared" si="28"/>
        <v>0</v>
      </c>
      <c r="Q51" s="193">
        <f t="shared" si="29"/>
        <v>0</v>
      </c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77"/>
      <c r="AE51" s="77"/>
      <c r="AF51" s="77"/>
      <c r="AG51" s="77"/>
    </row>
    <row r="52" spans="1:33" x14ac:dyDescent="0.25">
      <c r="A52" s="180"/>
      <c r="B52" s="179"/>
      <c r="C52" s="229"/>
      <c r="D52" s="229"/>
      <c r="E52" s="229"/>
      <c r="F52" s="229"/>
      <c r="G52" s="229"/>
      <c r="H52" s="229"/>
      <c r="I52" s="229"/>
      <c r="J52" s="229"/>
      <c r="K52" s="229"/>
      <c r="L52" s="230"/>
      <c r="M52" s="171"/>
      <c r="O52" s="233">
        <f>SUM(O42:O51)</f>
        <v>3525990.7829500004</v>
      </c>
      <c r="P52" s="233">
        <f>SUM(P42:P51)</f>
        <v>3099980.8884900003</v>
      </c>
      <c r="Q52" s="233">
        <f>SUM(Q42:Q51)</f>
        <v>426009.89446000033</v>
      </c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77"/>
      <c r="AF52" s="77"/>
      <c r="AG52" s="77"/>
    </row>
    <row r="53" spans="1:33" ht="39" x14ac:dyDescent="0.25">
      <c r="A53" s="226" t="s">
        <v>267</v>
      </c>
      <c r="B53" s="175"/>
      <c r="C53" s="212" t="s">
        <v>268</v>
      </c>
      <c r="D53" s="212" t="s">
        <v>269</v>
      </c>
      <c r="E53" s="212" t="s">
        <v>259</v>
      </c>
      <c r="F53" s="212" t="s">
        <v>260</v>
      </c>
      <c r="G53" s="212" t="s">
        <v>270</v>
      </c>
      <c r="H53" s="212" t="s">
        <v>271</v>
      </c>
      <c r="I53" s="212" t="s">
        <v>272</v>
      </c>
      <c r="J53" s="212" t="s">
        <v>273</v>
      </c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77"/>
      <c r="AF53" s="77"/>
      <c r="AG53" s="77"/>
    </row>
    <row r="54" spans="1:33" x14ac:dyDescent="0.25">
      <c r="A54" s="180" t="s">
        <v>221</v>
      </c>
      <c r="B54" s="171"/>
      <c r="C54" s="188">
        <f>C42*$H4</f>
        <v>425207.04429000005</v>
      </c>
      <c r="D54" s="188">
        <f t="shared" ref="D54:I54" si="30">D42*$H4</f>
        <v>-142735.45820999998</v>
      </c>
      <c r="E54" s="188">
        <f>E42*$H4</f>
        <v>-31285.094189999996</v>
      </c>
      <c r="F54" s="188">
        <f t="shared" si="30"/>
        <v>-40387.022399999994</v>
      </c>
      <c r="G54" s="188">
        <f t="shared" si="30"/>
        <v>0</v>
      </c>
      <c r="H54" s="188">
        <f t="shared" si="30"/>
        <v>44960.258760000004</v>
      </c>
      <c r="I54" s="188">
        <f t="shared" si="30"/>
        <v>29087.565029999998</v>
      </c>
      <c r="J54" s="188">
        <f>SUM(C54:I54)</f>
        <v>284847.29328000004</v>
      </c>
      <c r="K54" s="171"/>
      <c r="L54" s="171"/>
      <c r="M54" s="171"/>
      <c r="N54" s="193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77"/>
      <c r="AF54" s="77"/>
      <c r="AG54" s="77"/>
    </row>
    <row r="55" spans="1:33" x14ac:dyDescent="0.25">
      <c r="A55" s="180" t="s">
        <v>223</v>
      </c>
      <c r="B55" s="171"/>
      <c r="C55" s="188">
        <f t="shared" ref="C55:I63" si="31">C43*$H5</f>
        <v>404.92718000000002</v>
      </c>
      <c r="D55" s="188">
        <f t="shared" si="31"/>
        <v>-135.92782</v>
      </c>
      <c r="E55" s="188">
        <f t="shared" si="31"/>
        <v>-29.792979999999996</v>
      </c>
      <c r="F55" s="188">
        <f t="shared" si="31"/>
        <v>-38.460799999999999</v>
      </c>
      <c r="G55" s="188">
        <f t="shared" si="31"/>
        <v>-574.97482000000002</v>
      </c>
      <c r="H55" s="188">
        <f t="shared" si="31"/>
        <v>42.815919999999998</v>
      </c>
      <c r="I55" s="188">
        <f t="shared" si="31"/>
        <v>27.70026</v>
      </c>
      <c r="J55" s="188">
        <f t="shared" ref="J55:J63" si="32">SUM(C55:I55)</f>
        <v>-303.71305999999998</v>
      </c>
      <c r="K55" s="171"/>
      <c r="L55" s="171"/>
      <c r="M55" s="171"/>
      <c r="N55" s="193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77"/>
      <c r="AF55" s="77"/>
      <c r="AG55" s="77"/>
    </row>
    <row r="56" spans="1:33" x14ac:dyDescent="0.25">
      <c r="A56" s="180" t="s">
        <v>225</v>
      </c>
      <c r="B56" s="171"/>
      <c r="C56" s="188">
        <f t="shared" si="31"/>
        <v>170526.11796</v>
      </c>
      <c r="D56" s="188">
        <f t="shared" si="31"/>
        <v>-49430.816489999997</v>
      </c>
      <c r="E56" s="188">
        <f t="shared" si="31"/>
        <v>-7417.4040000000005</v>
      </c>
      <c r="F56" s="188">
        <f t="shared" si="31"/>
        <v>4271.1884700000001</v>
      </c>
      <c r="G56" s="188">
        <f t="shared" si="31"/>
        <v>0</v>
      </c>
      <c r="H56" s="188">
        <f t="shared" si="31"/>
        <v>10050.582420000001</v>
      </c>
      <c r="I56" s="188">
        <f t="shared" si="31"/>
        <v>10143.29997</v>
      </c>
      <c r="J56" s="188">
        <f t="shared" si="32"/>
        <v>138142.96833</v>
      </c>
      <c r="K56" s="171"/>
      <c r="L56" s="171"/>
      <c r="M56" s="171"/>
      <c r="N56" s="193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77"/>
      <c r="AF56" s="77"/>
      <c r="AG56" s="77"/>
    </row>
    <row r="57" spans="1:33" x14ac:dyDescent="0.25">
      <c r="A57" s="180" t="s">
        <v>227</v>
      </c>
      <c r="B57" s="171"/>
      <c r="C57" s="188">
        <f t="shared" si="31"/>
        <v>1058.27568</v>
      </c>
      <c r="D57" s="188">
        <f t="shared" si="31"/>
        <v>0</v>
      </c>
      <c r="E57" s="188">
        <f t="shared" si="31"/>
        <v>-46.032000000000004</v>
      </c>
      <c r="F57" s="188">
        <f t="shared" si="31"/>
        <v>0</v>
      </c>
      <c r="G57" s="188">
        <f t="shared" si="31"/>
        <v>0</v>
      </c>
      <c r="H57" s="188">
        <f t="shared" si="31"/>
        <v>62.373359999999998</v>
      </c>
      <c r="I57" s="188">
        <f t="shared" si="31"/>
        <v>62.948760000000007</v>
      </c>
      <c r="J57" s="188">
        <f t="shared" si="32"/>
        <v>1137.5657999999999</v>
      </c>
      <c r="K57" s="171"/>
      <c r="L57" s="171"/>
      <c r="M57" s="171"/>
      <c r="N57" s="193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77"/>
      <c r="AF57" s="77"/>
      <c r="AG57" s="77"/>
    </row>
    <row r="58" spans="1:33" x14ac:dyDescent="0.25">
      <c r="A58" s="180" t="s">
        <v>229</v>
      </c>
      <c r="B58" s="171"/>
      <c r="C58" s="188">
        <f t="shared" si="31"/>
        <v>1975.1256199999998</v>
      </c>
      <c r="D58" s="188">
        <f t="shared" si="31"/>
        <v>-359.08118999999999</v>
      </c>
      <c r="E58" s="188">
        <f t="shared" si="31"/>
        <v>-66.32938</v>
      </c>
      <c r="F58" s="188">
        <f t="shared" si="31"/>
        <v>49.49633</v>
      </c>
      <c r="G58" s="188">
        <f t="shared" si="31"/>
        <v>0</v>
      </c>
      <c r="H58" s="188">
        <f t="shared" si="31"/>
        <v>91.39988000000001</v>
      </c>
      <c r="I58" s="188">
        <f t="shared" si="31"/>
        <v>107.37336999999999</v>
      </c>
      <c r="J58" s="188">
        <f t="shared" si="32"/>
        <v>1797.9846299999999</v>
      </c>
      <c r="K58" s="171"/>
      <c r="L58" s="171"/>
      <c r="M58" s="171"/>
      <c r="N58" s="193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77"/>
      <c r="AF58" s="77"/>
      <c r="AG58" s="77"/>
    </row>
    <row r="59" spans="1:33" x14ac:dyDescent="0.25">
      <c r="A59" s="180" t="s">
        <v>231</v>
      </c>
      <c r="B59" s="171"/>
      <c r="C59" s="188">
        <f t="shared" si="31"/>
        <v>327.57911999999999</v>
      </c>
      <c r="D59" s="188">
        <f t="shared" si="31"/>
        <v>0</v>
      </c>
      <c r="E59" s="188">
        <f t="shared" si="31"/>
        <v>-11.000879999999999</v>
      </c>
      <c r="F59" s="188">
        <f t="shared" si="31"/>
        <v>0</v>
      </c>
      <c r="G59" s="188">
        <f t="shared" si="31"/>
        <v>0</v>
      </c>
      <c r="H59" s="188">
        <f t="shared" si="31"/>
        <v>15.15888</v>
      </c>
      <c r="I59" s="188">
        <f t="shared" si="31"/>
        <v>17.808119999999999</v>
      </c>
      <c r="J59" s="188">
        <f t="shared" si="32"/>
        <v>349.54523999999998</v>
      </c>
      <c r="K59" s="171"/>
      <c r="L59" s="171"/>
      <c r="M59" s="171"/>
      <c r="N59" s="193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77"/>
      <c r="AF59" s="77"/>
      <c r="AG59" s="77"/>
    </row>
    <row r="60" spans="1:33" x14ac:dyDescent="0.25">
      <c r="A60" s="180" t="s">
        <v>232</v>
      </c>
      <c r="B60" s="171"/>
      <c r="C60" s="188">
        <f t="shared" si="31"/>
        <v>0</v>
      </c>
      <c r="D60" s="188">
        <f t="shared" si="31"/>
        <v>0</v>
      </c>
      <c r="E60" s="188">
        <f t="shared" si="31"/>
        <v>0</v>
      </c>
      <c r="F60" s="188">
        <f t="shared" si="31"/>
        <v>0</v>
      </c>
      <c r="G60" s="188">
        <f t="shared" si="31"/>
        <v>0</v>
      </c>
      <c r="H60" s="188">
        <f t="shared" si="31"/>
        <v>0</v>
      </c>
      <c r="I60" s="188">
        <f t="shared" si="31"/>
        <v>0</v>
      </c>
      <c r="J60" s="188">
        <f t="shared" si="32"/>
        <v>0</v>
      </c>
      <c r="K60" s="171"/>
      <c r="L60" s="171"/>
      <c r="M60" s="171"/>
      <c r="N60" s="193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77"/>
      <c r="AF60" s="77"/>
      <c r="AG60" s="77"/>
    </row>
    <row r="61" spans="1:33" x14ac:dyDescent="0.25">
      <c r="A61" s="180" t="s">
        <v>234</v>
      </c>
      <c r="B61" s="171"/>
      <c r="C61" s="188">
        <f t="shared" si="31"/>
        <v>-9.5625599999999995</v>
      </c>
      <c r="D61" s="188">
        <f t="shared" si="31"/>
        <v>0</v>
      </c>
      <c r="E61" s="188">
        <f t="shared" si="31"/>
        <v>60.449040000000004</v>
      </c>
      <c r="F61" s="188">
        <f t="shared" si="31"/>
        <v>0</v>
      </c>
      <c r="G61" s="188">
        <f t="shared" si="31"/>
        <v>0</v>
      </c>
      <c r="H61" s="188">
        <f t="shared" si="31"/>
        <v>0</v>
      </c>
      <c r="I61" s="188">
        <f t="shared" si="31"/>
        <v>-12.636239999999999</v>
      </c>
      <c r="J61" s="188">
        <f t="shared" si="32"/>
        <v>38.250240000000005</v>
      </c>
      <c r="K61" s="171"/>
      <c r="L61" s="171"/>
      <c r="M61" s="171"/>
      <c r="N61" s="193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77"/>
      <c r="AF61" s="77"/>
      <c r="AG61" s="77"/>
    </row>
    <row r="62" spans="1:33" x14ac:dyDescent="0.25">
      <c r="A62" s="180" t="s">
        <v>235</v>
      </c>
      <c r="B62" s="171"/>
      <c r="C62" s="188">
        <f t="shared" si="31"/>
        <v>0</v>
      </c>
      <c r="D62" s="188">
        <f t="shared" si="31"/>
        <v>0</v>
      </c>
      <c r="E62" s="188">
        <f t="shared" si="31"/>
        <v>0</v>
      </c>
      <c r="F62" s="188">
        <f t="shared" si="31"/>
        <v>0</v>
      </c>
      <c r="G62" s="188">
        <f t="shared" si="31"/>
        <v>0</v>
      </c>
      <c r="H62" s="188">
        <f t="shared" si="31"/>
        <v>0</v>
      </c>
      <c r="I62" s="188">
        <f t="shared" si="31"/>
        <v>0</v>
      </c>
      <c r="J62" s="188">
        <f t="shared" si="32"/>
        <v>0</v>
      </c>
      <c r="K62" s="171"/>
      <c r="L62" s="171"/>
      <c r="M62" s="171"/>
      <c r="N62" s="193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77"/>
      <c r="AF62" s="77"/>
      <c r="AG62" s="77"/>
    </row>
    <row r="63" spans="1:33" x14ac:dyDescent="0.25">
      <c r="A63" s="180" t="s">
        <v>236</v>
      </c>
      <c r="B63" s="171"/>
      <c r="C63" s="188">
        <f t="shared" si="31"/>
        <v>0</v>
      </c>
      <c r="D63" s="188">
        <f t="shared" si="31"/>
        <v>0</v>
      </c>
      <c r="E63" s="188">
        <f t="shared" si="31"/>
        <v>0</v>
      </c>
      <c r="F63" s="188">
        <f t="shared" si="31"/>
        <v>0</v>
      </c>
      <c r="G63" s="188">
        <f t="shared" si="31"/>
        <v>0</v>
      </c>
      <c r="H63" s="188">
        <f t="shared" si="31"/>
        <v>0</v>
      </c>
      <c r="I63" s="188">
        <f t="shared" si="31"/>
        <v>0</v>
      </c>
      <c r="J63" s="188">
        <f t="shared" si="32"/>
        <v>0</v>
      </c>
      <c r="K63" s="171"/>
      <c r="L63" s="171"/>
      <c r="M63" s="171"/>
      <c r="N63" s="234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77"/>
      <c r="AF63" s="77"/>
      <c r="AG63" s="77"/>
    </row>
    <row r="64" spans="1:33" x14ac:dyDescent="0.25">
      <c r="A64" s="171"/>
      <c r="B64" s="171"/>
      <c r="C64" s="196">
        <f>SUM(C54:C63)</f>
        <v>599489.50728999998</v>
      </c>
      <c r="D64" s="196">
        <f t="shared" ref="D64:I64" si="33">SUM(D54:D63)</f>
        <v>-192661.28370999999</v>
      </c>
      <c r="E64" s="196">
        <f t="shared" si="33"/>
        <v>-38795.204389999999</v>
      </c>
      <c r="F64" s="196">
        <f t="shared" si="33"/>
        <v>-36104.798399999992</v>
      </c>
      <c r="G64" s="196">
        <f t="shared" si="33"/>
        <v>-574.97482000000002</v>
      </c>
      <c r="H64" s="196">
        <f t="shared" si="33"/>
        <v>55222.589220000002</v>
      </c>
      <c r="I64" s="196">
        <f t="shared" si="33"/>
        <v>39434.059270000005</v>
      </c>
      <c r="J64" s="196">
        <f>SUM(J54:J63)</f>
        <v>426009.8944600001</v>
      </c>
      <c r="K64" s="171"/>
      <c r="L64" s="171"/>
      <c r="M64" s="171"/>
      <c r="N64" s="234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77"/>
      <c r="AF64" s="77"/>
      <c r="AG64" s="77"/>
    </row>
    <row r="65" spans="1:33" x14ac:dyDescent="0.25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88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77"/>
      <c r="AF65" s="77"/>
      <c r="AG65" s="77"/>
    </row>
    <row r="66" spans="1:33" x14ac:dyDescent="0.25">
      <c r="A66" s="179" t="s">
        <v>28</v>
      </c>
      <c r="B66" s="179"/>
      <c r="C66" s="188">
        <f>C54+C55</f>
        <v>425611.97147000005</v>
      </c>
      <c r="D66" s="188">
        <f>D54+D55</f>
        <v>-142871.38602999999</v>
      </c>
      <c r="E66" s="188">
        <f t="shared" ref="E66:I66" si="34">E54+E55</f>
        <v>-31314.887169999995</v>
      </c>
      <c r="F66" s="188">
        <f t="shared" si="34"/>
        <v>-40425.483199999995</v>
      </c>
      <c r="G66" s="188">
        <f t="shared" si="34"/>
        <v>-574.97482000000002</v>
      </c>
      <c r="H66" s="188">
        <f t="shared" si="34"/>
        <v>45003.074680000005</v>
      </c>
      <c r="I66" s="188">
        <f t="shared" si="34"/>
        <v>29115.265289999999</v>
      </c>
      <c r="J66" s="188">
        <f>J54+J55</f>
        <v>284543.58022000006</v>
      </c>
      <c r="K66" s="171"/>
      <c r="L66" s="171"/>
      <c r="M66" s="171"/>
      <c r="N66" s="188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77"/>
      <c r="AF66" s="77"/>
      <c r="AG66" s="77"/>
    </row>
    <row r="67" spans="1:33" x14ac:dyDescent="0.25">
      <c r="A67" s="179"/>
      <c r="B67" s="179"/>
      <c r="C67" s="188"/>
      <c r="D67" s="188"/>
      <c r="E67" s="188"/>
      <c r="F67" s="188"/>
      <c r="G67" s="188"/>
      <c r="H67" s="188"/>
      <c r="I67" s="188"/>
      <c r="J67" s="188"/>
      <c r="K67" s="171"/>
      <c r="L67" s="171"/>
      <c r="M67" s="171"/>
      <c r="N67" s="179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77"/>
      <c r="AF67" s="77"/>
      <c r="AG67" s="77"/>
    </row>
    <row r="68" spans="1:33" x14ac:dyDescent="0.25">
      <c r="A68" s="179" t="s">
        <v>244</v>
      </c>
      <c r="B68" s="179"/>
      <c r="C68" s="222">
        <f>C56+C58</f>
        <v>172501.24358000001</v>
      </c>
      <c r="D68" s="222">
        <f>D56+D58</f>
        <v>-49789.897679999995</v>
      </c>
      <c r="E68" s="222">
        <f t="shared" ref="E68:I68" si="35">E56+E58</f>
        <v>-7483.7333800000006</v>
      </c>
      <c r="F68" s="222">
        <f t="shared" si="35"/>
        <v>4320.6848</v>
      </c>
      <c r="G68" s="222">
        <f t="shared" si="35"/>
        <v>0</v>
      </c>
      <c r="H68" s="222">
        <f t="shared" si="35"/>
        <v>10141.982300000001</v>
      </c>
      <c r="I68" s="222">
        <f t="shared" si="35"/>
        <v>10250.673339999999</v>
      </c>
      <c r="J68" s="222">
        <f>J56+J58</f>
        <v>139940.95296</v>
      </c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77"/>
      <c r="AF68" s="77"/>
      <c r="AG68" s="77"/>
    </row>
    <row r="69" spans="1:33" x14ac:dyDescent="0.25">
      <c r="A69" s="171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77"/>
      <c r="AF69" s="77"/>
      <c r="AG69" s="77"/>
    </row>
    <row r="70" spans="1:33" x14ac:dyDescent="0.25">
      <c r="A70" s="171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77"/>
      <c r="AF70" s="77"/>
      <c r="AG70" s="77"/>
    </row>
    <row r="71" spans="1:33" x14ac:dyDescent="0.25">
      <c r="A71" s="171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77"/>
      <c r="AF71" s="77"/>
      <c r="AG71" s="77"/>
    </row>
    <row r="72" spans="1:33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77"/>
      <c r="AF72" s="77"/>
      <c r="AG72" s="77"/>
    </row>
    <row r="73" spans="1:33" x14ac:dyDescent="0.25">
      <c r="A73" s="171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77"/>
      <c r="AF73" s="77"/>
      <c r="AG73" s="77"/>
    </row>
  </sheetData>
  <mergeCells count="6">
    <mergeCell ref="A1:I1"/>
    <mergeCell ref="O40:O41"/>
    <mergeCell ref="P40:P41"/>
    <mergeCell ref="Q40:Q41"/>
    <mergeCell ref="K41:L41"/>
    <mergeCell ref="M41:N41"/>
  </mergeCells>
  <printOptions horizontalCentered="1"/>
  <pageMargins left="0.45" right="0.45" top="0.5" bottom="0.5" header="0.3" footer="0.3"/>
  <pageSetup scale="80" orientation="landscape" r:id="rId1"/>
  <headerFooter scaleWithDoc="0">
    <oddFooter>&amp;L&amp;F / &amp;A&amp;RPage &amp;P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G73"/>
  <sheetViews>
    <sheetView topLeftCell="A3" zoomScaleNormal="100" workbookViewId="0">
      <selection activeCell="F22" sqref="F22:F31"/>
    </sheetView>
  </sheetViews>
  <sheetFormatPr defaultRowHeight="15" x14ac:dyDescent="0.25"/>
  <cols>
    <col min="1" max="1" width="19" customWidth="1"/>
    <col min="2" max="2" width="5.85546875" customWidth="1"/>
    <col min="3" max="3" width="17.42578125" customWidth="1"/>
    <col min="4" max="4" width="16.42578125" customWidth="1"/>
    <col min="5" max="5" width="15.28515625" customWidth="1"/>
    <col min="6" max="6" width="15" customWidth="1"/>
    <col min="7" max="7" width="14.42578125" customWidth="1"/>
    <col min="8" max="8" width="14.7109375" customWidth="1"/>
    <col min="9" max="9" width="17.140625" customWidth="1"/>
    <col min="10" max="10" width="15.7109375" customWidth="1"/>
    <col min="11" max="11" width="10" customWidth="1"/>
    <col min="12" max="12" width="12.28515625" bestFit="1" customWidth="1"/>
    <col min="13" max="13" width="2.28515625" customWidth="1"/>
    <col min="14" max="14" width="17.5703125" customWidth="1"/>
    <col min="15" max="15" width="14.5703125" customWidth="1"/>
    <col min="16" max="16" width="12.85546875" customWidth="1"/>
    <col min="17" max="17" width="12.7109375" customWidth="1"/>
    <col min="18" max="18" width="15.42578125" customWidth="1"/>
    <col min="19" max="19" width="15.28515625" customWidth="1"/>
    <col min="20" max="20" width="11.140625" customWidth="1"/>
    <col min="21" max="21" width="15.5703125" customWidth="1"/>
    <col min="22" max="22" width="2.28515625" customWidth="1"/>
    <col min="23" max="23" width="16.7109375" customWidth="1"/>
    <col min="24" max="24" width="2.42578125" customWidth="1"/>
    <col min="25" max="25" width="14.28515625" customWidth="1"/>
    <col min="26" max="26" width="13.42578125" customWidth="1"/>
    <col min="27" max="27" width="13.85546875" customWidth="1"/>
    <col min="28" max="28" width="14.28515625" customWidth="1"/>
    <col min="29" max="29" width="16.140625" customWidth="1"/>
    <col min="30" max="30" width="10.5703125" customWidth="1"/>
  </cols>
  <sheetData>
    <row r="1" spans="1:33" x14ac:dyDescent="0.25">
      <c r="A1" s="319" t="s">
        <v>207</v>
      </c>
      <c r="B1" s="319"/>
      <c r="C1" s="319"/>
      <c r="D1" s="319"/>
      <c r="E1" s="319"/>
      <c r="F1" s="319"/>
      <c r="G1" s="319"/>
      <c r="H1" s="319"/>
      <c r="I1" s="319"/>
      <c r="J1" s="171"/>
      <c r="K1" s="171"/>
      <c r="L1" s="171" t="s">
        <v>208</v>
      </c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2" t="s">
        <v>209</v>
      </c>
      <c r="AA1" s="173" t="s">
        <v>274</v>
      </c>
      <c r="AB1" s="171"/>
      <c r="AC1" s="172" t="s">
        <v>211</v>
      </c>
      <c r="AD1" s="173" t="s">
        <v>210</v>
      </c>
      <c r="AE1" s="77"/>
      <c r="AF1" s="77"/>
      <c r="AG1" s="77"/>
    </row>
    <row r="2" spans="1:33" ht="51.75" x14ac:dyDescent="0.25">
      <c r="A2" s="174"/>
      <c r="B2" s="175"/>
      <c r="C2" s="176" t="s">
        <v>212</v>
      </c>
      <c r="D2" s="175"/>
      <c r="E2" s="176" t="s">
        <v>213</v>
      </c>
      <c r="F2" s="177" t="s">
        <v>214</v>
      </c>
      <c r="G2" s="177" t="s">
        <v>215</v>
      </c>
      <c r="H2" s="177" t="s">
        <v>115</v>
      </c>
      <c r="I2" s="177" t="s">
        <v>216</v>
      </c>
      <c r="J2" s="171"/>
      <c r="K2" s="171"/>
      <c r="L2" s="171"/>
      <c r="M2" s="171"/>
      <c r="N2" s="178" t="str">
        <f>AA1&amp;" Billed Schedule 175 Revenue"</f>
        <v>January Billed Schedule 175 Revenue</v>
      </c>
      <c r="O2" s="178" t="str">
        <f>AA1&amp;" Billed Therms"</f>
        <v>January Billed Therms</v>
      </c>
      <c r="P2" s="178" t="str">
        <f>AA1&amp;" Unbilled Therms"</f>
        <v>January Unbilled Therms</v>
      </c>
      <c r="Q2" s="178" t="s">
        <v>217</v>
      </c>
      <c r="R2" s="178" t="s">
        <v>218</v>
      </c>
      <c r="S2" s="178" t="str">
        <f>AD1&amp;" Unbilled Therms reversal"</f>
        <v>December Unbilled Therms reversal</v>
      </c>
      <c r="T2" s="178" t="s">
        <v>217</v>
      </c>
      <c r="U2" s="178" t="str">
        <f>AD1&amp;" Schedule 175 Unbilled Reversal"</f>
        <v>December Schedule 175 Unbilled Reversal</v>
      </c>
      <c r="V2" s="171"/>
      <c r="W2" s="178" t="str">
        <f>"Total "&amp;AA1&amp;" Schedule 175 Revenue"</f>
        <v>Total January Schedule 175 Revenue</v>
      </c>
      <c r="X2" s="171"/>
      <c r="Y2" s="178" t="str">
        <f>"Calendar "&amp;AA1&amp;" Usage"</f>
        <v>Calendar January Usage</v>
      </c>
      <c r="Z2" s="178" t="str">
        <f>Q2</f>
        <v>11/1/2018 rate</v>
      </c>
      <c r="AA2" s="178" t="s">
        <v>219</v>
      </c>
      <c r="AB2" s="178" t="s">
        <v>220</v>
      </c>
      <c r="AC2" s="178" t="str">
        <f>"implied "&amp;AD1&amp;" unbilled/Cancel-Rebill True-up therms"</f>
        <v>implied December unbilled/Cancel-Rebill True-up therms</v>
      </c>
      <c r="AD2" s="171"/>
      <c r="AE2" s="77"/>
      <c r="AF2" s="77"/>
      <c r="AG2" s="77"/>
    </row>
    <row r="3" spans="1:33" x14ac:dyDescent="0.25">
      <c r="A3" s="179"/>
      <c r="B3" s="179"/>
      <c r="C3" s="179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8"/>
      <c r="O3" s="178"/>
      <c r="P3" s="178"/>
      <c r="Q3" s="178"/>
      <c r="R3" s="178"/>
      <c r="S3" s="178"/>
      <c r="T3" s="178"/>
      <c r="U3" s="178"/>
      <c r="V3" s="171"/>
      <c r="W3" s="178"/>
      <c r="X3" s="171"/>
      <c r="Y3" s="178"/>
      <c r="Z3" s="178"/>
      <c r="AA3" s="178"/>
      <c r="AB3" s="178"/>
      <c r="AC3" s="178"/>
      <c r="AD3" s="171"/>
      <c r="AE3" s="77"/>
      <c r="AF3" s="77"/>
      <c r="AG3" s="77"/>
    </row>
    <row r="4" spans="1:33" x14ac:dyDescent="0.25">
      <c r="A4" s="180" t="s">
        <v>221</v>
      </c>
      <c r="B4" s="179"/>
      <c r="C4" s="181">
        <v>164288</v>
      </c>
      <c r="D4" s="179"/>
      <c r="E4" s="182">
        <v>21169040.568670001</v>
      </c>
      <c r="F4" s="182">
        <f>-11417514-F5</f>
        <v>-11405333</v>
      </c>
      <c r="G4" s="182">
        <f>11324273-G5</f>
        <v>11312505</v>
      </c>
      <c r="H4" s="183">
        <f>F4+G4</f>
        <v>-92828</v>
      </c>
      <c r="I4" s="184">
        <f t="shared" ref="I4:I13" si="0">SUM(E4:G4)</f>
        <v>21076212.568670001</v>
      </c>
      <c r="J4" s="171"/>
      <c r="K4" s="171"/>
      <c r="L4" s="171" t="s">
        <v>222</v>
      </c>
      <c r="M4" s="171"/>
      <c r="N4" s="185">
        <v>-576726.82999999996</v>
      </c>
      <c r="O4" s="186">
        <f>E4</f>
        <v>21169040.568670001</v>
      </c>
      <c r="P4" s="186">
        <f t="shared" ref="P4:P9" si="1">G4</f>
        <v>11312505</v>
      </c>
      <c r="Q4" s="187">
        <v>-2.7199999999999998E-2</v>
      </c>
      <c r="R4" s="188">
        <f>P4*Q4</f>
        <v>-307700.136</v>
      </c>
      <c r="S4" s="186">
        <f t="shared" ref="S4:S9" si="2">F4</f>
        <v>-11405333</v>
      </c>
      <c r="T4" s="187">
        <f>Q4</f>
        <v>-2.7199999999999998E-2</v>
      </c>
      <c r="U4" s="189">
        <f>S4*T4</f>
        <v>310225.0576</v>
      </c>
      <c r="V4" s="171"/>
      <c r="W4" s="190">
        <f>N4+R4+U4</f>
        <v>-574201.90840000007</v>
      </c>
      <c r="X4" s="171"/>
      <c r="Y4" s="191">
        <f>O4+P4+S4</f>
        <v>21076212.568670001</v>
      </c>
      <c r="Z4" s="192">
        <f>Q4</f>
        <v>-2.7199999999999998E-2</v>
      </c>
      <c r="AA4" s="193">
        <f>Y4*Z4</f>
        <v>-573272.98186782398</v>
      </c>
      <c r="AB4" s="190">
        <f>W4-AA4</f>
        <v>-928.9265321760904</v>
      </c>
      <c r="AC4" s="191">
        <f>AB4/T4</f>
        <v>34151.710741768031</v>
      </c>
      <c r="AD4" s="194">
        <f t="shared" ref="AD4:AD11" si="3">AB4/W4</f>
        <v>1.6177698446954347E-3</v>
      </c>
      <c r="AE4" s="77"/>
      <c r="AF4" s="77"/>
      <c r="AG4" s="77"/>
    </row>
    <row r="5" spans="1:33" x14ac:dyDescent="0.25">
      <c r="A5" s="180" t="s">
        <v>223</v>
      </c>
      <c r="B5" s="179"/>
      <c r="C5" s="181">
        <v>167</v>
      </c>
      <c r="D5" s="179"/>
      <c r="E5" s="182">
        <v>21979.498820000001</v>
      </c>
      <c r="F5" s="182">
        <v>-12181</v>
      </c>
      <c r="G5" s="182">
        <v>11768</v>
      </c>
      <c r="H5" s="183">
        <f>F5+G5</f>
        <v>-413</v>
      </c>
      <c r="I5" s="184">
        <f t="shared" si="0"/>
        <v>21566.498820000001</v>
      </c>
      <c r="J5" s="171"/>
      <c r="K5" s="171"/>
      <c r="L5" s="171" t="s">
        <v>224</v>
      </c>
      <c r="M5" s="171"/>
      <c r="N5" s="185">
        <v>-597.84</v>
      </c>
      <c r="O5" s="186">
        <f t="shared" ref="O5:O7" si="4">E5</f>
        <v>21979.498820000001</v>
      </c>
      <c r="P5" s="186">
        <f t="shared" si="1"/>
        <v>11768</v>
      </c>
      <c r="Q5" s="187">
        <v>-2.7199999999999998E-2</v>
      </c>
      <c r="R5" s="188">
        <f t="shared" ref="R5:R10" si="5">P5*Q5</f>
        <v>-320.08959999999996</v>
      </c>
      <c r="S5" s="186">
        <f t="shared" si="2"/>
        <v>-12181</v>
      </c>
      <c r="T5" s="187">
        <f t="shared" ref="T5:T10" si="6">Q5</f>
        <v>-2.7199999999999998E-2</v>
      </c>
      <c r="U5" s="189">
        <f t="shared" ref="U5:U10" si="7">S5*T5</f>
        <v>331.32319999999999</v>
      </c>
      <c r="V5" s="171"/>
      <c r="W5" s="190">
        <f t="shared" ref="W5:W10" si="8">N5+R5+U5</f>
        <v>-586.60639999999989</v>
      </c>
      <c r="X5" s="171"/>
      <c r="Y5" s="191">
        <f t="shared" ref="Y5:Y10" si="9">O5+P5+S5</f>
        <v>21566.498820000001</v>
      </c>
      <c r="Z5" s="192">
        <f t="shared" ref="Z5:Z10" si="10">Q5</f>
        <v>-2.7199999999999998E-2</v>
      </c>
      <c r="AA5" s="193">
        <f t="shared" ref="AA5:AA10" si="11">Y5*Z5</f>
        <v>-586.60876790399993</v>
      </c>
      <c r="AB5" s="190">
        <f t="shared" ref="AB5:AB10" si="12">W5-AA5</f>
        <v>2.3679040000388341E-3</v>
      </c>
      <c r="AC5" s="191">
        <f t="shared" ref="AC5:AC10" si="13">AB5/T5</f>
        <v>-8.7055294119074783E-2</v>
      </c>
      <c r="AD5" s="194">
        <f t="shared" si="3"/>
        <v>-4.0366146704823443E-6</v>
      </c>
      <c r="AE5" s="77"/>
      <c r="AF5" s="77"/>
      <c r="AG5" s="77"/>
    </row>
    <row r="6" spans="1:33" x14ac:dyDescent="0.25">
      <c r="A6" s="180" t="s">
        <v>225</v>
      </c>
      <c r="B6" s="179"/>
      <c r="C6" s="181">
        <v>3099</v>
      </c>
      <c r="D6" s="179"/>
      <c r="E6" s="182">
        <v>7907718.6622400004</v>
      </c>
      <c r="F6" s="182">
        <v>-7634427</v>
      </c>
      <c r="G6" s="182">
        <v>4053424</v>
      </c>
      <c r="H6" s="183">
        <f t="shared" ref="H6:H13" si="14">F6+G6</f>
        <v>-3581003</v>
      </c>
      <c r="I6" s="184">
        <f>SUM(E6:G6)</f>
        <v>4326715.6622400004</v>
      </c>
      <c r="J6" s="171"/>
      <c r="K6" s="171"/>
      <c r="L6" s="171" t="s">
        <v>226</v>
      </c>
      <c r="M6" s="171"/>
      <c r="N6" s="185">
        <v>55027.33</v>
      </c>
      <c r="O6" s="186">
        <f t="shared" si="4"/>
        <v>7907718.6622400004</v>
      </c>
      <c r="P6" s="186">
        <f t="shared" si="1"/>
        <v>4053424</v>
      </c>
      <c r="Q6" s="195">
        <v>6.9100000000000003E-3</v>
      </c>
      <c r="R6" s="188">
        <f t="shared" si="5"/>
        <v>28009.15984</v>
      </c>
      <c r="S6" s="186">
        <f t="shared" si="2"/>
        <v>-7634427</v>
      </c>
      <c r="T6" s="187">
        <f t="shared" si="6"/>
        <v>6.9100000000000003E-3</v>
      </c>
      <c r="U6" s="189">
        <f t="shared" si="7"/>
        <v>-52753.890570000003</v>
      </c>
      <c r="V6" s="171"/>
      <c r="W6" s="190">
        <f t="shared" si="8"/>
        <v>30282.599269999992</v>
      </c>
      <c r="X6" s="171"/>
      <c r="Y6" s="191">
        <f t="shared" si="9"/>
        <v>4326715.6622400004</v>
      </c>
      <c r="Z6" s="179">
        <f t="shared" si="10"/>
        <v>6.9100000000000003E-3</v>
      </c>
      <c r="AA6" s="193">
        <f t="shared" si="11"/>
        <v>29897.605226078405</v>
      </c>
      <c r="AB6" s="190">
        <f t="shared" si="12"/>
        <v>384.99404392158613</v>
      </c>
      <c r="AC6" s="191">
        <f t="shared" si="13"/>
        <v>55715.491160866295</v>
      </c>
      <c r="AD6" s="194">
        <f t="shared" si="3"/>
        <v>1.2713375113178858E-2</v>
      </c>
      <c r="AE6" s="77"/>
      <c r="AF6" s="77"/>
      <c r="AG6" s="77"/>
    </row>
    <row r="7" spans="1:33" x14ac:dyDescent="0.25">
      <c r="A7" s="180" t="s">
        <v>227</v>
      </c>
      <c r="B7" s="179"/>
      <c r="C7" s="181">
        <v>1</v>
      </c>
      <c r="D7" s="179"/>
      <c r="E7" s="182">
        <v>17301.425999999999</v>
      </c>
      <c r="F7" s="182">
        <v>-10281</v>
      </c>
      <c r="G7" s="182">
        <v>9263</v>
      </c>
      <c r="H7" s="183">
        <f>F7+G7</f>
        <v>-1018</v>
      </c>
      <c r="I7" s="184">
        <f>SUM(E7:G7)</f>
        <v>16283.425999999999</v>
      </c>
      <c r="J7" s="171"/>
      <c r="K7" s="171"/>
      <c r="L7" s="171" t="s">
        <v>228</v>
      </c>
      <c r="M7" s="171"/>
      <c r="N7" s="185">
        <v>0</v>
      </c>
      <c r="O7" s="186">
        <f t="shared" si="4"/>
        <v>17301.425999999999</v>
      </c>
      <c r="P7" s="186">
        <f t="shared" si="1"/>
        <v>9263</v>
      </c>
      <c r="Q7" s="187">
        <v>0</v>
      </c>
      <c r="R7" s="188">
        <f t="shared" si="5"/>
        <v>0</v>
      </c>
      <c r="S7" s="186">
        <f t="shared" si="2"/>
        <v>-10281</v>
      </c>
      <c r="T7" s="187">
        <f t="shared" si="6"/>
        <v>0</v>
      </c>
      <c r="U7" s="189">
        <f t="shared" si="7"/>
        <v>0</v>
      </c>
      <c r="V7" s="171"/>
      <c r="W7" s="190">
        <f t="shared" si="8"/>
        <v>0</v>
      </c>
      <c r="X7" s="171"/>
      <c r="Y7" s="191">
        <f t="shared" si="9"/>
        <v>16283.425999999999</v>
      </c>
      <c r="Z7" s="192">
        <f t="shared" si="10"/>
        <v>0</v>
      </c>
      <c r="AA7" s="193">
        <f t="shared" si="11"/>
        <v>0</v>
      </c>
      <c r="AB7" s="190">
        <f t="shared" si="12"/>
        <v>0</v>
      </c>
      <c r="AC7" s="191"/>
      <c r="AD7" s="194"/>
      <c r="AE7" s="77"/>
      <c r="AF7" s="77"/>
      <c r="AG7" s="77"/>
    </row>
    <row r="8" spans="1:33" x14ac:dyDescent="0.25">
      <c r="A8" s="180" t="s">
        <v>229</v>
      </c>
      <c r="B8" s="179"/>
      <c r="C8" s="181">
        <v>3</v>
      </c>
      <c r="D8" s="320"/>
      <c r="E8" s="182">
        <v>172849.799</v>
      </c>
      <c r="F8" s="182">
        <v>3544231</v>
      </c>
      <c r="G8" s="182">
        <v>92544</v>
      </c>
      <c r="H8" s="183">
        <f t="shared" si="14"/>
        <v>3636775</v>
      </c>
      <c r="I8" s="184">
        <f t="shared" si="0"/>
        <v>3809624.7990000001</v>
      </c>
      <c r="J8" s="171"/>
      <c r="K8" s="171"/>
      <c r="L8" s="171" t="s">
        <v>230</v>
      </c>
      <c r="M8" s="171"/>
      <c r="N8" s="185">
        <v>1194.3900000000001</v>
      </c>
      <c r="O8" s="186">
        <f>E8</f>
        <v>172849.799</v>
      </c>
      <c r="P8" s="186">
        <f t="shared" si="1"/>
        <v>92544</v>
      </c>
      <c r="Q8" s="195">
        <v>6.9100000000000003E-3</v>
      </c>
      <c r="R8" s="188">
        <f t="shared" si="5"/>
        <v>639.47904000000005</v>
      </c>
      <c r="S8" s="186">
        <f t="shared" si="2"/>
        <v>3544231</v>
      </c>
      <c r="T8" s="187">
        <f t="shared" si="6"/>
        <v>6.9100000000000003E-3</v>
      </c>
      <c r="U8" s="189">
        <f t="shared" si="7"/>
        <v>24490.636210000001</v>
      </c>
      <c r="V8" s="171"/>
      <c r="W8" s="190">
        <f>N8+R8+U8</f>
        <v>26324.505250000002</v>
      </c>
      <c r="X8" s="171"/>
      <c r="Y8" s="191">
        <f t="shared" si="9"/>
        <v>3809624.7990000001</v>
      </c>
      <c r="Z8" s="179">
        <f t="shared" si="10"/>
        <v>6.9100000000000003E-3</v>
      </c>
      <c r="AA8" s="193">
        <f t="shared" si="11"/>
        <v>26324.507361090004</v>
      </c>
      <c r="AB8" s="190">
        <f t="shared" si="12"/>
        <v>-2.1110900015628431E-3</v>
      </c>
      <c r="AC8" s="191">
        <f t="shared" si="13"/>
        <v>-0.30551230123919582</v>
      </c>
      <c r="AD8" s="194">
        <f>AB8/W8</f>
        <v>-8.0194859561998528E-8</v>
      </c>
      <c r="AE8" s="77"/>
      <c r="AF8" s="77"/>
      <c r="AG8" s="77"/>
    </row>
    <row r="9" spans="1:33" x14ac:dyDescent="0.25">
      <c r="A9" s="180" t="s">
        <v>231</v>
      </c>
      <c r="B9" s="179"/>
      <c r="C9" s="181">
        <v>1</v>
      </c>
      <c r="D9" s="320"/>
      <c r="E9" s="182">
        <v>58512.194000000003</v>
      </c>
      <c r="F9" s="182">
        <v>-32072</v>
      </c>
      <c r="G9" s="182">
        <v>31328</v>
      </c>
      <c r="H9" s="183">
        <f t="shared" si="14"/>
        <v>-744</v>
      </c>
      <c r="I9" s="184">
        <f t="shared" si="0"/>
        <v>57768.194000000003</v>
      </c>
      <c r="J9" s="171"/>
      <c r="K9" s="171"/>
      <c r="L9" s="171" t="s">
        <v>137</v>
      </c>
      <c r="M9" s="171"/>
      <c r="N9" s="185">
        <v>0</v>
      </c>
      <c r="O9" s="186">
        <f>E9</f>
        <v>58512.194000000003</v>
      </c>
      <c r="P9" s="186">
        <f t="shared" si="1"/>
        <v>31328</v>
      </c>
      <c r="Q9" s="187">
        <v>0</v>
      </c>
      <c r="R9" s="188">
        <f t="shared" si="5"/>
        <v>0</v>
      </c>
      <c r="S9" s="186">
        <f t="shared" si="2"/>
        <v>-32072</v>
      </c>
      <c r="T9" s="187">
        <f t="shared" si="6"/>
        <v>0</v>
      </c>
      <c r="U9" s="189">
        <f t="shared" si="7"/>
        <v>0</v>
      </c>
      <c r="V9" s="171"/>
      <c r="W9" s="190">
        <f>N9+R9+U9</f>
        <v>0</v>
      </c>
      <c r="X9" s="171"/>
      <c r="Y9" s="191">
        <f t="shared" si="9"/>
        <v>57768.194000000003</v>
      </c>
      <c r="Z9" s="192">
        <f t="shared" si="10"/>
        <v>0</v>
      </c>
      <c r="AA9" s="193">
        <f t="shared" si="11"/>
        <v>0</v>
      </c>
      <c r="AB9" s="190">
        <f t="shared" si="12"/>
        <v>0</v>
      </c>
      <c r="AC9" s="191"/>
      <c r="AD9" s="194"/>
      <c r="AE9" s="77"/>
      <c r="AF9" s="77"/>
      <c r="AG9" s="77"/>
    </row>
    <row r="10" spans="1:33" x14ac:dyDescent="0.25">
      <c r="A10" s="180" t="s">
        <v>232</v>
      </c>
      <c r="B10" s="179"/>
      <c r="C10" s="181">
        <v>2</v>
      </c>
      <c r="D10" s="179"/>
      <c r="E10" s="182">
        <v>141223.598</v>
      </c>
      <c r="F10" s="182"/>
      <c r="G10" s="182"/>
      <c r="H10" s="183">
        <f t="shared" si="14"/>
        <v>0</v>
      </c>
      <c r="I10" s="184">
        <f t="shared" si="0"/>
        <v>141223.598</v>
      </c>
      <c r="J10" s="171"/>
      <c r="K10" s="171"/>
      <c r="L10" s="171" t="s">
        <v>233</v>
      </c>
      <c r="M10" s="171"/>
      <c r="N10" s="185"/>
      <c r="O10" s="186">
        <v>0</v>
      </c>
      <c r="P10" s="186">
        <v>0</v>
      </c>
      <c r="Q10" s="195">
        <v>6.9100000000000003E-3</v>
      </c>
      <c r="R10" s="188">
        <f t="shared" si="5"/>
        <v>0</v>
      </c>
      <c r="S10" s="186">
        <v>0</v>
      </c>
      <c r="T10" s="187">
        <f t="shared" si="6"/>
        <v>6.9100000000000003E-3</v>
      </c>
      <c r="U10" s="189">
        <f t="shared" si="7"/>
        <v>0</v>
      </c>
      <c r="V10" s="171"/>
      <c r="W10" s="190">
        <f t="shared" si="8"/>
        <v>0</v>
      </c>
      <c r="X10" s="171"/>
      <c r="Y10" s="191">
        <f t="shared" si="9"/>
        <v>0</v>
      </c>
      <c r="Z10" s="179">
        <f t="shared" si="10"/>
        <v>6.9100000000000003E-3</v>
      </c>
      <c r="AA10" s="193">
        <f t="shared" si="11"/>
        <v>0</v>
      </c>
      <c r="AB10" s="190">
        <f t="shared" si="12"/>
        <v>0</v>
      </c>
      <c r="AC10" s="191">
        <f t="shared" si="13"/>
        <v>0</v>
      </c>
      <c r="AD10" s="194"/>
      <c r="AE10" s="77"/>
      <c r="AF10" s="77"/>
      <c r="AG10" s="77"/>
    </row>
    <row r="11" spans="1:33" x14ac:dyDescent="0.25">
      <c r="A11" s="180" t="s">
        <v>234</v>
      </c>
      <c r="B11" s="179"/>
      <c r="C11" s="181">
        <v>39</v>
      </c>
      <c r="D11" s="179"/>
      <c r="E11" s="182">
        <v>3545563</v>
      </c>
      <c r="F11" s="182">
        <v>-3542437</v>
      </c>
      <c r="G11" s="182">
        <v>3917947</v>
      </c>
      <c r="H11" s="183">
        <f t="shared" si="14"/>
        <v>375510</v>
      </c>
      <c r="I11" s="184">
        <f t="shared" si="0"/>
        <v>3921073</v>
      </c>
      <c r="J11" s="171"/>
      <c r="K11" s="171"/>
      <c r="L11" s="171"/>
      <c r="M11" s="171"/>
      <c r="N11" s="196">
        <f>SUM(N4:N10)</f>
        <v>-521102.9499999999</v>
      </c>
      <c r="O11" s="197">
        <f>SUM(O4:O10)</f>
        <v>29347402.148729999</v>
      </c>
      <c r="P11" s="197">
        <f>SUM(P4:P10)</f>
        <v>15510832</v>
      </c>
      <c r="Q11" s="171"/>
      <c r="R11" s="196">
        <f>SUM(R4:R10)</f>
        <v>-279371.58672000002</v>
      </c>
      <c r="S11" s="197">
        <f>SUM(S4:S10)</f>
        <v>-15550063</v>
      </c>
      <c r="T11" s="198"/>
      <c r="U11" s="196">
        <f>SUM(U4:U10)</f>
        <v>282293.12644000002</v>
      </c>
      <c r="V11" s="171"/>
      <c r="W11" s="196">
        <f>SUM(W4:W10)</f>
        <v>-518181.41028000013</v>
      </c>
      <c r="X11" s="171"/>
      <c r="Y11" s="199">
        <f>SUM(Y4:Y10)</f>
        <v>29308171.148729999</v>
      </c>
      <c r="Z11" s="171"/>
      <c r="AA11" s="199">
        <f>SUM(AA4:AA10)</f>
        <v>-517637.47804855957</v>
      </c>
      <c r="AB11" s="196">
        <f>SUM(AB4:AB10)</f>
        <v>-543.9322314405058</v>
      </c>
      <c r="AC11" s="199">
        <f>SUM(AC4:AC10)</f>
        <v>89866.809335038968</v>
      </c>
      <c r="AD11" s="194">
        <f t="shared" si="3"/>
        <v>1.049694606270401E-3</v>
      </c>
      <c r="AE11" s="77"/>
      <c r="AF11" s="77"/>
      <c r="AG11" s="77"/>
    </row>
    <row r="12" spans="1:33" x14ac:dyDescent="0.25">
      <c r="A12" s="180" t="s">
        <v>235</v>
      </c>
      <c r="B12" s="179"/>
      <c r="C12" s="181">
        <v>3</v>
      </c>
      <c r="D12" s="179"/>
      <c r="E12" s="182">
        <v>379164</v>
      </c>
      <c r="F12" s="182"/>
      <c r="G12" s="182">
        <v>0</v>
      </c>
      <c r="H12" s="183">
        <f t="shared" si="14"/>
        <v>0</v>
      </c>
      <c r="I12" s="184">
        <f t="shared" si="0"/>
        <v>379164</v>
      </c>
      <c r="J12" s="171"/>
      <c r="K12" s="171"/>
      <c r="L12" s="171"/>
      <c r="M12" s="171"/>
      <c r="N12" s="171"/>
      <c r="O12" s="200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77"/>
      <c r="AF12" s="77"/>
      <c r="AG12" s="77"/>
    </row>
    <row r="13" spans="1:33" x14ac:dyDescent="0.25">
      <c r="A13" s="180" t="s">
        <v>236</v>
      </c>
      <c r="B13" s="179"/>
      <c r="C13" s="181">
        <v>5</v>
      </c>
      <c r="D13" s="201"/>
      <c r="E13" s="182">
        <v>4907937</v>
      </c>
      <c r="F13" s="182">
        <v>-4907937</v>
      </c>
      <c r="G13" s="182">
        <v>4829560</v>
      </c>
      <c r="H13" s="183">
        <f t="shared" si="14"/>
        <v>-78377</v>
      </c>
      <c r="I13" s="184">
        <f t="shared" si="0"/>
        <v>4829560</v>
      </c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2" t="s">
        <v>237</v>
      </c>
      <c r="U13" s="171" t="s">
        <v>238</v>
      </c>
      <c r="V13" s="171"/>
      <c r="W13" s="202">
        <v>0.95466099999999998</v>
      </c>
      <c r="X13" s="171"/>
      <c r="Y13" s="171"/>
      <c r="Z13" s="171" t="s">
        <v>239</v>
      </c>
      <c r="AA13" s="171" t="s">
        <v>240</v>
      </c>
      <c r="AB13" s="171"/>
      <c r="AC13" s="171" t="s">
        <v>241</v>
      </c>
      <c r="AD13" s="171"/>
      <c r="AE13" s="77"/>
      <c r="AF13" s="77"/>
      <c r="AG13" s="77"/>
    </row>
    <row r="14" spans="1:33" x14ac:dyDescent="0.25">
      <c r="A14" s="179"/>
      <c r="B14" s="179"/>
      <c r="C14" s="203">
        <f>SUM(C4:C13)</f>
        <v>167608</v>
      </c>
      <c r="D14" s="171"/>
      <c r="E14" s="203">
        <f>SUM(E4:E13)</f>
        <v>38321289.74673</v>
      </c>
      <c r="F14" s="203">
        <f>SUM(F4:F13)</f>
        <v>-24000437</v>
      </c>
      <c r="G14" s="203">
        <f>SUM(G4:G13)</f>
        <v>24258339</v>
      </c>
      <c r="H14" s="203">
        <f>SUM(H4:H13)</f>
        <v>257902</v>
      </c>
      <c r="I14" s="203">
        <f t="shared" ref="I14" si="15">SUM(I4:I13)</f>
        <v>38579191.74673</v>
      </c>
      <c r="J14" s="171"/>
      <c r="K14" s="171"/>
      <c r="L14" s="171"/>
      <c r="M14" s="171"/>
      <c r="N14" s="171"/>
      <c r="O14" s="171"/>
      <c r="P14" s="171"/>
      <c r="Q14" s="171"/>
      <c r="R14" s="171"/>
      <c r="S14" s="171" t="s">
        <v>184</v>
      </c>
      <c r="T14" s="171" t="s">
        <v>242</v>
      </c>
      <c r="U14" s="171"/>
      <c r="V14" s="171"/>
      <c r="W14" s="204">
        <f>(W4+W5)*W13</f>
        <v>-548728.17832748289</v>
      </c>
      <c r="X14" s="171"/>
      <c r="Y14" s="171" t="s">
        <v>28</v>
      </c>
      <c r="Z14" s="183">
        <f>O4+O5+P4+P5+S4+S5</f>
        <v>21097779.06749</v>
      </c>
      <c r="AA14" s="179">
        <v>-2.597E-2</v>
      </c>
      <c r="AB14" s="190">
        <f>Z14*AA14</f>
        <v>-547909.3223827153</v>
      </c>
      <c r="AC14" s="190">
        <f>W14-AB14</f>
        <v>-818.85594476759434</v>
      </c>
      <c r="AD14" s="194">
        <f>AC14/W14</f>
        <v>1.4922797427014915E-3</v>
      </c>
      <c r="AE14" s="77"/>
      <c r="AF14" s="77"/>
      <c r="AG14" s="77"/>
    </row>
    <row r="15" spans="1:33" ht="15.75" thickBot="1" x14ac:dyDescent="0.3">
      <c r="A15" s="179"/>
      <c r="B15" s="179"/>
      <c r="C15" s="179"/>
      <c r="D15" s="171"/>
      <c r="E15" s="179"/>
      <c r="F15" s="179"/>
      <c r="G15" s="179"/>
      <c r="H15" s="179"/>
      <c r="I15" s="179"/>
      <c r="J15" s="171"/>
      <c r="K15" s="171"/>
      <c r="L15" s="171"/>
      <c r="M15" s="171"/>
      <c r="N15" s="171"/>
      <c r="O15" s="171"/>
      <c r="P15" s="171"/>
      <c r="Q15" s="171"/>
      <c r="R15" s="171"/>
      <c r="S15" s="171" t="s">
        <v>184</v>
      </c>
      <c r="T15" s="171" t="s">
        <v>243</v>
      </c>
      <c r="U15" s="171"/>
      <c r="V15" s="171"/>
      <c r="W15" s="204">
        <f>SUM(W6:W10)*W13</f>
        <v>54040.595008167715</v>
      </c>
      <c r="X15" s="171"/>
      <c r="Y15" s="171" t="s">
        <v>244</v>
      </c>
      <c r="Z15" s="183">
        <f>SUM(O6:P10,S6:S10)</f>
        <v>8210392.0812400021</v>
      </c>
      <c r="AA15" s="192">
        <v>6.6E-3</v>
      </c>
      <c r="AB15" s="190">
        <f>(Z15-Y9-Y7)*AA15</f>
        <v>53699.847044184011</v>
      </c>
      <c r="AC15" s="190">
        <f>W15-AB15</f>
        <v>340.74796398370381</v>
      </c>
      <c r="AD15" s="194">
        <f>AC15/W15</f>
        <v>6.3054073318808395E-3</v>
      </c>
      <c r="AE15" s="77"/>
      <c r="AF15" s="77"/>
      <c r="AG15" s="77"/>
    </row>
    <row r="16" spans="1:33" x14ac:dyDescent="0.25">
      <c r="A16" s="179" t="s">
        <v>28</v>
      </c>
      <c r="B16" s="179"/>
      <c r="C16" s="205">
        <f>C4+C5</f>
        <v>164455</v>
      </c>
      <c r="D16" s="171"/>
      <c r="E16" s="206">
        <f>E4+E5</f>
        <v>21191020.06749</v>
      </c>
      <c r="F16" s="206">
        <f t="shared" ref="F16:H16" si="16">F4+F5</f>
        <v>-11417514</v>
      </c>
      <c r="G16" s="206">
        <f t="shared" si="16"/>
        <v>11324273</v>
      </c>
      <c r="H16" s="206">
        <f t="shared" si="16"/>
        <v>-93241</v>
      </c>
      <c r="I16" s="205">
        <f>I4+I5</f>
        <v>21097779.06749</v>
      </c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77"/>
      <c r="AF16" s="77"/>
      <c r="AG16" s="77"/>
    </row>
    <row r="17" spans="1:33" x14ac:dyDescent="0.25">
      <c r="A17" s="179"/>
      <c r="B17" s="179"/>
      <c r="C17" s="207"/>
      <c r="D17" s="171"/>
      <c r="E17" s="179"/>
      <c r="F17" s="179"/>
      <c r="G17" s="179"/>
      <c r="H17" s="179"/>
      <c r="I17" s="208"/>
      <c r="J17" s="171"/>
      <c r="K17" s="171"/>
      <c r="L17" s="171"/>
      <c r="M17" s="171"/>
      <c r="N17" s="171"/>
      <c r="O17" s="171"/>
      <c r="P17" s="171"/>
      <c r="Q17" s="171"/>
      <c r="R17" s="190">
        <f>R11+U11</f>
        <v>2921.5397200000007</v>
      </c>
      <c r="S17" s="171" t="s">
        <v>320</v>
      </c>
      <c r="T17" s="171"/>
      <c r="U17" s="171"/>
      <c r="V17" s="171"/>
      <c r="W17" s="171"/>
      <c r="X17" s="171"/>
      <c r="Y17" s="171" t="s">
        <v>245</v>
      </c>
      <c r="Z17" s="171"/>
      <c r="AA17" s="171"/>
      <c r="AB17" s="171"/>
      <c r="AC17" s="171"/>
      <c r="AD17" s="171"/>
      <c r="AE17" s="77"/>
      <c r="AF17" s="77"/>
      <c r="AG17" s="77"/>
    </row>
    <row r="18" spans="1:33" ht="15.75" thickBot="1" x14ac:dyDescent="0.3">
      <c r="A18" s="179" t="s">
        <v>244</v>
      </c>
      <c r="B18" s="179"/>
      <c r="C18" s="209">
        <f>SUM(C6:C9)</f>
        <v>3104</v>
      </c>
      <c r="D18" s="171"/>
      <c r="E18" s="210">
        <f>SUM(E6:E9)</f>
        <v>8156382.0812400002</v>
      </c>
      <c r="F18" s="210">
        <f t="shared" ref="F18:H18" si="17">SUM(F6:F9)</f>
        <v>-4132549</v>
      </c>
      <c r="G18" s="210">
        <f t="shared" si="17"/>
        <v>4186559</v>
      </c>
      <c r="H18" s="210">
        <f t="shared" si="17"/>
        <v>54010</v>
      </c>
      <c r="I18" s="209">
        <f>SUM(I6:I9)</f>
        <v>8210392.0812400002</v>
      </c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77"/>
      <c r="AF18" s="77"/>
      <c r="AG18" s="77"/>
    </row>
    <row r="19" spans="1:33" x14ac:dyDescent="0.25">
      <c r="A19" s="179"/>
      <c r="B19" s="179"/>
      <c r="C19" s="179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77"/>
      <c r="AF19" s="77"/>
      <c r="AG19" s="77"/>
    </row>
    <row r="20" spans="1:33" ht="51.75" x14ac:dyDescent="0.25">
      <c r="A20" s="174"/>
      <c r="B20" s="211"/>
      <c r="C20" s="177" t="s">
        <v>246</v>
      </c>
      <c r="D20" s="212" t="s">
        <v>247</v>
      </c>
      <c r="E20" s="177" t="s">
        <v>248</v>
      </c>
      <c r="F20" s="177" t="s">
        <v>249</v>
      </c>
      <c r="G20" s="177" t="s">
        <v>250</v>
      </c>
      <c r="H20" s="177" t="s">
        <v>251</v>
      </c>
      <c r="I20" s="177" t="s">
        <v>252</v>
      </c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77"/>
      <c r="AF20" s="77"/>
      <c r="AG20" s="77"/>
    </row>
    <row r="21" spans="1:33" x14ac:dyDescent="0.25">
      <c r="A21" s="179"/>
      <c r="B21" s="179"/>
      <c r="C21" s="179"/>
      <c r="D21" s="179"/>
      <c r="E21" s="179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77"/>
      <c r="AF21" s="77"/>
      <c r="AG21" s="77"/>
    </row>
    <row r="22" spans="1:33" x14ac:dyDescent="0.25">
      <c r="A22" s="180" t="s">
        <v>221</v>
      </c>
      <c r="B22" s="179"/>
      <c r="C22" s="213">
        <v>1577683</v>
      </c>
      <c r="D22" s="213">
        <v>10514430.890000001</v>
      </c>
      <c r="E22" s="213">
        <f>-9673604-E23</f>
        <v>-9671151.6199999992</v>
      </c>
      <c r="F22" s="213">
        <f>9799831-F23</f>
        <v>9797419.7150132935</v>
      </c>
      <c r="G22" s="214">
        <f>SUM(D22:F22)</f>
        <v>10640698.985013295</v>
      </c>
      <c r="H22" s="190">
        <f>-J54</f>
        <v>17808.123520000005</v>
      </c>
      <c r="I22" s="190">
        <f t="shared" ref="I22:I31" si="18">G22+H22</f>
        <v>10658507.108533295</v>
      </c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77"/>
      <c r="AF22" s="77"/>
      <c r="AG22" s="77"/>
    </row>
    <row r="23" spans="1:33" x14ac:dyDescent="0.25">
      <c r="A23" s="180" t="s">
        <v>223</v>
      </c>
      <c r="B23" s="179"/>
      <c r="C23" s="213">
        <v>1586.5</v>
      </c>
      <c r="D23" s="213">
        <v>10811.23</v>
      </c>
      <c r="E23" s="213">
        <v>-2452.38</v>
      </c>
      <c r="F23" s="213">
        <f>G5*(K23-C23)/E5</f>
        <v>2411.2849867065352</v>
      </c>
      <c r="G23" s="214">
        <f>SUM(D23:F23)</f>
        <v>10770.134986706533</v>
      </c>
      <c r="H23" s="190">
        <f>-J55</f>
        <v>-88.70826999999997</v>
      </c>
      <c r="I23" s="190">
        <f t="shared" si="18"/>
        <v>10681.426716706534</v>
      </c>
      <c r="J23" s="171"/>
      <c r="K23" s="185">
        <v>6090.14</v>
      </c>
      <c r="L23" s="171" t="s">
        <v>277</v>
      </c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77"/>
      <c r="AF23" s="77"/>
      <c r="AG23" s="77"/>
    </row>
    <row r="24" spans="1:33" x14ac:dyDescent="0.25">
      <c r="A24" s="180" t="s">
        <v>225</v>
      </c>
      <c r="B24" s="179"/>
      <c r="C24" s="213">
        <v>303064.78000000003</v>
      </c>
      <c r="D24" s="213">
        <v>2326991.71</v>
      </c>
      <c r="E24" s="213">
        <v>-4028000</v>
      </c>
      <c r="F24" s="213">
        <v>2367281</v>
      </c>
      <c r="G24" s="214">
        <f>SUM(D24:F24)</f>
        <v>666272.71</v>
      </c>
      <c r="H24" s="190">
        <f>-J56</f>
        <v>800318.36046999996</v>
      </c>
      <c r="I24" s="190">
        <f t="shared" si="18"/>
        <v>1466591.0704699999</v>
      </c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77"/>
      <c r="AF24" s="77"/>
      <c r="AG24" s="77"/>
    </row>
    <row r="25" spans="1:33" x14ac:dyDescent="0.25">
      <c r="A25" s="180" t="s">
        <v>227</v>
      </c>
      <c r="B25" s="179"/>
      <c r="C25" s="213">
        <v>97.25</v>
      </c>
      <c r="D25" s="213">
        <v>4508.55</v>
      </c>
      <c r="E25" s="213">
        <v>-5828</v>
      </c>
      <c r="F25" s="213">
        <v>5774</v>
      </c>
      <c r="G25" s="214">
        <f>SUM(D25:F25)</f>
        <v>4454.55</v>
      </c>
      <c r="H25" s="190">
        <f>-J57</f>
        <v>301.8879</v>
      </c>
      <c r="I25" s="190">
        <f>G25+H25</f>
        <v>4756.4378999999999</v>
      </c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77"/>
      <c r="AF25" s="77"/>
      <c r="AG25" s="77"/>
    </row>
    <row r="26" spans="1:33" x14ac:dyDescent="0.25">
      <c r="A26" s="180" t="s">
        <v>229</v>
      </c>
      <c r="B26" s="179"/>
      <c r="C26" s="213">
        <v>721.35</v>
      </c>
      <c r="D26" s="213">
        <v>31690.880000000001</v>
      </c>
      <c r="E26" s="213">
        <v>1591183</v>
      </c>
      <c r="F26" s="213">
        <v>46768</v>
      </c>
      <c r="G26" s="214">
        <f t="shared" ref="G26:G31" si="19">SUM(D26:F26)</f>
        <v>1669641.88</v>
      </c>
      <c r="H26" s="190">
        <f t="shared" ref="H26:H31" si="20">-J58</f>
        <v>-912866.89274999988</v>
      </c>
      <c r="I26" s="190">
        <f t="shared" si="18"/>
        <v>756774.98725000001</v>
      </c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77"/>
      <c r="AF26" s="77"/>
      <c r="AG26" s="77"/>
    </row>
    <row r="27" spans="1:33" x14ac:dyDescent="0.25">
      <c r="A27" s="180" t="s">
        <v>231</v>
      </c>
      <c r="B27" s="179"/>
      <c r="C27" s="213">
        <v>240.44</v>
      </c>
      <c r="D27" s="213">
        <v>10898.92</v>
      </c>
      <c r="E27" s="213">
        <v>-14399</v>
      </c>
      <c r="F27" s="213">
        <v>15832</v>
      </c>
      <c r="G27" s="214">
        <f t="shared" si="19"/>
        <v>12331.92</v>
      </c>
      <c r="H27" s="190">
        <f t="shared" si="20"/>
        <v>218.90711999999996</v>
      </c>
      <c r="I27" s="190">
        <f t="shared" si="18"/>
        <v>12550.82712</v>
      </c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77"/>
      <c r="AF27" s="77"/>
      <c r="AG27" s="77"/>
    </row>
    <row r="28" spans="1:33" x14ac:dyDescent="0.25">
      <c r="A28" s="180" t="s">
        <v>232</v>
      </c>
      <c r="B28" s="179"/>
      <c r="C28" s="213">
        <v>0</v>
      </c>
      <c r="D28" s="213">
        <v>27671.54</v>
      </c>
      <c r="E28" s="213"/>
      <c r="F28" s="213"/>
      <c r="G28" s="214">
        <f t="shared" si="19"/>
        <v>27671.54</v>
      </c>
      <c r="H28" s="190">
        <f t="shared" si="20"/>
        <v>0</v>
      </c>
      <c r="I28" s="190">
        <f t="shared" si="18"/>
        <v>27671.54</v>
      </c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77"/>
      <c r="AF28" s="77"/>
      <c r="AG28" s="77"/>
    </row>
    <row r="29" spans="1:33" x14ac:dyDescent="0.25">
      <c r="A29" s="180" t="s">
        <v>234</v>
      </c>
      <c r="B29" s="179"/>
      <c r="C29" s="213">
        <v>21450</v>
      </c>
      <c r="D29" s="213">
        <v>308281.17</v>
      </c>
      <c r="E29" s="213">
        <v>-202627</v>
      </c>
      <c r="F29" s="213">
        <v>224107</v>
      </c>
      <c r="G29" s="214">
        <f t="shared" si="19"/>
        <v>329761.17</v>
      </c>
      <c r="H29" s="190">
        <f t="shared" si="20"/>
        <v>841.14239999999995</v>
      </c>
      <c r="I29" s="190">
        <f t="shared" si="18"/>
        <v>330602.3124</v>
      </c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77"/>
      <c r="AF29" s="77"/>
      <c r="AG29" s="77"/>
    </row>
    <row r="30" spans="1:33" x14ac:dyDescent="0.25">
      <c r="A30" s="180" t="s">
        <v>235</v>
      </c>
      <c r="B30" s="179"/>
      <c r="C30" s="213">
        <v>0</v>
      </c>
      <c r="D30" s="213">
        <v>7928.32</v>
      </c>
      <c r="E30" s="213"/>
      <c r="F30" s="213"/>
      <c r="G30" s="214">
        <f t="shared" si="19"/>
        <v>7928.32</v>
      </c>
      <c r="H30" s="190">
        <f t="shared" si="20"/>
        <v>0</v>
      </c>
      <c r="I30" s="190">
        <f t="shared" si="18"/>
        <v>7928.32</v>
      </c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77"/>
      <c r="AF30" s="77"/>
      <c r="AG30" s="77"/>
    </row>
    <row r="31" spans="1:33" x14ac:dyDescent="0.25">
      <c r="A31" s="180" t="s">
        <v>236</v>
      </c>
      <c r="B31" s="179"/>
      <c r="C31" s="213">
        <v>1000</v>
      </c>
      <c r="D31" s="213">
        <v>121671.89</v>
      </c>
      <c r="E31" s="213">
        <v>-102625</v>
      </c>
      <c r="F31" s="213">
        <v>100986</v>
      </c>
      <c r="G31" s="214">
        <f t="shared" si="19"/>
        <v>120032.89</v>
      </c>
      <c r="H31" s="190">
        <f t="shared" si="20"/>
        <v>0</v>
      </c>
      <c r="I31" s="190">
        <f t="shared" si="18"/>
        <v>120032.89</v>
      </c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77"/>
      <c r="AF31" s="77"/>
      <c r="AG31" s="77"/>
    </row>
    <row r="32" spans="1:33" x14ac:dyDescent="0.25">
      <c r="A32" s="180" t="s">
        <v>253</v>
      </c>
      <c r="B32" s="179"/>
      <c r="C32" s="213"/>
      <c r="D32" s="213">
        <v>5917502.6500000004</v>
      </c>
      <c r="E32" s="213"/>
      <c r="F32" s="213"/>
      <c r="G32" s="214"/>
      <c r="H32" s="190"/>
      <c r="I32" s="190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77"/>
      <c r="AF32" s="77"/>
      <c r="AG32" s="77"/>
    </row>
    <row r="33" spans="1:33" x14ac:dyDescent="0.25">
      <c r="A33" s="180" t="s">
        <v>254</v>
      </c>
      <c r="B33" s="179"/>
      <c r="C33" s="215"/>
      <c r="D33" s="213">
        <v>709091.96</v>
      </c>
      <c r="E33" s="213"/>
      <c r="F33" s="213"/>
      <c r="G33" s="214"/>
      <c r="H33" s="190"/>
      <c r="I33" s="190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77"/>
      <c r="AF33" s="77"/>
      <c r="AG33" s="77"/>
    </row>
    <row r="34" spans="1:33" x14ac:dyDescent="0.25">
      <c r="A34" s="179"/>
      <c r="B34" s="179"/>
      <c r="C34" s="196">
        <f>SUM(C22:C31)</f>
        <v>1905843.32</v>
      </c>
      <c r="D34" s="216">
        <f>SUM(D22:D33)</f>
        <v>19991479.710000005</v>
      </c>
      <c r="E34" s="216">
        <f>SUM(E22:E33)</f>
        <v>-12435900</v>
      </c>
      <c r="F34" s="216">
        <f>SUM(F22:F33)</f>
        <v>12560579</v>
      </c>
      <c r="G34" s="216">
        <f t="shared" ref="G34:I34" si="21">SUM(G22:G33)</f>
        <v>13489564.100000001</v>
      </c>
      <c r="H34" s="216">
        <f t="shared" si="21"/>
        <v>-93467.179609999992</v>
      </c>
      <c r="I34" s="216">
        <f t="shared" si="21"/>
        <v>13396096.920390001</v>
      </c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77"/>
      <c r="AF34" s="77"/>
      <c r="AG34" s="77"/>
    </row>
    <row r="35" spans="1:33" ht="15.75" thickBot="1" x14ac:dyDescent="0.3">
      <c r="A35" s="179"/>
      <c r="B35" s="179"/>
      <c r="C35" s="171"/>
      <c r="D35" s="217"/>
      <c r="E35" s="179"/>
      <c r="F35" s="179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77"/>
      <c r="AF35" s="77"/>
      <c r="AG35" s="77"/>
    </row>
    <row r="36" spans="1:33" x14ac:dyDescent="0.25">
      <c r="A36" s="179" t="s">
        <v>28</v>
      </c>
      <c r="B36" s="179"/>
      <c r="C36" s="218">
        <f>C22+C23</f>
        <v>1579269.5</v>
      </c>
      <c r="D36" s="188">
        <f>D22+D23</f>
        <v>10525242.120000001</v>
      </c>
      <c r="E36" s="188">
        <f t="shared" ref="E36:H36" si="22">E22+E23</f>
        <v>-9673604</v>
      </c>
      <c r="F36" s="188">
        <f t="shared" si="22"/>
        <v>9799831</v>
      </c>
      <c r="G36" s="188">
        <f t="shared" si="22"/>
        <v>10651469.120000001</v>
      </c>
      <c r="H36" s="188">
        <f t="shared" si="22"/>
        <v>17719.415250000005</v>
      </c>
      <c r="I36" s="218">
        <f>I22+I23</f>
        <v>10669188.535250001</v>
      </c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77"/>
      <c r="AF36" s="77"/>
      <c r="AG36" s="77"/>
    </row>
    <row r="37" spans="1:33" x14ac:dyDescent="0.25">
      <c r="A37" s="179"/>
      <c r="B37" s="179"/>
      <c r="C37" s="219"/>
      <c r="D37" s="188"/>
      <c r="E37" s="179"/>
      <c r="F37" s="179"/>
      <c r="G37" s="171"/>
      <c r="H37" s="171"/>
      <c r="I37" s="220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77"/>
      <c r="AF37" s="77"/>
      <c r="AG37" s="77"/>
    </row>
    <row r="38" spans="1:33" ht="15.75" thickBot="1" x14ac:dyDescent="0.3">
      <c r="A38" s="179" t="s">
        <v>244</v>
      </c>
      <c r="B38" s="179"/>
      <c r="C38" s="221">
        <f>SUM(C24:C27)</f>
        <v>304123.82</v>
      </c>
      <c r="D38" s="222">
        <f>SUM(D24:D27)</f>
        <v>2374090.0599999996</v>
      </c>
      <c r="E38" s="222">
        <f t="shared" ref="E38:H38" si="23">SUM(E24:E27)</f>
        <v>-2457044</v>
      </c>
      <c r="F38" s="222">
        <f t="shared" si="23"/>
        <v>2435655</v>
      </c>
      <c r="G38" s="222">
        <f t="shared" si="23"/>
        <v>2352701.0599999996</v>
      </c>
      <c r="H38" s="222">
        <f t="shared" si="23"/>
        <v>-112027.73725999995</v>
      </c>
      <c r="I38" s="221">
        <f>SUM(I24:I27)</f>
        <v>2240673.3227400002</v>
      </c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77"/>
      <c r="AF38" s="77"/>
      <c r="AG38" s="77"/>
    </row>
    <row r="39" spans="1:33" x14ac:dyDescent="0.25">
      <c r="A39" s="179"/>
      <c r="B39" s="179"/>
      <c r="C39" s="223"/>
      <c r="D39" s="222"/>
      <c r="E39" s="222"/>
      <c r="F39" s="222"/>
      <c r="G39" s="222"/>
      <c r="H39" s="222"/>
      <c r="I39" s="223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77"/>
      <c r="AF39" s="77"/>
      <c r="AG39" s="77"/>
    </row>
    <row r="40" spans="1:33" ht="76.150000000000006" customHeight="1" x14ac:dyDescent="0.25">
      <c r="A40" s="179" t="s">
        <v>255</v>
      </c>
      <c r="B40" s="171"/>
      <c r="C40" s="224">
        <v>43405</v>
      </c>
      <c r="D40" s="224">
        <v>43405</v>
      </c>
      <c r="E40" s="224">
        <v>43252</v>
      </c>
      <c r="F40" s="224">
        <v>43405</v>
      </c>
      <c r="G40" s="224">
        <v>42278</v>
      </c>
      <c r="H40" s="224">
        <v>43344</v>
      </c>
      <c r="I40" s="224">
        <v>43374</v>
      </c>
      <c r="J40" s="225"/>
      <c r="K40" s="225"/>
      <c r="L40" s="171" t="s">
        <v>276</v>
      </c>
      <c r="M40" s="171"/>
      <c r="N40" s="171"/>
      <c r="O40" s="317" t="s">
        <v>265</v>
      </c>
      <c r="P40" s="317" t="s">
        <v>266</v>
      </c>
      <c r="Q40" s="317" t="s">
        <v>267</v>
      </c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77"/>
      <c r="AE40" s="77"/>
      <c r="AF40" s="77"/>
      <c r="AG40" s="77"/>
    </row>
    <row r="41" spans="1:33" ht="26.25" x14ac:dyDescent="0.25">
      <c r="A41" s="226" t="s">
        <v>256</v>
      </c>
      <c r="B41" s="175"/>
      <c r="C41" s="227" t="s">
        <v>257</v>
      </c>
      <c r="D41" s="227" t="s">
        <v>258</v>
      </c>
      <c r="E41" s="227" t="s">
        <v>259</v>
      </c>
      <c r="F41" s="227" t="s">
        <v>260</v>
      </c>
      <c r="G41" s="227" t="s">
        <v>261</v>
      </c>
      <c r="H41" s="227" t="s">
        <v>262</v>
      </c>
      <c r="I41" s="227" t="s">
        <v>263</v>
      </c>
      <c r="J41" s="228"/>
      <c r="K41" s="317" t="s">
        <v>264</v>
      </c>
      <c r="L41" s="317"/>
      <c r="M41" s="317" t="s">
        <v>275</v>
      </c>
      <c r="N41" s="317"/>
      <c r="O41" s="317"/>
      <c r="P41" s="317"/>
      <c r="Q41" s="317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77"/>
      <c r="AE41" s="77"/>
      <c r="AF41" s="77"/>
      <c r="AG41" s="77"/>
    </row>
    <row r="42" spans="1:33" x14ac:dyDescent="0.25">
      <c r="A42" s="180" t="s">
        <v>221</v>
      </c>
      <c r="B42" s="179"/>
      <c r="C42" s="229">
        <v>0.28637000000000001</v>
      </c>
      <c r="D42" s="229">
        <v>-9.6129999999999993E-2</v>
      </c>
      <c r="E42" s="229">
        <v>-2.1069999999999998E-2</v>
      </c>
      <c r="F42" s="229">
        <v>-2.7199999999999998E-2</v>
      </c>
      <c r="G42" s="229">
        <v>0</v>
      </c>
      <c r="H42" s="229">
        <v>3.0280000000000001E-2</v>
      </c>
      <c r="I42" s="229">
        <v>1.959E-2</v>
      </c>
      <c r="J42" s="229"/>
      <c r="K42" s="230"/>
      <c r="L42" s="231">
        <f>SUM(C42:I42)</f>
        <v>0.19184000000000001</v>
      </c>
      <c r="M42" s="171"/>
      <c r="N42" s="231">
        <f>SUM(C42:I42)</f>
        <v>0.19184000000000001</v>
      </c>
      <c r="O42" s="193">
        <f t="shared" ref="O42:O51" si="24">L42*G4</f>
        <v>2170190.9591999999</v>
      </c>
      <c r="P42" s="232">
        <f>-F4*N42</f>
        <v>2187999.0827200003</v>
      </c>
      <c r="Q42" s="193">
        <f>O42-P42</f>
        <v>-17808.123520000372</v>
      </c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77"/>
      <c r="AE42" s="77"/>
      <c r="AF42" s="77"/>
      <c r="AG42" s="77"/>
    </row>
    <row r="43" spans="1:33" x14ac:dyDescent="0.25">
      <c r="A43" s="180" t="s">
        <v>223</v>
      </c>
      <c r="B43" s="179"/>
      <c r="C43" s="229">
        <v>0.28637000000000001</v>
      </c>
      <c r="D43" s="229">
        <v>-9.6129999999999993E-2</v>
      </c>
      <c r="E43" s="229">
        <v>-2.1069999999999998E-2</v>
      </c>
      <c r="F43" s="229">
        <v>-2.7199999999999998E-2</v>
      </c>
      <c r="G43" s="229">
        <v>-0.40662999999999999</v>
      </c>
      <c r="H43" s="229">
        <v>3.0280000000000001E-2</v>
      </c>
      <c r="I43" s="229">
        <v>1.959E-2</v>
      </c>
      <c r="J43" s="229"/>
      <c r="K43" s="230"/>
      <c r="L43" s="231">
        <f t="shared" ref="L43:L51" si="25">SUM(C43:I43)</f>
        <v>-0.21479000000000001</v>
      </c>
      <c r="M43" s="171"/>
      <c r="N43" s="231">
        <f t="shared" ref="N43:N51" si="26">SUM(C43:I43)</f>
        <v>-0.21479000000000001</v>
      </c>
      <c r="O43" s="193">
        <f t="shared" si="24"/>
        <v>-2527.6487200000001</v>
      </c>
      <c r="P43" s="232">
        <f t="shared" ref="P43:P51" si="27">-F5*N43</f>
        <v>-2616.3569900000002</v>
      </c>
      <c r="Q43" s="193">
        <f t="shared" ref="Q43:Q51" si="28">O43-P43</f>
        <v>88.708270000000084</v>
      </c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77"/>
      <c r="AE43" s="77"/>
      <c r="AF43" s="77"/>
      <c r="AG43" s="77"/>
    </row>
    <row r="44" spans="1:33" x14ac:dyDescent="0.25">
      <c r="A44" s="180" t="s">
        <v>225</v>
      </c>
      <c r="B44" s="179"/>
      <c r="C44" s="229">
        <v>0.27588000000000001</v>
      </c>
      <c r="D44" s="229">
        <v>-7.9969999999999999E-2</v>
      </c>
      <c r="E44" s="229">
        <v>-1.2E-2</v>
      </c>
      <c r="F44" s="229">
        <v>6.9100000000000003E-3</v>
      </c>
      <c r="G44" s="229">
        <v>0</v>
      </c>
      <c r="H44" s="229">
        <v>1.626E-2</v>
      </c>
      <c r="I44" s="229">
        <v>1.6410000000000001E-2</v>
      </c>
      <c r="J44" s="229"/>
      <c r="K44" s="230"/>
      <c r="L44" s="231">
        <f t="shared" si="25"/>
        <v>0.22349000000000002</v>
      </c>
      <c r="M44" s="171"/>
      <c r="N44" s="231">
        <f t="shared" si="26"/>
        <v>0.22349000000000002</v>
      </c>
      <c r="O44" s="193">
        <f t="shared" si="24"/>
        <v>905899.72976000013</v>
      </c>
      <c r="P44" s="232">
        <f t="shared" si="27"/>
        <v>1706218.0902300002</v>
      </c>
      <c r="Q44" s="193">
        <f t="shared" si="28"/>
        <v>-800318.36047000007</v>
      </c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77"/>
      <c r="AE44" s="77"/>
      <c r="AF44" s="77"/>
      <c r="AG44" s="77"/>
    </row>
    <row r="45" spans="1:33" x14ac:dyDescent="0.25">
      <c r="A45" s="180" t="s">
        <v>227</v>
      </c>
      <c r="B45" s="179"/>
      <c r="C45" s="229">
        <v>0.27588000000000001</v>
      </c>
      <c r="D45" s="229">
        <v>0</v>
      </c>
      <c r="E45" s="229">
        <v>-1.2E-2</v>
      </c>
      <c r="F45" s="229">
        <v>0</v>
      </c>
      <c r="G45" s="229">
        <v>0</v>
      </c>
      <c r="H45" s="229">
        <v>1.626E-2</v>
      </c>
      <c r="I45" s="229">
        <v>1.6410000000000001E-2</v>
      </c>
      <c r="J45" s="229"/>
      <c r="K45" s="230"/>
      <c r="L45" s="231">
        <f t="shared" si="25"/>
        <v>0.29654999999999998</v>
      </c>
      <c r="M45" s="171"/>
      <c r="N45" s="231">
        <f t="shared" si="26"/>
        <v>0.29654999999999998</v>
      </c>
      <c r="O45" s="193">
        <f t="shared" si="24"/>
        <v>2746.94265</v>
      </c>
      <c r="P45" s="232">
        <f t="shared" si="27"/>
        <v>3048.8305499999997</v>
      </c>
      <c r="Q45" s="193">
        <f t="shared" si="28"/>
        <v>-301.88789999999972</v>
      </c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77"/>
      <c r="AE45" s="77"/>
      <c r="AF45" s="77"/>
      <c r="AG45" s="77"/>
    </row>
    <row r="46" spans="1:33" x14ac:dyDescent="0.25">
      <c r="A46" s="180" t="s">
        <v>229</v>
      </c>
      <c r="B46" s="179"/>
      <c r="C46" s="229">
        <v>0.27573999999999999</v>
      </c>
      <c r="D46" s="229">
        <v>-5.0130000000000001E-2</v>
      </c>
      <c r="E46" s="229">
        <v>-9.2599999999999991E-3</v>
      </c>
      <c r="F46" s="229">
        <v>6.9100000000000003E-3</v>
      </c>
      <c r="G46" s="229">
        <v>0</v>
      </c>
      <c r="H46" s="229">
        <v>1.2760000000000001E-2</v>
      </c>
      <c r="I46" s="229">
        <v>1.499E-2</v>
      </c>
      <c r="J46" s="229"/>
      <c r="K46" s="230"/>
      <c r="L46" s="231">
        <f t="shared" si="25"/>
        <v>0.25100999999999996</v>
      </c>
      <c r="M46" s="171"/>
      <c r="N46" s="231">
        <f t="shared" si="26"/>
        <v>0.25100999999999996</v>
      </c>
      <c r="O46" s="193">
        <f t="shared" si="24"/>
        <v>23229.469439999997</v>
      </c>
      <c r="P46" s="232">
        <f t="shared" si="27"/>
        <v>-889637.42330999987</v>
      </c>
      <c r="Q46" s="193">
        <f t="shared" si="28"/>
        <v>912866.89274999988</v>
      </c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77"/>
      <c r="AE46" s="77"/>
      <c r="AF46" s="77"/>
      <c r="AG46" s="77"/>
    </row>
    <row r="47" spans="1:33" x14ac:dyDescent="0.25">
      <c r="A47" s="180" t="s">
        <v>231</v>
      </c>
      <c r="B47" s="179"/>
      <c r="C47" s="229">
        <v>0.27573999999999999</v>
      </c>
      <c r="D47" s="229">
        <v>0</v>
      </c>
      <c r="E47" s="229">
        <v>-9.2599999999999991E-3</v>
      </c>
      <c r="F47" s="229">
        <v>0</v>
      </c>
      <c r="G47" s="229">
        <v>0</v>
      </c>
      <c r="H47" s="229">
        <v>1.2760000000000001E-2</v>
      </c>
      <c r="I47" s="229">
        <v>1.499E-2</v>
      </c>
      <c r="J47" s="229"/>
      <c r="K47" s="230"/>
      <c r="L47" s="231">
        <f t="shared" si="25"/>
        <v>0.29422999999999999</v>
      </c>
      <c r="M47" s="171"/>
      <c r="N47" s="231">
        <f t="shared" si="26"/>
        <v>0.29422999999999999</v>
      </c>
      <c r="O47" s="193">
        <f t="shared" si="24"/>
        <v>9217.6374400000004</v>
      </c>
      <c r="P47" s="232">
        <f t="shared" si="27"/>
        <v>9436.5445600000003</v>
      </c>
      <c r="Q47" s="193">
        <f t="shared" si="28"/>
        <v>-218.90711999999985</v>
      </c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77"/>
      <c r="AE47" s="77"/>
      <c r="AF47" s="77"/>
      <c r="AG47" s="77"/>
    </row>
    <row r="48" spans="1:33" x14ac:dyDescent="0.25">
      <c r="A48" s="180" t="s">
        <v>232</v>
      </c>
      <c r="B48" s="179"/>
      <c r="C48" s="229">
        <v>0.24138999999999999</v>
      </c>
      <c r="D48" s="229">
        <v>0</v>
      </c>
      <c r="E48" s="229">
        <v>-7.8399999999999997E-3</v>
      </c>
      <c r="F48" s="229">
        <v>0</v>
      </c>
      <c r="G48" s="229">
        <v>0</v>
      </c>
      <c r="H48" s="229">
        <v>1.132E-2</v>
      </c>
      <c r="I48" s="229">
        <v>1.44E-2</v>
      </c>
      <c r="J48" s="229"/>
      <c r="K48" s="230"/>
      <c r="L48" s="231">
        <f t="shared" si="25"/>
        <v>0.25927</v>
      </c>
      <c r="M48" s="171"/>
      <c r="N48" s="231">
        <f t="shared" si="26"/>
        <v>0.25927</v>
      </c>
      <c r="O48" s="193">
        <f t="shared" si="24"/>
        <v>0</v>
      </c>
      <c r="P48" s="232">
        <f t="shared" si="27"/>
        <v>0</v>
      </c>
      <c r="Q48" s="193">
        <f t="shared" si="28"/>
        <v>0</v>
      </c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77"/>
      <c r="AE48" s="77"/>
      <c r="AF48" s="77"/>
      <c r="AG48" s="77"/>
    </row>
    <row r="49" spans="1:33" x14ac:dyDescent="0.25">
      <c r="A49" s="180" t="s">
        <v>234</v>
      </c>
      <c r="B49" s="179"/>
      <c r="C49" s="229">
        <v>5.5999999999999995E-4</v>
      </c>
      <c r="D49" s="229">
        <v>0</v>
      </c>
      <c r="E49" s="229">
        <v>-3.5400000000000002E-3</v>
      </c>
      <c r="F49" s="229">
        <v>0</v>
      </c>
      <c r="G49" s="229">
        <v>0</v>
      </c>
      <c r="H49" s="229">
        <v>0</v>
      </c>
      <c r="I49" s="229">
        <v>7.3999999999999999E-4</v>
      </c>
      <c r="J49" s="229"/>
      <c r="K49" s="230"/>
      <c r="L49" s="231">
        <f t="shared" si="25"/>
        <v>-2.2399999999999998E-3</v>
      </c>
      <c r="M49" s="171"/>
      <c r="N49" s="231">
        <f t="shared" si="26"/>
        <v>-2.2399999999999998E-3</v>
      </c>
      <c r="O49" s="193">
        <f t="shared" si="24"/>
        <v>-8776.2012799999993</v>
      </c>
      <c r="P49" s="232">
        <f t="shared" si="27"/>
        <v>-7935.0588799999996</v>
      </c>
      <c r="Q49" s="193">
        <f t="shared" si="28"/>
        <v>-841.14239999999972</v>
      </c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77"/>
      <c r="AE49" s="77"/>
      <c r="AF49" s="77"/>
      <c r="AG49" s="77"/>
    </row>
    <row r="50" spans="1:33" x14ac:dyDescent="0.25">
      <c r="A50" s="180" t="s">
        <v>235</v>
      </c>
      <c r="B50" s="179"/>
      <c r="C50" s="229">
        <v>0</v>
      </c>
      <c r="D50" s="229">
        <v>0</v>
      </c>
      <c r="E50" s="229">
        <v>0</v>
      </c>
      <c r="F50" s="229">
        <v>0</v>
      </c>
      <c r="G50" s="229">
        <v>0</v>
      </c>
      <c r="H50" s="229">
        <v>0</v>
      </c>
      <c r="I50" s="229">
        <v>0</v>
      </c>
      <c r="J50" s="229"/>
      <c r="K50" s="230"/>
      <c r="L50" s="231">
        <f t="shared" si="25"/>
        <v>0</v>
      </c>
      <c r="M50" s="171"/>
      <c r="N50" s="231">
        <f t="shared" si="26"/>
        <v>0</v>
      </c>
      <c r="O50" s="193">
        <f t="shared" si="24"/>
        <v>0</v>
      </c>
      <c r="P50" s="232">
        <f t="shared" si="27"/>
        <v>0</v>
      </c>
      <c r="Q50" s="193">
        <f t="shared" si="28"/>
        <v>0</v>
      </c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77"/>
      <c r="AE50" s="77"/>
      <c r="AF50" s="77"/>
      <c r="AG50" s="77"/>
    </row>
    <row r="51" spans="1:33" x14ac:dyDescent="0.25">
      <c r="A51" s="180" t="s">
        <v>236</v>
      </c>
      <c r="B51" s="179"/>
      <c r="C51" s="229">
        <v>0</v>
      </c>
      <c r="D51" s="229">
        <v>0</v>
      </c>
      <c r="E51" s="229">
        <v>0</v>
      </c>
      <c r="F51" s="229">
        <v>0</v>
      </c>
      <c r="G51" s="229">
        <v>0</v>
      </c>
      <c r="H51" s="229">
        <v>0</v>
      </c>
      <c r="I51" s="229">
        <v>0</v>
      </c>
      <c r="J51" s="229"/>
      <c r="K51" s="230"/>
      <c r="L51" s="231">
        <f t="shared" si="25"/>
        <v>0</v>
      </c>
      <c r="M51" s="171"/>
      <c r="N51" s="231">
        <f t="shared" si="26"/>
        <v>0</v>
      </c>
      <c r="O51" s="193">
        <f t="shared" si="24"/>
        <v>0</v>
      </c>
      <c r="P51" s="232">
        <f t="shared" si="27"/>
        <v>0</v>
      </c>
      <c r="Q51" s="193">
        <f t="shared" si="28"/>
        <v>0</v>
      </c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77"/>
      <c r="AE51" s="77"/>
      <c r="AF51" s="77"/>
      <c r="AG51" s="77"/>
    </row>
    <row r="52" spans="1:33" x14ac:dyDescent="0.25">
      <c r="A52" s="180"/>
      <c r="B52" s="179"/>
      <c r="C52" s="229"/>
      <c r="D52" s="229"/>
      <c r="E52" s="229"/>
      <c r="F52" s="229"/>
      <c r="G52" s="229"/>
      <c r="H52" s="229"/>
      <c r="I52" s="229"/>
      <c r="J52" s="229"/>
      <c r="K52" s="229"/>
      <c r="L52" s="230"/>
      <c r="M52" s="171"/>
      <c r="O52" s="233">
        <f>SUM(O42:O51)</f>
        <v>3099980.8884900003</v>
      </c>
      <c r="P52" s="233">
        <f>SUM(P42:P51)</f>
        <v>3006513.7088800003</v>
      </c>
      <c r="Q52" s="233">
        <f>SUM(Q42:Q51)</f>
        <v>93467.17960999941</v>
      </c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77"/>
      <c r="AF52" s="77"/>
      <c r="AG52" s="77"/>
    </row>
    <row r="53" spans="1:33" ht="39" x14ac:dyDescent="0.25">
      <c r="A53" s="226" t="s">
        <v>267</v>
      </c>
      <c r="B53" s="175"/>
      <c r="C53" s="212" t="s">
        <v>268</v>
      </c>
      <c r="D53" s="212" t="s">
        <v>269</v>
      </c>
      <c r="E53" s="212" t="s">
        <v>259</v>
      </c>
      <c r="F53" s="212" t="s">
        <v>260</v>
      </c>
      <c r="G53" s="212" t="s">
        <v>270</v>
      </c>
      <c r="H53" s="212" t="s">
        <v>271</v>
      </c>
      <c r="I53" s="212" t="s">
        <v>272</v>
      </c>
      <c r="J53" s="212" t="s">
        <v>273</v>
      </c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77"/>
      <c r="AF53" s="77"/>
      <c r="AG53" s="77"/>
    </row>
    <row r="54" spans="1:33" x14ac:dyDescent="0.25">
      <c r="A54" s="180" t="s">
        <v>221</v>
      </c>
      <c r="B54" s="171"/>
      <c r="C54" s="188">
        <f>C42*$H4</f>
        <v>-26583.15436</v>
      </c>
      <c r="D54" s="188">
        <f t="shared" ref="D54:I54" si="29">D42*$H4</f>
        <v>8923.5556399999987</v>
      </c>
      <c r="E54" s="188">
        <f>E42*$H4</f>
        <v>1955.8859599999998</v>
      </c>
      <c r="F54" s="188">
        <f t="shared" si="29"/>
        <v>2524.9215999999997</v>
      </c>
      <c r="G54" s="188">
        <f t="shared" si="29"/>
        <v>0</v>
      </c>
      <c r="H54" s="188">
        <f t="shared" si="29"/>
        <v>-2810.8318400000003</v>
      </c>
      <c r="I54" s="188">
        <f t="shared" si="29"/>
        <v>-1818.5005200000001</v>
      </c>
      <c r="J54" s="188">
        <f>SUM(C54:I54)</f>
        <v>-17808.123520000005</v>
      </c>
      <c r="K54" s="171"/>
      <c r="L54" s="171"/>
      <c r="M54" s="171"/>
      <c r="N54" s="193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77"/>
      <c r="AF54" s="77"/>
      <c r="AG54" s="77"/>
    </row>
    <row r="55" spans="1:33" x14ac:dyDescent="0.25">
      <c r="A55" s="180" t="s">
        <v>223</v>
      </c>
      <c r="B55" s="171"/>
      <c r="C55" s="188">
        <f t="shared" ref="C55:I63" si="30">C43*$H5</f>
        <v>-118.27081000000001</v>
      </c>
      <c r="D55" s="188">
        <f t="shared" si="30"/>
        <v>39.701689999999999</v>
      </c>
      <c r="E55" s="188">
        <f t="shared" si="30"/>
        <v>8.7019099999999998</v>
      </c>
      <c r="F55" s="188">
        <f t="shared" si="30"/>
        <v>11.233599999999999</v>
      </c>
      <c r="G55" s="188">
        <f t="shared" si="30"/>
        <v>167.93818999999999</v>
      </c>
      <c r="H55" s="188">
        <f t="shared" si="30"/>
        <v>-12.505640000000001</v>
      </c>
      <c r="I55" s="188">
        <f t="shared" si="30"/>
        <v>-8.0906699999999994</v>
      </c>
      <c r="J55" s="188">
        <f t="shared" ref="J55:J63" si="31">SUM(C55:I55)</f>
        <v>88.70826999999997</v>
      </c>
      <c r="K55" s="171"/>
      <c r="L55" s="171"/>
      <c r="M55" s="171"/>
      <c r="N55" s="193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77"/>
      <c r="AF55" s="77"/>
      <c r="AG55" s="77"/>
    </row>
    <row r="56" spans="1:33" x14ac:dyDescent="0.25">
      <c r="A56" s="180" t="s">
        <v>225</v>
      </c>
      <c r="B56" s="171"/>
      <c r="C56" s="188">
        <f t="shared" si="30"/>
        <v>-987927.10764000006</v>
      </c>
      <c r="D56" s="188">
        <f t="shared" si="30"/>
        <v>286372.80991000001</v>
      </c>
      <c r="E56" s="188">
        <f t="shared" si="30"/>
        <v>42972.036</v>
      </c>
      <c r="F56" s="188">
        <f t="shared" si="30"/>
        <v>-24744.730730000003</v>
      </c>
      <c r="G56" s="188">
        <f t="shared" si="30"/>
        <v>0</v>
      </c>
      <c r="H56" s="188">
        <f t="shared" si="30"/>
        <v>-58227.108780000002</v>
      </c>
      <c r="I56" s="188">
        <f t="shared" si="30"/>
        <v>-58764.259230000003</v>
      </c>
      <c r="J56" s="188">
        <f t="shared" si="31"/>
        <v>-800318.36046999996</v>
      </c>
      <c r="K56" s="171"/>
      <c r="L56" s="171"/>
      <c r="M56" s="171"/>
      <c r="N56" s="193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77"/>
      <c r="AF56" s="77"/>
      <c r="AG56" s="77"/>
    </row>
    <row r="57" spans="1:33" x14ac:dyDescent="0.25">
      <c r="A57" s="180" t="s">
        <v>227</v>
      </c>
      <c r="B57" s="171"/>
      <c r="C57" s="188">
        <f t="shared" si="30"/>
        <v>-280.84584000000001</v>
      </c>
      <c r="D57" s="188">
        <f t="shared" si="30"/>
        <v>0</v>
      </c>
      <c r="E57" s="188">
        <f t="shared" si="30"/>
        <v>12.216000000000001</v>
      </c>
      <c r="F57" s="188">
        <f t="shared" si="30"/>
        <v>0</v>
      </c>
      <c r="G57" s="188">
        <f t="shared" si="30"/>
        <v>0</v>
      </c>
      <c r="H57" s="188">
        <f t="shared" si="30"/>
        <v>-16.552679999999999</v>
      </c>
      <c r="I57" s="188">
        <f t="shared" si="30"/>
        <v>-16.705380000000002</v>
      </c>
      <c r="J57" s="188">
        <f t="shared" si="31"/>
        <v>-301.8879</v>
      </c>
      <c r="K57" s="171"/>
      <c r="L57" s="171"/>
      <c r="M57" s="171"/>
      <c r="N57" s="193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77"/>
      <c r="AF57" s="77"/>
      <c r="AG57" s="77"/>
    </row>
    <row r="58" spans="1:33" x14ac:dyDescent="0.25">
      <c r="A58" s="180" t="s">
        <v>229</v>
      </c>
      <c r="B58" s="171"/>
      <c r="C58" s="188">
        <f t="shared" si="30"/>
        <v>1002804.3385</v>
      </c>
      <c r="D58" s="188">
        <f t="shared" si="30"/>
        <v>-182311.53075000001</v>
      </c>
      <c r="E58" s="188">
        <f t="shared" si="30"/>
        <v>-33676.536499999995</v>
      </c>
      <c r="F58" s="188">
        <f t="shared" si="30"/>
        <v>25130.115250000003</v>
      </c>
      <c r="G58" s="188">
        <f t="shared" si="30"/>
        <v>0</v>
      </c>
      <c r="H58" s="188">
        <f t="shared" si="30"/>
        <v>46405.249000000003</v>
      </c>
      <c r="I58" s="188">
        <f t="shared" si="30"/>
        <v>54515.257250000002</v>
      </c>
      <c r="J58" s="188">
        <f t="shared" si="31"/>
        <v>912866.89274999988</v>
      </c>
      <c r="K58" s="171"/>
      <c r="L58" s="171"/>
      <c r="M58" s="171"/>
      <c r="N58" s="193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77"/>
      <c r="AF58" s="77"/>
      <c r="AG58" s="77"/>
    </row>
    <row r="59" spans="1:33" x14ac:dyDescent="0.25">
      <c r="A59" s="180" t="s">
        <v>231</v>
      </c>
      <c r="B59" s="171"/>
      <c r="C59" s="188">
        <f t="shared" si="30"/>
        <v>-205.15055999999998</v>
      </c>
      <c r="D59" s="188">
        <f t="shared" si="30"/>
        <v>0</v>
      </c>
      <c r="E59" s="188">
        <f t="shared" si="30"/>
        <v>6.8894399999999996</v>
      </c>
      <c r="F59" s="188">
        <f t="shared" si="30"/>
        <v>0</v>
      </c>
      <c r="G59" s="188">
        <f t="shared" si="30"/>
        <v>0</v>
      </c>
      <c r="H59" s="188">
        <f t="shared" si="30"/>
        <v>-9.4934399999999997</v>
      </c>
      <c r="I59" s="188">
        <f t="shared" si="30"/>
        <v>-11.152559999999999</v>
      </c>
      <c r="J59" s="188">
        <f t="shared" si="31"/>
        <v>-218.90711999999996</v>
      </c>
      <c r="K59" s="171"/>
      <c r="L59" s="171"/>
      <c r="M59" s="171"/>
      <c r="N59" s="193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77"/>
      <c r="AF59" s="77"/>
      <c r="AG59" s="77"/>
    </row>
    <row r="60" spans="1:33" x14ac:dyDescent="0.25">
      <c r="A60" s="180" t="s">
        <v>232</v>
      </c>
      <c r="B60" s="171"/>
      <c r="C60" s="188">
        <f t="shared" si="30"/>
        <v>0</v>
      </c>
      <c r="D60" s="188">
        <f t="shared" si="30"/>
        <v>0</v>
      </c>
      <c r="E60" s="188">
        <f t="shared" si="30"/>
        <v>0</v>
      </c>
      <c r="F60" s="188">
        <f t="shared" si="30"/>
        <v>0</v>
      </c>
      <c r="G60" s="188">
        <f t="shared" si="30"/>
        <v>0</v>
      </c>
      <c r="H60" s="188">
        <f t="shared" si="30"/>
        <v>0</v>
      </c>
      <c r="I60" s="188">
        <f t="shared" si="30"/>
        <v>0</v>
      </c>
      <c r="J60" s="188">
        <f t="shared" si="31"/>
        <v>0</v>
      </c>
      <c r="K60" s="171"/>
      <c r="L60" s="171"/>
      <c r="M60" s="171"/>
      <c r="N60" s="193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77"/>
      <c r="AF60" s="77"/>
      <c r="AG60" s="77"/>
    </row>
    <row r="61" spans="1:33" x14ac:dyDescent="0.25">
      <c r="A61" s="180" t="s">
        <v>234</v>
      </c>
      <c r="B61" s="171"/>
      <c r="C61" s="188">
        <f t="shared" si="30"/>
        <v>210.28559999999999</v>
      </c>
      <c r="D61" s="188">
        <f t="shared" si="30"/>
        <v>0</v>
      </c>
      <c r="E61" s="188">
        <f t="shared" si="30"/>
        <v>-1329.3054</v>
      </c>
      <c r="F61" s="188">
        <f t="shared" si="30"/>
        <v>0</v>
      </c>
      <c r="G61" s="188">
        <f t="shared" si="30"/>
        <v>0</v>
      </c>
      <c r="H61" s="188">
        <f t="shared" si="30"/>
        <v>0</v>
      </c>
      <c r="I61" s="188">
        <f t="shared" si="30"/>
        <v>277.87740000000002</v>
      </c>
      <c r="J61" s="188">
        <f t="shared" si="31"/>
        <v>-841.14239999999995</v>
      </c>
      <c r="K61" s="171"/>
      <c r="L61" s="171"/>
      <c r="M61" s="171"/>
      <c r="N61" s="193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77"/>
      <c r="AF61" s="77"/>
      <c r="AG61" s="77"/>
    </row>
    <row r="62" spans="1:33" x14ac:dyDescent="0.25">
      <c r="A62" s="180" t="s">
        <v>235</v>
      </c>
      <c r="B62" s="171"/>
      <c r="C62" s="188">
        <f t="shared" si="30"/>
        <v>0</v>
      </c>
      <c r="D62" s="188">
        <f t="shared" si="30"/>
        <v>0</v>
      </c>
      <c r="E62" s="188">
        <f t="shared" si="30"/>
        <v>0</v>
      </c>
      <c r="F62" s="188">
        <f t="shared" si="30"/>
        <v>0</v>
      </c>
      <c r="G62" s="188">
        <f t="shared" si="30"/>
        <v>0</v>
      </c>
      <c r="H62" s="188">
        <f t="shared" si="30"/>
        <v>0</v>
      </c>
      <c r="I62" s="188">
        <f t="shared" si="30"/>
        <v>0</v>
      </c>
      <c r="J62" s="188">
        <f t="shared" si="31"/>
        <v>0</v>
      </c>
      <c r="K62" s="171"/>
      <c r="L62" s="171"/>
      <c r="M62" s="171"/>
      <c r="N62" s="193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77"/>
      <c r="AF62" s="77"/>
      <c r="AG62" s="77"/>
    </row>
    <row r="63" spans="1:33" x14ac:dyDescent="0.25">
      <c r="A63" s="180" t="s">
        <v>236</v>
      </c>
      <c r="B63" s="171"/>
      <c r="C63" s="188">
        <f t="shared" si="30"/>
        <v>0</v>
      </c>
      <c r="D63" s="188">
        <f t="shared" si="30"/>
        <v>0</v>
      </c>
      <c r="E63" s="188">
        <f t="shared" si="30"/>
        <v>0</v>
      </c>
      <c r="F63" s="188">
        <f t="shared" si="30"/>
        <v>0</v>
      </c>
      <c r="G63" s="188">
        <f t="shared" si="30"/>
        <v>0</v>
      </c>
      <c r="H63" s="188">
        <f t="shared" si="30"/>
        <v>0</v>
      </c>
      <c r="I63" s="188">
        <f t="shared" si="30"/>
        <v>0</v>
      </c>
      <c r="J63" s="188">
        <f t="shared" si="31"/>
        <v>0</v>
      </c>
      <c r="K63" s="171"/>
      <c r="L63" s="171"/>
      <c r="M63" s="171"/>
      <c r="N63" s="234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77"/>
      <c r="AF63" s="77"/>
      <c r="AG63" s="77"/>
    </row>
    <row r="64" spans="1:33" x14ac:dyDescent="0.25">
      <c r="A64" s="171"/>
      <c r="B64" s="171"/>
      <c r="C64" s="196">
        <f>SUM(C54:C63)</f>
        <v>-12099.905110000016</v>
      </c>
      <c r="D64" s="196">
        <f t="shared" ref="D64:I64" si="32">SUM(D54:D63)</f>
        <v>113024.53649</v>
      </c>
      <c r="E64" s="196">
        <f t="shared" si="32"/>
        <v>9949.8874100000103</v>
      </c>
      <c r="F64" s="196">
        <f t="shared" si="32"/>
        <v>2921.5397200000007</v>
      </c>
      <c r="G64" s="196">
        <f t="shared" si="32"/>
        <v>167.93818999999999</v>
      </c>
      <c r="H64" s="196">
        <f t="shared" si="32"/>
        <v>-14671.243380000002</v>
      </c>
      <c r="I64" s="196">
        <f t="shared" si="32"/>
        <v>-5825.5737099999997</v>
      </c>
      <c r="J64" s="196">
        <f>SUM(J54:J63)</f>
        <v>93467.179609999992</v>
      </c>
      <c r="K64" s="171"/>
      <c r="L64" s="171"/>
      <c r="M64" s="171"/>
      <c r="N64" s="234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77"/>
      <c r="AF64" s="77"/>
      <c r="AG64" s="77"/>
    </row>
    <row r="65" spans="1:33" x14ac:dyDescent="0.25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88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77"/>
      <c r="AF65" s="77"/>
      <c r="AG65" s="77"/>
    </row>
    <row r="66" spans="1:33" x14ac:dyDescent="0.25">
      <c r="A66" s="179" t="s">
        <v>28</v>
      </c>
      <c r="B66" s="179"/>
      <c r="C66" s="188">
        <f>C54+C55</f>
        <v>-26701.425170000002</v>
      </c>
      <c r="D66" s="188">
        <f>D54+D55</f>
        <v>8963.2573299999985</v>
      </c>
      <c r="E66" s="188">
        <f t="shared" ref="E66:I66" si="33">E54+E55</f>
        <v>1964.5878699999998</v>
      </c>
      <c r="F66" s="188">
        <f t="shared" si="33"/>
        <v>2536.1551999999997</v>
      </c>
      <c r="G66" s="188">
        <f t="shared" si="33"/>
        <v>167.93818999999999</v>
      </c>
      <c r="H66" s="188">
        <f t="shared" si="33"/>
        <v>-2823.3374800000001</v>
      </c>
      <c r="I66" s="188">
        <f t="shared" si="33"/>
        <v>-1826.5911900000001</v>
      </c>
      <c r="J66" s="188">
        <f>J54+J55</f>
        <v>-17719.415250000005</v>
      </c>
      <c r="K66" s="171"/>
      <c r="L66" s="171"/>
      <c r="M66" s="171"/>
      <c r="N66" s="188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77"/>
      <c r="AF66" s="77"/>
      <c r="AG66" s="77"/>
    </row>
    <row r="67" spans="1:33" x14ac:dyDescent="0.25">
      <c r="A67" s="179"/>
      <c r="B67" s="179"/>
      <c r="C67" s="188"/>
      <c r="D67" s="188"/>
      <c r="E67" s="188"/>
      <c r="F67" s="188"/>
      <c r="G67" s="188"/>
      <c r="H67" s="188"/>
      <c r="I67" s="188"/>
      <c r="J67" s="188"/>
      <c r="K67" s="171"/>
      <c r="L67" s="171"/>
      <c r="M67" s="171"/>
      <c r="N67" s="179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77"/>
      <c r="AF67" s="77"/>
      <c r="AG67" s="77"/>
    </row>
    <row r="68" spans="1:33" x14ac:dyDescent="0.25">
      <c r="A68" s="179" t="s">
        <v>244</v>
      </c>
      <c r="B68" s="179"/>
      <c r="C68" s="222">
        <f>C56+C58</f>
        <v>14877.230859999894</v>
      </c>
      <c r="D68" s="222">
        <f>D56+D58</f>
        <v>104061.27916000001</v>
      </c>
      <c r="E68" s="222">
        <f t="shared" ref="E68:I68" si="34">E56+E58</f>
        <v>9295.4995000000054</v>
      </c>
      <c r="F68" s="222">
        <f t="shared" si="34"/>
        <v>385.38451999999961</v>
      </c>
      <c r="G68" s="222">
        <f t="shared" si="34"/>
        <v>0</v>
      </c>
      <c r="H68" s="222">
        <f t="shared" si="34"/>
        <v>-11821.859779999999</v>
      </c>
      <c r="I68" s="222">
        <f t="shared" si="34"/>
        <v>-4249.0019800000009</v>
      </c>
      <c r="J68" s="222">
        <f>J56+J58</f>
        <v>112548.53227999993</v>
      </c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77"/>
      <c r="AF68" s="77"/>
      <c r="AG68" s="77"/>
    </row>
    <row r="69" spans="1:33" x14ac:dyDescent="0.25">
      <c r="A69" s="171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77"/>
      <c r="AF69" s="77"/>
      <c r="AG69" s="77"/>
    </row>
    <row r="70" spans="1:33" x14ac:dyDescent="0.25">
      <c r="A70" s="171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77"/>
      <c r="AF70" s="77"/>
      <c r="AG70" s="77"/>
    </row>
    <row r="71" spans="1:33" x14ac:dyDescent="0.25">
      <c r="A71" s="171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77"/>
      <c r="AF71" s="77"/>
      <c r="AG71" s="77"/>
    </row>
    <row r="72" spans="1:33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77"/>
      <c r="AF72" s="77"/>
      <c r="AG72" s="77"/>
    </row>
    <row r="73" spans="1:33" x14ac:dyDescent="0.25">
      <c r="A73" s="171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77"/>
      <c r="AF73" s="77"/>
      <c r="AG73" s="77"/>
    </row>
  </sheetData>
  <mergeCells count="7">
    <mergeCell ref="P40:P41"/>
    <mergeCell ref="Q40:Q41"/>
    <mergeCell ref="A1:I1"/>
    <mergeCell ref="D8:D9"/>
    <mergeCell ref="K41:L41"/>
    <mergeCell ref="M41:N41"/>
    <mergeCell ref="O40:O41"/>
  </mergeCells>
  <printOptions horizontalCentered="1"/>
  <pageMargins left="0.45" right="0.45" top="0.5" bottom="0.5" header="0.3" footer="0.3"/>
  <pageSetup scale="80" orientation="landscape" r:id="rId1"/>
  <headerFooter scaleWithDoc="0">
    <oddFooter>&amp;L&amp;F / &amp;A&amp;RPage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Y67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68" sqref="P68"/>
    </sheetView>
  </sheetViews>
  <sheetFormatPr defaultRowHeight="15" x14ac:dyDescent="0.25"/>
  <cols>
    <col min="1" max="1" width="13.85546875" customWidth="1"/>
    <col min="2" max="2" width="17.7109375" customWidth="1"/>
    <col min="3" max="3" width="15" customWidth="1"/>
    <col min="4" max="8" width="14.28515625" customWidth="1"/>
    <col min="9" max="9" width="12.5703125" customWidth="1"/>
    <col min="10" max="10" width="12.28515625" customWidth="1"/>
    <col min="11" max="11" width="12.5703125" customWidth="1"/>
    <col min="12" max="12" width="12.140625" customWidth="1"/>
    <col min="13" max="13" width="12.42578125" customWidth="1"/>
    <col min="14" max="14" width="12.85546875" customWidth="1"/>
    <col min="15" max="15" width="12.28515625" bestFit="1" customWidth="1"/>
    <col min="16" max="16" width="12.42578125" customWidth="1"/>
    <col min="17" max="17" width="13.140625" customWidth="1"/>
    <col min="18" max="18" width="13" customWidth="1"/>
    <col min="19" max="19" width="13.28515625" customWidth="1"/>
    <col min="20" max="20" width="12.42578125" customWidth="1"/>
    <col min="21" max="21" width="12.28515625" customWidth="1"/>
    <col min="22" max="22" width="12.85546875" customWidth="1"/>
    <col min="23" max="23" width="13.28515625" customWidth="1"/>
    <col min="24" max="24" width="12.42578125" customWidth="1"/>
    <col min="25" max="25" width="12.7109375" customWidth="1"/>
    <col min="26" max="26" width="13.140625" customWidth="1"/>
    <col min="27" max="27" width="13.28515625" customWidth="1"/>
    <col min="28" max="28" width="13" customWidth="1"/>
    <col min="29" max="29" width="14.42578125" customWidth="1"/>
    <col min="30" max="30" width="13.5703125" customWidth="1"/>
    <col min="31" max="33" width="12.7109375" customWidth="1"/>
    <col min="34" max="36" width="12.140625" customWidth="1"/>
    <col min="37" max="37" width="11.5703125" customWidth="1"/>
    <col min="38" max="38" width="13.28515625" customWidth="1"/>
    <col min="39" max="39" width="13.140625" customWidth="1"/>
    <col min="40" max="49" width="11.5703125" bestFit="1" customWidth="1"/>
  </cols>
  <sheetData>
    <row r="1" spans="1:49" x14ac:dyDescent="0.25">
      <c r="C1" t="s">
        <v>316</v>
      </c>
      <c r="D1" s="238">
        <v>43466</v>
      </c>
      <c r="E1" s="238">
        <v>43497</v>
      </c>
      <c r="F1" s="238">
        <v>43525</v>
      </c>
      <c r="G1" s="238">
        <v>43556</v>
      </c>
      <c r="H1" s="238">
        <v>43586</v>
      </c>
      <c r="I1" s="238">
        <v>43617</v>
      </c>
      <c r="J1" s="238">
        <v>43647</v>
      </c>
      <c r="K1" s="238">
        <v>43678</v>
      </c>
      <c r="L1" s="238">
        <v>43709</v>
      </c>
      <c r="M1" s="238">
        <v>43739</v>
      </c>
      <c r="N1" s="238">
        <v>43770</v>
      </c>
      <c r="O1" s="238">
        <v>43800</v>
      </c>
      <c r="P1" s="238">
        <v>43831</v>
      </c>
      <c r="Q1" s="238">
        <v>43862</v>
      </c>
      <c r="R1" s="238">
        <v>43891</v>
      </c>
      <c r="S1" s="238">
        <v>43922</v>
      </c>
      <c r="T1" s="238">
        <v>43952</v>
      </c>
      <c r="U1" s="238">
        <v>43983</v>
      </c>
      <c r="V1" s="238">
        <v>44013</v>
      </c>
      <c r="W1" s="238">
        <v>44044</v>
      </c>
      <c r="X1" s="238">
        <v>44075</v>
      </c>
      <c r="Y1" s="238">
        <v>44105</v>
      </c>
      <c r="Z1" s="238">
        <v>44136</v>
      </c>
      <c r="AA1" s="238">
        <v>44166</v>
      </c>
      <c r="AB1" s="238">
        <v>44197</v>
      </c>
      <c r="AC1" s="238">
        <v>44228</v>
      </c>
      <c r="AD1" s="238">
        <v>44256</v>
      </c>
      <c r="AE1" s="238">
        <v>44287</v>
      </c>
      <c r="AF1" s="238">
        <v>44317</v>
      </c>
      <c r="AG1" s="238">
        <v>44348</v>
      </c>
      <c r="AH1" s="238">
        <v>44378</v>
      </c>
      <c r="AI1" s="238">
        <v>44409</v>
      </c>
      <c r="AJ1" s="238">
        <v>44440</v>
      </c>
      <c r="AK1" s="238">
        <v>44470</v>
      </c>
      <c r="AL1" s="238">
        <v>44501</v>
      </c>
      <c r="AM1" s="238">
        <v>44531</v>
      </c>
      <c r="AN1" s="238">
        <v>44562</v>
      </c>
      <c r="AO1" s="238">
        <v>44593</v>
      </c>
      <c r="AP1" s="238">
        <v>44621</v>
      </c>
      <c r="AQ1" s="238">
        <v>44652</v>
      </c>
      <c r="AR1" s="238">
        <v>44682</v>
      </c>
      <c r="AS1" s="238">
        <v>44713</v>
      </c>
      <c r="AT1" s="238">
        <v>44743</v>
      </c>
      <c r="AU1" s="238">
        <v>44774</v>
      </c>
      <c r="AV1" s="238">
        <v>44805</v>
      </c>
      <c r="AW1" s="238">
        <v>44835</v>
      </c>
    </row>
    <row r="2" spans="1:49" x14ac:dyDescent="0.25">
      <c r="A2" s="314" t="s">
        <v>28</v>
      </c>
      <c r="B2" s="314"/>
      <c r="C2" s="273" t="s">
        <v>318</v>
      </c>
      <c r="D2" s="271">
        <f>'Deferral Calc'!D14</f>
        <v>21097779.06749</v>
      </c>
      <c r="E2" s="271">
        <f>'Deferral Calc'!E14</f>
        <v>23418618.537940003</v>
      </c>
      <c r="F2" s="271">
        <f>'Deferral Calc'!F14</f>
        <v>18495518.434899997</v>
      </c>
      <c r="G2" s="271">
        <f>'Deferral Calc'!G14</f>
        <v>8688149.8068300001</v>
      </c>
      <c r="H2" s="271">
        <f>'Deferral Calc'!H14</f>
        <v>4317307.7046499997</v>
      </c>
      <c r="I2" s="271">
        <f>'Deferral Calc'!I14</f>
        <v>2499965.9128</v>
      </c>
      <c r="J2" s="271">
        <f>'Deferral Calc'!J14</f>
        <v>2395099.96147</v>
      </c>
      <c r="K2" s="271">
        <f>'Deferral Calc'!K14</f>
        <v>2219193.12733</v>
      </c>
      <c r="L2" s="271">
        <f>'Deferral Calc'!L14</f>
        <v>3672892.1403299998</v>
      </c>
      <c r="M2" s="271">
        <f>'Deferral Calc'!M14</f>
        <v>12761927.928239999</v>
      </c>
      <c r="N2" s="271">
        <f>'Deferral Calc'!N14</f>
        <v>17329272.246089999</v>
      </c>
      <c r="O2" s="271">
        <f>'Deferral Calc'!O14</f>
        <v>19625255.084459998</v>
      </c>
    </row>
    <row r="3" spans="1:49" s="152" customFormat="1" x14ac:dyDescent="0.25">
      <c r="A3" s="269" t="s">
        <v>280</v>
      </c>
      <c r="B3" s="270" t="s">
        <v>326</v>
      </c>
      <c r="C3" s="272"/>
      <c r="D3" s="271">
        <v>22659659.372479931</v>
      </c>
      <c r="E3" s="271">
        <v>18125715.98864127</v>
      </c>
      <c r="F3" s="271">
        <v>15033044.820133487</v>
      </c>
      <c r="G3" s="271">
        <v>9497249.38565493</v>
      </c>
      <c r="H3" s="271">
        <v>5057421.2988135302</v>
      </c>
      <c r="I3" s="271">
        <v>2861262.5041613695</v>
      </c>
      <c r="J3" s="271">
        <v>2193485.5075411289</v>
      </c>
      <c r="K3" s="290">
        <v>2090304.9976579968</v>
      </c>
      <c r="L3" s="290">
        <v>2723234.9856473482</v>
      </c>
      <c r="M3" s="290">
        <v>8094044.4497186495</v>
      </c>
      <c r="N3" s="290">
        <v>15898823.640692307</v>
      </c>
      <c r="O3" s="290">
        <v>24071267.14316823</v>
      </c>
      <c r="P3" s="290">
        <v>24078966.143247005</v>
      </c>
      <c r="Q3" s="290">
        <v>20108022.469447553</v>
      </c>
      <c r="R3" s="290">
        <v>15854753.39936316</v>
      </c>
      <c r="S3" s="290">
        <v>9622122.8085528277</v>
      </c>
      <c r="T3" s="290">
        <v>4702782.7728201356</v>
      </c>
      <c r="U3" s="290">
        <v>2829236.7073660442</v>
      </c>
      <c r="V3" s="290">
        <v>2322120.1278278558</v>
      </c>
      <c r="W3" s="290">
        <v>2180463.741055781</v>
      </c>
      <c r="X3" s="290">
        <v>2755685.0386470361</v>
      </c>
      <c r="Y3" s="290">
        <v>8006271.7590203285</v>
      </c>
      <c r="Z3" s="290">
        <v>15843409.828133311</v>
      </c>
      <c r="AA3" s="290">
        <v>24246508.59582087</v>
      </c>
      <c r="AB3" s="290">
        <v>24453965.890902616</v>
      </c>
      <c r="AC3" s="290">
        <v>19868152.800814424</v>
      </c>
      <c r="AD3" s="290">
        <v>16172296.865543082</v>
      </c>
      <c r="AE3" s="290">
        <v>9839342.0919623524</v>
      </c>
      <c r="AF3" s="290">
        <v>4807625.7522179009</v>
      </c>
      <c r="AG3" s="290">
        <v>2878462.2003669105</v>
      </c>
      <c r="AH3" s="290">
        <v>2411525.752076772</v>
      </c>
      <c r="AI3" s="290">
        <v>2263999.8424500567</v>
      </c>
      <c r="AJ3" s="290">
        <v>2775154.5418051789</v>
      </c>
      <c r="AK3" s="290">
        <v>8076254.8472858192</v>
      </c>
      <c r="AL3" s="290">
        <v>16064565.998566661</v>
      </c>
      <c r="AM3" s="290">
        <v>24632023.336431645</v>
      </c>
      <c r="AN3" s="290">
        <v>24715382.719430495</v>
      </c>
      <c r="AO3" s="290">
        <v>20082114.475089334</v>
      </c>
      <c r="AP3" s="290">
        <v>16378498.5893381</v>
      </c>
      <c r="AQ3" s="290">
        <v>9975912.7300221249</v>
      </c>
      <c r="AR3" s="290">
        <v>4875354.4912693966</v>
      </c>
      <c r="AS3" s="290">
        <v>2943555.9623093903</v>
      </c>
      <c r="AT3" s="290">
        <v>2484927.5910277455</v>
      </c>
      <c r="AU3" s="290">
        <v>2315414.232243265</v>
      </c>
      <c r="AV3" s="290">
        <v>2809902.335841733</v>
      </c>
      <c r="AW3" s="290">
        <v>8151996.4288012628</v>
      </c>
    </row>
    <row r="4" spans="1:49" x14ac:dyDescent="0.25">
      <c r="A4" s="241" t="s">
        <v>240</v>
      </c>
      <c r="B4" s="242"/>
      <c r="C4" s="242"/>
      <c r="D4" s="244">
        <v>-2.597E-2</v>
      </c>
      <c r="E4" s="243">
        <f t="shared" ref="E4:AW4" si="0">D4</f>
        <v>-2.597E-2</v>
      </c>
      <c r="F4" s="243">
        <f t="shared" si="0"/>
        <v>-2.597E-2</v>
      </c>
      <c r="G4" s="243">
        <f t="shared" si="0"/>
        <v>-2.597E-2</v>
      </c>
      <c r="H4" s="243">
        <f t="shared" si="0"/>
        <v>-2.597E-2</v>
      </c>
      <c r="I4" s="243">
        <f t="shared" si="0"/>
        <v>-2.597E-2</v>
      </c>
      <c r="J4" s="243">
        <f t="shared" si="0"/>
        <v>-2.597E-2</v>
      </c>
      <c r="K4" s="243">
        <f t="shared" si="0"/>
        <v>-2.597E-2</v>
      </c>
      <c r="L4" s="243">
        <f t="shared" si="0"/>
        <v>-2.597E-2</v>
      </c>
      <c r="M4" s="243">
        <f t="shared" si="0"/>
        <v>-2.597E-2</v>
      </c>
      <c r="N4" s="244">
        <v>4.0099999999999997E-3</v>
      </c>
      <c r="O4" s="243">
        <f t="shared" ref="O4:P4" si="1">N4</f>
        <v>4.0099999999999997E-3</v>
      </c>
      <c r="P4" s="243">
        <f t="shared" si="1"/>
        <v>4.0099999999999997E-3</v>
      </c>
      <c r="Q4" s="243">
        <f t="shared" si="0"/>
        <v>4.0099999999999997E-3</v>
      </c>
      <c r="R4" s="243">
        <f t="shared" si="0"/>
        <v>4.0099999999999997E-3</v>
      </c>
      <c r="S4" s="243">
        <f t="shared" si="0"/>
        <v>4.0099999999999997E-3</v>
      </c>
      <c r="T4" s="243">
        <f t="shared" si="0"/>
        <v>4.0099999999999997E-3</v>
      </c>
      <c r="U4" s="243">
        <f t="shared" si="0"/>
        <v>4.0099999999999997E-3</v>
      </c>
      <c r="V4" s="243">
        <f t="shared" si="0"/>
        <v>4.0099999999999997E-3</v>
      </c>
      <c r="W4" s="243">
        <f t="shared" si="0"/>
        <v>4.0099999999999997E-3</v>
      </c>
      <c r="X4" s="243">
        <f t="shared" si="0"/>
        <v>4.0099999999999997E-3</v>
      </c>
      <c r="Y4" s="243">
        <f t="shared" si="0"/>
        <v>4.0099999999999997E-3</v>
      </c>
      <c r="Z4" s="243">
        <f>ROUND(Z5-Z8,5)</f>
        <v>-7.1199999999999996E-3</v>
      </c>
      <c r="AA4" s="243">
        <f t="shared" si="0"/>
        <v>-7.1199999999999996E-3</v>
      </c>
      <c r="AB4" s="243">
        <f t="shared" si="0"/>
        <v>-7.1199999999999996E-3</v>
      </c>
      <c r="AC4" s="243">
        <f t="shared" si="0"/>
        <v>-7.1199999999999996E-3</v>
      </c>
      <c r="AD4" s="243">
        <f t="shared" si="0"/>
        <v>-7.1199999999999996E-3</v>
      </c>
      <c r="AE4" s="243">
        <f t="shared" si="0"/>
        <v>-7.1199999999999996E-3</v>
      </c>
      <c r="AF4" s="243">
        <f t="shared" si="0"/>
        <v>-7.1199999999999996E-3</v>
      </c>
      <c r="AG4" s="243">
        <f t="shared" si="0"/>
        <v>-7.1199999999999996E-3</v>
      </c>
      <c r="AH4" s="243">
        <f t="shared" si="0"/>
        <v>-7.1199999999999996E-3</v>
      </c>
      <c r="AI4" s="243">
        <f t="shared" si="0"/>
        <v>-7.1199999999999996E-3</v>
      </c>
      <c r="AJ4" s="243">
        <f t="shared" si="0"/>
        <v>-7.1199999999999996E-3</v>
      </c>
      <c r="AK4" s="243">
        <f t="shared" si="0"/>
        <v>-7.1199999999999996E-3</v>
      </c>
      <c r="AL4" s="243">
        <f>ROUND(AL5-AL8,5)</f>
        <v>4.0000000000000003E-5</v>
      </c>
      <c r="AM4" s="243">
        <f t="shared" si="0"/>
        <v>4.0000000000000003E-5</v>
      </c>
      <c r="AN4" s="243">
        <f t="shared" si="0"/>
        <v>4.0000000000000003E-5</v>
      </c>
      <c r="AO4" s="243">
        <f t="shared" si="0"/>
        <v>4.0000000000000003E-5</v>
      </c>
      <c r="AP4" s="243">
        <f t="shared" si="0"/>
        <v>4.0000000000000003E-5</v>
      </c>
      <c r="AQ4" s="243">
        <f t="shared" si="0"/>
        <v>4.0000000000000003E-5</v>
      </c>
      <c r="AR4" s="243">
        <f t="shared" si="0"/>
        <v>4.0000000000000003E-5</v>
      </c>
      <c r="AS4" s="243">
        <f t="shared" si="0"/>
        <v>4.0000000000000003E-5</v>
      </c>
      <c r="AT4" s="243">
        <f t="shared" si="0"/>
        <v>4.0000000000000003E-5</v>
      </c>
      <c r="AU4" s="243">
        <f t="shared" si="0"/>
        <v>4.0000000000000003E-5</v>
      </c>
      <c r="AV4" s="243">
        <f t="shared" si="0"/>
        <v>4.0000000000000003E-5</v>
      </c>
      <c r="AW4" s="243">
        <f t="shared" si="0"/>
        <v>4.0000000000000003E-5</v>
      </c>
    </row>
    <row r="5" spans="1:49" x14ac:dyDescent="0.25">
      <c r="A5" s="240" t="s">
        <v>281</v>
      </c>
      <c r="B5" s="239"/>
      <c r="C5" s="239"/>
      <c r="D5" s="239"/>
      <c r="E5" s="239"/>
      <c r="F5" s="239"/>
      <c r="G5" s="239"/>
      <c r="H5" s="239"/>
      <c r="L5" s="245"/>
      <c r="M5" t="s">
        <v>327</v>
      </c>
      <c r="N5" s="246">
        <f>ROUND((M16+M17+M18+M22)*1.015/(SUM(N3:Y3)),5)</f>
        <v>5.1500000000000001E-3</v>
      </c>
      <c r="O5" s="247">
        <v>0.95584499999999994</v>
      </c>
      <c r="P5" s="248" t="s">
        <v>238</v>
      </c>
      <c r="Z5" s="246">
        <f>ROUND((Y16+Y17+Y18+Y22)*1.024/(SUM(Z3:AK3)),5)</f>
        <v>-7.1199999999999996E-3</v>
      </c>
      <c r="AA5" s="249">
        <f>O5</f>
        <v>0.95584499999999994</v>
      </c>
      <c r="AB5" s="248" t="s">
        <v>238</v>
      </c>
      <c r="AL5" s="246">
        <f>ROUND((AK16+AK17+AK18+AK22)*1.024/(SUM(AL3:AW3)),5)</f>
        <v>4.0000000000000003E-5</v>
      </c>
      <c r="AM5" s="249">
        <f>AA5</f>
        <v>0.95584499999999994</v>
      </c>
      <c r="AN5" s="248" t="s">
        <v>238</v>
      </c>
      <c r="AV5" s="245"/>
      <c r="AW5" s="249"/>
    </row>
    <row r="6" spans="1:49" x14ac:dyDescent="0.25">
      <c r="A6" s="240" t="s">
        <v>282</v>
      </c>
      <c r="B6" s="239"/>
      <c r="C6" s="239"/>
      <c r="D6" s="239"/>
      <c r="E6" s="239"/>
      <c r="F6" s="239"/>
      <c r="G6" s="239"/>
      <c r="H6" s="239"/>
      <c r="L6" s="245"/>
      <c r="M6" t="s">
        <v>328</v>
      </c>
      <c r="N6" s="53">
        <f>IF(M4&gt;0,N5*SUM(N3:Y3)-M4*SUM(N3:Y3),N5*SUM(N3:Y3))</f>
        <v>682017.15611872263</v>
      </c>
      <c r="O6" s="267">
        <f>ROUND(N4/O5,5)</f>
        <v>4.1999999999999997E-3</v>
      </c>
      <c r="P6" s="248" t="s">
        <v>333</v>
      </c>
      <c r="Z6" s="53">
        <f>IF(Y4&gt;0,Z5*SUM(Z3:AK3)-Y4*SUM(Z3:AK3),Z5*SUM(Z3:AK3))</f>
        <v>-1487376.4599743914</v>
      </c>
      <c r="AA6" s="243">
        <f>ROUND(Z4/AA5,5)</f>
        <v>-7.45E-3</v>
      </c>
      <c r="AB6" s="248" t="s">
        <v>329</v>
      </c>
      <c r="AL6" s="53">
        <f>IF(AK4&gt;0,AL5*SUM(AL3:AW3)-AK4*SUM(AL3:AW3),AL5*SUM(AL3:AW3))</f>
        <v>5417.1859556148465</v>
      </c>
      <c r="AM6" s="243">
        <f>ROUND(AL4/AM5,5)</f>
        <v>4.0000000000000003E-5</v>
      </c>
      <c r="AN6" s="248" t="s">
        <v>329</v>
      </c>
      <c r="AV6" s="245"/>
      <c r="AW6" s="243"/>
    </row>
    <row r="7" spans="1:49" x14ac:dyDescent="0.25">
      <c r="A7" s="240" t="s">
        <v>283</v>
      </c>
      <c r="B7" s="239"/>
      <c r="C7" s="239"/>
      <c r="D7" s="239"/>
      <c r="E7" s="239"/>
      <c r="F7" s="239"/>
      <c r="G7" s="239"/>
      <c r="H7" s="239"/>
      <c r="L7" s="245" t="s">
        <v>284</v>
      </c>
      <c r="M7" s="266">
        <v>98537.756999999998</v>
      </c>
      <c r="N7" s="53">
        <f>M7*1000*0.03</f>
        <v>2956132.71</v>
      </c>
      <c r="O7" s="38">
        <f>IF(M4&gt;0,M4*SUM(N3:Y3)+N7,N7)</f>
        <v>2956132.71</v>
      </c>
      <c r="P7" t="s">
        <v>285</v>
      </c>
      <c r="X7" s="245" t="s">
        <v>284</v>
      </c>
      <c r="Y7" s="53">
        <f>M7</f>
        <v>98537.756999999998</v>
      </c>
      <c r="Z7" s="53">
        <f>Y7*1000*0.03</f>
        <v>2956132.71</v>
      </c>
      <c r="AA7" s="38">
        <f>IF(Y4&gt;0,Y4/AA5*SUM(Z3:AK3)+Z7,Z7)</f>
        <v>3516770.8501038989</v>
      </c>
      <c r="AB7" t="s">
        <v>285</v>
      </c>
      <c r="AJ7" s="245" t="s">
        <v>284</v>
      </c>
      <c r="AK7" s="53">
        <f>Y7</f>
        <v>98537.756999999998</v>
      </c>
      <c r="AL7" s="53">
        <f>AK7*1000*0.03</f>
        <v>2956132.71</v>
      </c>
      <c r="AM7" s="38">
        <f>IF(AK4&gt;0,AK4*SUM(AL3:AW3)+AL7,AL7)</f>
        <v>2956132.71</v>
      </c>
      <c r="AN7" t="s">
        <v>285</v>
      </c>
      <c r="AV7" s="245"/>
      <c r="AW7" s="251"/>
    </row>
    <row r="8" spans="1:49" x14ac:dyDescent="0.25">
      <c r="A8" s="240" t="s">
        <v>286</v>
      </c>
      <c r="B8" s="239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3">
        <f>IF(N6&gt;N7,N5-N10,0)</f>
        <v>0</v>
      </c>
      <c r="Z8" s="253">
        <f>IF(Z6&gt;Z7,Z5-Z10,0)</f>
        <v>0</v>
      </c>
      <c r="AL8" s="253">
        <f>IF(AL6&gt;AL7,AL5-AL10,0)</f>
        <v>0</v>
      </c>
    </row>
    <row r="9" spans="1:49" x14ac:dyDescent="0.25">
      <c r="A9" s="240" t="s">
        <v>287</v>
      </c>
      <c r="B9" s="239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3"/>
      <c r="Z9" s="53">
        <f>N8*Z3</f>
        <v>0</v>
      </c>
      <c r="AA9" s="53">
        <f>N8*AA3</f>
        <v>0</v>
      </c>
      <c r="AB9" s="53">
        <f>N8*AB3</f>
        <v>0</v>
      </c>
      <c r="AC9" s="53">
        <f>N8*AC3</f>
        <v>0</v>
      </c>
      <c r="AD9" s="53">
        <f>N8*AD3</f>
        <v>0</v>
      </c>
      <c r="AE9" s="53">
        <f>N8*AE3</f>
        <v>0</v>
      </c>
      <c r="AF9" s="53">
        <f>N8*AF3</f>
        <v>0</v>
      </c>
      <c r="AG9" s="53">
        <f>N8*AG3</f>
        <v>0</v>
      </c>
      <c r="AH9" s="53">
        <f>N8*AH3</f>
        <v>0</v>
      </c>
      <c r="AI9" s="53">
        <f>N8*AI3</f>
        <v>0</v>
      </c>
      <c r="AJ9" s="53">
        <f>N8*AJ3</f>
        <v>0</v>
      </c>
      <c r="AK9" s="53">
        <f>N8*AK3</f>
        <v>0</v>
      </c>
      <c r="AL9" s="53">
        <f>Z8*AL3</f>
        <v>0</v>
      </c>
      <c r="AM9" s="53">
        <f>Z8*AM3</f>
        <v>0</v>
      </c>
      <c r="AN9" s="53">
        <f>Z8*AN3</f>
        <v>0</v>
      </c>
      <c r="AO9" s="53">
        <f>Z8*AO3</f>
        <v>0</v>
      </c>
      <c r="AP9" s="53">
        <f>Z8*AP3</f>
        <v>0</v>
      </c>
      <c r="AQ9" s="53">
        <f>Z8*AQ3</f>
        <v>0</v>
      </c>
      <c r="AR9" s="53">
        <f>Z8*AR3</f>
        <v>0</v>
      </c>
      <c r="AS9" s="53">
        <f>Z8*AS3</f>
        <v>0</v>
      </c>
      <c r="AT9" s="53">
        <f>Z8*AT3</f>
        <v>0</v>
      </c>
      <c r="AU9" s="53">
        <f>Z8*AU3</f>
        <v>0</v>
      </c>
      <c r="AV9" s="53">
        <f>Z8*AV3</f>
        <v>0</v>
      </c>
      <c r="AW9" s="53">
        <f>Z8*AW3</f>
        <v>0</v>
      </c>
    </row>
    <row r="10" spans="1:49" x14ac:dyDescent="0.25">
      <c r="A10" s="240" t="s">
        <v>288</v>
      </c>
      <c r="B10" s="239"/>
      <c r="C10" s="239"/>
      <c r="D10" s="239"/>
      <c r="E10" s="239"/>
      <c r="F10" s="239"/>
      <c r="G10" s="239"/>
      <c r="H10" s="239"/>
      <c r="L10" s="245"/>
      <c r="M10" s="250"/>
      <c r="N10" s="253">
        <f>O7/SUM(N3:Y3)*O5</f>
        <v>2.1336507331122204E-2</v>
      </c>
      <c r="O10" s="253">
        <f>N10</f>
        <v>2.1336507331122204E-2</v>
      </c>
      <c r="P10" s="253">
        <f t="shared" ref="P10:Y10" si="2">O10</f>
        <v>2.1336507331122204E-2</v>
      </c>
      <c r="Q10" s="253">
        <f t="shared" si="2"/>
        <v>2.1336507331122204E-2</v>
      </c>
      <c r="R10" s="253">
        <f t="shared" si="2"/>
        <v>2.1336507331122204E-2</v>
      </c>
      <c r="S10" s="253">
        <f t="shared" si="2"/>
        <v>2.1336507331122204E-2</v>
      </c>
      <c r="T10" s="253">
        <f t="shared" si="2"/>
        <v>2.1336507331122204E-2</v>
      </c>
      <c r="U10" s="253">
        <f t="shared" si="2"/>
        <v>2.1336507331122204E-2</v>
      </c>
      <c r="V10" s="253">
        <f t="shared" si="2"/>
        <v>2.1336507331122204E-2</v>
      </c>
      <c r="W10" s="253">
        <f t="shared" si="2"/>
        <v>2.1336507331122204E-2</v>
      </c>
      <c r="X10" s="253">
        <f t="shared" si="2"/>
        <v>2.1336507331122204E-2</v>
      </c>
      <c r="Y10" s="253">
        <f t="shared" si="2"/>
        <v>2.1336507331122204E-2</v>
      </c>
      <c r="Z10" s="253">
        <f>AA7/SUM(Z3:AK3)*AA5</f>
        <v>2.5153927462557533E-2</v>
      </c>
      <c r="AA10" s="253">
        <f>Z10</f>
        <v>2.5153927462557533E-2</v>
      </c>
      <c r="AB10" s="253">
        <f t="shared" ref="AB10:AK10" si="3">AA10</f>
        <v>2.5153927462557533E-2</v>
      </c>
      <c r="AC10" s="253">
        <f t="shared" si="3"/>
        <v>2.5153927462557533E-2</v>
      </c>
      <c r="AD10" s="253">
        <f t="shared" si="3"/>
        <v>2.5153927462557533E-2</v>
      </c>
      <c r="AE10" s="253">
        <f t="shared" si="3"/>
        <v>2.5153927462557533E-2</v>
      </c>
      <c r="AF10" s="253">
        <f t="shared" si="3"/>
        <v>2.5153927462557533E-2</v>
      </c>
      <c r="AG10" s="253">
        <f t="shared" si="3"/>
        <v>2.5153927462557533E-2</v>
      </c>
      <c r="AH10" s="253">
        <f t="shared" si="3"/>
        <v>2.5153927462557533E-2</v>
      </c>
      <c r="AI10" s="253">
        <f t="shared" si="3"/>
        <v>2.5153927462557533E-2</v>
      </c>
      <c r="AJ10" s="253">
        <f t="shared" si="3"/>
        <v>2.5153927462557533E-2</v>
      </c>
      <c r="AK10" s="253">
        <f t="shared" si="3"/>
        <v>2.5153927462557533E-2</v>
      </c>
      <c r="AL10" s="253">
        <f>AM7/SUM(AL3:AW3)*AM5</f>
        <v>2.0864003512829358E-2</v>
      </c>
      <c r="AM10" s="253">
        <f>AL10</f>
        <v>2.0864003512829358E-2</v>
      </c>
      <c r="AN10" s="253">
        <f t="shared" ref="AN10:AW10" si="4">AM10</f>
        <v>2.0864003512829358E-2</v>
      </c>
      <c r="AO10" s="253">
        <f t="shared" si="4"/>
        <v>2.0864003512829358E-2</v>
      </c>
      <c r="AP10" s="253">
        <f t="shared" si="4"/>
        <v>2.0864003512829358E-2</v>
      </c>
      <c r="AQ10" s="253">
        <f t="shared" si="4"/>
        <v>2.0864003512829358E-2</v>
      </c>
      <c r="AR10" s="253">
        <f t="shared" si="4"/>
        <v>2.0864003512829358E-2</v>
      </c>
      <c r="AS10" s="253">
        <f t="shared" si="4"/>
        <v>2.0864003512829358E-2</v>
      </c>
      <c r="AT10" s="253">
        <f t="shared" si="4"/>
        <v>2.0864003512829358E-2</v>
      </c>
      <c r="AU10" s="253">
        <f t="shared" si="4"/>
        <v>2.0864003512829358E-2</v>
      </c>
      <c r="AV10" s="253">
        <f t="shared" si="4"/>
        <v>2.0864003512829358E-2</v>
      </c>
      <c r="AW10" s="253">
        <f t="shared" si="4"/>
        <v>2.0864003512829358E-2</v>
      </c>
    </row>
    <row r="11" spans="1:49" x14ac:dyDescent="0.25">
      <c r="A11" s="240" t="s">
        <v>317</v>
      </c>
      <c r="B11" s="239"/>
      <c r="C11" s="252"/>
      <c r="D11" s="53">
        <f>SUMPRODUCT($N3:$Y3,-$N10:$Y10)-SUM($Z9:AB9)</f>
        <v>-2825604.6701899501</v>
      </c>
      <c r="E11" s="53">
        <f>SUMPRODUCT($N3:$Y3,-$N10:$Y10)-SUM($Z9:AC9)</f>
        <v>-2825604.6701899501</v>
      </c>
      <c r="F11" s="53">
        <f>SUMPRODUCT($N3:$Y3,-$N10:$Y10)-SUM($Z9:AD9)</f>
        <v>-2825604.6701899501</v>
      </c>
      <c r="G11" s="53">
        <f>SUMPRODUCT($N3:$Y3,-$N10:$Y10)-SUM($Z9:AE9)</f>
        <v>-2825604.6701899501</v>
      </c>
      <c r="H11" s="53">
        <f>SUMPRODUCT($N3:$Y3,-$N10:$Y10)-SUM($Z9:AF9)</f>
        <v>-2825604.6701899501</v>
      </c>
      <c r="I11" s="53">
        <f>SUMPRODUCT($N3:$Y3,-$N10:$Y10)-SUM($Z9:AG9)</f>
        <v>-2825604.6701899501</v>
      </c>
      <c r="J11" s="53">
        <f>SUMPRODUCT($N3:$Y3,-$N10:$Y10)-SUM($Z9:AH9)</f>
        <v>-2825604.6701899501</v>
      </c>
      <c r="K11" s="53">
        <f>SUMPRODUCT($N3:$Y3,-$N10:$Y10)-SUM($Z9:AI9)</f>
        <v>-2825604.6701899501</v>
      </c>
      <c r="L11" s="53">
        <f>SUMPRODUCT($N3:$Y3,-$N10:$Y10)-SUM($Z9:AJ9)</f>
        <v>-2825604.6701899501</v>
      </c>
      <c r="M11" s="53">
        <f>SUMPRODUCT($N3:$Y3,-$N10:$Y10)-SUM($Z9:AK9)</f>
        <v>-2825604.6701899501</v>
      </c>
      <c r="N11" s="53"/>
      <c r="O11" s="53">
        <f>SUMPRODUCT($Z3:$AK3,-$Z10:$AK10)-SUM($AL9:AM9)</f>
        <v>-3361487.8332175612</v>
      </c>
      <c r="P11" s="53">
        <f>SUMPRODUCT($Z3:$AK3,-$Z10:$AK10)-SUM($AL9:AN9)</f>
        <v>-3361487.8332175612</v>
      </c>
      <c r="Q11" s="53">
        <f>SUMPRODUCT($Z3:$AK3,-$Z10:$AK10)-SUM($AL9:AO9)</f>
        <v>-3361487.8332175612</v>
      </c>
      <c r="R11" s="53">
        <f>SUMPRODUCT($Z3:$AK3,-$Z10:$AK10)-SUM($AL9:AP9)</f>
        <v>-3361487.8332175612</v>
      </c>
      <c r="S11" s="53">
        <f>SUMPRODUCT($Z3:$AK3,-$Z10:$AK10)-SUM($AL9:AQ9)</f>
        <v>-3361487.8332175612</v>
      </c>
      <c r="T11" s="53">
        <f>SUMPRODUCT($Z3:$AK3,-$Z10:$AK10)-SUM($AL9:AR9)</f>
        <v>-3361487.8332175612</v>
      </c>
      <c r="U11" s="53">
        <f>SUMPRODUCT($Z3:$AK3,-$Z10:$AK10)-SUM($AL9:AS9)</f>
        <v>-3361487.8332175612</v>
      </c>
      <c r="V11" s="53">
        <f>SUMPRODUCT($Z3:$AK3,-$Z10:$AK10)-SUM($AL9:AT9)</f>
        <v>-3361487.8332175612</v>
      </c>
      <c r="W11" s="53">
        <f>SUMPRODUCT($Z3:$AK3,-$Z10:$AK10)-SUM($AL9:AU9)</f>
        <v>-3361487.8332175612</v>
      </c>
      <c r="X11" s="53">
        <f>SUMPRODUCT($Z3:$AK3,-$Z10:$AK10)-SUM($AL9:AV9)</f>
        <v>-3361487.8332175612</v>
      </c>
      <c r="Y11" s="53">
        <f>SUMPRODUCT($Z3:$AK3,-$Z10:$AK10)-SUM($AL9:AW9)</f>
        <v>-3361487.8332175612</v>
      </c>
      <c r="Z11" s="53"/>
      <c r="AA11" s="38"/>
      <c r="AJ11" s="245"/>
      <c r="AK11" s="53"/>
      <c r="AL11" s="53"/>
      <c r="AM11" s="38"/>
      <c r="AV11" s="245"/>
      <c r="AW11" s="251"/>
    </row>
    <row r="12" spans="1:49" x14ac:dyDescent="0.25">
      <c r="A12" s="240" t="s">
        <v>289</v>
      </c>
      <c r="D12" s="255">
        <f>IF($M16&gt;0,IF(D11+D16+D22&lt;0,0,+D11+D16+D22),0)</f>
        <v>0</v>
      </c>
      <c r="E12" s="255">
        <f t="shared" ref="E12:M12" si="5">IF($M16&gt;0,IF(E11+E16+E22&lt;0,0,+E11+E16+E22),0)</f>
        <v>0</v>
      </c>
      <c r="F12" s="255">
        <f t="shared" si="5"/>
        <v>0</v>
      </c>
      <c r="G12" s="255">
        <f t="shared" si="5"/>
        <v>0</v>
      </c>
      <c r="H12" s="255">
        <f t="shared" si="5"/>
        <v>0</v>
      </c>
      <c r="I12" s="255">
        <f t="shared" si="5"/>
        <v>0</v>
      </c>
      <c r="J12" s="255">
        <f t="shared" si="5"/>
        <v>0</v>
      </c>
      <c r="K12" s="255">
        <f t="shared" si="5"/>
        <v>0</v>
      </c>
      <c r="L12" s="255">
        <f t="shared" si="5"/>
        <v>0</v>
      </c>
      <c r="M12" s="255">
        <f t="shared" si="5"/>
        <v>0</v>
      </c>
      <c r="O12" s="254">
        <f>IF($Y16&gt;0,IF(O11+O15+O16+O22&lt;0,0,+O11+O15+O16+O22),0)</f>
        <v>0</v>
      </c>
      <c r="P12" s="255">
        <f>IF($Y16&gt;0,IF(P11+P16+P22&lt;0,0,+P11+P16+P22),0)</f>
        <v>0</v>
      </c>
      <c r="Q12" s="255">
        <f t="shared" ref="Q12:Y12" si="6">IF($Y16&gt;0,IF(Q11+Q16+Q22&lt;0,0,+Q11+Q16+Q22),0)</f>
        <v>0</v>
      </c>
      <c r="R12" s="255">
        <f t="shared" si="6"/>
        <v>0</v>
      </c>
      <c r="S12" s="255">
        <f t="shared" si="6"/>
        <v>0</v>
      </c>
      <c r="T12" s="255">
        <f t="shared" si="6"/>
        <v>0</v>
      </c>
      <c r="U12" s="255">
        <f t="shared" si="6"/>
        <v>0</v>
      </c>
      <c r="V12" s="255">
        <f t="shared" si="6"/>
        <v>0</v>
      </c>
      <c r="W12" s="255">
        <f t="shared" si="6"/>
        <v>0</v>
      </c>
      <c r="X12" s="255">
        <f t="shared" si="6"/>
        <v>0</v>
      </c>
      <c r="Y12" s="255">
        <f t="shared" si="6"/>
        <v>0</v>
      </c>
    </row>
    <row r="14" spans="1:49" x14ac:dyDescent="0.25">
      <c r="A14" t="s">
        <v>290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1:49" x14ac:dyDescent="0.25">
      <c r="A15">
        <v>186328</v>
      </c>
      <c r="B15" t="s">
        <v>291</v>
      </c>
      <c r="C15" s="250">
        <v>740536</v>
      </c>
      <c r="D15" s="256">
        <f>0-D26+(0+0-D26)/2*D24/12</f>
        <v>52427.682711916663</v>
      </c>
      <c r="E15" s="53">
        <f>D15-E26+(D15+D15-E26)/2*E24/12</f>
        <v>-1949672.3023238971</v>
      </c>
      <c r="F15" s="53">
        <f>E15-F26+(E15+E15-F26)/2*F24/12</f>
        <v>-2399499.5082550957</v>
      </c>
      <c r="G15" s="53">
        <f>F15-G26+(F15+F15-G26)/2*G24/12</f>
        <v>-2106742.0872625876</v>
      </c>
      <c r="H15" s="53">
        <f>G15-H26+(G15+G15-H26)/2*H24/12</f>
        <v>-1510233.1057572386</v>
      </c>
      <c r="I15" s="53">
        <f>H15-I26+(H15+H15-I26)/2*I24/12</f>
        <v>-1091983.6355504978</v>
      </c>
      <c r="J15" s="53">
        <f t="shared" ref="J15:O15" si="7">I15-J26+(I15+I15-J26)/2*J$24/12</f>
        <v>-1031606.4486774814</v>
      </c>
      <c r="K15" s="53">
        <f t="shared" si="7"/>
        <v>-922841.426110573</v>
      </c>
      <c r="L15" s="53">
        <f t="shared" si="7"/>
        <v>-995338.65471982979</v>
      </c>
      <c r="M15" s="53">
        <f t="shared" si="7"/>
        <v>-2519388.9763218146</v>
      </c>
      <c r="N15" s="53">
        <f t="shared" si="7"/>
        <v>-2136424.7040802017</v>
      </c>
      <c r="O15" s="53">
        <f t="shared" si="7"/>
        <v>-1053674.3079488806</v>
      </c>
      <c r="P15" s="256">
        <f>0-P26+(0+0-P26)/2*P24/12</f>
        <v>0</v>
      </c>
      <c r="Q15" s="53">
        <f>P15-Q26+(P15+P15-Q26)/2*Q24/12</f>
        <v>0</v>
      </c>
      <c r="R15" s="53">
        <f t="shared" ref="R15:AA15" si="8">Q15-R26+(Q15+Q15-R26)/2*R24/12</f>
        <v>0</v>
      </c>
      <c r="S15" s="53">
        <f t="shared" si="8"/>
        <v>0</v>
      </c>
      <c r="T15" s="53">
        <f t="shared" si="8"/>
        <v>0</v>
      </c>
      <c r="U15" s="53">
        <f t="shared" si="8"/>
        <v>0</v>
      </c>
      <c r="V15" s="53">
        <f t="shared" si="8"/>
        <v>0</v>
      </c>
      <c r="W15" s="53">
        <f t="shared" si="8"/>
        <v>0</v>
      </c>
      <c r="X15" s="53">
        <f t="shared" si="8"/>
        <v>0</v>
      </c>
      <c r="Y15" s="53">
        <f t="shared" si="8"/>
        <v>0</v>
      </c>
      <c r="Z15" s="53">
        <f t="shared" si="8"/>
        <v>0</v>
      </c>
      <c r="AA15" s="53">
        <f t="shared" si="8"/>
        <v>0</v>
      </c>
      <c r="AB15" s="256">
        <f>0-AB26+(0+0-AB26)/2*AB24/12</f>
        <v>0</v>
      </c>
      <c r="AC15" s="53">
        <f>AB15-AC26+(AB15+AB15-AC26)/2*AC24/12</f>
        <v>0</v>
      </c>
      <c r="AD15" s="53">
        <f t="shared" ref="AD15:AM15" si="9">AC15-AD26+(AC15+AC15-AD26)/2*AD24/12</f>
        <v>0</v>
      </c>
      <c r="AE15" s="53">
        <f t="shared" si="9"/>
        <v>0</v>
      </c>
      <c r="AF15" s="53">
        <f t="shared" si="9"/>
        <v>0</v>
      </c>
      <c r="AG15" s="53">
        <f t="shared" si="9"/>
        <v>0</v>
      </c>
      <c r="AH15" s="53">
        <f t="shared" si="9"/>
        <v>0</v>
      </c>
      <c r="AI15" s="53">
        <f t="shared" si="9"/>
        <v>0</v>
      </c>
      <c r="AJ15" s="53">
        <f t="shared" si="9"/>
        <v>0</v>
      </c>
      <c r="AK15" s="53">
        <f t="shared" si="9"/>
        <v>0</v>
      </c>
      <c r="AL15" s="53">
        <f t="shared" si="9"/>
        <v>0</v>
      </c>
      <c r="AM15" s="53">
        <f t="shared" si="9"/>
        <v>0</v>
      </c>
      <c r="AN15" s="256">
        <f>0-AN26+(0+0-AN26)/2*AN24/12</f>
        <v>0</v>
      </c>
      <c r="AO15" s="53">
        <f>AN15-AO26+(AN15+AN15-AO26)/2*AO24/12</f>
        <v>0</v>
      </c>
      <c r="AP15" s="53">
        <f t="shared" ref="AP15:AW15" si="10">AO15-AP26+(AO15+AO15-AP26)/2*AP24/12</f>
        <v>0</v>
      </c>
      <c r="AQ15" s="53">
        <f t="shared" si="10"/>
        <v>0</v>
      </c>
      <c r="AR15" s="53">
        <f t="shared" si="10"/>
        <v>0</v>
      </c>
      <c r="AS15" s="53">
        <f t="shared" si="10"/>
        <v>0</v>
      </c>
      <c r="AT15" s="53">
        <f t="shared" si="10"/>
        <v>0</v>
      </c>
      <c r="AU15" s="53">
        <f t="shared" si="10"/>
        <v>0</v>
      </c>
      <c r="AV15" s="53">
        <f t="shared" si="10"/>
        <v>0</v>
      </c>
      <c r="AW15" s="53">
        <f t="shared" si="10"/>
        <v>0</v>
      </c>
    </row>
    <row r="16" spans="1:49" x14ac:dyDescent="0.25">
      <c r="A16">
        <v>182329</v>
      </c>
      <c r="B16" t="s">
        <v>292</v>
      </c>
      <c r="C16" s="250">
        <v>0</v>
      </c>
      <c r="D16" s="256">
        <f>C15+(C15+C22)*D24/12</f>
        <v>742913.04588333331</v>
      </c>
      <c r="E16" s="53">
        <f>D16+(D16+D22)*E24/12</f>
        <v>745300.35268139641</v>
      </c>
      <c r="F16" s="53">
        <f>E16+(E16+E22)*F24/12</f>
        <v>747697.96468713775</v>
      </c>
      <c r="G16" s="53">
        <f>F16+(F16+F22)*G24/12</f>
        <v>750231.43790175847</v>
      </c>
      <c r="H16" s="53">
        <f>G16+(G16+G22)*H24/12</f>
        <v>752776.41730722901</v>
      </c>
      <c r="I16" s="53">
        <f>H16+(H16+H22)*I24/12</f>
        <v>755332.95516083273</v>
      </c>
      <c r="J16" s="53">
        <f>I16+(I16+I22)*J$24/12</f>
        <v>757924.66495531984</v>
      </c>
      <c r="K16" s="53">
        <f>J16+(J16+J22)*K$24/12</f>
        <v>760528.25341969833</v>
      </c>
      <c r="L16" s="53">
        <f>K16+(K16+K22)*L$24/12</f>
        <v>763143.77499787195</v>
      </c>
      <c r="M16" s="53">
        <f>L16+(L16+L22)*M$24/12</f>
        <v>765733.06606494565</v>
      </c>
      <c r="N16" s="53">
        <v>0</v>
      </c>
      <c r="O16" s="53">
        <v>0</v>
      </c>
      <c r="P16" s="256">
        <f>O15+(O15+O22)*P24/12</f>
        <v>-1058433.4035731163</v>
      </c>
      <c r="Q16" s="53">
        <f>P16+(P16+P22)*Q24/12</f>
        <v>-1063213.9944459216</v>
      </c>
      <c r="R16" s="53">
        <f t="shared" ref="R16:Y16" si="11">Q16+(Q16+Q22)*R24/12</f>
        <v>-1068016.177654169</v>
      </c>
      <c r="S16" s="53">
        <f t="shared" si="11"/>
        <v>-1072840.0507232405</v>
      </c>
      <c r="T16" s="53">
        <f t="shared" si="11"/>
        <v>-1077685.7116190072</v>
      </c>
      <c r="U16" s="53">
        <f t="shared" si="11"/>
        <v>-1082553.2587498196</v>
      </c>
      <c r="V16" s="53">
        <f t="shared" si="11"/>
        <v>-1087442.7909685064</v>
      </c>
      <c r="W16" s="53">
        <f t="shared" si="11"/>
        <v>-1092354.4075743807</v>
      </c>
      <c r="X16" s="53">
        <f t="shared" si="11"/>
        <v>-1097288.2083152584</v>
      </c>
      <c r="Y16" s="53">
        <f t="shared" si="11"/>
        <v>-1102244.2933894822</v>
      </c>
      <c r="Z16" s="53">
        <v>0</v>
      </c>
      <c r="AA16" s="53">
        <v>0</v>
      </c>
      <c r="AB16" s="256">
        <f>AA15+(AA15+AA22)*AB24/12</f>
        <v>0</v>
      </c>
      <c r="AC16" s="53">
        <f>AB16+(AB16+AB22)*AC24/12</f>
        <v>0</v>
      </c>
      <c r="AD16" s="53">
        <f t="shared" ref="AD16:AK16" si="12">AC16+(AC16+AC22)*AD24/12</f>
        <v>0</v>
      </c>
      <c r="AE16" s="53">
        <f t="shared" si="12"/>
        <v>0</v>
      </c>
      <c r="AF16" s="53">
        <f t="shared" si="12"/>
        <v>0</v>
      </c>
      <c r="AG16" s="53">
        <f t="shared" si="12"/>
        <v>0</v>
      </c>
      <c r="AH16" s="53">
        <f t="shared" si="12"/>
        <v>0</v>
      </c>
      <c r="AI16" s="53">
        <f t="shared" si="12"/>
        <v>0</v>
      </c>
      <c r="AJ16" s="53">
        <f t="shared" si="12"/>
        <v>0</v>
      </c>
      <c r="AK16" s="53">
        <f t="shared" si="12"/>
        <v>0</v>
      </c>
      <c r="AL16" s="53">
        <v>0</v>
      </c>
      <c r="AM16" s="53">
        <v>0</v>
      </c>
      <c r="AN16" s="256">
        <f>AM15+(AM15+AM22)*AN24/12</f>
        <v>0</v>
      </c>
      <c r="AO16" s="53">
        <f>AN16+(AN16+AN22)*AO24/12</f>
        <v>0</v>
      </c>
      <c r="AP16" s="53">
        <f t="shared" ref="AP16:AW16" si="13">AO16+(AO16+AO22)*AP24/12</f>
        <v>0</v>
      </c>
      <c r="AQ16" s="53">
        <f t="shared" si="13"/>
        <v>0</v>
      </c>
      <c r="AR16" s="53">
        <f t="shared" si="13"/>
        <v>0</v>
      </c>
      <c r="AS16" s="53">
        <f t="shared" si="13"/>
        <v>0</v>
      </c>
      <c r="AT16" s="53">
        <f t="shared" si="13"/>
        <v>0</v>
      </c>
      <c r="AU16" s="53">
        <f t="shared" si="13"/>
        <v>0</v>
      </c>
      <c r="AV16" s="53">
        <f t="shared" si="13"/>
        <v>0</v>
      </c>
      <c r="AW16" s="53">
        <f t="shared" si="13"/>
        <v>0</v>
      </c>
    </row>
    <row r="17" spans="1:49" x14ac:dyDescent="0.25">
      <c r="A17">
        <v>182328</v>
      </c>
      <c r="B17" t="s">
        <v>293</v>
      </c>
      <c r="C17" s="250">
        <v>0</v>
      </c>
      <c r="D17" s="53">
        <f>IF(D27&gt;0,C17-D27+(C17+C17-D27)/2*D24/12,0)</f>
        <v>0</v>
      </c>
      <c r="E17" s="53">
        <f t="shared" ref="E17:M17" si="14">IF(E27&gt;0,D17-E27+(D17+D17-E27)/2*E24/12,0)</f>
        <v>0</v>
      </c>
      <c r="F17" s="53">
        <f t="shared" si="14"/>
        <v>0</v>
      </c>
      <c r="G17" s="53">
        <f t="shared" si="14"/>
        <v>0</v>
      </c>
      <c r="H17" s="53">
        <f t="shared" si="14"/>
        <v>0</v>
      </c>
      <c r="I17" s="53">
        <f t="shared" si="14"/>
        <v>0</v>
      </c>
      <c r="J17" s="53">
        <f t="shared" si="14"/>
        <v>0</v>
      </c>
      <c r="K17" s="53">
        <f t="shared" si="14"/>
        <v>0</v>
      </c>
      <c r="L17" s="53">
        <f t="shared" si="14"/>
        <v>0</v>
      </c>
      <c r="M17" s="53">
        <f t="shared" si="14"/>
        <v>0</v>
      </c>
      <c r="N17" s="256">
        <f>IF(M16+M17+M18+M22&gt;0,(M16+M17+M18+M22)-N27+(M16+M17+M18+M22-N27/2)*N24/12,0)</f>
        <v>605031.18608930125</v>
      </c>
      <c r="O17" s="53">
        <f>IF(N17&lt;&gt;0,N17-O27+(N17+N17-O27)/2*O$24/12,0)</f>
        <v>530787.06661525532</v>
      </c>
      <c r="P17" s="53">
        <f>IF(O17&lt;&gt;0,O17-P27+(O17+O17-P27)/2*P24/12,0)</f>
        <v>436409.74352090096</v>
      </c>
      <c r="Q17" s="53">
        <f>IF(P17&lt;&gt;0,P17-Q27+(P17+P17-Q27)/2*Q24/12,0)</f>
        <v>357565.59418417088</v>
      </c>
      <c r="R17" s="53">
        <f t="shared" ref="R17:Y17" si="15">IF(Q17&lt;&gt;0,Q17-R27+(Q17+Q17-R27)/2*R24/12,0)</f>
        <v>295459.45832756796</v>
      </c>
      <c r="S17" s="53">
        <f t="shared" si="15"/>
        <v>258122.10060973995</v>
      </c>
      <c r="T17" s="53">
        <f t="shared" si="15"/>
        <v>240387.2051695931</v>
      </c>
      <c r="U17" s="53">
        <f t="shared" si="15"/>
        <v>230102.09351788575</v>
      </c>
      <c r="V17" s="53">
        <f t="shared" si="15"/>
        <v>221808.6573346509</v>
      </c>
      <c r="W17" s="53">
        <f t="shared" si="15"/>
        <v>214047.08740404504</v>
      </c>
      <c r="X17" s="53">
        <f t="shared" si="15"/>
        <v>203938.61448977579</v>
      </c>
      <c r="Y17" s="53">
        <f t="shared" si="15"/>
        <v>172682.08334835604</v>
      </c>
      <c r="Z17" s="256">
        <f>IF(Y16+Y17+Y18+Y22&gt;0,(Y16+Y17+Y18+Y22)-Z27+(Y16+Y17+Y18+Y22-Z27/2)*Z24/12,0)</f>
        <v>0</v>
      </c>
      <c r="AA17" s="53">
        <f>IF(Z17&lt;&gt;0,Z17-AA27+(Z17+Z17-AA27)/2*AA$24/12,0)</f>
        <v>0</v>
      </c>
      <c r="AB17" s="53">
        <f>IF(AA17&lt;&gt;0,AA17-AB27+(AA17+AA17-AB27)/2*AB24/12,0)</f>
        <v>0</v>
      </c>
      <c r="AC17" s="53">
        <f>IF(AB17&lt;&gt;0,AB17-AC27+(AB17+AB17-AC27)/2*AC24/12,0)</f>
        <v>0</v>
      </c>
      <c r="AD17" s="53">
        <f t="shared" ref="AD17:AK17" si="16">IF(AC17&lt;&gt;0,AC17-AD27+(AC17+AC17-AD27)/2*AD24/12,0)</f>
        <v>0</v>
      </c>
      <c r="AE17" s="53">
        <f t="shared" si="16"/>
        <v>0</v>
      </c>
      <c r="AF17" s="53">
        <f t="shared" si="16"/>
        <v>0</v>
      </c>
      <c r="AG17" s="53">
        <f t="shared" si="16"/>
        <v>0</v>
      </c>
      <c r="AH17" s="53">
        <f t="shared" si="16"/>
        <v>0</v>
      </c>
      <c r="AI17" s="53">
        <f t="shared" si="16"/>
        <v>0</v>
      </c>
      <c r="AJ17" s="53">
        <f t="shared" si="16"/>
        <v>0</v>
      </c>
      <c r="AK17" s="53">
        <f t="shared" si="16"/>
        <v>0</v>
      </c>
      <c r="AL17" s="256">
        <f>IF(AK16+AK17+AK18+AK22&gt;0,(AK16+AK17+AK18+AK22)-AL27+(AK16+AK17+AK18+AK22-AL27/2)*AL24/12,0)</f>
        <v>5207.0781783763687</v>
      </c>
      <c r="AM17" s="53">
        <f>IF(AL17&lt;&gt;0,AL17-AM27+(AL17+AL17-AM27)/2*AM$24/12,0)</f>
        <v>4243.0907885833785</v>
      </c>
      <c r="AN17" s="53">
        <f>IF(AM17&lt;&gt;0,AM17-AN27+(AM17+AM17-AN27)/2*AN24/12,0)</f>
        <v>3271.4074836289383</v>
      </c>
      <c r="AO17" s="53">
        <f>IF(AN17&lt;&gt;0,AN17-AO27+(AN17+AN17-AO27)/2*AO24/12,0)</f>
        <v>2481.084677418839</v>
      </c>
      <c r="AP17" s="53">
        <f t="shared" ref="AP17:AW17" si="17">IF(AO17&lt;&gt;0,AO17-AP27+(AO17+AO17-AP27)/2*AP24/12,0)</f>
        <v>1835.6714419324198</v>
      </c>
      <c r="AQ17" s="53">
        <f t="shared" si="17"/>
        <v>1444.0248912943175</v>
      </c>
      <c r="AR17" s="53">
        <f t="shared" si="17"/>
        <v>1255.0924837135096</v>
      </c>
      <c r="AS17" s="53">
        <f t="shared" si="17"/>
        <v>1142.7531783839779</v>
      </c>
      <c r="AT17" s="53">
        <f t="shared" si="17"/>
        <v>1048.2930381395129</v>
      </c>
      <c r="AU17" s="53">
        <f t="shared" si="17"/>
        <v>960.20209998639973</v>
      </c>
      <c r="AV17" s="53">
        <f t="shared" si="17"/>
        <v>851.88909152666463</v>
      </c>
      <c r="AW17" s="53">
        <f t="shared" si="17"/>
        <v>528.92053642727444</v>
      </c>
    </row>
    <row r="18" spans="1:49" ht="15.75" thickBot="1" x14ac:dyDescent="0.3">
      <c r="A18">
        <v>254328</v>
      </c>
      <c r="B18" t="s">
        <v>294</v>
      </c>
      <c r="C18" s="250">
        <f>-2447792-8224</f>
        <v>-2456016</v>
      </c>
      <c r="D18" s="53">
        <f>IF(D27&lt;0,C18-D27+(C18+C18-D27)/2*D24/12,0)</f>
        <v>-1916705.2857542937</v>
      </c>
      <c r="E18" s="53">
        <f t="shared" ref="E18:M18" si="18">IF(E27&lt;0,D18-E27+(D18+D18-E27)/2*E24/12,0)</f>
        <v>-1315376.7624979713</v>
      </c>
      <c r="F18" s="53">
        <f t="shared" si="18"/>
        <v>-839735.59354443103</v>
      </c>
      <c r="G18" s="53">
        <f t="shared" si="18"/>
        <v>-617434.18380979821</v>
      </c>
      <c r="H18" s="53">
        <f t="shared" si="18"/>
        <v>-507875.28036304028</v>
      </c>
      <c r="I18" s="53">
        <f t="shared" si="18"/>
        <v>-445119.29749244492</v>
      </c>
      <c r="J18" s="53">
        <f t="shared" si="18"/>
        <v>-384823.13341839303</v>
      </c>
      <c r="K18" s="53">
        <f t="shared" si="18"/>
        <v>-328551.29117566644</v>
      </c>
      <c r="L18" s="53">
        <f t="shared" si="18"/>
        <v>-234463.95160942813</v>
      </c>
      <c r="M18" s="53">
        <f t="shared" si="18"/>
        <v>96608.611513532611</v>
      </c>
      <c r="N18" s="256">
        <f>IF((M16+M17+M18+M22)&lt;0,(M16+M17+M18+M22)-N27+(M16+M17+M18+M22-N27/2)*N24/12,0)</f>
        <v>0</v>
      </c>
      <c r="O18" s="53">
        <f>IF(N18&lt;&gt;0,N18-O27+(N18+N18-O27)/2*O$24/12,0)</f>
        <v>0</v>
      </c>
      <c r="P18" s="53">
        <f>IF(O18&lt;&gt;0,O18-P27+(O18+O18-P27)/2*P24/12,0)</f>
        <v>0</v>
      </c>
      <c r="Q18" s="53">
        <f>IF(P18&lt;&gt;0,P18-Q27+(P18+P18-Q27)/2*Q24/12,0)</f>
        <v>0</v>
      </c>
      <c r="R18" s="53">
        <f t="shared" ref="R18:Y18" si="19">IF(Q18&lt;&gt;0,Q18-R27+(Q18+Q18-R27)/2*R24/12,0)</f>
        <v>0</v>
      </c>
      <c r="S18" s="53">
        <f t="shared" si="19"/>
        <v>0</v>
      </c>
      <c r="T18" s="53">
        <f t="shared" si="19"/>
        <v>0</v>
      </c>
      <c r="U18" s="53">
        <f t="shared" si="19"/>
        <v>0</v>
      </c>
      <c r="V18" s="53">
        <f t="shared" si="19"/>
        <v>0</v>
      </c>
      <c r="W18" s="53">
        <f t="shared" si="19"/>
        <v>0</v>
      </c>
      <c r="X18" s="53">
        <f t="shared" si="19"/>
        <v>0</v>
      </c>
      <c r="Y18" s="53">
        <f t="shared" si="19"/>
        <v>0</v>
      </c>
      <c r="Z18" s="256">
        <f>IF((Y16+Y17+Y18+Y22)&lt;0,(Y16+Y17+Y18+Y22)-Z27+(Y16+Y17+Y18+Y22-Z27/2)*Z24/12,0)</f>
        <v>-820700.90324573964</v>
      </c>
      <c r="AA18" s="53">
        <f>IF(Z18&lt;&gt;0,Z18-AA27+(Z18+Z18-AA27)/2*AA$24/12,0)</f>
        <v>-651382.72676260665</v>
      </c>
      <c r="AB18" s="53">
        <f>IF(AA18&lt;&gt;0,AA18-AB27+(AA18+AA18-AB27)/2*AB24/12,0)</f>
        <v>-479819.36479970935</v>
      </c>
      <c r="AC18" s="53">
        <f>IF(AB18&lt;&gt;0,AB18-AC27+(AB18+AB18-AC27)/2*AC24/12,0)</f>
        <v>-340205.83433732076</v>
      </c>
      <c r="AD18" s="53">
        <f t="shared" ref="AD18:AK18" si="20">IF(AC18&lt;&gt;0,AC18-AD27+(AC18+AC18-AD27)/2*AD24/12,0)</f>
        <v>-226335.63725434421</v>
      </c>
      <c r="AE18" s="53">
        <f t="shared" si="20"/>
        <v>-157143.59412656035</v>
      </c>
      <c r="AF18" s="53">
        <f t="shared" si="20"/>
        <v>-123545.76058722869</v>
      </c>
      <c r="AG18" s="53">
        <f t="shared" si="20"/>
        <v>-103562.84098606151</v>
      </c>
      <c r="AH18" s="53">
        <f t="shared" si="20"/>
        <v>-86821.760736652373</v>
      </c>
      <c r="AI18" s="53">
        <f t="shared" si="20"/>
        <v>-71057.823202935149</v>
      </c>
      <c r="AJ18" s="53">
        <f t="shared" si="20"/>
        <v>-51575.044731819675</v>
      </c>
      <c r="AK18" s="53">
        <f t="shared" si="20"/>
        <v>5824.8032892577576</v>
      </c>
      <c r="AL18" s="256">
        <f>IF((AK16+AK17+AK18+AK22)&lt;0,(AK16+AK17+AK18+AK22)-AL27+(AK16+AK17+AK18+AK22-AL27/2)*AL24/12,0)</f>
        <v>0</v>
      </c>
      <c r="AM18" s="53">
        <f>IF(AL18&lt;&gt;0,AL18-AM27+(AL18+AL18-AM27)/2*AM$24/12,0)</f>
        <v>0</v>
      </c>
      <c r="AN18" s="53">
        <f>IF(AM18&lt;&gt;0,AM18-AN27+(AM18+AM18-AN27)/2*AN24/12,0)</f>
        <v>0</v>
      </c>
      <c r="AO18" s="53">
        <f>IF(AN18&lt;&gt;0,AN18-AO27+(AN18+AN18-AO27)/2*AO24/12,0)</f>
        <v>0</v>
      </c>
      <c r="AP18" s="53">
        <f t="shared" ref="AP18:AW18" si="21">IF(AO18&lt;&gt;0,AO18-AP27+(AO18+AO18-AP27)/2*AP24/12,0)</f>
        <v>0</v>
      </c>
      <c r="AQ18" s="53">
        <f t="shared" si="21"/>
        <v>0</v>
      </c>
      <c r="AR18" s="53">
        <f t="shared" si="21"/>
        <v>0</v>
      </c>
      <c r="AS18" s="53">
        <f t="shared" si="21"/>
        <v>0</v>
      </c>
      <c r="AT18" s="53">
        <f t="shared" si="21"/>
        <v>0</v>
      </c>
      <c r="AU18" s="53">
        <f t="shared" si="21"/>
        <v>0</v>
      </c>
      <c r="AV18" s="53">
        <f t="shared" si="21"/>
        <v>0</v>
      </c>
      <c r="AW18" s="53">
        <f t="shared" si="21"/>
        <v>0</v>
      </c>
    </row>
    <row r="19" spans="1:49" ht="15.75" thickBot="1" x14ac:dyDescent="0.3">
      <c r="A19">
        <v>253311</v>
      </c>
      <c r="B19" t="s">
        <v>295</v>
      </c>
      <c r="C19" s="258">
        <f>SUM(AB9:AK9)</f>
        <v>0</v>
      </c>
      <c r="N19" s="53"/>
      <c r="O19" s="257">
        <f>-O12</f>
        <v>0</v>
      </c>
      <c r="AA19" s="258"/>
      <c r="AM19" s="258"/>
    </row>
    <row r="20" spans="1:49" x14ac:dyDescent="0.25">
      <c r="A20">
        <v>253312</v>
      </c>
      <c r="B20" t="s">
        <v>296</v>
      </c>
      <c r="C20" s="250">
        <v>0</v>
      </c>
      <c r="D20" s="259">
        <f>-D12</f>
        <v>0</v>
      </c>
      <c r="E20" s="259">
        <f t="shared" ref="E20:M20" si="22">-E12</f>
        <v>0</v>
      </c>
      <c r="F20" s="259">
        <f t="shared" si="22"/>
        <v>0</v>
      </c>
      <c r="G20" s="259">
        <f t="shared" si="22"/>
        <v>0</v>
      </c>
      <c r="H20" s="259">
        <f t="shared" si="22"/>
        <v>0</v>
      </c>
      <c r="I20" s="259">
        <f t="shared" si="22"/>
        <v>0</v>
      </c>
      <c r="J20" s="259">
        <f t="shared" si="22"/>
        <v>0</v>
      </c>
      <c r="K20" s="259">
        <f t="shared" si="22"/>
        <v>0</v>
      </c>
      <c r="L20" s="259">
        <f t="shared" si="22"/>
        <v>0</v>
      </c>
      <c r="M20" s="259">
        <f t="shared" si="22"/>
        <v>0</v>
      </c>
      <c r="N20" s="53"/>
      <c r="O20" s="38"/>
      <c r="P20" s="38">
        <f>-P12</f>
        <v>0</v>
      </c>
      <c r="Q20" s="38">
        <f t="shared" ref="Q20:Y20" si="23">-Q12</f>
        <v>0</v>
      </c>
      <c r="R20" s="38">
        <f t="shared" si="23"/>
        <v>0</v>
      </c>
      <c r="S20" s="38">
        <f t="shared" si="23"/>
        <v>0</v>
      </c>
      <c r="T20" s="38">
        <f t="shared" si="23"/>
        <v>0</v>
      </c>
      <c r="U20" s="38">
        <f t="shared" si="23"/>
        <v>0</v>
      </c>
      <c r="V20" s="38">
        <f t="shared" si="23"/>
        <v>0</v>
      </c>
      <c r="W20" s="38">
        <f t="shared" si="23"/>
        <v>0</v>
      </c>
      <c r="X20" s="38">
        <f t="shared" si="23"/>
        <v>0</v>
      </c>
      <c r="Y20" s="38">
        <f t="shared" si="23"/>
        <v>0</v>
      </c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</row>
    <row r="21" spans="1:49" x14ac:dyDescent="0.25">
      <c r="A21">
        <v>283328</v>
      </c>
      <c r="B21" t="s">
        <v>297</v>
      </c>
      <c r="C21" s="53">
        <f>SUM(C15:C20)*-0.21</f>
        <v>360250.8</v>
      </c>
      <c r="D21" s="53">
        <f t="shared" ref="D21:I21" si="24">SUM(D15:D20)*-0.21</f>
        <v>235486.55700339921</v>
      </c>
      <c r="E21" s="53">
        <f t="shared" si="24"/>
        <v>529147.22954949911</v>
      </c>
      <c r="F21" s="53">
        <f t="shared" si="24"/>
        <v>523222.79879360163</v>
      </c>
      <c r="G21" s="53">
        <f t="shared" si="24"/>
        <v>414528.41496583173</v>
      </c>
      <c r="H21" s="53">
        <f t="shared" si="24"/>
        <v>265719.71345074044</v>
      </c>
      <c r="I21" s="53">
        <f t="shared" si="24"/>
        <v>164171.69535524311</v>
      </c>
      <c r="J21" s="53">
        <f t="shared" ref="J21:AW21" si="25">SUM(J15:J20)*-0.21</f>
        <v>138286.03259951647</v>
      </c>
      <c r="K21" s="53">
        <f t="shared" si="25"/>
        <v>103081.53741197362</v>
      </c>
      <c r="L21" s="53">
        <f t="shared" si="25"/>
        <v>97998.354579591061</v>
      </c>
      <c r="M21" s="53">
        <f t="shared" si="25"/>
        <v>347979.93273610057</v>
      </c>
      <c r="N21" s="53">
        <f>SUM(N15:N20)*-0.21</f>
        <v>321592.63877808908</v>
      </c>
      <c r="O21" s="53">
        <f t="shared" si="25"/>
        <v>109806.32068006131</v>
      </c>
      <c r="P21" s="53">
        <f t="shared" si="25"/>
        <v>130624.96861096521</v>
      </c>
      <c r="Q21" s="53">
        <f t="shared" si="25"/>
        <v>148186.16405496764</v>
      </c>
      <c r="R21" s="53">
        <f t="shared" si="25"/>
        <v>162236.91105858624</v>
      </c>
      <c r="S21" s="53">
        <f t="shared" si="25"/>
        <v>171090.7695238351</v>
      </c>
      <c r="T21" s="53">
        <f t="shared" si="25"/>
        <v>175832.68635437696</v>
      </c>
      <c r="U21" s="53">
        <f t="shared" si="25"/>
        <v>179014.74469870608</v>
      </c>
      <c r="V21" s="53">
        <f t="shared" si="25"/>
        <v>181783.16806310965</v>
      </c>
      <c r="W21" s="53">
        <f t="shared" si="25"/>
        <v>184444.53723577049</v>
      </c>
      <c r="X21" s="53">
        <f t="shared" si="25"/>
        <v>187603.41470335133</v>
      </c>
      <c r="Y21" s="53">
        <f t="shared" si="25"/>
        <v>195208.06410863649</v>
      </c>
      <c r="Z21" s="53">
        <f t="shared" si="25"/>
        <v>172347.18968160532</v>
      </c>
      <c r="AA21" s="53">
        <f t="shared" si="25"/>
        <v>136790.37262014739</v>
      </c>
      <c r="AB21" s="53">
        <f t="shared" si="25"/>
        <v>100762.06660793896</v>
      </c>
      <c r="AC21" s="53">
        <f t="shared" si="25"/>
        <v>71443.22521083735</v>
      </c>
      <c r="AD21" s="53">
        <f t="shared" si="25"/>
        <v>47530.48382341228</v>
      </c>
      <c r="AE21" s="53">
        <f t="shared" si="25"/>
        <v>33000.154766577674</v>
      </c>
      <c r="AF21" s="53">
        <f t="shared" si="25"/>
        <v>25944.609723318026</v>
      </c>
      <c r="AG21" s="53">
        <f t="shared" si="25"/>
        <v>21748.196607072914</v>
      </c>
      <c r="AH21" s="53">
        <f t="shared" si="25"/>
        <v>18232.569754696997</v>
      </c>
      <c r="AI21" s="53">
        <f t="shared" si="25"/>
        <v>14922.142872616381</v>
      </c>
      <c r="AJ21" s="53">
        <f t="shared" si="25"/>
        <v>10830.75939368213</v>
      </c>
      <c r="AK21" s="53">
        <f t="shared" si="25"/>
        <v>-1223.2086907441289</v>
      </c>
      <c r="AL21" s="53">
        <f t="shared" si="25"/>
        <v>-1093.4864174590373</v>
      </c>
      <c r="AM21" s="53">
        <f t="shared" si="25"/>
        <v>-891.04906560250947</v>
      </c>
      <c r="AN21" s="53">
        <f t="shared" si="25"/>
        <v>-686.99557156207698</v>
      </c>
      <c r="AO21" s="53">
        <f t="shared" si="25"/>
        <v>-521.02778225795612</v>
      </c>
      <c r="AP21" s="53">
        <f t="shared" si="25"/>
        <v>-385.49100280580814</v>
      </c>
      <c r="AQ21" s="53">
        <f t="shared" si="25"/>
        <v>-303.24522717180668</v>
      </c>
      <c r="AR21" s="53">
        <f t="shared" si="25"/>
        <v>-263.56942157983701</v>
      </c>
      <c r="AS21" s="53">
        <f t="shared" si="25"/>
        <v>-239.97816746063535</v>
      </c>
      <c r="AT21" s="53">
        <f t="shared" si="25"/>
        <v>-220.1415380092977</v>
      </c>
      <c r="AU21" s="53">
        <f t="shared" si="25"/>
        <v>-201.64244099714392</v>
      </c>
      <c r="AV21" s="53">
        <f t="shared" si="25"/>
        <v>-178.89670922059958</v>
      </c>
      <c r="AW21" s="53">
        <f t="shared" si="25"/>
        <v>-111.07331264972763</v>
      </c>
    </row>
    <row r="22" spans="1:49" x14ac:dyDescent="0.25">
      <c r="A22">
        <v>229000</v>
      </c>
      <c r="B22" t="s">
        <v>298</v>
      </c>
      <c r="C22" s="250">
        <v>-189869</v>
      </c>
      <c r="D22" s="38">
        <f t="shared" ref="D22:AW22" si="26">C22</f>
        <v>-189869</v>
      </c>
      <c r="E22" s="38">
        <f t="shared" si="26"/>
        <v>-189869</v>
      </c>
      <c r="F22" s="38">
        <f t="shared" si="26"/>
        <v>-189869</v>
      </c>
      <c r="G22" s="38">
        <f t="shared" si="26"/>
        <v>-189869</v>
      </c>
      <c r="H22" s="38">
        <f t="shared" si="26"/>
        <v>-189869</v>
      </c>
      <c r="I22" s="38">
        <f t="shared" si="26"/>
        <v>-189869</v>
      </c>
      <c r="J22" s="38">
        <f t="shared" si="26"/>
        <v>-189869</v>
      </c>
      <c r="K22" s="38">
        <f t="shared" si="26"/>
        <v>-189869</v>
      </c>
      <c r="L22" s="38">
        <f t="shared" si="26"/>
        <v>-189869</v>
      </c>
      <c r="M22" s="38">
        <f t="shared" si="26"/>
        <v>-189869</v>
      </c>
      <c r="N22" s="256">
        <v>0</v>
      </c>
      <c r="O22" s="260">
        <f>-SUM(D32:O32)</f>
        <v>0</v>
      </c>
      <c r="P22" s="38">
        <f t="shared" si="26"/>
        <v>0</v>
      </c>
      <c r="Q22" s="38">
        <f t="shared" si="26"/>
        <v>0</v>
      </c>
      <c r="R22" s="38">
        <f t="shared" si="26"/>
        <v>0</v>
      </c>
      <c r="S22" s="38">
        <f t="shared" si="26"/>
        <v>0</v>
      </c>
      <c r="T22" s="38">
        <f t="shared" si="26"/>
        <v>0</v>
      </c>
      <c r="U22" s="38">
        <f t="shared" si="26"/>
        <v>0</v>
      </c>
      <c r="V22" s="38">
        <f t="shared" si="26"/>
        <v>0</v>
      </c>
      <c r="W22" s="38">
        <f t="shared" si="26"/>
        <v>0</v>
      </c>
      <c r="X22" s="38">
        <f t="shared" si="26"/>
        <v>0</v>
      </c>
      <c r="Y22" s="38">
        <f t="shared" si="26"/>
        <v>0</v>
      </c>
      <c r="Z22" s="256">
        <v>0</v>
      </c>
      <c r="AA22" s="260">
        <f>-SUM(P32:AA32)</f>
        <v>0</v>
      </c>
      <c r="AB22" s="38">
        <f t="shared" si="26"/>
        <v>0</v>
      </c>
      <c r="AC22" s="38">
        <f t="shared" si="26"/>
        <v>0</v>
      </c>
      <c r="AD22" s="38">
        <f t="shared" si="26"/>
        <v>0</v>
      </c>
      <c r="AE22" s="38">
        <f t="shared" si="26"/>
        <v>0</v>
      </c>
      <c r="AF22" s="38">
        <f t="shared" si="26"/>
        <v>0</v>
      </c>
      <c r="AG22" s="38">
        <f t="shared" si="26"/>
        <v>0</v>
      </c>
      <c r="AH22" s="38">
        <f t="shared" si="26"/>
        <v>0</v>
      </c>
      <c r="AI22" s="38">
        <f t="shared" si="26"/>
        <v>0</v>
      </c>
      <c r="AJ22" s="38">
        <f t="shared" si="26"/>
        <v>0</v>
      </c>
      <c r="AK22" s="38">
        <f t="shared" si="26"/>
        <v>0</v>
      </c>
      <c r="AL22" s="256">
        <v>0</v>
      </c>
      <c r="AM22" s="260">
        <f>-SUM(AB32:AM32)</f>
        <v>0</v>
      </c>
      <c r="AN22" s="38">
        <f t="shared" si="26"/>
        <v>0</v>
      </c>
      <c r="AO22" s="38">
        <f t="shared" si="26"/>
        <v>0</v>
      </c>
      <c r="AP22" s="38">
        <f t="shared" si="26"/>
        <v>0</v>
      </c>
      <c r="AQ22" s="38">
        <f t="shared" si="26"/>
        <v>0</v>
      </c>
      <c r="AR22" s="38">
        <f t="shared" si="26"/>
        <v>0</v>
      </c>
      <c r="AS22" s="38">
        <f t="shared" si="26"/>
        <v>0</v>
      </c>
      <c r="AT22" s="38">
        <f t="shared" si="26"/>
        <v>0</v>
      </c>
      <c r="AU22" s="38">
        <f t="shared" si="26"/>
        <v>0</v>
      </c>
      <c r="AV22" s="38">
        <f t="shared" si="26"/>
        <v>0</v>
      </c>
      <c r="AW22" s="38">
        <f t="shared" si="26"/>
        <v>0</v>
      </c>
    </row>
    <row r="23" spans="1:49" x14ac:dyDescent="0.25">
      <c r="A23">
        <v>190449</v>
      </c>
      <c r="B23" t="s">
        <v>299</v>
      </c>
      <c r="C23" s="53">
        <f>C22*-0.21</f>
        <v>39872.49</v>
      </c>
      <c r="D23" s="53">
        <f t="shared" ref="D23:I23" si="27">D22*-0.21</f>
        <v>39872.49</v>
      </c>
      <c r="E23" s="53">
        <f t="shared" si="27"/>
        <v>39872.49</v>
      </c>
      <c r="F23" s="53">
        <f t="shared" si="27"/>
        <v>39872.49</v>
      </c>
      <c r="G23" s="53">
        <f t="shared" si="27"/>
        <v>39872.49</v>
      </c>
      <c r="H23" s="53">
        <f t="shared" si="27"/>
        <v>39872.49</v>
      </c>
      <c r="I23" s="53">
        <f t="shared" si="27"/>
        <v>39872.49</v>
      </c>
      <c r="J23" s="53">
        <f>J22*-0.21</f>
        <v>39872.49</v>
      </c>
      <c r="K23" s="53">
        <f>K22*-0.21</f>
        <v>39872.49</v>
      </c>
      <c r="L23" s="53">
        <f>L22*-0.21</f>
        <v>39872.49</v>
      </c>
      <c r="M23" s="53">
        <f>M22*-0.21</f>
        <v>39872.49</v>
      </c>
      <c r="N23" s="53"/>
    </row>
    <row r="24" spans="1:49" x14ac:dyDescent="0.25">
      <c r="B24" t="s">
        <v>300</v>
      </c>
      <c r="C24" s="53"/>
      <c r="D24" s="261">
        <v>5.1799999999999999E-2</v>
      </c>
      <c r="E24" s="262">
        <f>D24</f>
        <v>5.1799999999999999E-2</v>
      </c>
      <c r="F24" s="262">
        <f>E24</f>
        <v>5.1799999999999999E-2</v>
      </c>
      <c r="G24" s="263">
        <v>5.45E-2</v>
      </c>
      <c r="H24" s="262">
        <f>G24</f>
        <v>5.45E-2</v>
      </c>
      <c r="I24" s="262">
        <f>H24</f>
        <v>5.45E-2</v>
      </c>
      <c r="J24" s="263">
        <v>5.5E-2</v>
      </c>
      <c r="K24" s="262">
        <f>J24</f>
        <v>5.5E-2</v>
      </c>
      <c r="L24" s="262">
        <f t="shared" ref="L24:AW24" si="28">K24</f>
        <v>5.5E-2</v>
      </c>
      <c r="M24" s="262">
        <v>5.4199999999999998E-2</v>
      </c>
      <c r="N24" s="262">
        <f t="shared" si="28"/>
        <v>5.4199999999999998E-2</v>
      </c>
      <c r="O24" s="262">
        <f t="shared" si="28"/>
        <v>5.4199999999999998E-2</v>
      </c>
      <c r="P24" s="262">
        <f t="shared" si="28"/>
        <v>5.4199999999999998E-2</v>
      </c>
      <c r="Q24" s="262">
        <f t="shared" si="28"/>
        <v>5.4199999999999998E-2</v>
      </c>
      <c r="R24" s="262">
        <f t="shared" si="28"/>
        <v>5.4199999999999998E-2</v>
      </c>
      <c r="S24" s="262">
        <f t="shared" si="28"/>
        <v>5.4199999999999998E-2</v>
      </c>
      <c r="T24" s="262">
        <f t="shared" si="28"/>
        <v>5.4199999999999998E-2</v>
      </c>
      <c r="U24" s="262">
        <f t="shared" si="28"/>
        <v>5.4199999999999998E-2</v>
      </c>
      <c r="V24" s="262">
        <f t="shared" si="28"/>
        <v>5.4199999999999998E-2</v>
      </c>
      <c r="W24" s="262">
        <f t="shared" si="28"/>
        <v>5.4199999999999998E-2</v>
      </c>
      <c r="X24" s="262">
        <f t="shared" si="28"/>
        <v>5.4199999999999998E-2</v>
      </c>
      <c r="Y24" s="262">
        <f t="shared" si="28"/>
        <v>5.4199999999999998E-2</v>
      </c>
      <c r="Z24" s="262">
        <f t="shared" si="28"/>
        <v>5.4199999999999998E-2</v>
      </c>
      <c r="AA24" s="262">
        <f t="shared" si="28"/>
        <v>5.4199999999999998E-2</v>
      </c>
      <c r="AB24" s="262">
        <f t="shared" si="28"/>
        <v>5.4199999999999998E-2</v>
      </c>
      <c r="AC24" s="262">
        <f t="shared" si="28"/>
        <v>5.4199999999999998E-2</v>
      </c>
      <c r="AD24" s="262">
        <f t="shared" si="28"/>
        <v>5.4199999999999998E-2</v>
      </c>
      <c r="AE24" s="262">
        <f t="shared" si="28"/>
        <v>5.4199999999999998E-2</v>
      </c>
      <c r="AF24" s="262">
        <f t="shared" si="28"/>
        <v>5.4199999999999998E-2</v>
      </c>
      <c r="AG24" s="262">
        <f t="shared" si="28"/>
        <v>5.4199999999999998E-2</v>
      </c>
      <c r="AH24" s="262">
        <f t="shared" si="28"/>
        <v>5.4199999999999998E-2</v>
      </c>
      <c r="AI24" s="262">
        <f t="shared" si="28"/>
        <v>5.4199999999999998E-2</v>
      </c>
      <c r="AJ24" s="262">
        <f t="shared" si="28"/>
        <v>5.4199999999999998E-2</v>
      </c>
      <c r="AK24" s="262">
        <f t="shared" si="28"/>
        <v>5.4199999999999998E-2</v>
      </c>
      <c r="AL24" s="262">
        <f t="shared" si="28"/>
        <v>5.4199999999999998E-2</v>
      </c>
      <c r="AM24" s="262">
        <f t="shared" si="28"/>
        <v>5.4199999999999998E-2</v>
      </c>
      <c r="AN24" s="262">
        <f t="shared" si="28"/>
        <v>5.4199999999999998E-2</v>
      </c>
      <c r="AO24" s="262">
        <f t="shared" si="28"/>
        <v>5.4199999999999998E-2</v>
      </c>
      <c r="AP24" s="262">
        <f t="shared" si="28"/>
        <v>5.4199999999999998E-2</v>
      </c>
      <c r="AQ24" s="262">
        <f t="shared" si="28"/>
        <v>5.4199999999999998E-2</v>
      </c>
      <c r="AR24" s="262">
        <f t="shared" si="28"/>
        <v>5.4199999999999998E-2</v>
      </c>
      <c r="AS24" s="262">
        <f t="shared" si="28"/>
        <v>5.4199999999999998E-2</v>
      </c>
      <c r="AT24" s="262">
        <f t="shared" si="28"/>
        <v>5.4199999999999998E-2</v>
      </c>
      <c r="AU24" s="262">
        <f t="shared" si="28"/>
        <v>5.4199999999999998E-2</v>
      </c>
      <c r="AV24" s="262">
        <f t="shared" si="28"/>
        <v>5.4199999999999998E-2</v>
      </c>
      <c r="AW24" s="262">
        <f t="shared" si="28"/>
        <v>5.4199999999999998E-2</v>
      </c>
    </row>
    <row r="25" spans="1:49" x14ac:dyDescent="0.25">
      <c r="A25" t="s">
        <v>301</v>
      </c>
      <c r="C25" s="53"/>
      <c r="E25" s="53"/>
      <c r="F25" s="53"/>
      <c r="G25" s="53"/>
      <c r="H25" s="53"/>
    </row>
    <row r="26" spans="1:49" x14ac:dyDescent="0.25">
      <c r="A26">
        <v>456328</v>
      </c>
      <c r="B26" t="s">
        <v>302</v>
      </c>
      <c r="C26" s="264" t="s">
        <v>303</v>
      </c>
      <c r="D26" s="250">
        <f>'Deferral Calc'!D48</f>
        <v>-52314.77</v>
      </c>
      <c r="E26" s="250">
        <f>'Deferral Calc'!E48</f>
        <v>1998013.9178268772</v>
      </c>
      <c r="F26" s="250">
        <f>'Deferral Calc'!F48</f>
        <v>440460.46</v>
      </c>
      <c r="G26" s="250">
        <f>'Deferral Calc'!G48</f>
        <v>-302967.15999999997</v>
      </c>
      <c r="H26" s="250">
        <f>'Deferral Calc'!H48</f>
        <v>-604703.92000000004</v>
      </c>
      <c r="I26" s="250">
        <f>'Deferral Calc'!I48</f>
        <v>-424145.28231679404</v>
      </c>
      <c r="J26" s="250">
        <f>'Deferral Calc'!J48</f>
        <v>-65232.620447430825</v>
      </c>
      <c r="K26" s="250">
        <f>'Deferral Calc'!K48</f>
        <v>-113233.72483726154</v>
      </c>
      <c r="L26" s="250">
        <f>'Deferral Calc'!L48</f>
        <v>68111.45</v>
      </c>
      <c r="M26" s="250">
        <f>'Deferral Calc'!M48</f>
        <v>1516130.78</v>
      </c>
      <c r="N26" s="250">
        <f>'Deferral Calc'!N48</f>
        <v>-393454.96</v>
      </c>
      <c r="O26" s="250">
        <f>'Deferral Calc'!O48</f>
        <v>-1089938.47</v>
      </c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0"/>
      <c r="AJ26" s="250"/>
      <c r="AK26" s="250"/>
      <c r="AL26" s="250"/>
      <c r="AM26" s="250"/>
      <c r="AN26" s="250"/>
      <c r="AO26" s="250"/>
      <c r="AP26" s="250"/>
      <c r="AQ26" s="250"/>
      <c r="AR26" s="250"/>
      <c r="AS26" s="250"/>
      <c r="AT26" s="250"/>
      <c r="AU26" s="250"/>
      <c r="AV26" s="250"/>
      <c r="AW26" s="250"/>
    </row>
    <row r="27" spans="1:49" x14ac:dyDescent="0.25">
      <c r="A27">
        <v>456329</v>
      </c>
      <c r="B27" t="s">
        <v>304</v>
      </c>
      <c r="C27" s="264" t="s">
        <v>303</v>
      </c>
      <c r="D27" s="250">
        <f>'Deferral Calc'!D52</f>
        <v>-548728.17832748289</v>
      </c>
      <c r="E27" s="250">
        <f>'Deferral Calc'!E52</f>
        <v>-608289.40976375504</v>
      </c>
      <c r="F27" s="250">
        <f>'Deferral Calc'!F52</f>
        <v>-480282.60202894401</v>
      </c>
      <c r="G27" s="250">
        <f>'Deferral Calc'!G52</f>
        <v>-225602.90229801202</v>
      </c>
      <c r="H27" s="250">
        <f>'Deferral Calc'!H52</f>
        <v>-112108.5039704612</v>
      </c>
      <c r="I27" s="250">
        <f>'Deferral Calc'!I52</f>
        <v>-64915.171566811216</v>
      </c>
      <c r="J27" s="250">
        <f>'Deferral Calc'!J52</f>
        <v>-62193.7668052968</v>
      </c>
      <c r="K27" s="250">
        <f>'Deferral Calc'!K52</f>
        <v>-57902.920744188792</v>
      </c>
      <c r="L27" s="250">
        <f>'Deferral Calc'!L52</f>
        <v>-95374.632783996785</v>
      </c>
      <c r="M27" s="250">
        <f>'Deferral Calc'!M52</f>
        <v>-331383.18494506238</v>
      </c>
      <c r="N27" s="250">
        <f>'Deferral Calc'!N52</f>
        <v>70320.020370236976</v>
      </c>
      <c r="O27" s="250">
        <f>'Deferral Calc'!O52</f>
        <v>76803.395995259983</v>
      </c>
      <c r="P27" s="53">
        <f t="shared" ref="P27:AW27" si="29">P3*P4</f>
        <v>96556.654234420479</v>
      </c>
      <c r="Q27" s="53">
        <f t="shared" si="29"/>
        <v>80633.170102484684</v>
      </c>
      <c r="R27" s="53">
        <f t="shared" si="29"/>
        <v>63577.561131446266</v>
      </c>
      <c r="S27" s="53">
        <f t="shared" si="29"/>
        <v>38584.712462296833</v>
      </c>
      <c r="T27" s="53">
        <f t="shared" si="29"/>
        <v>18858.158919008743</v>
      </c>
      <c r="U27" s="53">
        <f t="shared" si="29"/>
        <v>11345.239196537836</v>
      </c>
      <c r="V27" s="53">
        <f t="shared" si="29"/>
        <v>9311.7017125897</v>
      </c>
      <c r="W27" s="53">
        <f t="shared" si="29"/>
        <v>8743.6596016336807</v>
      </c>
      <c r="X27" s="53">
        <f t="shared" si="29"/>
        <v>11050.297004974615</v>
      </c>
      <c r="Y27" s="53">
        <f t="shared" si="29"/>
        <v>32105.149753671514</v>
      </c>
      <c r="Z27" s="53">
        <f t="shared" si="29"/>
        <v>-112805.07797630917</v>
      </c>
      <c r="AA27" s="53">
        <f t="shared" si="29"/>
        <v>-172635.14120224459</v>
      </c>
      <c r="AB27" s="53">
        <f t="shared" si="29"/>
        <v>-174112.23714322661</v>
      </c>
      <c r="AC27" s="53">
        <f t="shared" si="29"/>
        <v>-141461.24794179868</v>
      </c>
      <c r="AD27" s="53">
        <f t="shared" si="29"/>
        <v>-115146.75368266673</v>
      </c>
      <c r="AE27" s="53">
        <f t="shared" si="29"/>
        <v>-70056.115694771943</v>
      </c>
      <c r="AF27" s="53">
        <f t="shared" si="29"/>
        <v>-34230.295355791452</v>
      </c>
      <c r="AG27" s="53">
        <f t="shared" si="29"/>
        <v>-20494.650866612403</v>
      </c>
      <c r="AH27" s="53">
        <f t="shared" si="29"/>
        <v>-17170.063354786616</v>
      </c>
      <c r="AI27" s="53">
        <f t="shared" si="29"/>
        <v>-16119.678878244402</v>
      </c>
      <c r="AJ27" s="53">
        <f t="shared" si="29"/>
        <v>-19759.100337652872</v>
      </c>
      <c r="AK27" s="53">
        <f t="shared" si="29"/>
        <v>-57502.934512675027</v>
      </c>
      <c r="AL27" s="53">
        <f t="shared" si="29"/>
        <v>642.58263994266645</v>
      </c>
      <c r="AM27" s="53">
        <f t="shared" si="29"/>
        <v>985.28093345726586</v>
      </c>
      <c r="AN27" s="53">
        <f t="shared" si="29"/>
        <v>988.61530877721987</v>
      </c>
      <c r="AO27" s="53">
        <f t="shared" si="29"/>
        <v>803.28457900357341</v>
      </c>
      <c r="AP27" s="53">
        <f t="shared" si="29"/>
        <v>655.13994357352408</v>
      </c>
      <c r="AQ27" s="53">
        <f t="shared" si="29"/>
        <v>399.03650920088501</v>
      </c>
      <c r="AR27" s="53">
        <f t="shared" si="29"/>
        <v>195.01417965077587</v>
      </c>
      <c r="AS27" s="53">
        <f t="shared" si="29"/>
        <v>117.74223849237562</v>
      </c>
      <c r="AT27" s="53">
        <f t="shared" si="29"/>
        <v>99.397103641109823</v>
      </c>
      <c r="AU27" s="53">
        <f t="shared" si="29"/>
        <v>92.616569289730606</v>
      </c>
      <c r="AV27" s="53">
        <f t="shared" si="29"/>
        <v>112.39609343366934</v>
      </c>
      <c r="AW27" s="53">
        <f t="shared" si="29"/>
        <v>326.07985715205052</v>
      </c>
    </row>
    <row r="28" spans="1:49" x14ac:dyDescent="0.25">
      <c r="A28" s="245" t="s">
        <v>305</v>
      </c>
      <c r="B28" t="s">
        <v>306</v>
      </c>
      <c r="C28" s="53"/>
      <c r="D28" s="38">
        <f>SUM(C15:C20,C22)-SUM(D15:D20,D22)-SUM(D26:D27,D31:D32)</f>
        <v>6927.5054865267593</v>
      </c>
      <c r="E28" s="38">
        <f t="shared" ref="E28:H28" si="30">SUM(D15:D20,D22)-SUM(E15:E20,E22)-SUM(E26:E27,E31:E32)</f>
        <v>8659.6469183061272</v>
      </c>
      <c r="F28" s="38">
        <f t="shared" si="30"/>
        <v>11610.567000860698</v>
      </c>
      <c r="G28" s="38">
        <f t="shared" si="30"/>
        <v>10977.758356250357</v>
      </c>
      <c r="H28" s="38">
        <f t="shared" si="30"/>
        <v>8199.559612883837</v>
      </c>
      <c r="I28" s="38">
        <f>SUM(H15:H20,H22)-SUM(I15:I20,I22)-SUM(I26:I27,I31:I32)</f>
        <v>5498.4629526654608</v>
      </c>
      <c r="J28" s="38">
        <f t="shared" ref="J28:AW28" si="31">SUM(I15:I20,I22)-SUM(J15:J20,J22)-SUM(J26:J27,J31:J32)</f>
        <v>4161.3265111722139</v>
      </c>
      <c r="K28" s="38">
        <f t="shared" si="31"/>
        <v>3496.1923074368678</v>
      </c>
      <c r="L28" s="38">
        <f t="shared" si="31"/>
        <v>3057.5502488416241</v>
      </c>
      <c r="M28" s="38">
        <f t="shared" si="31"/>
        <v>5640.872357012704</v>
      </c>
      <c r="N28" s="38">
        <f t="shared" si="31"/>
        <v>7612.1588773272233</v>
      </c>
      <c r="O28" s="38">
        <f t="shared" si="31"/>
        <v>4628.7973474648315</v>
      </c>
      <c r="P28" s="38">
        <f t="shared" si="31"/>
        <v>2579.7644841695728</v>
      </c>
      <c r="Q28" s="38">
        <f t="shared" si="31"/>
        <v>2991.570107050662</v>
      </c>
      <c r="R28" s="38">
        <f t="shared" si="31"/>
        <v>3330.7579334041875</v>
      </c>
      <c r="S28" s="38">
        <f t="shared" si="31"/>
        <v>3576.5183246025044</v>
      </c>
      <c r="T28" s="38">
        <f t="shared" si="31"/>
        <v>3722.3974169048561</v>
      </c>
      <c r="U28" s="38">
        <f t="shared" si="31"/>
        <v>3807.4195859819138</v>
      </c>
      <c r="V28" s="38">
        <f t="shared" si="31"/>
        <v>3871.2666893319802</v>
      </c>
      <c r="W28" s="38">
        <f t="shared" si="31"/>
        <v>3929.5269348465263</v>
      </c>
      <c r="X28" s="38">
        <f t="shared" si="31"/>
        <v>3991.9766501722115</v>
      </c>
      <c r="Y28" s="38">
        <f t="shared" si="31"/>
        <v>4107.4664619720752</v>
      </c>
      <c r="Z28" s="38">
        <f t="shared" si="31"/>
        <v>3943.7711809226894</v>
      </c>
      <c r="AA28" s="38">
        <f t="shared" si="31"/>
        <v>3316.9647191115946</v>
      </c>
      <c r="AB28" s="38">
        <f t="shared" si="31"/>
        <v>2548.8751803293126</v>
      </c>
      <c r="AC28" s="38">
        <f t="shared" si="31"/>
        <v>1847.7174794100865</v>
      </c>
      <c r="AD28" s="38">
        <f t="shared" si="31"/>
        <v>1276.556599690186</v>
      </c>
      <c r="AE28" s="38">
        <f t="shared" si="31"/>
        <v>864.0725669880776</v>
      </c>
      <c r="AF28" s="38">
        <f t="shared" si="31"/>
        <v>632.46181645979959</v>
      </c>
      <c r="AG28" s="38">
        <f t="shared" si="31"/>
        <v>511.73126544521438</v>
      </c>
      <c r="AH28" s="38">
        <f t="shared" si="31"/>
        <v>428.9831053774833</v>
      </c>
      <c r="AI28" s="38">
        <f t="shared" si="31"/>
        <v>355.74134452717772</v>
      </c>
      <c r="AJ28" s="38">
        <f t="shared" si="31"/>
        <v>276.321866537397</v>
      </c>
      <c r="AK28" s="38">
        <f t="shared" si="31"/>
        <v>103.08649159759807</v>
      </c>
      <c r="AL28" s="38">
        <f t="shared" si="31"/>
        <v>-24.857529061277546</v>
      </c>
      <c r="AM28" s="38">
        <f t="shared" si="31"/>
        <v>-21.293543664275717</v>
      </c>
      <c r="AN28" s="38">
        <f t="shared" si="31"/>
        <v>-16.93200382277962</v>
      </c>
      <c r="AO28" s="38">
        <f t="shared" si="31"/>
        <v>-12.961772793474097</v>
      </c>
      <c r="AP28" s="38">
        <f t="shared" si="31"/>
        <v>-9.7267080871049529</v>
      </c>
      <c r="AQ28" s="38">
        <f t="shared" si="31"/>
        <v>-7.3899585627826809</v>
      </c>
      <c r="AR28" s="38">
        <f t="shared" si="31"/>
        <v>-6.0817720699679967</v>
      </c>
      <c r="AS28" s="38">
        <f t="shared" si="31"/>
        <v>-5.4029331628438939</v>
      </c>
      <c r="AT28" s="38">
        <f t="shared" si="31"/>
        <v>-4.936963396644785</v>
      </c>
      <c r="AU28" s="38">
        <f t="shared" si="31"/>
        <v>-4.5256311366174629</v>
      </c>
      <c r="AV28" s="38">
        <f t="shared" si="31"/>
        <v>-4.0830849739342341</v>
      </c>
      <c r="AW28" s="38">
        <f t="shared" si="31"/>
        <v>-3.111302052660335</v>
      </c>
    </row>
    <row r="29" spans="1:49" x14ac:dyDescent="0.25">
      <c r="A29" s="245" t="s">
        <v>307</v>
      </c>
      <c r="B29" t="s">
        <v>308</v>
      </c>
      <c r="C29" s="53"/>
      <c r="D29" s="38">
        <f>SUM(D26:D27,D31:D32)*-0.21</f>
        <v>126219.0191487714</v>
      </c>
      <c r="E29" s="38">
        <f t="shared" ref="E29:H29" si="32">SUM(E26:E27,E31:E32)*-0.21</f>
        <v>-291842.14669325564</v>
      </c>
      <c r="F29" s="38">
        <f t="shared" si="32"/>
        <v>8362.6498260782373</v>
      </c>
      <c r="G29" s="38">
        <f t="shared" si="32"/>
        <v>110999.71308258252</v>
      </c>
      <c r="H29" s="38">
        <f t="shared" si="32"/>
        <v>150530.60903379685</v>
      </c>
      <c r="I29" s="38">
        <f>SUM(I26:I27,I31:I32)*-0.21</f>
        <v>102702.6953155571</v>
      </c>
      <c r="J29" s="38">
        <f t="shared" ref="J29:AW29" si="33">SUM(J26:J27,J31:J32)*-0.21</f>
        <v>26759.541323072801</v>
      </c>
      <c r="K29" s="38">
        <f t="shared" si="33"/>
        <v>35938.695572104567</v>
      </c>
      <c r="L29" s="38">
        <f t="shared" si="33"/>
        <v>5725.2683846393256</v>
      </c>
      <c r="M29" s="38">
        <f t="shared" si="33"/>
        <v>-248796.99496153687</v>
      </c>
      <c r="N29" s="38">
        <f t="shared" si="33"/>
        <v>67858.337322250227</v>
      </c>
      <c r="O29" s="38">
        <f t="shared" si="33"/>
        <v>212758.36554099538</v>
      </c>
      <c r="P29" s="38">
        <f t="shared" si="33"/>
        <v>-20276.897389228299</v>
      </c>
      <c r="Q29" s="38">
        <f t="shared" si="33"/>
        <v>-16932.965721521785</v>
      </c>
      <c r="R29" s="38">
        <f t="shared" si="33"/>
        <v>-13351.287837603715</v>
      </c>
      <c r="S29" s="38">
        <f t="shared" si="33"/>
        <v>-8102.7896170823351</v>
      </c>
      <c r="T29" s="38">
        <f t="shared" si="33"/>
        <v>-3960.213372991836</v>
      </c>
      <c r="U29" s="38">
        <f t="shared" si="33"/>
        <v>-2382.5002312729453</v>
      </c>
      <c r="V29" s="38">
        <f t="shared" si="33"/>
        <v>-1955.457359643837</v>
      </c>
      <c r="W29" s="38">
        <f t="shared" si="33"/>
        <v>-1836.168516343073</v>
      </c>
      <c r="X29" s="38">
        <f t="shared" si="33"/>
        <v>-2320.5623710446689</v>
      </c>
      <c r="Y29" s="38">
        <f t="shared" si="33"/>
        <v>-6742.0814482710175</v>
      </c>
      <c r="Z29" s="38">
        <f t="shared" si="33"/>
        <v>23689.066375024926</v>
      </c>
      <c r="AA29" s="38">
        <f t="shared" si="33"/>
        <v>36253.379652471362</v>
      </c>
      <c r="AB29" s="38">
        <f t="shared" si="33"/>
        <v>36563.569800077588</v>
      </c>
      <c r="AC29" s="38">
        <f t="shared" si="33"/>
        <v>29706.862067777722</v>
      </c>
      <c r="AD29" s="38">
        <f t="shared" si="33"/>
        <v>24180.818273360015</v>
      </c>
      <c r="AE29" s="38">
        <f t="shared" si="33"/>
        <v>14711.784295902107</v>
      </c>
      <c r="AF29" s="38">
        <f t="shared" si="33"/>
        <v>7188.3620247162044</v>
      </c>
      <c r="AG29" s="38">
        <f t="shared" si="33"/>
        <v>4303.8766819886041</v>
      </c>
      <c r="AH29" s="38">
        <f t="shared" si="33"/>
        <v>3605.7133045051892</v>
      </c>
      <c r="AI29" s="38">
        <f t="shared" si="33"/>
        <v>3385.1325644313242</v>
      </c>
      <c r="AJ29" s="38">
        <f t="shared" si="33"/>
        <v>4149.4110709071028</v>
      </c>
      <c r="AK29" s="38">
        <f t="shared" si="33"/>
        <v>12075.616247661756</v>
      </c>
      <c r="AL29" s="38">
        <f t="shared" si="33"/>
        <v>-134.94235438795994</v>
      </c>
      <c r="AM29" s="38">
        <f t="shared" si="33"/>
        <v>-206.90899602602582</v>
      </c>
      <c r="AN29" s="38">
        <f t="shared" si="33"/>
        <v>-207.60921484321617</v>
      </c>
      <c r="AO29" s="38">
        <f t="shared" si="33"/>
        <v>-168.68976159075041</v>
      </c>
      <c r="AP29" s="38">
        <f t="shared" si="33"/>
        <v>-137.57938815044005</v>
      </c>
      <c r="AQ29" s="38">
        <f t="shared" si="33"/>
        <v>-83.797666932185848</v>
      </c>
      <c r="AR29" s="38">
        <f t="shared" si="33"/>
        <v>-40.95297772666293</v>
      </c>
      <c r="AS29" s="38">
        <f t="shared" si="33"/>
        <v>-24.725870083398878</v>
      </c>
      <c r="AT29" s="38">
        <f t="shared" si="33"/>
        <v>-20.873391764633062</v>
      </c>
      <c r="AU29" s="38">
        <f t="shared" si="33"/>
        <v>-19.449479550843428</v>
      </c>
      <c r="AV29" s="38">
        <f t="shared" si="33"/>
        <v>-23.603179621070559</v>
      </c>
      <c r="AW29" s="38">
        <f t="shared" si="33"/>
        <v>-68.476770001930603</v>
      </c>
    </row>
    <row r="30" spans="1:49" x14ac:dyDescent="0.25">
      <c r="A30" s="245" t="s">
        <v>309</v>
      </c>
      <c r="B30" t="s">
        <v>310</v>
      </c>
      <c r="C30" s="53"/>
      <c r="D30" s="38">
        <f>D28*-0.21</f>
        <v>-1454.7761521706193</v>
      </c>
      <c r="E30" s="38">
        <f t="shared" ref="E30:H30" si="34">E28*-0.21</f>
        <v>-1818.5258528442866</v>
      </c>
      <c r="F30" s="38">
        <f t="shared" si="34"/>
        <v>-2438.2190701807463</v>
      </c>
      <c r="G30" s="38">
        <f t="shared" si="34"/>
        <v>-2305.3292548125751</v>
      </c>
      <c r="H30" s="38">
        <f t="shared" si="34"/>
        <v>-1721.9075187056058</v>
      </c>
      <c r="I30" s="38">
        <f>I28*-0.21</f>
        <v>-1154.6772200597468</v>
      </c>
      <c r="J30" s="38">
        <f t="shared" ref="J30:AW30" si="35">J28*-0.21</f>
        <v>-873.87856734616491</v>
      </c>
      <c r="K30" s="38">
        <f t="shared" si="35"/>
        <v>-734.20038456174223</v>
      </c>
      <c r="L30" s="38">
        <f t="shared" si="35"/>
        <v>-642.08555225674104</v>
      </c>
      <c r="M30" s="38">
        <f t="shared" si="35"/>
        <v>-1184.5831949726678</v>
      </c>
      <c r="N30" s="38">
        <f t="shared" si="35"/>
        <v>-1598.5533642387168</v>
      </c>
      <c r="O30" s="38">
        <f t="shared" si="35"/>
        <v>-972.04744296761464</v>
      </c>
      <c r="P30" s="38">
        <f t="shared" si="35"/>
        <v>-541.75054167561029</v>
      </c>
      <c r="Q30" s="38">
        <f t="shared" si="35"/>
        <v>-628.229722480639</v>
      </c>
      <c r="R30" s="38">
        <f t="shared" si="35"/>
        <v>-699.45916601487932</v>
      </c>
      <c r="S30" s="38">
        <f t="shared" si="35"/>
        <v>-751.06884816652587</v>
      </c>
      <c r="T30" s="38">
        <f t="shared" si="35"/>
        <v>-781.70345755001972</v>
      </c>
      <c r="U30" s="38">
        <f t="shared" si="35"/>
        <v>-799.55811305620182</v>
      </c>
      <c r="V30" s="38">
        <f t="shared" si="35"/>
        <v>-812.96600475971582</v>
      </c>
      <c r="W30" s="38">
        <f t="shared" si="35"/>
        <v>-825.20065631777049</v>
      </c>
      <c r="X30" s="38">
        <f t="shared" si="35"/>
        <v>-838.31509653616433</v>
      </c>
      <c r="Y30" s="38">
        <f t="shared" si="35"/>
        <v>-862.5679570141358</v>
      </c>
      <c r="Z30" s="38">
        <f t="shared" si="35"/>
        <v>-828.19194799376476</v>
      </c>
      <c r="AA30" s="38">
        <f t="shared" si="35"/>
        <v>-696.56259101343483</v>
      </c>
      <c r="AB30" s="38">
        <f t="shared" si="35"/>
        <v>-535.26378786915564</v>
      </c>
      <c r="AC30" s="38">
        <f t="shared" si="35"/>
        <v>-388.02067067611813</v>
      </c>
      <c r="AD30" s="38">
        <f t="shared" si="35"/>
        <v>-268.07688593493907</v>
      </c>
      <c r="AE30" s="38">
        <f t="shared" si="35"/>
        <v>-181.45523906749628</v>
      </c>
      <c r="AF30" s="38">
        <f t="shared" si="35"/>
        <v>-132.8169814565579</v>
      </c>
      <c r="AG30" s="38">
        <f t="shared" si="35"/>
        <v>-107.46356574349501</v>
      </c>
      <c r="AH30" s="38">
        <f t="shared" si="35"/>
        <v>-90.086452129271493</v>
      </c>
      <c r="AI30" s="38">
        <f t="shared" si="35"/>
        <v>-74.70568235070732</v>
      </c>
      <c r="AJ30" s="38">
        <f t="shared" si="35"/>
        <v>-58.027591972853365</v>
      </c>
      <c r="AK30" s="38">
        <f t="shared" si="35"/>
        <v>-21.648163235495595</v>
      </c>
      <c r="AL30" s="38">
        <f t="shared" si="35"/>
        <v>5.2200811028682841</v>
      </c>
      <c r="AM30" s="38">
        <f t="shared" si="35"/>
        <v>4.4716441694979006</v>
      </c>
      <c r="AN30" s="38">
        <f t="shared" si="35"/>
        <v>3.5557208027837199</v>
      </c>
      <c r="AO30" s="38">
        <f t="shared" si="35"/>
        <v>2.7219722866295601</v>
      </c>
      <c r="AP30" s="38">
        <f t="shared" si="35"/>
        <v>2.0426086982920402</v>
      </c>
      <c r="AQ30" s="38">
        <f t="shared" si="35"/>
        <v>1.5518912981843629</v>
      </c>
      <c r="AR30" s="38">
        <f t="shared" si="35"/>
        <v>1.2771721346932792</v>
      </c>
      <c r="AS30" s="38">
        <f t="shared" si="35"/>
        <v>1.1346159641972178</v>
      </c>
      <c r="AT30" s="38">
        <f t="shared" si="35"/>
        <v>1.0367623132954049</v>
      </c>
      <c r="AU30" s="38">
        <f t="shared" si="35"/>
        <v>0.95038253868966716</v>
      </c>
      <c r="AV30" s="38">
        <f t="shared" si="35"/>
        <v>0.85744784452618916</v>
      </c>
      <c r="AW30" s="38">
        <f t="shared" si="35"/>
        <v>0.6533734310586703</v>
      </c>
    </row>
    <row r="31" spans="1:49" x14ac:dyDescent="0.25">
      <c r="A31">
        <v>456311</v>
      </c>
      <c r="B31" t="s">
        <v>311</v>
      </c>
      <c r="C31" s="53"/>
      <c r="D31" s="38">
        <f>-(SUM(D19:D20)-SUM(C19:C20))</f>
        <v>0</v>
      </c>
      <c r="E31" s="38">
        <f t="shared" ref="E31:H31" si="36">-(SUM(E19:E20)-SUM(D19:D20))</f>
        <v>0</v>
      </c>
      <c r="F31" s="38">
        <f t="shared" si="36"/>
        <v>0</v>
      </c>
      <c r="G31" s="38">
        <f t="shared" si="36"/>
        <v>0</v>
      </c>
      <c r="H31" s="38">
        <f t="shared" si="36"/>
        <v>0</v>
      </c>
      <c r="I31" s="38">
        <f>-(SUM(I19:I20)-SUM(H19:H20))</f>
        <v>0</v>
      </c>
      <c r="J31" s="38">
        <f t="shared" ref="J31:AW31" si="37">-(SUM(J19:J20)-SUM(I19:I20))</f>
        <v>0</v>
      </c>
      <c r="K31" s="38">
        <f t="shared" si="37"/>
        <v>0</v>
      </c>
      <c r="L31" s="38">
        <f t="shared" si="37"/>
        <v>0</v>
      </c>
      <c r="M31" s="38">
        <f t="shared" si="37"/>
        <v>0</v>
      </c>
      <c r="N31" s="38">
        <f t="shared" si="37"/>
        <v>0</v>
      </c>
      <c r="O31" s="38">
        <f>-(SUM(O19:O20)-SUM(N19:N20))</f>
        <v>0</v>
      </c>
      <c r="P31" s="38">
        <f t="shared" si="37"/>
        <v>0</v>
      </c>
      <c r="Q31" s="38">
        <f t="shared" si="37"/>
        <v>0</v>
      </c>
      <c r="R31" s="38">
        <f t="shared" si="37"/>
        <v>0</v>
      </c>
      <c r="S31" s="38">
        <f t="shared" si="37"/>
        <v>0</v>
      </c>
      <c r="T31" s="38">
        <f t="shared" si="37"/>
        <v>0</v>
      </c>
      <c r="U31" s="38">
        <f t="shared" si="37"/>
        <v>0</v>
      </c>
      <c r="V31" s="38">
        <f t="shared" si="37"/>
        <v>0</v>
      </c>
      <c r="W31" s="38">
        <f t="shared" si="37"/>
        <v>0</v>
      </c>
      <c r="X31" s="38">
        <f t="shared" si="37"/>
        <v>0</v>
      </c>
      <c r="Y31" s="38">
        <f t="shared" si="37"/>
        <v>0</v>
      </c>
      <c r="Z31" s="38">
        <f t="shared" si="37"/>
        <v>0</v>
      </c>
      <c r="AA31" s="38">
        <f t="shared" si="37"/>
        <v>0</v>
      </c>
      <c r="AB31" s="38">
        <f t="shared" si="37"/>
        <v>0</v>
      </c>
      <c r="AC31" s="38">
        <f t="shared" si="37"/>
        <v>0</v>
      </c>
      <c r="AD31" s="38">
        <f t="shared" si="37"/>
        <v>0</v>
      </c>
      <c r="AE31" s="38">
        <f t="shared" si="37"/>
        <v>0</v>
      </c>
      <c r="AF31" s="38">
        <f t="shared" si="37"/>
        <v>0</v>
      </c>
      <c r="AG31" s="38">
        <f t="shared" si="37"/>
        <v>0</v>
      </c>
      <c r="AH31" s="38">
        <f t="shared" si="37"/>
        <v>0</v>
      </c>
      <c r="AI31" s="38">
        <f t="shared" si="37"/>
        <v>0</v>
      </c>
      <c r="AJ31" s="38">
        <f t="shared" si="37"/>
        <v>0</v>
      </c>
      <c r="AK31" s="38">
        <f t="shared" si="37"/>
        <v>0</v>
      </c>
      <c r="AL31" s="38">
        <f t="shared" si="37"/>
        <v>0</v>
      </c>
      <c r="AM31" s="38">
        <f t="shared" si="37"/>
        <v>0</v>
      </c>
      <c r="AN31" s="38">
        <f t="shared" si="37"/>
        <v>0</v>
      </c>
      <c r="AO31" s="38">
        <f t="shared" si="37"/>
        <v>0</v>
      </c>
      <c r="AP31" s="38">
        <f t="shared" si="37"/>
        <v>0</v>
      </c>
      <c r="AQ31" s="38">
        <f t="shared" si="37"/>
        <v>0</v>
      </c>
      <c r="AR31" s="38">
        <f t="shared" si="37"/>
        <v>0</v>
      </c>
      <c r="AS31" s="38">
        <f t="shared" si="37"/>
        <v>0</v>
      </c>
      <c r="AT31" s="38">
        <f t="shared" si="37"/>
        <v>0</v>
      </c>
      <c r="AU31" s="38">
        <f t="shared" si="37"/>
        <v>0</v>
      </c>
      <c r="AV31" s="38">
        <f t="shared" si="37"/>
        <v>0</v>
      </c>
      <c r="AW31" s="38">
        <f t="shared" si="37"/>
        <v>0</v>
      </c>
    </row>
    <row r="32" spans="1:49" x14ac:dyDescent="0.25">
      <c r="A32">
        <v>449100</v>
      </c>
      <c r="B32" t="s">
        <v>298</v>
      </c>
      <c r="C32" s="265">
        <v>0</v>
      </c>
      <c r="D32" s="265"/>
      <c r="E32" s="265"/>
      <c r="F32" s="265"/>
      <c r="G32" s="265"/>
      <c r="H32" s="265"/>
      <c r="I32" s="265">
        <v>0</v>
      </c>
      <c r="K32" s="266"/>
      <c r="L32" s="265">
        <v>0</v>
      </c>
      <c r="N32" s="53"/>
      <c r="O32" s="265">
        <v>0</v>
      </c>
      <c r="P32" s="152"/>
      <c r="R32" s="265"/>
      <c r="U32" s="265"/>
      <c r="W32" s="266"/>
      <c r="X32" s="265"/>
      <c r="Z32" s="53"/>
      <c r="AA32" s="265"/>
      <c r="AB32" s="152"/>
      <c r="AD32" s="265"/>
      <c r="AG32" s="265"/>
      <c r="AI32" s="266"/>
      <c r="AJ32" s="265"/>
      <c r="AL32" s="53"/>
      <c r="AM32" s="265"/>
      <c r="AN32" s="152"/>
      <c r="AP32" s="265"/>
      <c r="AS32" s="265"/>
      <c r="AU32" s="266"/>
      <c r="AV32" s="265"/>
    </row>
    <row r="33" spans="1:51" x14ac:dyDescent="0.25">
      <c r="C33" s="53"/>
      <c r="D33" s="53"/>
      <c r="E33" s="53"/>
      <c r="F33" s="53"/>
      <c r="G33" s="53"/>
      <c r="H33" s="53"/>
    </row>
    <row r="34" spans="1:51" x14ac:dyDescent="0.25">
      <c r="A34" s="314" t="s">
        <v>244</v>
      </c>
      <c r="B34" s="314"/>
      <c r="C34" s="53" t="s">
        <v>318</v>
      </c>
      <c r="D34" s="271">
        <f>'Deferral Calc'!D32</f>
        <v>8210392.0812400002</v>
      </c>
      <c r="E34" s="271">
        <f>'Deferral Calc'!E32</f>
        <v>9238294.3179899994</v>
      </c>
      <c r="F34" s="271">
        <f>'Deferral Calc'!F32</f>
        <v>7010693.9129900001</v>
      </c>
      <c r="G34" s="271">
        <f>'Deferral Calc'!G32</f>
        <v>4691448.634779999</v>
      </c>
      <c r="H34" s="271">
        <f>'Deferral Calc'!H32</f>
        <v>2535742.6242300002</v>
      </c>
      <c r="I34" s="271">
        <f>'Deferral Calc'!I32</f>
        <v>2351006.50722</v>
      </c>
      <c r="J34" s="271">
        <f>'Deferral Calc'!J32</f>
        <v>1986504.76923</v>
      </c>
      <c r="K34" s="271">
        <f>'Deferral Calc'!K32</f>
        <v>1996824.1103099999</v>
      </c>
      <c r="L34" s="271">
        <f>'Deferral Calc'!L32</f>
        <v>2999537.9689300004</v>
      </c>
      <c r="M34" s="271">
        <f>'Deferral Calc'!M32</f>
        <v>5544724.5913500004</v>
      </c>
      <c r="N34" s="271">
        <f>'Deferral Calc'!N32</f>
        <v>7158607.0081899995</v>
      </c>
      <c r="O34" s="271">
        <f>'Deferral Calc'!O32</f>
        <v>8056572.1063599996</v>
      </c>
    </row>
    <row r="35" spans="1:51" s="152" customFormat="1" x14ac:dyDescent="0.25">
      <c r="A35" s="269" t="s">
        <v>280</v>
      </c>
      <c r="B35" s="270" t="str">
        <f>B3</f>
        <v>GSFM June MidMonth_(6 12 19 pricing).xlsm</v>
      </c>
      <c r="C35" s="268"/>
      <c r="D35" s="271">
        <v>9517920.3500121292</v>
      </c>
      <c r="E35" s="271">
        <v>7122211.3016065722</v>
      </c>
      <c r="F35" s="271">
        <v>6465182.4126259694</v>
      </c>
      <c r="G35" s="271">
        <v>4113634.5872958461</v>
      </c>
      <c r="H35" s="271">
        <v>2557324.0354464645</v>
      </c>
      <c r="I35" s="271">
        <v>1775020.2444559068</v>
      </c>
      <c r="J35" s="271">
        <v>1934254.6251470286</v>
      </c>
      <c r="K35" s="290">
        <v>2061867.4647668181</v>
      </c>
      <c r="L35" s="290">
        <v>2281908.3140424984</v>
      </c>
      <c r="M35" s="290">
        <v>4739364.1262659943</v>
      </c>
      <c r="N35" s="290">
        <v>7048382.2557193553</v>
      </c>
      <c r="O35" s="290">
        <v>9300843.76208218</v>
      </c>
      <c r="P35" s="290">
        <v>8955619.8900177591</v>
      </c>
      <c r="Q35" s="290">
        <v>7545286.7786159813</v>
      </c>
      <c r="R35" s="290">
        <v>6187616.0483567053</v>
      </c>
      <c r="S35" s="290">
        <v>4054580.1180959241</v>
      </c>
      <c r="T35" s="290">
        <v>2309352.0294919214</v>
      </c>
      <c r="U35" s="290">
        <v>1779914.2877847771</v>
      </c>
      <c r="V35" s="290">
        <v>1883740.7085831282</v>
      </c>
      <c r="W35" s="290">
        <v>2026459.7800941116</v>
      </c>
      <c r="X35" s="290">
        <v>2313465.740076236</v>
      </c>
      <c r="Y35" s="290">
        <v>4989268.7724166652</v>
      </c>
      <c r="Z35" s="290">
        <v>7358989.850087598</v>
      </c>
      <c r="AA35" s="290">
        <v>9484738.7975175492</v>
      </c>
      <c r="AB35" s="290">
        <v>9287480.0888272412</v>
      </c>
      <c r="AC35" s="290">
        <v>7510833.0884343041</v>
      </c>
      <c r="AD35" s="290">
        <v>6319790.9693574803</v>
      </c>
      <c r="AE35" s="290">
        <v>4102360.8482659026</v>
      </c>
      <c r="AF35" s="290">
        <v>2313493.1175519652</v>
      </c>
      <c r="AG35" s="290">
        <v>1787333.4695042449</v>
      </c>
      <c r="AH35" s="290">
        <v>1840332.2664835055</v>
      </c>
      <c r="AI35" s="290">
        <v>1988266.0918646054</v>
      </c>
      <c r="AJ35" s="290">
        <v>2358381.2112483215</v>
      </c>
      <c r="AK35" s="290">
        <v>5158954.828815259</v>
      </c>
      <c r="AL35" s="290">
        <v>7601119.1818602774</v>
      </c>
      <c r="AM35" s="290">
        <v>9783202.692928886</v>
      </c>
      <c r="AN35" s="290">
        <v>9501213.206338862</v>
      </c>
      <c r="AO35" s="290">
        <v>7672824.9859867077</v>
      </c>
      <c r="AP35" s="290">
        <v>6419342.2914815499</v>
      </c>
      <c r="AQ35" s="290">
        <v>4148105.2653976278</v>
      </c>
      <c r="AR35" s="290">
        <v>2328443.9875061498</v>
      </c>
      <c r="AS35" s="290">
        <v>1769944.2018858106</v>
      </c>
      <c r="AT35" s="290">
        <v>1808748.6967067958</v>
      </c>
      <c r="AU35" s="290">
        <v>1978674.6519398505</v>
      </c>
      <c r="AV35" s="290">
        <v>2376928.7896660124</v>
      </c>
      <c r="AW35" s="290">
        <v>5251967.8570879735</v>
      </c>
      <c r="AX35" s="152">
        <v>7766460.2877973076</v>
      </c>
      <c r="AY35" s="152">
        <v>9996973.6874448676</v>
      </c>
    </row>
    <row r="36" spans="1:51" x14ac:dyDescent="0.25">
      <c r="A36" s="241" t="s">
        <v>240</v>
      </c>
      <c r="B36" s="242"/>
      <c r="C36" s="243"/>
      <c r="D36" s="244">
        <v>6.6E-3</v>
      </c>
      <c r="E36" s="243">
        <f>D36</f>
        <v>6.6E-3</v>
      </c>
      <c r="F36" s="243">
        <f t="shared" ref="F36:I36" si="38">E36</f>
        <v>6.6E-3</v>
      </c>
      <c r="G36" s="243">
        <f t="shared" si="38"/>
        <v>6.6E-3</v>
      </c>
      <c r="H36" s="243">
        <f t="shared" si="38"/>
        <v>6.6E-3</v>
      </c>
      <c r="I36" s="243">
        <f t="shared" si="38"/>
        <v>6.6E-3</v>
      </c>
      <c r="J36" s="243">
        <f>I36</f>
        <v>6.6E-3</v>
      </c>
      <c r="K36" s="243">
        <f t="shared" ref="K36:AW36" si="39">J36</f>
        <v>6.6E-3</v>
      </c>
      <c r="L36" s="243">
        <f t="shared" si="39"/>
        <v>6.6E-3</v>
      </c>
      <c r="M36" s="243">
        <f t="shared" si="39"/>
        <v>6.6E-3</v>
      </c>
      <c r="N36" s="244">
        <v>1.7600000000000001E-2</v>
      </c>
      <c r="O36" s="243">
        <f t="shared" ref="O36" si="40">N36</f>
        <v>1.7600000000000001E-2</v>
      </c>
      <c r="P36" s="243">
        <f t="shared" ref="P36:Y36" si="41">O36</f>
        <v>1.7600000000000001E-2</v>
      </c>
      <c r="Q36" s="243">
        <f t="shared" si="41"/>
        <v>1.7600000000000001E-2</v>
      </c>
      <c r="R36" s="243">
        <f t="shared" si="41"/>
        <v>1.7600000000000001E-2</v>
      </c>
      <c r="S36" s="243">
        <f t="shared" si="41"/>
        <v>1.7600000000000001E-2</v>
      </c>
      <c r="T36" s="243">
        <f t="shared" si="41"/>
        <v>1.7600000000000001E-2</v>
      </c>
      <c r="U36" s="243">
        <f t="shared" si="41"/>
        <v>1.7600000000000001E-2</v>
      </c>
      <c r="V36" s="243">
        <f t="shared" si="41"/>
        <v>1.7600000000000001E-2</v>
      </c>
      <c r="W36" s="243">
        <f t="shared" si="41"/>
        <v>1.7600000000000001E-2</v>
      </c>
      <c r="X36" s="243">
        <f t="shared" si="41"/>
        <v>1.7600000000000001E-2</v>
      </c>
      <c r="Y36" s="243">
        <f t="shared" si="41"/>
        <v>1.7600000000000001E-2</v>
      </c>
      <c r="Z36" s="243">
        <f>ROUND(Z37-Z40,5)</f>
        <v>1.3699999999999999E-3</v>
      </c>
      <c r="AA36" s="243">
        <f t="shared" si="39"/>
        <v>1.3699999999999999E-3</v>
      </c>
      <c r="AB36" s="243">
        <f t="shared" si="39"/>
        <v>1.3699999999999999E-3</v>
      </c>
      <c r="AC36" s="243">
        <f t="shared" si="39"/>
        <v>1.3699999999999999E-3</v>
      </c>
      <c r="AD36" s="243">
        <f t="shared" si="39"/>
        <v>1.3699999999999999E-3</v>
      </c>
      <c r="AE36" s="243">
        <f t="shared" si="39"/>
        <v>1.3699999999999999E-3</v>
      </c>
      <c r="AF36" s="243">
        <f t="shared" si="39"/>
        <v>1.3699999999999999E-3</v>
      </c>
      <c r="AG36" s="243">
        <f t="shared" si="39"/>
        <v>1.3699999999999999E-3</v>
      </c>
      <c r="AH36" s="243">
        <f t="shared" si="39"/>
        <v>1.3699999999999999E-3</v>
      </c>
      <c r="AI36" s="243">
        <f t="shared" si="39"/>
        <v>1.3699999999999999E-3</v>
      </c>
      <c r="AJ36" s="243">
        <f t="shared" si="39"/>
        <v>1.3699999999999999E-3</v>
      </c>
      <c r="AK36" s="243">
        <f t="shared" si="39"/>
        <v>1.3699999999999999E-3</v>
      </c>
      <c r="AL36" s="243">
        <f>ROUND(AL37-AL40,5)</f>
        <v>1.0000000000000001E-5</v>
      </c>
      <c r="AM36" s="243">
        <f t="shared" si="39"/>
        <v>1.0000000000000001E-5</v>
      </c>
      <c r="AN36" s="243">
        <f t="shared" si="39"/>
        <v>1.0000000000000001E-5</v>
      </c>
      <c r="AO36" s="243">
        <f t="shared" si="39"/>
        <v>1.0000000000000001E-5</v>
      </c>
      <c r="AP36" s="243">
        <f t="shared" si="39"/>
        <v>1.0000000000000001E-5</v>
      </c>
      <c r="AQ36" s="243">
        <f t="shared" si="39"/>
        <v>1.0000000000000001E-5</v>
      </c>
      <c r="AR36" s="243">
        <f t="shared" si="39"/>
        <v>1.0000000000000001E-5</v>
      </c>
      <c r="AS36" s="243">
        <f t="shared" si="39"/>
        <v>1.0000000000000001E-5</v>
      </c>
      <c r="AT36" s="243">
        <f t="shared" si="39"/>
        <v>1.0000000000000001E-5</v>
      </c>
      <c r="AU36" s="243">
        <f t="shared" si="39"/>
        <v>1.0000000000000001E-5</v>
      </c>
      <c r="AV36" s="243">
        <f t="shared" si="39"/>
        <v>1.0000000000000001E-5</v>
      </c>
      <c r="AW36" s="243">
        <f t="shared" si="39"/>
        <v>1.0000000000000001E-5</v>
      </c>
    </row>
    <row r="37" spans="1:51" x14ac:dyDescent="0.25">
      <c r="A37" s="240" t="s">
        <v>281</v>
      </c>
      <c r="B37" s="239"/>
      <c r="C37" s="53"/>
      <c r="D37" s="53"/>
      <c r="E37" s="53"/>
      <c r="F37" s="53"/>
      <c r="G37" s="53"/>
      <c r="H37" s="53"/>
      <c r="L37" s="245"/>
      <c r="M37" t="str">
        <f>M5</f>
        <v>As Filed Per</v>
      </c>
      <c r="N37" s="246">
        <f>ROUND((M48+M49+M50+M54)*1.017/(SUM(N35:Y35)),5)+0.00001</f>
        <v>1.7440000000000001E-2</v>
      </c>
      <c r="O37" s="249">
        <f>O5</f>
        <v>0.95584499999999994</v>
      </c>
      <c r="P37" s="248" t="s">
        <v>238</v>
      </c>
      <c r="Z37" s="246">
        <f>ROUND((Y48+Y49+Y50+Y54)*1.019/(SUM(Z35:AK35)),5)</f>
        <v>1.3699999999999999E-3</v>
      </c>
      <c r="AA37" s="249">
        <f>AA5</f>
        <v>0.95584499999999994</v>
      </c>
      <c r="AB37" s="248" t="s">
        <v>238</v>
      </c>
      <c r="AL37" s="246">
        <f>ROUND((AK48+AK49+AK50+AK54)*1.019/(SUM(AL35:AW35)),5)</f>
        <v>1.0000000000000001E-5</v>
      </c>
      <c r="AM37" s="249">
        <f>AM5</f>
        <v>0.95584499999999994</v>
      </c>
      <c r="AN37" s="248" t="s">
        <v>238</v>
      </c>
      <c r="AV37" s="245"/>
    </row>
    <row r="38" spans="1:51" x14ac:dyDescent="0.25">
      <c r="A38" s="240" t="s">
        <v>282</v>
      </c>
      <c r="B38" s="239"/>
      <c r="C38" s="53"/>
      <c r="D38" s="53"/>
      <c r="E38" s="53"/>
      <c r="F38" s="53"/>
      <c r="G38" s="53"/>
      <c r="H38" s="53"/>
      <c r="L38" s="245"/>
      <c r="M38" t="str">
        <f>M6</f>
        <v>UG-190710</v>
      </c>
      <c r="N38" s="53">
        <f>IF(M36&gt;0,N37*SUM(N35:Y35)-M36*SUM(N35:Y35),N37*SUM(N35:Y35))</f>
        <v>632996.70705726871</v>
      </c>
      <c r="O38" s="243">
        <f>ROUND(N36/O37,5)</f>
        <v>1.8409999999999999E-2</v>
      </c>
      <c r="P38" s="248" t="s">
        <v>333</v>
      </c>
      <c r="Z38" s="53">
        <f>IF(Y36&gt;0,Z37*SUM(Z35:AK35)-Y36*SUM(Z35:AK35),Z37*SUM(Z35:AK35))</f>
        <v>-965862.79361175816</v>
      </c>
      <c r="AA38" s="243">
        <f>ROUND(Z36/AA37,5)</f>
        <v>1.4300000000000001E-3</v>
      </c>
      <c r="AB38" s="248" t="s">
        <v>329</v>
      </c>
      <c r="AL38" s="53">
        <f>IF(AK36&gt;0,AL37*SUM(AL35:AW35)-AK36*SUM(AL35:AW35),AL37*SUM(AL35:AW35))</f>
        <v>-82471.101499949655</v>
      </c>
      <c r="AM38" s="243">
        <f>ROUND(AL36/AM37,5)</f>
        <v>1.0000000000000001E-5</v>
      </c>
      <c r="AN38" s="248" t="s">
        <v>329</v>
      </c>
      <c r="AV38" s="245"/>
      <c r="AW38" s="243"/>
    </row>
    <row r="39" spans="1:51" x14ac:dyDescent="0.25">
      <c r="A39" s="240" t="s">
        <v>283</v>
      </c>
      <c r="B39" s="239"/>
      <c r="C39" s="53"/>
      <c r="D39" s="53"/>
      <c r="E39" s="53"/>
      <c r="F39" s="53"/>
      <c r="G39" s="53"/>
      <c r="H39" s="53"/>
      <c r="L39" s="245" t="s">
        <v>284</v>
      </c>
      <c r="M39" s="266">
        <v>30715.814999999999</v>
      </c>
      <c r="N39" s="53">
        <f>M39*1000*0.03</f>
        <v>921474.45</v>
      </c>
      <c r="O39" s="38">
        <f>IF(M36&gt;0,M36*SUM(N35:Y35)+N39,N39)</f>
        <v>1306878.3491308093</v>
      </c>
      <c r="P39" t="s">
        <v>285</v>
      </c>
      <c r="X39" s="245" t="s">
        <v>284</v>
      </c>
      <c r="Y39" s="53">
        <f>M39</f>
        <v>30715.814999999999</v>
      </c>
      <c r="Z39" s="53">
        <f>Y39*1000*0.03</f>
        <v>921474.45</v>
      </c>
      <c r="AA39" s="38">
        <f>IF(Y36&gt;0,Y36*SUM(Z35:AK35)+Z39,Z39)</f>
        <v>1968867.2514520604</v>
      </c>
      <c r="AB39" t="s">
        <v>285</v>
      </c>
      <c r="AJ39" s="245" t="s">
        <v>284</v>
      </c>
      <c r="AK39" s="53">
        <f>Y39</f>
        <v>30715.814999999999</v>
      </c>
      <c r="AL39" s="53">
        <f>AK39*1000*0.03</f>
        <v>921474.45</v>
      </c>
      <c r="AM39" s="38">
        <f>IF(AK36&gt;0,AK36*SUM(AL35:AW35)+AL39,AL39)</f>
        <v>1004551.9566580375</v>
      </c>
      <c r="AN39" t="s">
        <v>285</v>
      </c>
      <c r="AV39" s="245"/>
      <c r="AW39" s="53"/>
    </row>
    <row r="40" spans="1:51" x14ac:dyDescent="0.25">
      <c r="A40" s="240" t="s">
        <v>312</v>
      </c>
      <c r="B40" s="239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3">
        <f>IF(N38&gt;N39,N37-N42,0)</f>
        <v>0</v>
      </c>
      <c r="Z40" s="253">
        <f>IF(Z38&gt;Z39,Z37-Z42,0)</f>
        <v>0</v>
      </c>
      <c r="AL40" s="253">
        <f>IF(AL38&gt;AL39,AL37-AL42,0)</f>
        <v>0</v>
      </c>
    </row>
    <row r="41" spans="1:51" x14ac:dyDescent="0.25">
      <c r="A41" s="240" t="s">
        <v>287</v>
      </c>
      <c r="B41" s="239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3"/>
      <c r="Z41" s="53">
        <f>N40*Z35</f>
        <v>0</v>
      </c>
      <c r="AA41" s="53">
        <f>N40*AA35</f>
        <v>0</v>
      </c>
      <c r="AB41" s="53">
        <f>N40*AB35</f>
        <v>0</v>
      </c>
      <c r="AC41" s="53">
        <f>N40*AC35</f>
        <v>0</v>
      </c>
      <c r="AD41" s="53">
        <f>N40*AD35</f>
        <v>0</v>
      </c>
      <c r="AE41" s="53">
        <f>N40*AE35</f>
        <v>0</v>
      </c>
      <c r="AF41" s="53">
        <f>N40*AF35</f>
        <v>0</v>
      </c>
      <c r="AG41" s="53">
        <f>N40*AG35</f>
        <v>0</v>
      </c>
      <c r="AH41" s="53">
        <f>N40*AH35</f>
        <v>0</v>
      </c>
      <c r="AI41" s="53">
        <f>N40*AI35</f>
        <v>0</v>
      </c>
      <c r="AJ41" s="53">
        <f>N40*AJ35</f>
        <v>0</v>
      </c>
      <c r="AK41" s="53">
        <f>N40*AK35</f>
        <v>0</v>
      </c>
      <c r="AL41" s="53">
        <f>Z40*AL35</f>
        <v>0</v>
      </c>
      <c r="AM41" s="53">
        <f>Z40*AM35</f>
        <v>0</v>
      </c>
      <c r="AN41" s="53">
        <f>Z40*AN35</f>
        <v>0</v>
      </c>
      <c r="AO41" s="53">
        <f>Z40*AO35</f>
        <v>0</v>
      </c>
      <c r="AP41" s="53">
        <f>Z40*AP35</f>
        <v>0</v>
      </c>
      <c r="AQ41" s="53">
        <f>Z40*AQ35</f>
        <v>0</v>
      </c>
      <c r="AR41" s="53">
        <f>Z40*AR35</f>
        <v>0</v>
      </c>
      <c r="AS41" s="53">
        <f>Z40*AS35</f>
        <v>0</v>
      </c>
      <c r="AT41" s="53">
        <f>Z40*AT35</f>
        <v>0</v>
      </c>
      <c r="AU41" s="53">
        <f>Z40*AU35</f>
        <v>0</v>
      </c>
      <c r="AV41" s="53">
        <f>Z40*AV35</f>
        <v>0</v>
      </c>
      <c r="AW41" s="53">
        <f>Z40*AW35</f>
        <v>0</v>
      </c>
    </row>
    <row r="42" spans="1:51" x14ac:dyDescent="0.25">
      <c r="A42" s="240" t="s">
        <v>288</v>
      </c>
      <c r="B42" s="239"/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3">
        <f>O39/SUM(N35:Y35)*O37</f>
        <v>2.1391954553958276E-2</v>
      </c>
      <c r="O42" s="253">
        <f>N42</f>
        <v>2.1391954553958276E-2</v>
      </c>
      <c r="P42" s="253">
        <f t="shared" ref="P42:X42" si="42">O42</f>
        <v>2.1391954553958276E-2</v>
      </c>
      <c r="Q42" s="253">
        <f t="shared" si="42"/>
        <v>2.1391954553958276E-2</v>
      </c>
      <c r="R42" s="253">
        <f t="shared" si="42"/>
        <v>2.1391954553958276E-2</v>
      </c>
      <c r="S42" s="253">
        <f t="shared" si="42"/>
        <v>2.1391954553958276E-2</v>
      </c>
      <c r="T42" s="253">
        <f t="shared" si="42"/>
        <v>2.1391954553958276E-2</v>
      </c>
      <c r="U42" s="253">
        <f t="shared" si="42"/>
        <v>2.1391954553958276E-2</v>
      </c>
      <c r="V42" s="253">
        <f t="shared" si="42"/>
        <v>2.1391954553958276E-2</v>
      </c>
      <c r="W42" s="253">
        <f t="shared" si="42"/>
        <v>2.1391954553958276E-2</v>
      </c>
      <c r="X42" s="253">
        <f t="shared" si="42"/>
        <v>2.1391954553958276E-2</v>
      </c>
      <c r="Y42" s="253">
        <f>X42</f>
        <v>2.1391954553958276E-2</v>
      </c>
      <c r="Z42" s="253">
        <f>AA39/SUM(Z35:AK35)*AA37</f>
        <v>3.1623285657731176E-2</v>
      </c>
      <c r="AA42" s="253">
        <f>Z42</f>
        <v>3.1623285657731176E-2</v>
      </c>
      <c r="AB42" s="253">
        <f t="shared" ref="AB42:AK42" si="43">AA42</f>
        <v>3.1623285657731176E-2</v>
      </c>
      <c r="AC42" s="253">
        <f t="shared" si="43"/>
        <v>3.1623285657731176E-2</v>
      </c>
      <c r="AD42" s="253">
        <f t="shared" si="43"/>
        <v>3.1623285657731176E-2</v>
      </c>
      <c r="AE42" s="253">
        <f t="shared" si="43"/>
        <v>3.1623285657731176E-2</v>
      </c>
      <c r="AF42" s="253">
        <f t="shared" si="43"/>
        <v>3.1623285657731176E-2</v>
      </c>
      <c r="AG42" s="253">
        <f t="shared" si="43"/>
        <v>3.1623285657731176E-2</v>
      </c>
      <c r="AH42" s="253">
        <f t="shared" si="43"/>
        <v>3.1623285657731176E-2</v>
      </c>
      <c r="AI42" s="253">
        <f t="shared" si="43"/>
        <v>3.1623285657731176E-2</v>
      </c>
      <c r="AJ42" s="253">
        <f t="shared" si="43"/>
        <v>3.1623285657731176E-2</v>
      </c>
      <c r="AK42" s="253">
        <f t="shared" si="43"/>
        <v>3.1623285657731176E-2</v>
      </c>
      <c r="AL42" s="253">
        <f>AM39/SUM(AL35:AW35)*AM37</f>
        <v>1.5834231490370571E-2</v>
      </c>
      <c r="AM42" s="253">
        <f>AL42</f>
        <v>1.5834231490370571E-2</v>
      </c>
      <c r="AN42" s="253">
        <f t="shared" ref="AN42:AW42" si="44">AM42</f>
        <v>1.5834231490370571E-2</v>
      </c>
      <c r="AO42" s="253">
        <f t="shared" si="44"/>
        <v>1.5834231490370571E-2</v>
      </c>
      <c r="AP42" s="253">
        <f t="shared" si="44"/>
        <v>1.5834231490370571E-2</v>
      </c>
      <c r="AQ42" s="253">
        <f t="shared" si="44"/>
        <v>1.5834231490370571E-2</v>
      </c>
      <c r="AR42" s="253">
        <f t="shared" si="44"/>
        <v>1.5834231490370571E-2</v>
      </c>
      <c r="AS42" s="253">
        <f t="shared" si="44"/>
        <v>1.5834231490370571E-2</v>
      </c>
      <c r="AT42" s="253">
        <f t="shared" si="44"/>
        <v>1.5834231490370571E-2</v>
      </c>
      <c r="AU42" s="253">
        <f t="shared" si="44"/>
        <v>1.5834231490370571E-2</v>
      </c>
      <c r="AV42" s="253">
        <f t="shared" si="44"/>
        <v>1.5834231490370571E-2</v>
      </c>
      <c r="AW42" s="253">
        <f t="shared" si="44"/>
        <v>1.5834231490370571E-2</v>
      </c>
    </row>
    <row r="43" spans="1:51" x14ac:dyDescent="0.25">
      <c r="A43" s="240" t="str">
        <f>A11</f>
        <v>Maximum 24 Month Recovery of 2019 Deferral</v>
      </c>
      <c r="B43" s="239"/>
      <c r="C43" s="252"/>
      <c r="D43" s="53">
        <f>SUMPRODUCT($N35:$Y35,-$N42:$Y42)-SUM($Z41:AB41)</f>
        <v>-1249173.1356249384</v>
      </c>
      <c r="E43" s="53">
        <f>SUMPRODUCT($N35:$Y35,-$N42:$Y42)-SUM($Z41:AC41)</f>
        <v>-1249173.1356249384</v>
      </c>
      <c r="F43" s="53">
        <f>SUMPRODUCT($N35:$Y35,-$N42:$Y42)-SUM($Z41:AD41)</f>
        <v>-1249173.1356249384</v>
      </c>
      <c r="G43" s="53">
        <f>SUMPRODUCT($N35:$Y35,-$N42:$Y42)-SUM($Z41:AE41)</f>
        <v>-1249173.1356249384</v>
      </c>
      <c r="H43" s="53">
        <f>SUMPRODUCT($N35:$Y35,-$N42:$Y42)-SUM($Z41:AF41)</f>
        <v>-1249173.1356249384</v>
      </c>
      <c r="I43" s="53">
        <f>SUMPRODUCT($N35:$Y35,-$N42:$Y42)-SUM($Z41:AG41)</f>
        <v>-1249173.1356249384</v>
      </c>
      <c r="J43" s="53">
        <f>SUMPRODUCT($N35:$Y35,-$N42:$Y42)-SUM($Z41:AH41)</f>
        <v>-1249173.1356249384</v>
      </c>
      <c r="K43" s="53">
        <f>SUMPRODUCT($N35:$Y35,-$N42:$Y42)-SUM($Z41:AI41)</f>
        <v>-1249173.1356249384</v>
      </c>
      <c r="L43" s="53">
        <f>SUMPRODUCT($N35:$Y35,-$N42:$Y42)-SUM($Z41:AJ41)</f>
        <v>-1249173.1356249384</v>
      </c>
      <c r="M43" s="53">
        <f>SUMPRODUCT($N35:$Y35,-$N42:$Y42)-SUM($Z41:AK41)</f>
        <v>-1249173.1356249384</v>
      </c>
      <c r="N43" s="53"/>
      <c r="O43" s="53">
        <f>SUMPRODUCT($Z35:$AK35,-$Z42:$AK42)-SUM($AL41:AM41)</f>
        <v>-1881931.9179641944</v>
      </c>
      <c r="P43" s="53">
        <f>SUMPRODUCT($Z35:$AK35,-$Z42:$AK42)-SUM($AL41:AN41)</f>
        <v>-1881931.9179641944</v>
      </c>
      <c r="Q43" s="53">
        <f>SUMPRODUCT($Z35:$AK35,-$Z42:$AK42)-SUM($AL41:AO41)</f>
        <v>-1881931.9179641944</v>
      </c>
      <c r="R43" s="53">
        <f>SUMPRODUCT($Z35:$AK35,-$Z42:$AK42)-SUM($AL41:AP41)</f>
        <v>-1881931.9179641944</v>
      </c>
      <c r="S43" s="53">
        <f>SUMPRODUCT($Z35:$AK35,-$Z42:$AK42)-SUM($AL41:AQ41)</f>
        <v>-1881931.9179641944</v>
      </c>
      <c r="T43" s="53">
        <f>SUMPRODUCT($Z35:$AK35,-$Z42:$AK42)-SUM($AL41:AR41)</f>
        <v>-1881931.9179641944</v>
      </c>
      <c r="U43" s="53">
        <f>SUMPRODUCT($Z35:$AK35,-$Z42:$AK42)-SUM($AL41:AS41)</f>
        <v>-1881931.9179641944</v>
      </c>
      <c r="V43" s="53">
        <f>SUMPRODUCT($Z35:$AK35,-$Z42:$AK42)-SUM($AL41:AT41)</f>
        <v>-1881931.9179641944</v>
      </c>
      <c r="W43" s="53">
        <f>SUMPRODUCT($Z35:$AK35,-$Z42:$AK42)-SUM($AL41:AU41)</f>
        <v>-1881931.9179641944</v>
      </c>
      <c r="X43" s="53">
        <f>SUMPRODUCT($Z35:$AK35,-$Z42:$AK42)-SUM($AL41:AV41)</f>
        <v>-1881931.9179641944</v>
      </c>
      <c r="Y43" s="53">
        <f>SUMPRODUCT($Z35:$AK35,-$Z42:$AK42)-SUM($AL41:AW41)</f>
        <v>-1881931.9179641944</v>
      </c>
      <c r="Z43" s="53"/>
      <c r="AA43" s="38"/>
      <c r="AJ43" s="245"/>
      <c r="AK43" s="53"/>
      <c r="AL43" s="53"/>
      <c r="AM43" s="38"/>
      <c r="AV43" s="245"/>
      <c r="AW43" s="251"/>
    </row>
    <row r="44" spans="1:51" x14ac:dyDescent="0.25">
      <c r="A44" s="240" t="s">
        <v>313</v>
      </c>
      <c r="B44" s="239"/>
      <c r="C44" s="252"/>
      <c r="D44" s="255">
        <f>IF($M48&gt;0,IF(D43+D48+D54&lt;0,0,+D43+D48+D54),0)</f>
        <v>0</v>
      </c>
      <c r="E44" s="255">
        <f t="shared" ref="E44:M44" si="45">IF($M48&gt;0,IF(E43+E48+E54&lt;0,0,+E43+E48+E54),0)</f>
        <v>0</v>
      </c>
      <c r="F44" s="255">
        <f t="shared" si="45"/>
        <v>0</v>
      </c>
      <c r="G44" s="255">
        <f t="shared" si="45"/>
        <v>0</v>
      </c>
      <c r="H44" s="255">
        <f t="shared" si="45"/>
        <v>0</v>
      </c>
      <c r="I44" s="255">
        <f t="shared" si="45"/>
        <v>0</v>
      </c>
      <c r="J44" s="255">
        <f t="shared" si="45"/>
        <v>0</v>
      </c>
      <c r="K44" s="255">
        <f t="shared" si="45"/>
        <v>0</v>
      </c>
      <c r="L44" s="255">
        <f t="shared" si="45"/>
        <v>0</v>
      </c>
      <c r="M44" s="255">
        <f t="shared" si="45"/>
        <v>0</v>
      </c>
      <c r="O44" s="254">
        <f>IF($Y48&gt;0,IF(O43+O47+O48+O54&lt;0,0,+O43+O47+O48+O54),0)</f>
        <v>0</v>
      </c>
      <c r="P44" s="255">
        <f>IF($Y48&gt;0,IF(P43+P48+P54&lt;0,0,+P43+P48+P54),0)</f>
        <v>0</v>
      </c>
      <c r="Q44" s="255">
        <f t="shared" ref="Q44:Y44" si="46">IF($Y48&gt;0,IF(Q43+Q48+Q54&lt;0,0,+Q43+Q48+Q54),0)</f>
        <v>0</v>
      </c>
      <c r="R44" s="255">
        <f t="shared" si="46"/>
        <v>0</v>
      </c>
      <c r="S44" s="255">
        <f t="shared" si="46"/>
        <v>0</v>
      </c>
      <c r="T44" s="255">
        <f t="shared" si="46"/>
        <v>0</v>
      </c>
      <c r="U44" s="255">
        <f t="shared" si="46"/>
        <v>0</v>
      </c>
      <c r="V44" s="255">
        <f t="shared" si="46"/>
        <v>0</v>
      </c>
      <c r="W44" s="255">
        <f t="shared" si="46"/>
        <v>0</v>
      </c>
      <c r="X44" s="255">
        <f t="shared" si="46"/>
        <v>0</v>
      </c>
      <c r="Y44" s="255">
        <f t="shared" si="46"/>
        <v>0</v>
      </c>
    </row>
    <row r="45" spans="1:51" x14ac:dyDescent="0.25">
      <c r="A45" s="240"/>
      <c r="B45" s="239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</row>
    <row r="46" spans="1:51" x14ac:dyDescent="0.25">
      <c r="A46" t="s">
        <v>290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</row>
    <row r="47" spans="1:51" x14ac:dyDescent="0.25">
      <c r="A47">
        <v>186338</v>
      </c>
      <c r="B47" t="s">
        <v>291</v>
      </c>
      <c r="C47" s="250">
        <v>984241</v>
      </c>
      <c r="D47" s="256">
        <f>0-D58+(0+0-D58)/2*D56/12</f>
        <v>61792.070653416667</v>
      </c>
      <c r="E47" s="53">
        <f t="shared" ref="E47:O47" si="47">D47-E58+(D47+D47-E58)/2*E56/12</f>
        <v>-284748.95005176408</v>
      </c>
      <c r="F47" s="53">
        <f t="shared" si="47"/>
        <v>-275727.69016407087</v>
      </c>
      <c r="G47" s="53">
        <f t="shared" si="47"/>
        <v>-348677.9587577327</v>
      </c>
      <c r="H47" s="53">
        <f t="shared" si="47"/>
        <v>-108726.37441875739</v>
      </c>
      <c r="I47" s="53">
        <f t="shared" si="47"/>
        <v>-89458.614709008805</v>
      </c>
      <c r="J47" s="53">
        <f t="shared" si="47"/>
        <v>-44933.985063753891</v>
      </c>
      <c r="K47" s="53">
        <f t="shared" si="47"/>
        <v>12830.210998998929</v>
      </c>
      <c r="L47" s="53">
        <f t="shared" si="47"/>
        <v>-76486.574625588997</v>
      </c>
      <c r="M47" s="53">
        <f t="shared" si="47"/>
        <v>-253918.22751323125</v>
      </c>
      <c r="N47" s="53">
        <f t="shared" si="47"/>
        <v>-136849.83359758271</v>
      </c>
      <c r="O47" s="53">
        <f t="shared" si="47"/>
        <v>63249.005723001537</v>
      </c>
      <c r="P47" s="256">
        <f>0-P58+(0+0-P58)/2*P56/12</f>
        <v>0</v>
      </c>
      <c r="Q47" s="53">
        <f>P47-Q58+(P47+P47-Q58)/2*Q56/12</f>
        <v>0</v>
      </c>
      <c r="R47" s="53">
        <f t="shared" ref="R47:Y47" si="48">Q47-R58+(Q47+Q47-R58)/2*R56/12</f>
        <v>0</v>
      </c>
      <c r="S47" s="53">
        <f t="shared" si="48"/>
        <v>0</v>
      </c>
      <c r="T47" s="53">
        <f t="shared" si="48"/>
        <v>0</v>
      </c>
      <c r="U47" s="53">
        <f t="shared" si="48"/>
        <v>0</v>
      </c>
      <c r="V47" s="53">
        <f t="shared" si="48"/>
        <v>0</v>
      </c>
      <c r="W47" s="53">
        <f t="shared" si="48"/>
        <v>0</v>
      </c>
      <c r="X47" s="53">
        <f t="shared" si="48"/>
        <v>0</v>
      </c>
      <c r="Y47" s="53">
        <f t="shared" si="48"/>
        <v>0</v>
      </c>
      <c r="Z47" s="53">
        <f>Y47-Z58+(Y47+Y47-Z58)/2*Z56/12</f>
        <v>0</v>
      </c>
      <c r="AA47" s="53">
        <f>Z47-AA58+(Z47+Z47-AA58)/2*AA56/12</f>
        <v>0</v>
      </c>
      <c r="AB47" s="256">
        <f>0-AB58+(0+0-AB58)/2*AB56/12</f>
        <v>0</v>
      </c>
      <c r="AC47" s="53">
        <f>AB47-AC58+(AB47+AB47-AC58)/2*AC56/12</f>
        <v>0</v>
      </c>
      <c r="AD47" s="53">
        <f t="shared" ref="AD47:AK47" si="49">AC47-AD58+(AC47+AC47-AD58)/2*AD56/12</f>
        <v>0</v>
      </c>
      <c r="AE47" s="53">
        <f t="shared" si="49"/>
        <v>0</v>
      </c>
      <c r="AF47" s="53">
        <f t="shared" si="49"/>
        <v>0</v>
      </c>
      <c r="AG47" s="53">
        <f t="shared" si="49"/>
        <v>0</v>
      </c>
      <c r="AH47" s="53">
        <f t="shared" si="49"/>
        <v>0</v>
      </c>
      <c r="AI47" s="53">
        <f t="shared" si="49"/>
        <v>0</v>
      </c>
      <c r="AJ47" s="53">
        <f t="shared" si="49"/>
        <v>0</v>
      </c>
      <c r="AK47" s="53">
        <f t="shared" si="49"/>
        <v>0</v>
      </c>
      <c r="AL47" s="53">
        <f>AK47-AL58+(AK47+AK47-AL58)/2*AL56/12</f>
        <v>0</v>
      </c>
      <c r="AM47" s="53">
        <f>AL47-AM58+(AL47+AL47-AM58)/2*AM56/12</f>
        <v>0</v>
      </c>
      <c r="AN47" s="256">
        <f>0-AN58+(0+0-AN58)/2*AN56/12</f>
        <v>0</v>
      </c>
      <c r="AO47" s="53">
        <f>AN47-AO58+(AN47+AN47-AO58)/2*AO56/12</f>
        <v>0</v>
      </c>
      <c r="AP47" s="53">
        <f t="shared" ref="AP47:AW47" si="50">AO47-AP58+(AO47+AO47-AP58)/2*AP56/12</f>
        <v>0</v>
      </c>
      <c r="AQ47" s="53">
        <f t="shared" si="50"/>
        <v>0</v>
      </c>
      <c r="AR47" s="53">
        <f t="shared" si="50"/>
        <v>0</v>
      </c>
      <c r="AS47" s="53">
        <f t="shared" si="50"/>
        <v>0</v>
      </c>
      <c r="AT47" s="53">
        <f t="shared" si="50"/>
        <v>0</v>
      </c>
      <c r="AU47" s="53">
        <f t="shared" si="50"/>
        <v>0</v>
      </c>
      <c r="AV47" s="53">
        <f t="shared" si="50"/>
        <v>0</v>
      </c>
      <c r="AW47" s="53">
        <f t="shared" si="50"/>
        <v>0</v>
      </c>
    </row>
    <row r="48" spans="1:51" x14ac:dyDescent="0.25">
      <c r="A48">
        <v>182339</v>
      </c>
      <c r="B48" t="s">
        <v>292</v>
      </c>
      <c r="C48" s="250">
        <v>0</v>
      </c>
      <c r="D48" s="256">
        <f>C47+(C47+C54)*D56/12</f>
        <v>988234.15839999996</v>
      </c>
      <c r="E48" s="53">
        <f t="shared" ref="E48:I48" si="51">D48+(D48+D54)*E56/12</f>
        <v>992244.55393375992</v>
      </c>
      <c r="F48" s="53">
        <f t="shared" si="51"/>
        <v>996272.26100824063</v>
      </c>
      <c r="G48" s="53">
        <f t="shared" si="51"/>
        <v>1000528.1989853197</v>
      </c>
      <c r="H48" s="53">
        <f t="shared" si="51"/>
        <v>1004803.4660140447</v>
      </c>
      <c r="I48" s="53">
        <f t="shared" si="51"/>
        <v>1009098.1498805252</v>
      </c>
      <c r="J48" s="53">
        <f>I48+(I48+I54)*J56/12</f>
        <v>1013451.9184841443</v>
      </c>
      <c r="K48" s="53">
        <f>J48+(J48+J54)*K56/12</f>
        <v>1017825.6418605299</v>
      </c>
      <c r="L48" s="53">
        <f>K48+(K48+K54)*L56/12</f>
        <v>1022219.4114690573</v>
      </c>
      <c r="M48" s="53">
        <f>L48+(L48+L54)*M56/12</f>
        <v>1026569.1168941925</v>
      </c>
      <c r="N48" s="53">
        <v>0</v>
      </c>
      <c r="O48" s="53">
        <v>0</v>
      </c>
      <c r="P48" s="256">
        <f>O47+(O47+O54)*P56/12</f>
        <v>63534.680398850425</v>
      </c>
      <c r="Q48" s="53">
        <f>P48+(P48+P54)*Q56/12</f>
        <v>63821.645371985236</v>
      </c>
      <c r="R48" s="53">
        <f t="shared" ref="R48:Y48" si="52">Q48+(Q48+Q54)*R56/12</f>
        <v>64109.906470248701</v>
      </c>
      <c r="S48" s="53">
        <f t="shared" si="52"/>
        <v>64399.469547805988</v>
      </c>
      <c r="T48" s="53">
        <f t="shared" si="52"/>
        <v>64690.340485263579</v>
      </c>
      <c r="U48" s="53">
        <f t="shared" si="52"/>
        <v>64982.525189788685</v>
      </c>
      <c r="V48" s="53">
        <f t="shared" si="52"/>
        <v>65276.029595229229</v>
      </c>
      <c r="W48" s="53">
        <f t="shared" si="52"/>
        <v>65570.859662234347</v>
      </c>
      <c r="X48" s="53">
        <f t="shared" si="52"/>
        <v>65867.021378375444</v>
      </c>
      <c r="Y48" s="53">
        <f t="shared" si="52"/>
        <v>66164.520758267769</v>
      </c>
      <c r="Z48" s="53">
        <v>0</v>
      </c>
      <c r="AA48" s="53">
        <v>0</v>
      </c>
      <c r="AB48" s="256">
        <f>AA47+(AA47+AA54)*AB56/12</f>
        <v>0</v>
      </c>
      <c r="AC48" s="53">
        <f>AB48+(AB48+AB54)*AC56/12</f>
        <v>0</v>
      </c>
      <c r="AD48" s="53">
        <f t="shared" ref="AD48:AK48" si="53">AC48+(AC48+AC54)*AD56/12</f>
        <v>0</v>
      </c>
      <c r="AE48" s="53">
        <f t="shared" si="53"/>
        <v>0</v>
      </c>
      <c r="AF48" s="53">
        <f t="shared" si="53"/>
        <v>0</v>
      </c>
      <c r="AG48" s="53">
        <f t="shared" si="53"/>
        <v>0</v>
      </c>
      <c r="AH48" s="53">
        <f t="shared" si="53"/>
        <v>0</v>
      </c>
      <c r="AI48" s="53">
        <f t="shared" si="53"/>
        <v>0</v>
      </c>
      <c r="AJ48" s="53">
        <f t="shared" si="53"/>
        <v>0</v>
      </c>
      <c r="AK48" s="53">
        <f t="shared" si="53"/>
        <v>0</v>
      </c>
      <c r="AL48" s="53">
        <v>0</v>
      </c>
      <c r="AM48" s="53">
        <v>0</v>
      </c>
      <c r="AN48" s="256">
        <f>AM47+(AM47+AM54)*AN56/12</f>
        <v>0</v>
      </c>
      <c r="AO48" s="53">
        <f>AN48+(AN48+AN54)*AO56/12</f>
        <v>0</v>
      </c>
      <c r="AP48" s="53">
        <f t="shared" ref="AP48:AW48" si="54">AO48+(AO48+AO54)*AP56/12</f>
        <v>0</v>
      </c>
      <c r="AQ48" s="53">
        <f t="shared" si="54"/>
        <v>0</v>
      </c>
      <c r="AR48" s="53">
        <f t="shared" si="54"/>
        <v>0</v>
      </c>
      <c r="AS48" s="53">
        <f t="shared" si="54"/>
        <v>0</v>
      </c>
      <c r="AT48" s="53">
        <f t="shared" si="54"/>
        <v>0</v>
      </c>
      <c r="AU48" s="53">
        <f t="shared" si="54"/>
        <v>0</v>
      </c>
      <c r="AV48" s="53">
        <f t="shared" si="54"/>
        <v>0</v>
      </c>
      <c r="AW48" s="53">
        <f t="shared" si="54"/>
        <v>0</v>
      </c>
    </row>
    <row r="49" spans="1:49" x14ac:dyDescent="0.25">
      <c r="A49">
        <v>182338</v>
      </c>
      <c r="B49" t="s">
        <v>293</v>
      </c>
      <c r="C49" s="250">
        <f>322952+8223</f>
        <v>331175</v>
      </c>
      <c r="D49" s="53">
        <f t="shared" ref="D49:M49" si="55">IF(C49&lt;&gt;0,C49-D59+(C49+C49-D59)/2*D56/12,0)</f>
        <v>278447.33945760631</v>
      </c>
      <c r="E49" s="53">
        <f t="shared" si="55"/>
        <v>219066.2415474655</v>
      </c>
      <c r="F49" s="53">
        <f t="shared" si="55"/>
        <v>174115.1891657786</v>
      </c>
      <c r="G49" s="53">
        <f t="shared" si="55"/>
        <v>144242.00596298609</v>
      </c>
      <c r="H49" s="53">
        <f t="shared" si="55"/>
        <v>128415.30034502986</v>
      </c>
      <c r="I49" s="53">
        <f t="shared" si="55"/>
        <v>113662.79256255986</v>
      </c>
      <c r="J49" s="53">
        <f t="shared" si="55"/>
        <v>101295.04365494596</v>
      </c>
      <c r="K49" s="53">
        <f t="shared" si="55"/>
        <v>88772.345475372436</v>
      </c>
      <c r="L49" s="53">
        <f t="shared" si="55"/>
        <v>69647.316703665041</v>
      </c>
      <c r="M49" s="53">
        <f t="shared" si="55"/>
        <v>33651.800610163875</v>
      </c>
      <c r="N49" s="256">
        <f>IF(M48+M49+M50+M54&gt;0,(M48+M49+M50+M54)-N59+(M48+M49+M50+M54-N59/2)*N56/12,0)</f>
        <v>877418.96357102273</v>
      </c>
      <c r="O49" s="53">
        <f>IF(N49&lt;&gt;0,N49-O59+(N49+N49-O59)/2*O56/12,0)</f>
        <v>740947.74588442745</v>
      </c>
      <c r="P49" s="53">
        <f>IF(O49&lt;&gt;0,O49-P59+(O49+O49-P59)/2*P56/12,0)</f>
        <v>586319.493767131</v>
      </c>
      <c r="Q49" s="53">
        <f>IF(P49&lt;&gt;0,P49-Q59+(P49+P49-Q59)/2*Q56/12,0)</f>
        <v>455870.75617851055</v>
      </c>
      <c r="R49" s="53">
        <f t="shared" ref="R49:Y49" si="56">IF(Q49&lt;&gt;0,Q49-R59+(Q49+Q49-R59)/2*R56/12,0)</f>
        <v>348781.7928636368</v>
      </c>
      <c r="S49" s="53">
        <f t="shared" si="56"/>
        <v>278835.35783848865</v>
      </c>
      <c r="T49" s="53">
        <f t="shared" si="56"/>
        <v>239358.37944033579</v>
      </c>
      <c r="U49" s="53">
        <f t="shared" si="56"/>
        <v>209042.24432923741</v>
      </c>
      <c r="V49" s="53">
        <f t="shared" si="56"/>
        <v>176757.70958103091</v>
      </c>
      <c r="W49" s="53">
        <f t="shared" si="56"/>
        <v>141809.82808492274</v>
      </c>
      <c r="X49" s="53">
        <f t="shared" si="56"/>
        <v>101641.38623148232</v>
      </c>
      <c r="Y49" s="53">
        <f t="shared" si="56"/>
        <v>14091.029295286873</v>
      </c>
      <c r="Z49" s="256">
        <f>IF(Y48+Y49+Y50+Y54&gt;0,(Y48+Y49+Y50+Y54)-Z59+(Y48+Y49+Y50+Y54-Z59/2)*Z56/12,0)</f>
        <v>70513.453425329513</v>
      </c>
      <c r="AA49" s="53">
        <f>IF(Z49&lt;&gt;0,Z49-AA59+(Z49+Z49-AA59)/2*AA56/12,0)</f>
        <v>57808.502045923589</v>
      </c>
      <c r="AB49" s="53">
        <f>IF(AA49&lt;&gt;0,AA49-AB59+(AA49+AA49-AB59)/2*AB56/12,0)</f>
        <v>45317.021369032867</v>
      </c>
      <c r="AC49" s="53">
        <f>IF(AB49&lt;&gt;0,AB49-AC59+(AB49+AB49-AC59)/2*AC56/12,0)</f>
        <v>35208.624026055142</v>
      </c>
      <c r="AD49" s="53">
        <f t="shared" ref="AD49:AK49" si="57">IF(AC49&lt;&gt;0,AC49-AD59+(AC49+AC49-AD59)/2*AD56/12,0)</f>
        <v>26689.983109943132</v>
      </c>
      <c r="AE49" s="53">
        <f t="shared" si="57"/>
        <v>21177.606142264292</v>
      </c>
      <c r="AF49" s="53">
        <f t="shared" si="57"/>
        <v>18096.615004046049</v>
      </c>
      <c r="AG49" s="53">
        <f t="shared" si="57"/>
        <v>15724.174667783316</v>
      </c>
      <c r="AH49" s="53">
        <f t="shared" si="57"/>
        <v>13268.246483612256</v>
      </c>
      <c r="AI49" s="53">
        <f t="shared" si="57"/>
        <v>10598.098654776009</v>
      </c>
      <c r="AJ49" s="53">
        <f t="shared" si="57"/>
        <v>7407.6878393540455</v>
      </c>
      <c r="AK49" s="53">
        <f t="shared" si="57"/>
        <v>357.41640429077165</v>
      </c>
      <c r="AL49" s="256">
        <f>IF(AK48+AK49+AK50+AK54&gt;0,(AK48+AK49+AK50+AK54)-AL59+(AK48+AK49+AK50+AK54-AL59/2)*AL56/12,0)</f>
        <v>282.84788462335848</v>
      </c>
      <c r="AM49" s="53">
        <f>IF(AL49&lt;&gt;0,AL49-AM59+(AL49+AL49-AM59)/2*AM56/12,0)</f>
        <v>186.07244997880312</v>
      </c>
      <c r="AN49" s="53">
        <f>IF(AM49&lt;&gt;0,AM49-AN59+(AM49+AM49-AN59)/2*AN56/12,0)</f>
        <v>91.686176082908929</v>
      </c>
      <c r="AO49" s="53">
        <f>IF(AN49&lt;&gt;0,AN49-AO59+(AN49+AN49-AO59)/2*AO56/12,0)</f>
        <v>15.198764154082792</v>
      </c>
      <c r="AP49" s="53">
        <f t="shared" ref="AP49:AW49" si="58">IF(AO49&lt;&gt;0,AO49-AP59+(AO49+AO49-AP59)/2*AP56/12,0)</f>
        <v>-49.070981156052724</v>
      </c>
      <c r="AQ49" s="53">
        <f t="shared" si="58"/>
        <v>-90.867349118827406</v>
      </c>
      <c r="AR49" s="53">
        <f t="shared" si="58"/>
        <v>-114.61479054746013</v>
      </c>
      <c r="AS49" s="53">
        <f t="shared" si="58"/>
        <v>-132.87188061018352</v>
      </c>
      <c r="AT49" s="53">
        <f t="shared" si="58"/>
        <v>-151.60035314607478</v>
      </c>
      <c r="AU49" s="53">
        <f t="shared" si="58"/>
        <v>-172.11651299640602</v>
      </c>
      <c r="AV49" s="53">
        <f t="shared" si="58"/>
        <v>-196.71687278526653</v>
      </c>
      <c r="AW49" s="53">
        <f t="shared" si="58"/>
        <v>-250.24366283899894</v>
      </c>
    </row>
    <row r="50" spans="1:49" ht="15.75" thickBot="1" x14ac:dyDescent="0.3">
      <c r="A50">
        <v>254338</v>
      </c>
      <c r="B50" t="s">
        <v>294</v>
      </c>
      <c r="C50" s="250">
        <v>0</v>
      </c>
      <c r="D50" s="53">
        <f t="shared" ref="D50:M50" si="59">IF(C50&lt;&gt;0,C50-D59+(C50+C50-D59)/2*D56/12,0)</f>
        <v>0</v>
      </c>
      <c r="E50" s="53">
        <f t="shared" si="59"/>
        <v>0</v>
      </c>
      <c r="F50" s="53">
        <f t="shared" si="59"/>
        <v>0</v>
      </c>
      <c r="G50" s="53">
        <f t="shared" si="59"/>
        <v>0</v>
      </c>
      <c r="H50" s="53">
        <f t="shared" si="59"/>
        <v>0</v>
      </c>
      <c r="I50" s="53">
        <f t="shared" si="59"/>
        <v>0</v>
      </c>
      <c r="J50" s="53">
        <f t="shared" si="59"/>
        <v>0</v>
      </c>
      <c r="K50" s="53">
        <f t="shared" si="59"/>
        <v>0</v>
      </c>
      <c r="L50" s="53">
        <f t="shared" si="59"/>
        <v>0</v>
      </c>
      <c r="M50" s="53">
        <f t="shared" si="59"/>
        <v>0</v>
      </c>
      <c r="N50" s="256">
        <f>IF((M48+M49+M50+M54)&lt;0,(M48+M49+M50+M54)-N59+(M48+M49+M50+M54-N59/2)*N56/12,0)</f>
        <v>0</v>
      </c>
      <c r="O50" s="53">
        <f>IF(N50&lt;&gt;0,N50-O59+(N50+N50-O59)/2*O56/12,0)</f>
        <v>0</v>
      </c>
      <c r="P50" s="53">
        <f>IF(O50&lt;&gt;0,O50-P59+(O50+O50-P59)/2*P56/12,0)</f>
        <v>0</v>
      </c>
      <c r="Q50" s="53">
        <f>IF(P50&lt;&gt;0,P50-Q59+(P50+P50-Q59)/2*Q56/12,0)</f>
        <v>0</v>
      </c>
      <c r="R50" s="53">
        <f t="shared" ref="R50:Y50" si="60">IF(Q50&lt;&gt;0,Q50-R59+(Q50+Q50-R59)/2*R56/12,0)</f>
        <v>0</v>
      </c>
      <c r="S50" s="53">
        <f t="shared" si="60"/>
        <v>0</v>
      </c>
      <c r="T50" s="53">
        <f t="shared" si="60"/>
        <v>0</v>
      </c>
      <c r="U50" s="53">
        <f t="shared" si="60"/>
        <v>0</v>
      </c>
      <c r="V50" s="53">
        <f t="shared" si="60"/>
        <v>0</v>
      </c>
      <c r="W50" s="53">
        <f t="shared" si="60"/>
        <v>0</v>
      </c>
      <c r="X50" s="53">
        <f t="shared" si="60"/>
        <v>0</v>
      </c>
      <c r="Y50" s="53">
        <f t="shared" si="60"/>
        <v>0</v>
      </c>
      <c r="Z50" s="256">
        <f>IF((Y48+Y49+Y50+Y54)&lt;0,(Y48+Y49+Y50+Y54)-Z59+(Y48+Y49+Y50+Y54-Z59/2)*Z56/12,0)</f>
        <v>0</v>
      </c>
      <c r="AA50" s="53">
        <f>IF(Z50&lt;&gt;0,Z50-AA59+(Z50+Z50-AA59)/2*AA56/12,0)</f>
        <v>0</v>
      </c>
      <c r="AB50" s="53">
        <f>IF(AA50&lt;&gt;0,AA50-AB59+(AA50+AA50-AB59)/2*AB56/12,0)</f>
        <v>0</v>
      </c>
      <c r="AC50" s="53">
        <f>IF(AB50&lt;&gt;0,AB50-AC59+(AB50+AB50-AC59)/2*AC56/12,0)</f>
        <v>0</v>
      </c>
      <c r="AD50" s="53">
        <f t="shared" ref="AD50:AK50" si="61">IF(AC50&lt;&gt;0,AC50-AD59+(AC50+AC50-AD59)/2*AD56/12,0)</f>
        <v>0</v>
      </c>
      <c r="AE50" s="53">
        <f t="shared" si="61"/>
        <v>0</v>
      </c>
      <c r="AF50" s="53">
        <f t="shared" si="61"/>
        <v>0</v>
      </c>
      <c r="AG50" s="53">
        <f t="shared" si="61"/>
        <v>0</v>
      </c>
      <c r="AH50" s="53">
        <f t="shared" si="61"/>
        <v>0</v>
      </c>
      <c r="AI50" s="53">
        <f t="shared" si="61"/>
        <v>0</v>
      </c>
      <c r="AJ50" s="53">
        <f t="shared" si="61"/>
        <v>0</v>
      </c>
      <c r="AK50" s="53">
        <f t="shared" si="61"/>
        <v>0</v>
      </c>
      <c r="AL50" s="256">
        <f>IF((AK48+AK49+AK50+AK54)&lt;0,(AK48+AK49+AK50+AK54)-AL59+(AK48+AK49+AK50+AK54-AL59/2)*AL56/12,0)</f>
        <v>0</v>
      </c>
      <c r="AM50" s="53">
        <f>IF(AL50&lt;&gt;0,AL50-AM59+(AL50+AL50-AM59)/2*AM56/12,0)</f>
        <v>0</v>
      </c>
      <c r="AN50" s="53">
        <f>IF(AM50&lt;&gt;0,AM50-AN59+(AM50+AM50-AN59)/2*AN56/12,0)</f>
        <v>0</v>
      </c>
      <c r="AO50" s="53">
        <f>IF(AN50&lt;&gt;0,AN50-AO59+(AN50+AN50-AO59)/2*AO56/12,0)</f>
        <v>0</v>
      </c>
      <c r="AP50" s="53">
        <f t="shared" ref="AP50:AW50" si="62">IF(AO50&lt;&gt;0,AO50-AP59+(AO50+AO50-AP59)/2*AP56/12,0)</f>
        <v>0</v>
      </c>
      <c r="AQ50" s="53">
        <f t="shared" si="62"/>
        <v>0</v>
      </c>
      <c r="AR50" s="53">
        <f t="shared" si="62"/>
        <v>0</v>
      </c>
      <c r="AS50" s="53">
        <f t="shared" si="62"/>
        <v>0</v>
      </c>
      <c r="AT50" s="53">
        <f t="shared" si="62"/>
        <v>0</v>
      </c>
      <c r="AU50" s="53">
        <f t="shared" si="62"/>
        <v>0</v>
      </c>
      <c r="AV50" s="53">
        <f t="shared" si="62"/>
        <v>0</v>
      </c>
      <c r="AW50" s="53">
        <f t="shared" si="62"/>
        <v>0</v>
      </c>
    </row>
    <row r="51" spans="1:49" ht="15.75" thickBot="1" x14ac:dyDescent="0.3">
      <c r="A51">
        <v>253311</v>
      </c>
      <c r="B51" t="s">
        <v>295</v>
      </c>
      <c r="C51" s="258">
        <f>SUM(AB41:AK41)</f>
        <v>0</v>
      </c>
      <c r="N51" s="53"/>
      <c r="O51" s="257">
        <f>-O44</f>
        <v>0</v>
      </c>
      <c r="AA51" s="258"/>
      <c r="AM51" s="258"/>
    </row>
    <row r="52" spans="1:49" x14ac:dyDescent="0.25">
      <c r="A52">
        <v>253312</v>
      </c>
      <c r="B52" t="s">
        <v>296</v>
      </c>
      <c r="C52" s="250">
        <v>0</v>
      </c>
      <c r="D52" s="259">
        <f>-D44</f>
        <v>0</v>
      </c>
      <c r="E52" s="259">
        <f t="shared" ref="E52:M52" si="63">-E44</f>
        <v>0</v>
      </c>
      <c r="F52" s="259">
        <f t="shared" si="63"/>
        <v>0</v>
      </c>
      <c r="G52" s="259">
        <f t="shared" si="63"/>
        <v>0</v>
      </c>
      <c r="H52" s="259">
        <f t="shared" si="63"/>
        <v>0</v>
      </c>
      <c r="I52" s="259">
        <f t="shared" si="63"/>
        <v>0</v>
      </c>
      <c r="J52" s="259">
        <f t="shared" si="63"/>
        <v>0</v>
      </c>
      <c r="K52" s="259">
        <f t="shared" si="63"/>
        <v>0</v>
      </c>
      <c r="L52" s="259">
        <f t="shared" si="63"/>
        <v>0</v>
      </c>
      <c r="M52" s="259">
        <f t="shared" si="63"/>
        <v>0</v>
      </c>
      <c r="N52" s="53"/>
      <c r="O52" s="38"/>
      <c r="P52" s="38">
        <f>-P44</f>
        <v>0</v>
      </c>
      <c r="Q52" s="38">
        <f t="shared" ref="Q52:Y52" si="64">-Q44</f>
        <v>0</v>
      </c>
      <c r="R52" s="38">
        <f t="shared" si="64"/>
        <v>0</v>
      </c>
      <c r="S52" s="38">
        <f t="shared" si="64"/>
        <v>0</v>
      </c>
      <c r="T52" s="38">
        <f t="shared" si="64"/>
        <v>0</v>
      </c>
      <c r="U52" s="38">
        <f t="shared" si="64"/>
        <v>0</v>
      </c>
      <c r="V52" s="38">
        <f t="shared" si="64"/>
        <v>0</v>
      </c>
      <c r="W52" s="38">
        <f t="shared" si="64"/>
        <v>0</v>
      </c>
      <c r="X52" s="38">
        <f t="shared" si="64"/>
        <v>0</v>
      </c>
      <c r="Y52" s="38">
        <f t="shared" si="64"/>
        <v>0</v>
      </c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</row>
    <row r="53" spans="1:49" x14ac:dyDescent="0.25">
      <c r="A53">
        <v>283328</v>
      </c>
      <c r="B53" t="s">
        <v>297</v>
      </c>
      <c r="C53" s="53">
        <f>SUM(C47:C52)*-0.21</f>
        <v>-276237.36</v>
      </c>
      <c r="D53" s="53">
        <f t="shared" ref="D53:I53" si="65">SUM(D47:D52)*-0.21</f>
        <v>-278979.44938731479</v>
      </c>
      <c r="E53" s="53">
        <f t="shared" si="65"/>
        <v>-194577.98754018691</v>
      </c>
      <c r="F53" s="53">
        <f t="shared" si="65"/>
        <v>-187878.54960208913</v>
      </c>
      <c r="G53" s="53">
        <f t="shared" si="65"/>
        <v>-167179.37170002033</v>
      </c>
      <c r="H53" s="53">
        <f t="shared" si="65"/>
        <v>-215143.40230746657</v>
      </c>
      <c r="I53" s="53">
        <f t="shared" si="65"/>
        <v>-216993.488824156</v>
      </c>
      <c r="J53" s="53">
        <f t="shared" ref="J53:AW53" si="66">SUM(J47:J52)*-0.21</f>
        <v>-224660.7251858206</v>
      </c>
      <c r="K53" s="53">
        <f t="shared" si="66"/>
        <v>-235079.92165032928</v>
      </c>
      <c r="L53" s="53">
        <f t="shared" si="66"/>
        <v>-213229.83224489802</v>
      </c>
      <c r="M53" s="53">
        <f t="shared" si="66"/>
        <v>-169323.56489813628</v>
      </c>
      <c r="N53" s="53">
        <f t="shared" si="66"/>
        <v>-155519.51729442237</v>
      </c>
      <c r="O53" s="53">
        <f t="shared" si="66"/>
        <v>-168881.31783756008</v>
      </c>
      <c r="P53" s="53">
        <f t="shared" si="66"/>
        <v>-136469.37657485611</v>
      </c>
      <c r="Q53" s="53">
        <f t="shared" si="66"/>
        <v>-109135.4043256041</v>
      </c>
      <c r="R53" s="53">
        <f t="shared" si="66"/>
        <v>-86707.256860115958</v>
      </c>
      <c r="S53" s="53">
        <f t="shared" si="66"/>
        <v>-72079.313751121867</v>
      </c>
      <c r="T53" s="53">
        <f t="shared" si="66"/>
        <v>-63850.231184375858</v>
      </c>
      <c r="U53" s="53">
        <f t="shared" si="66"/>
        <v>-57545.201598995482</v>
      </c>
      <c r="V53" s="53">
        <f t="shared" si="66"/>
        <v>-50827.085227014628</v>
      </c>
      <c r="W53" s="53">
        <f t="shared" si="66"/>
        <v>-43549.944426902985</v>
      </c>
      <c r="X53" s="53">
        <f t="shared" si="66"/>
        <v>-35176.765598070131</v>
      </c>
      <c r="Y53" s="53">
        <f t="shared" si="66"/>
        <v>-16853.665511246476</v>
      </c>
      <c r="Z53" s="53">
        <f t="shared" si="66"/>
        <v>-14807.825219319197</v>
      </c>
      <c r="AA53" s="53">
        <f t="shared" si="66"/>
        <v>-12139.785429643953</v>
      </c>
      <c r="AB53" s="53">
        <f t="shared" si="66"/>
        <v>-9516.5744874969023</v>
      </c>
      <c r="AC53" s="53">
        <f t="shared" si="66"/>
        <v>-7393.8110454715797</v>
      </c>
      <c r="AD53" s="53">
        <f t="shared" si="66"/>
        <v>-5604.8964530880576</v>
      </c>
      <c r="AE53" s="53">
        <f t="shared" si="66"/>
        <v>-4447.2972898755015</v>
      </c>
      <c r="AF53" s="53">
        <f t="shared" si="66"/>
        <v>-3800.28915084967</v>
      </c>
      <c r="AG53" s="53">
        <f t="shared" si="66"/>
        <v>-3302.0766802344961</v>
      </c>
      <c r="AH53" s="53">
        <f t="shared" si="66"/>
        <v>-2786.3317615585738</v>
      </c>
      <c r="AI53" s="53">
        <f t="shared" si="66"/>
        <v>-2225.6007175029617</v>
      </c>
      <c r="AJ53" s="53">
        <f t="shared" si="66"/>
        <v>-1555.6144462643495</v>
      </c>
      <c r="AK53" s="53">
        <f t="shared" si="66"/>
        <v>-75.057444901062041</v>
      </c>
      <c r="AL53" s="53">
        <f t="shared" si="66"/>
        <v>-59.39805577090528</v>
      </c>
      <c r="AM53" s="53">
        <f t="shared" si="66"/>
        <v>-39.075214495548657</v>
      </c>
      <c r="AN53" s="53">
        <f t="shared" si="66"/>
        <v>-19.254096977410875</v>
      </c>
      <c r="AO53" s="53">
        <f t="shared" si="66"/>
        <v>-3.1917404723573859</v>
      </c>
      <c r="AP53" s="53">
        <f t="shared" si="66"/>
        <v>10.304906042771071</v>
      </c>
      <c r="AQ53" s="53">
        <f t="shared" si="66"/>
        <v>19.082143314953754</v>
      </c>
      <c r="AR53" s="53">
        <f t="shared" si="66"/>
        <v>24.069106014966628</v>
      </c>
      <c r="AS53" s="53">
        <f t="shared" si="66"/>
        <v>27.90309492813854</v>
      </c>
      <c r="AT53" s="53">
        <f t="shared" si="66"/>
        <v>31.836074160675704</v>
      </c>
      <c r="AU53" s="53">
        <f t="shared" si="66"/>
        <v>36.144467729245264</v>
      </c>
      <c r="AV53" s="53">
        <f t="shared" si="66"/>
        <v>41.310543284905968</v>
      </c>
      <c r="AW53" s="53">
        <f t="shared" si="66"/>
        <v>52.551169196189775</v>
      </c>
    </row>
    <row r="54" spans="1:49" x14ac:dyDescent="0.25">
      <c r="A54">
        <v>229000</v>
      </c>
      <c r="B54" t="s">
        <v>298</v>
      </c>
      <c r="C54" s="250">
        <v>-59185</v>
      </c>
      <c r="D54" s="38">
        <f t="shared" ref="D54:I54" si="67">C54</f>
        <v>-59185</v>
      </c>
      <c r="E54" s="38">
        <f t="shared" si="67"/>
        <v>-59185</v>
      </c>
      <c r="F54" s="38">
        <f t="shared" si="67"/>
        <v>-59185</v>
      </c>
      <c r="G54" s="38">
        <f t="shared" si="67"/>
        <v>-59185</v>
      </c>
      <c r="H54" s="38">
        <f t="shared" si="67"/>
        <v>-59185</v>
      </c>
      <c r="I54" s="38">
        <f t="shared" si="67"/>
        <v>-59185</v>
      </c>
      <c r="J54" s="38">
        <f>I54</f>
        <v>-59185</v>
      </c>
      <c r="K54" s="38">
        <f>J54</f>
        <v>-59185</v>
      </c>
      <c r="L54" s="38">
        <f>K54</f>
        <v>-59185</v>
      </c>
      <c r="M54" s="38">
        <f>L54</f>
        <v>-59185</v>
      </c>
      <c r="N54" s="256">
        <v>0</v>
      </c>
      <c r="O54" s="260">
        <f>-SUM(D64:O64)</f>
        <v>0</v>
      </c>
      <c r="P54" s="38">
        <f t="shared" ref="P54:Y54" si="68">O54</f>
        <v>0</v>
      </c>
      <c r="Q54" s="38">
        <f t="shared" si="68"/>
        <v>0</v>
      </c>
      <c r="R54" s="38">
        <f t="shared" si="68"/>
        <v>0</v>
      </c>
      <c r="S54" s="38">
        <f t="shared" si="68"/>
        <v>0</v>
      </c>
      <c r="T54" s="38">
        <f t="shared" si="68"/>
        <v>0</v>
      </c>
      <c r="U54" s="38">
        <f t="shared" si="68"/>
        <v>0</v>
      </c>
      <c r="V54" s="38">
        <f t="shared" si="68"/>
        <v>0</v>
      </c>
      <c r="W54" s="38">
        <f t="shared" si="68"/>
        <v>0</v>
      </c>
      <c r="X54" s="38">
        <f t="shared" si="68"/>
        <v>0</v>
      </c>
      <c r="Y54" s="38">
        <f t="shared" si="68"/>
        <v>0</v>
      </c>
      <c r="Z54" s="256">
        <v>0</v>
      </c>
      <c r="AA54" s="260">
        <f>-SUM(P64:AA64)</f>
        <v>0</v>
      </c>
      <c r="AB54" s="38">
        <f t="shared" ref="AB54:AK54" si="69">AA54</f>
        <v>0</v>
      </c>
      <c r="AC54" s="38">
        <f t="shared" si="69"/>
        <v>0</v>
      </c>
      <c r="AD54" s="38">
        <f t="shared" si="69"/>
        <v>0</v>
      </c>
      <c r="AE54" s="38">
        <f t="shared" si="69"/>
        <v>0</v>
      </c>
      <c r="AF54" s="38">
        <f t="shared" si="69"/>
        <v>0</v>
      </c>
      <c r="AG54" s="38">
        <f t="shared" si="69"/>
        <v>0</v>
      </c>
      <c r="AH54" s="38">
        <f t="shared" si="69"/>
        <v>0</v>
      </c>
      <c r="AI54" s="38">
        <f t="shared" si="69"/>
        <v>0</v>
      </c>
      <c r="AJ54" s="38">
        <f t="shared" si="69"/>
        <v>0</v>
      </c>
      <c r="AK54" s="38">
        <f t="shared" si="69"/>
        <v>0</v>
      </c>
      <c r="AL54" s="256">
        <v>0</v>
      </c>
      <c r="AM54" s="260">
        <f>-SUM(AB64:AM64)</f>
        <v>0</v>
      </c>
      <c r="AN54" s="38">
        <f t="shared" ref="AN54:AW54" si="70">AM54</f>
        <v>0</v>
      </c>
      <c r="AO54" s="38">
        <f t="shared" si="70"/>
        <v>0</v>
      </c>
      <c r="AP54" s="38">
        <f t="shared" si="70"/>
        <v>0</v>
      </c>
      <c r="AQ54" s="38">
        <f t="shared" si="70"/>
        <v>0</v>
      </c>
      <c r="AR54" s="38">
        <f t="shared" si="70"/>
        <v>0</v>
      </c>
      <c r="AS54" s="38">
        <f t="shared" si="70"/>
        <v>0</v>
      </c>
      <c r="AT54" s="38">
        <f t="shared" si="70"/>
        <v>0</v>
      </c>
      <c r="AU54" s="38">
        <f t="shared" si="70"/>
        <v>0</v>
      </c>
      <c r="AV54" s="38">
        <f t="shared" si="70"/>
        <v>0</v>
      </c>
      <c r="AW54" s="38">
        <f t="shared" si="70"/>
        <v>0</v>
      </c>
    </row>
    <row r="55" spans="1:49" x14ac:dyDescent="0.25">
      <c r="A55">
        <v>190449</v>
      </c>
      <c r="B55" t="s">
        <v>299</v>
      </c>
      <c r="C55" s="53">
        <f>C54*-0.21</f>
        <v>12428.85</v>
      </c>
      <c r="D55" s="53">
        <f t="shared" ref="D55:AW55" si="71">D54*-0.21</f>
        <v>12428.85</v>
      </c>
      <c r="E55" s="53">
        <f t="shared" si="71"/>
        <v>12428.85</v>
      </c>
      <c r="F55" s="53">
        <f t="shared" si="71"/>
        <v>12428.85</v>
      </c>
      <c r="G55" s="53">
        <f t="shared" si="71"/>
        <v>12428.85</v>
      </c>
      <c r="H55" s="53">
        <f t="shared" si="71"/>
        <v>12428.85</v>
      </c>
      <c r="I55" s="53">
        <f t="shared" si="71"/>
        <v>12428.85</v>
      </c>
      <c r="J55" s="53">
        <f t="shared" si="71"/>
        <v>12428.85</v>
      </c>
      <c r="K55" s="53">
        <f t="shared" si="71"/>
        <v>12428.85</v>
      </c>
      <c r="L55" s="53">
        <f t="shared" si="71"/>
        <v>12428.85</v>
      </c>
      <c r="M55" s="53">
        <f t="shared" si="71"/>
        <v>12428.85</v>
      </c>
      <c r="N55" s="53">
        <f t="shared" si="71"/>
        <v>0</v>
      </c>
      <c r="O55" s="53">
        <f t="shared" si="71"/>
        <v>0</v>
      </c>
      <c r="P55" s="53">
        <f t="shared" si="71"/>
        <v>0</v>
      </c>
      <c r="Q55" s="53">
        <f t="shared" si="71"/>
        <v>0</v>
      </c>
      <c r="R55" s="53">
        <f t="shared" si="71"/>
        <v>0</v>
      </c>
      <c r="S55" s="53">
        <f t="shared" si="71"/>
        <v>0</v>
      </c>
      <c r="T55" s="53">
        <f t="shared" si="71"/>
        <v>0</v>
      </c>
      <c r="U55" s="53">
        <f t="shared" si="71"/>
        <v>0</v>
      </c>
      <c r="V55" s="53">
        <f t="shared" si="71"/>
        <v>0</v>
      </c>
      <c r="W55" s="53">
        <f t="shared" si="71"/>
        <v>0</v>
      </c>
      <c r="X55" s="53">
        <f t="shared" si="71"/>
        <v>0</v>
      </c>
      <c r="Y55" s="53">
        <f t="shared" si="71"/>
        <v>0</v>
      </c>
      <c r="Z55" s="53">
        <f t="shared" si="71"/>
        <v>0</v>
      </c>
      <c r="AA55" s="53">
        <f t="shared" si="71"/>
        <v>0</v>
      </c>
      <c r="AB55" s="53">
        <f t="shared" si="71"/>
        <v>0</v>
      </c>
      <c r="AC55" s="53">
        <f t="shared" si="71"/>
        <v>0</v>
      </c>
      <c r="AD55" s="53">
        <f t="shared" si="71"/>
        <v>0</v>
      </c>
      <c r="AE55" s="53">
        <f t="shared" si="71"/>
        <v>0</v>
      </c>
      <c r="AF55" s="53">
        <f t="shared" si="71"/>
        <v>0</v>
      </c>
      <c r="AG55" s="53">
        <f t="shared" si="71"/>
        <v>0</v>
      </c>
      <c r="AH55" s="53">
        <f t="shared" si="71"/>
        <v>0</v>
      </c>
      <c r="AI55" s="53">
        <f t="shared" si="71"/>
        <v>0</v>
      </c>
      <c r="AJ55" s="53">
        <f t="shared" si="71"/>
        <v>0</v>
      </c>
      <c r="AK55" s="53">
        <f t="shared" si="71"/>
        <v>0</v>
      </c>
      <c r="AL55" s="53">
        <f t="shared" si="71"/>
        <v>0</v>
      </c>
      <c r="AM55" s="53">
        <f t="shared" si="71"/>
        <v>0</v>
      </c>
      <c r="AN55" s="53">
        <f t="shared" si="71"/>
        <v>0</v>
      </c>
      <c r="AO55" s="53">
        <f t="shared" si="71"/>
        <v>0</v>
      </c>
      <c r="AP55" s="53">
        <f t="shared" si="71"/>
        <v>0</v>
      </c>
      <c r="AQ55" s="53">
        <f t="shared" si="71"/>
        <v>0</v>
      </c>
      <c r="AR55" s="53">
        <f t="shared" si="71"/>
        <v>0</v>
      </c>
      <c r="AS55" s="53">
        <f t="shared" si="71"/>
        <v>0</v>
      </c>
      <c r="AT55" s="53">
        <f t="shared" si="71"/>
        <v>0</v>
      </c>
      <c r="AU55" s="53">
        <f t="shared" si="71"/>
        <v>0</v>
      </c>
      <c r="AV55" s="53">
        <f t="shared" si="71"/>
        <v>0</v>
      </c>
      <c r="AW55" s="53">
        <f t="shared" si="71"/>
        <v>0</v>
      </c>
    </row>
    <row r="56" spans="1:49" x14ac:dyDescent="0.25">
      <c r="B56" t="s">
        <v>300</v>
      </c>
      <c r="C56" s="53"/>
      <c r="D56" s="262">
        <f t="shared" ref="D56:AW56" si="72">D24</f>
        <v>5.1799999999999999E-2</v>
      </c>
      <c r="E56" s="262">
        <f t="shared" si="72"/>
        <v>5.1799999999999999E-2</v>
      </c>
      <c r="F56" s="262">
        <f t="shared" si="72"/>
        <v>5.1799999999999999E-2</v>
      </c>
      <c r="G56" s="262">
        <f t="shared" si="72"/>
        <v>5.45E-2</v>
      </c>
      <c r="H56" s="262">
        <f t="shared" si="72"/>
        <v>5.45E-2</v>
      </c>
      <c r="I56" s="262">
        <f t="shared" si="72"/>
        <v>5.45E-2</v>
      </c>
      <c r="J56" s="262">
        <f t="shared" si="72"/>
        <v>5.5E-2</v>
      </c>
      <c r="K56" s="262">
        <f t="shared" si="72"/>
        <v>5.5E-2</v>
      </c>
      <c r="L56" s="262">
        <f t="shared" si="72"/>
        <v>5.5E-2</v>
      </c>
      <c r="M56" s="262">
        <f t="shared" si="72"/>
        <v>5.4199999999999998E-2</v>
      </c>
      <c r="N56" s="262">
        <f t="shared" si="72"/>
        <v>5.4199999999999998E-2</v>
      </c>
      <c r="O56" s="262">
        <f t="shared" si="72"/>
        <v>5.4199999999999998E-2</v>
      </c>
      <c r="P56" s="262">
        <f t="shared" si="72"/>
        <v>5.4199999999999998E-2</v>
      </c>
      <c r="Q56" s="262">
        <f t="shared" si="72"/>
        <v>5.4199999999999998E-2</v>
      </c>
      <c r="R56" s="262">
        <f t="shared" si="72"/>
        <v>5.4199999999999998E-2</v>
      </c>
      <c r="S56" s="262">
        <f t="shared" si="72"/>
        <v>5.4199999999999998E-2</v>
      </c>
      <c r="T56" s="262">
        <f t="shared" si="72"/>
        <v>5.4199999999999998E-2</v>
      </c>
      <c r="U56" s="262">
        <f t="shared" si="72"/>
        <v>5.4199999999999998E-2</v>
      </c>
      <c r="V56" s="262">
        <f t="shared" si="72"/>
        <v>5.4199999999999998E-2</v>
      </c>
      <c r="W56" s="262">
        <f t="shared" si="72"/>
        <v>5.4199999999999998E-2</v>
      </c>
      <c r="X56" s="262">
        <f t="shared" si="72"/>
        <v>5.4199999999999998E-2</v>
      </c>
      <c r="Y56" s="262">
        <f t="shared" si="72"/>
        <v>5.4199999999999998E-2</v>
      </c>
      <c r="Z56" s="262">
        <f t="shared" si="72"/>
        <v>5.4199999999999998E-2</v>
      </c>
      <c r="AA56" s="262">
        <f t="shared" si="72"/>
        <v>5.4199999999999998E-2</v>
      </c>
      <c r="AB56" s="262">
        <f t="shared" si="72"/>
        <v>5.4199999999999998E-2</v>
      </c>
      <c r="AC56" s="262">
        <f t="shared" si="72"/>
        <v>5.4199999999999998E-2</v>
      </c>
      <c r="AD56" s="262">
        <f t="shared" si="72"/>
        <v>5.4199999999999998E-2</v>
      </c>
      <c r="AE56" s="262">
        <f t="shared" si="72"/>
        <v>5.4199999999999998E-2</v>
      </c>
      <c r="AF56" s="262">
        <f t="shared" si="72"/>
        <v>5.4199999999999998E-2</v>
      </c>
      <c r="AG56" s="262">
        <f t="shared" si="72"/>
        <v>5.4199999999999998E-2</v>
      </c>
      <c r="AH56" s="262">
        <f t="shared" si="72"/>
        <v>5.4199999999999998E-2</v>
      </c>
      <c r="AI56" s="262">
        <f t="shared" si="72"/>
        <v>5.4199999999999998E-2</v>
      </c>
      <c r="AJ56" s="262">
        <f t="shared" si="72"/>
        <v>5.4199999999999998E-2</v>
      </c>
      <c r="AK56" s="262">
        <f t="shared" si="72"/>
        <v>5.4199999999999998E-2</v>
      </c>
      <c r="AL56" s="262">
        <f t="shared" si="72"/>
        <v>5.4199999999999998E-2</v>
      </c>
      <c r="AM56" s="262">
        <f t="shared" si="72"/>
        <v>5.4199999999999998E-2</v>
      </c>
      <c r="AN56" s="262">
        <f t="shared" si="72"/>
        <v>5.4199999999999998E-2</v>
      </c>
      <c r="AO56" s="262">
        <f t="shared" si="72"/>
        <v>5.4199999999999998E-2</v>
      </c>
      <c r="AP56" s="262">
        <f t="shared" si="72"/>
        <v>5.4199999999999998E-2</v>
      </c>
      <c r="AQ56" s="262">
        <f t="shared" si="72"/>
        <v>5.4199999999999998E-2</v>
      </c>
      <c r="AR56" s="262">
        <f t="shared" si="72"/>
        <v>5.4199999999999998E-2</v>
      </c>
      <c r="AS56" s="262">
        <f t="shared" si="72"/>
        <v>5.4199999999999998E-2</v>
      </c>
      <c r="AT56" s="262">
        <f t="shared" si="72"/>
        <v>5.4199999999999998E-2</v>
      </c>
      <c r="AU56" s="262">
        <f t="shared" si="72"/>
        <v>5.4199999999999998E-2</v>
      </c>
      <c r="AV56" s="262">
        <f t="shared" si="72"/>
        <v>5.4199999999999998E-2</v>
      </c>
      <c r="AW56" s="262">
        <f t="shared" si="72"/>
        <v>5.4199999999999998E-2</v>
      </c>
    </row>
    <row r="57" spans="1:49" x14ac:dyDescent="0.25">
      <c r="A57" t="s">
        <v>301</v>
      </c>
      <c r="C57" s="53"/>
    </row>
    <row r="58" spans="1:49" x14ac:dyDescent="0.25">
      <c r="A58">
        <v>456338</v>
      </c>
      <c r="B58" t="s">
        <v>314</v>
      </c>
      <c r="C58" s="264"/>
      <c r="D58" s="250">
        <f>'Deferral Calc'!D56</f>
        <v>-61658.99</v>
      </c>
      <c r="E58" s="250">
        <f>'Deferral Calc'!E56</f>
        <v>346060.84182655904</v>
      </c>
      <c r="F58" s="250">
        <f>'Deferral Calc'!F56</f>
        <v>-10228.35</v>
      </c>
      <c r="G58" s="250">
        <f>'Deferral Calc'!G56</f>
        <v>71535.56</v>
      </c>
      <c r="H58" s="250">
        <f>'Deferral Calc'!H56</f>
        <v>-240987.92</v>
      </c>
      <c r="I58" s="250">
        <f>'Deferral Calc'!I56</f>
        <v>-19716.78512734043</v>
      </c>
      <c r="J58" s="250">
        <f>'Deferral Calc'!J56</f>
        <v>-44831.908505679021</v>
      </c>
      <c r="K58" s="250">
        <f>'Deferral Calc'!K56</f>
        <v>-57837.598996594497</v>
      </c>
      <c r="L58" s="250">
        <f>'Deferral Calc'!L56</f>
        <v>89171.24</v>
      </c>
      <c r="M58" s="250">
        <f>'Deferral Calc'!M56</f>
        <v>176687.17</v>
      </c>
      <c r="N58" s="250">
        <f>'Deferral Calc'!N56</f>
        <v>-117948.89</v>
      </c>
      <c r="O58" s="250">
        <f>'Deferral Calc'!O56</f>
        <v>-200264.68</v>
      </c>
      <c r="P58" s="250"/>
      <c r="Q58" s="250"/>
      <c r="R58" s="250"/>
      <c r="S58" s="250"/>
      <c r="T58" s="250"/>
      <c r="U58" s="250"/>
      <c r="V58" s="250"/>
      <c r="W58" s="250"/>
      <c r="X58" s="250"/>
      <c r="Y58" s="250"/>
      <c r="Z58" s="250"/>
      <c r="AA58" s="250"/>
      <c r="AB58" s="250"/>
      <c r="AC58" s="250"/>
      <c r="AD58" s="250"/>
      <c r="AE58" s="250"/>
      <c r="AF58" s="250"/>
      <c r="AG58" s="250"/>
      <c r="AH58" s="250"/>
      <c r="AI58" s="250"/>
      <c r="AJ58" s="250"/>
      <c r="AK58" s="250"/>
      <c r="AL58" s="250"/>
      <c r="AM58" s="250"/>
      <c r="AN58" s="250"/>
      <c r="AO58" s="250"/>
      <c r="AP58" s="250"/>
      <c r="AQ58" s="250"/>
      <c r="AR58" s="250"/>
      <c r="AS58" s="250"/>
      <c r="AT58" s="250"/>
      <c r="AU58" s="250"/>
      <c r="AV58" s="250"/>
      <c r="AW58" s="250"/>
    </row>
    <row r="59" spans="1:49" x14ac:dyDescent="0.25">
      <c r="A59">
        <v>456339</v>
      </c>
      <c r="B59" t="s">
        <v>315</v>
      </c>
      <c r="C59" s="53"/>
      <c r="D59" s="250">
        <f>'Deferral Calc'!D60</f>
        <v>54040.595008167715</v>
      </c>
      <c r="E59" s="250">
        <f>'Deferral Calc'!E60</f>
        <v>60452.58542858281</v>
      </c>
      <c r="F59" s="250">
        <f>'Deferral Calc'!F60</f>
        <v>45797.841316857892</v>
      </c>
      <c r="G59" s="250">
        <f>'Deferral Calc'!G60</f>
        <v>30594.48138544098</v>
      </c>
      <c r="H59" s="250">
        <f>'Deferral Calc'!H60</f>
        <v>16444.462095695821</v>
      </c>
      <c r="I59" s="250">
        <f>'Deferral Calc'!I60</f>
        <v>15300.98129318374</v>
      </c>
      <c r="J59" s="250">
        <f>'Deferral Calc'!J60</f>
        <v>12859.234294933078</v>
      </c>
      <c r="K59" s="250">
        <f>'Deferral Calc'!K60</f>
        <v>12957.273378167059</v>
      </c>
      <c r="L59" s="250">
        <f>'Deferral Calc'!L60</f>
        <v>19487.24375486463</v>
      </c>
      <c r="M59" s="250">
        <f>'Deferral Calc'!M60</f>
        <v>36228.274287845998</v>
      </c>
      <c r="N59" s="250">
        <f>'Deferral Calc'!N60</f>
        <v>127849.57254273602</v>
      </c>
      <c r="O59" s="250">
        <f>'Deferral Calc'!O60</f>
        <v>140117.79398730304</v>
      </c>
      <c r="P59" s="53">
        <f t="shared" ref="P59:AW59" si="73">P35*P36</f>
        <v>157618.91006431257</v>
      </c>
      <c r="Q59" s="53">
        <f t="shared" si="73"/>
        <v>132797.04730364127</v>
      </c>
      <c r="R59" s="53">
        <f t="shared" si="73"/>
        <v>108902.04245107801</v>
      </c>
      <c r="S59" s="53">
        <f t="shared" si="73"/>
        <v>71360.610078488273</v>
      </c>
      <c r="T59" s="53">
        <f t="shared" si="73"/>
        <v>40644.595719057819</v>
      </c>
      <c r="U59" s="53">
        <f t="shared" si="73"/>
        <v>31326.491465012081</v>
      </c>
      <c r="V59" s="53">
        <f t="shared" si="73"/>
        <v>33153.836471063056</v>
      </c>
      <c r="W59" s="53">
        <f t="shared" si="73"/>
        <v>35665.692129656367</v>
      </c>
      <c r="X59" s="53">
        <f t="shared" si="73"/>
        <v>40716.997025341756</v>
      </c>
      <c r="Y59" s="53">
        <f t="shared" si="73"/>
        <v>87811.13039453332</v>
      </c>
      <c r="Z59" s="53">
        <f t="shared" si="73"/>
        <v>10081.816094620008</v>
      </c>
      <c r="AA59" s="53">
        <f t="shared" si="73"/>
        <v>12994.092152599042</v>
      </c>
      <c r="AB59" s="53">
        <f t="shared" si="73"/>
        <v>12723.847721693319</v>
      </c>
      <c r="AC59" s="53">
        <f t="shared" si="73"/>
        <v>10289.841331154996</v>
      </c>
      <c r="AD59" s="53">
        <f t="shared" si="73"/>
        <v>8658.1136280197479</v>
      </c>
      <c r="AE59" s="53">
        <f t="shared" si="73"/>
        <v>5620.2343621242862</v>
      </c>
      <c r="AF59" s="53">
        <f t="shared" si="73"/>
        <v>3169.485571046192</v>
      </c>
      <c r="AG59" s="53">
        <f t="shared" si="73"/>
        <v>2448.6468532208155</v>
      </c>
      <c r="AH59" s="53">
        <f t="shared" si="73"/>
        <v>2521.2552050824024</v>
      </c>
      <c r="AI59" s="53">
        <f t="shared" si="73"/>
        <v>2723.9245458545092</v>
      </c>
      <c r="AJ59" s="53">
        <f t="shared" si="73"/>
        <v>3230.9822594102002</v>
      </c>
      <c r="AK59" s="53">
        <f t="shared" si="73"/>
        <v>7067.7681154769043</v>
      </c>
      <c r="AL59" s="53">
        <f t="shared" si="73"/>
        <v>76.011191818602782</v>
      </c>
      <c r="AM59" s="53">
        <f t="shared" si="73"/>
        <v>97.832026929288872</v>
      </c>
      <c r="AN59" s="53">
        <f t="shared" si="73"/>
        <v>95.012132063388634</v>
      </c>
      <c r="AO59" s="53">
        <f t="shared" si="73"/>
        <v>76.728249859867077</v>
      </c>
      <c r="AP59" s="53">
        <f t="shared" si="73"/>
        <v>64.1934229148155</v>
      </c>
      <c r="AQ59" s="53">
        <f t="shared" si="73"/>
        <v>41.481052653976285</v>
      </c>
      <c r="AR59" s="53">
        <f t="shared" si="73"/>
        <v>23.284439875061501</v>
      </c>
      <c r="AS59" s="53">
        <f t="shared" si="73"/>
        <v>17.699442018858107</v>
      </c>
      <c r="AT59" s="53">
        <f t="shared" si="73"/>
        <v>18.08748696706796</v>
      </c>
      <c r="AU59" s="53">
        <f t="shared" si="73"/>
        <v>19.786746519398505</v>
      </c>
      <c r="AV59" s="53">
        <f t="shared" si="73"/>
        <v>23.769287896660124</v>
      </c>
      <c r="AW59" s="53">
        <f t="shared" si="73"/>
        <v>52.519678570879741</v>
      </c>
    </row>
    <row r="60" spans="1:49" x14ac:dyDescent="0.25">
      <c r="A60" s="245" t="s">
        <v>305</v>
      </c>
      <c r="B60" t="s">
        <v>306</v>
      </c>
      <c r="C60" s="53"/>
      <c r="D60" s="38">
        <f t="shared" ref="D60:AW60" si="74">SUM(C47:C52,C54)-SUM(D47:D52,D54)-SUM(D58:D59,D63:D64)</f>
        <v>-5439.1735191904372</v>
      </c>
      <c r="E60" s="38">
        <f t="shared" si="74"/>
        <v>-4601.7041735805687</v>
      </c>
      <c r="F60" s="38">
        <f t="shared" si="74"/>
        <v>-3667.4058973447245</v>
      </c>
      <c r="G60" s="38">
        <f t="shared" si="74"/>
        <v>-3562.527566065779</v>
      </c>
      <c r="H60" s="38">
        <f t="shared" si="74"/>
        <v>-3856.6878454398247</v>
      </c>
      <c r="I60" s="38">
        <f t="shared" si="74"/>
        <v>-4394.1319596023786</v>
      </c>
      <c r="J60" s="38">
        <f t="shared" si="74"/>
        <v>-4537.9751305141399</v>
      </c>
      <c r="K60" s="38">
        <f t="shared" si="74"/>
        <v>-4734.8956411376566</v>
      </c>
      <c r="L60" s="38">
        <f t="shared" si="74"/>
        <v>-4610.4389670967066</v>
      </c>
      <c r="M60" s="38">
        <f t="shared" si="74"/>
        <v>-3837.9807318377134</v>
      </c>
      <c r="N60" s="38">
        <f>SUM(M47:M52,M54)-SUM(N47:N52,N54)-SUM(N58:N59,N63:N64)</f>
        <v>-3352.1225250508433</v>
      </c>
      <c r="O60" s="38">
        <f t="shared" si="74"/>
        <v>-3480.7356212920859</v>
      </c>
      <c r="P60" s="38">
        <f t="shared" si="74"/>
        <v>-3276.3326228650403</v>
      </c>
      <c r="Q60" s="38">
        <f t="shared" si="74"/>
        <v>-2635.2746881555649</v>
      </c>
      <c r="R60" s="38">
        <f t="shared" si="74"/>
        <v>-2101.3402344677597</v>
      </c>
      <c r="S60" s="38">
        <f t="shared" si="74"/>
        <v>-1703.7381308973709</v>
      </c>
      <c r="T60" s="38">
        <f t="shared" si="74"/>
        <v>-1458.4882583625586</v>
      </c>
      <c r="U60" s="38">
        <f t="shared" si="74"/>
        <v>-1302.5410584388337</v>
      </c>
      <c r="V60" s="38">
        <f t="shared" si="74"/>
        <v>-1162.8061282970884</v>
      </c>
      <c r="W60" s="38">
        <f t="shared" si="74"/>
        <v>-1012.6407005533256</v>
      </c>
      <c r="X60" s="38">
        <f t="shared" si="74"/>
        <v>-844.71688804242876</v>
      </c>
      <c r="Y60" s="38">
        <f t="shared" si="74"/>
        <v>-558.27283823020116</v>
      </c>
      <c r="Z60" s="38">
        <f t="shared" si="74"/>
        <v>-339.71946639487578</v>
      </c>
      <c r="AA60" s="38">
        <f t="shared" si="74"/>
        <v>-289.14077319311764</v>
      </c>
      <c r="AB60" s="38">
        <f t="shared" si="74"/>
        <v>-232.36704480259687</v>
      </c>
      <c r="AC60" s="38">
        <f t="shared" si="74"/>
        <v>-181.44398817727051</v>
      </c>
      <c r="AD60" s="38">
        <f t="shared" si="74"/>
        <v>-139.4727119077379</v>
      </c>
      <c r="AE60" s="38">
        <f t="shared" si="74"/>
        <v>-107.85739444544652</v>
      </c>
      <c r="AF60" s="38">
        <f t="shared" si="74"/>
        <v>-88.494432827948458</v>
      </c>
      <c r="AG60" s="38">
        <f t="shared" si="74"/>
        <v>-76.20651695808283</v>
      </c>
      <c r="AH60" s="38">
        <f t="shared" si="74"/>
        <v>-65.327020911342515</v>
      </c>
      <c r="AI60" s="38">
        <f t="shared" si="74"/>
        <v>-53.776717018262389</v>
      </c>
      <c r="AJ60" s="38">
        <f t="shared" si="74"/>
        <v>-40.571443988236297</v>
      </c>
      <c r="AK60" s="38">
        <f t="shared" si="74"/>
        <v>-17.496680413630202</v>
      </c>
      <c r="AL60" s="38">
        <f t="shared" si="74"/>
        <v>-1.4426721511896119</v>
      </c>
      <c r="AM60" s="38">
        <f t="shared" si="74"/>
        <v>-1.0565922847335116</v>
      </c>
      <c r="AN60" s="38">
        <f t="shared" si="74"/>
        <v>-0.62585816749444234</v>
      </c>
      <c r="AO60" s="38">
        <f t="shared" si="74"/>
        <v>-0.24083793104094298</v>
      </c>
      <c r="AP60" s="38">
        <f t="shared" si="74"/>
        <v>7.6322395320019609E-2</v>
      </c>
      <c r="AQ60" s="38">
        <f t="shared" si="74"/>
        <v>0.31531530879839664</v>
      </c>
      <c r="AR60" s="38">
        <f t="shared" si="74"/>
        <v>0.46300155357122463</v>
      </c>
      <c r="AS60" s="38">
        <f t="shared" si="74"/>
        <v>0.5576480438652851</v>
      </c>
      <c r="AT60" s="38">
        <f t="shared" si="74"/>
        <v>0.6409855688232966</v>
      </c>
      <c r="AU60" s="38">
        <f t="shared" si="74"/>
        <v>0.72941333093272931</v>
      </c>
      <c r="AV60" s="38">
        <f t="shared" si="74"/>
        <v>0.83107189220039146</v>
      </c>
      <c r="AW60" s="38">
        <f t="shared" si="74"/>
        <v>1.0071114828526717</v>
      </c>
    </row>
    <row r="61" spans="1:49" x14ac:dyDescent="0.25">
      <c r="A61" s="245" t="s">
        <v>307</v>
      </c>
      <c r="B61" t="s">
        <v>308</v>
      </c>
      <c r="C61" s="53"/>
      <c r="D61" s="38">
        <f t="shared" ref="D61:AW61" si="75">SUM(D58:D59,D63:D64)*-0.21</f>
        <v>1599.8629482847793</v>
      </c>
      <c r="E61" s="38">
        <f t="shared" si="75"/>
        <v>-85367.819723579785</v>
      </c>
      <c r="F61" s="38">
        <f t="shared" si="75"/>
        <v>-7469.5931765401574</v>
      </c>
      <c r="G61" s="38">
        <f t="shared" si="75"/>
        <v>-21447.308690942602</v>
      </c>
      <c r="H61" s="38">
        <f t="shared" si="75"/>
        <v>47154.126159903884</v>
      </c>
      <c r="I61" s="38">
        <f t="shared" si="75"/>
        <v>927.31880517290483</v>
      </c>
      <c r="J61" s="38">
        <f t="shared" si="75"/>
        <v>6714.2615842566474</v>
      </c>
      <c r="K61" s="38">
        <f t="shared" si="75"/>
        <v>9424.8683798697621</v>
      </c>
      <c r="L61" s="38">
        <f t="shared" si="75"/>
        <v>-22818.281588521571</v>
      </c>
      <c r="M61" s="38">
        <f t="shared" si="75"/>
        <v>-44712.243300447662</v>
      </c>
      <c r="N61" s="38">
        <f>SUM(N58:N59,N63:N64)*-0.21</f>
        <v>-2079.1433339745636</v>
      </c>
      <c r="O61" s="38">
        <f t="shared" si="75"/>
        <v>12630.84606266636</v>
      </c>
      <c r="P61" s="38">
        <f t="shared" si="75"/>
        <v>-33099.971113505642</v>
      </c>
      <c r="Q61" s="38">
        <f t="shared" si="75"/>
        <v>-27887.379933764667</v>
      </c>
      <c r="R61" s="38">
        <f t="shared" si="75"/>
        <v>-22869.428914726381</v>
      </c>
      <c r="S61" s="38">
        <f t="shared" si="75"/>
        <v>-14985.728116482536</v>
      </c>
      <c r="T61" s="38">
        <f t="shared" si="75"/>
        <v>-8535.3651010021422</v>
      </c>
      <c r="U61" s="38">
        <f t="shared" si="75"/>
        <v>-6578.5632076525371</v>
      </c>
      <c r="V61" s="38">
        <f t="shared" si="75"/>
        <v>-6962.305658923241</v>
      </c>
      <c r="W61" s="38">
        <f t="shared" si="75"/>
        <v>-7489.7953472278368</v>
      </c>
      <c r="X61" s="38">
        <f t="shared" si="75"/>
        <v>-8550.5693753217693</v>
      </c>
      <c r="Y61" s="38">
        <f t="shared" si="75"/>
        <v>-18440.337382851998</v>
      </c>
      <c r="Z61" s="38">
        <f t="shared" si="75"/>
        <v>-2117.1813798702015</v>
      </c>
      <c r="AA61" s="38">
        <f t="shared" si="75"/>
        <v>-2728.7593520457986</v>
      </c>
      <c r="AB61" s="38">
        <f t="shared" si="75"/>
        <v>-2672.0080215555968</v>
      </c>
      <c r="AC61" s="38">
        <f t="shared" si="75"/>
        <v>-2160.8666795425488</v>
      </c>
      <c r="AD61" s="38">
        <f t="shared" si="75"/>
        <v>-1818.203861884147</v>
      </c>
      <c r="AE61" s="38">
        <f t="shared" si="75"/>
        <v>-1180.2492160461002</v>
      </c>
      <c r="AF61" s="38">
        <f t="shared" si="75"/>
        <v>-665.59196991970032</v>
      </c>
      <c r="AG61" s="38">
        <f t="shared" si="75"/>
        <v>-514.21583917637122</v>
      </c>
      <c r="AH61" s="38">
        <f t="shared" si="75"/>
        <v>-529.46359306730449</v>
      </c>
      <c r="AI61" s="38">
        <f t="shared" si="75"/>
        <v>-572.02415462944691</v>
      </c>
      <c r="AJ61" s="38">
        <f t="shared" si="75"/>
        <v>-678.50627447614204</v>
      </c>
      <c r="AK61" s="38">
        <f t="shared" si="75"/>
        <v>-1484.2313042501498</v>
      </c>
      <c r="AL61" s="38">
        <f t="shared" si="75"/>
        <v>-15.962350281906584</v>
      </c>
      <c r="AM61" s="38">
        <f t="shared" si="75"/>
        <v>-20.544725655150664</v>
      </c>
      <c r="AN61" s="38">
        <f t="shared" si="75"/>
        <v>-19.952547733311611</v>
      </c>
      <c r="AO61" s="38">
        <f t="shared" si="75"/>
        <v>-16.112932470572087</v>
      </c>
      <c r="AP61" s="38">
        <f t="shared" si="75"/>
        <v>-13.480618812111254</v>
      </c>
      <c r="AQ61" s="38">
        <f t="shared" si="75"/>
        <v>-8.7110210573350191</v>
      </c>
      <c r="AR61" s="38">
        <f t="shared" si="75"/>
        <v>-4.8897323737629153</v>
      </c>
      <c r="AS61" s="38">
        <f t="shared" si="75"/>
        <v>-3.7168828239602023</v>
      </c>
      <c r="AT61" s="38">
        <f t="shared" si="75"/>
        <v>-3.7983722630842713</v>
      </c>
      <c r="AU61" s="38">
        <f t="shared" si="75"/>
        <v>-4.1552167690736859</v>
      </c>
      <c r="AV61" s="38">
        <f t="shared" si="75"/>
        <v>-4.9915504582986259</v>
      </c>
      <c r="AW61" s="38">
        <f t="shared" si="75"/>
        <v>-11.029132499884746</v>
      </c>
    </row>
    <row r="62" spans="1:49" x14ac:dyDescent="0.25">
      <c r="A62" s="245" t="s">
        <v>309</v>
      </c>
      <c r="B62" t="s">
        <v>310</v>
      </c>
      <c r="C62" s="53"/>
      <c r="D62" s="38">
        <f t="shared" ref="D62:AW62" si="76">D60*-0.21</f>
        <v>1142.2264390299918</v>
      </c>
      <c r="E62" s="38">
        <f t="shared" si="76"/>
        <v>966.35787645191942</v>
      </c>
      <c r="F62" s="38">
        <f t="shared" si="76"/>
        <v>770.15523844239215</v>
      </c>
      <c r="G62" s="38">
        <f t="shared" si="76"/>
        <v>748.13078887381357</v>
      </c>
      <c r="H62" s="38">
        <f t="shared" si="76"/>
        <v>809.90444754236319</v>
      </c>
      <c r="I62" s="38">
        <f t="shared" si="76"/>
        <v>922.7677115164995</v>
      </c>
      <c r="J62" s="38">
        <f t="shared" si="76"/>
        <v>952.97477740796933</v>
      </c>
      <c r="K62" s="38">
        <f t="shared" si="76"/>
        <v>994.32808463890785</v>
      </c>
      <c r="L62" s="38">
        <f t="shared" si="76"/>
        <v>968.19218309030839</v>
      </c>
      <c r="M62" s="38">
        <f t="shared" si="76"/>
        <v>805.97595368591976</v>
      </c>
      <c r="N62" s="38">
        <f t="shared" si="76"/>
        <v>703.94573026067701</v>
      </c>
      <c r="O62" s="38">
        <f t="shared" si="76"/>
        <v>730.954480471338</v>
      </c>
      <c r="P62" s="38">
        <f t="shared" si="76"/>
        <v>688.02985080165843</v>
      </c>
      <c r="Q62" s="38">
        <f t="shared" si="76"/>
        <v>553.40768451266865</v>
      </c>
      <c r="R62" s="38">
        <f t="shared" si="76"/>
        <v>441.28144923822953</v>
      </c>
      <c r="S62" s="38">
        <f t="shared" si="76"/>
        <v>357.78500748844789</v>
      </c>
      <c r="T62" s="38">
        <f t="shared" si="76"/>
        <v>306.2825342561373</v>
      </c>
      <c r="U62" s="38">
        <f t="shared" si="76"/>
        <v>273.53362227215507</v>
      </c>
      <c r="V62" s="38">
        <f t="shared" si="76"/>
        <v>244.18928694238855</v>
      </c>
      <c r="W62" s="38">
        <f t="shared" si="76"/>
        <v>212.65454711619836</v>
      </c>
      <c r="X62" s="38">
        <f t="shared" si="76"/>
        <v>177.39054648891005</v>
      </c>
      <c r="Y62" s="38">
        <f t="shared" si="76"/>
        <v>117.23729602834224</v>
      </c>
      <c r="Z62" s="38">
        <f t="shared" si="76"/>
        <v>71.341087942923906</v>
      </c>
      <c r="AA62" s="38">
        <f t="shared" si="76"/>
        <v>60.719562370554705</v>
      </c>
      <c r="AB62" s="38">
        <f t="shared" si="76"/>
        <v>48.797079408545343</v>
      </c>
      <c r="AC62" s="38">
        <f t="shared" si="76"/>
        <v>38.103237517226809</v>
      </c>
      <c r="AD62" s="38">
        <f t="shared" si="76"/>
        <v>29.289269500624957</v>
      </c>
      <c r="AE62" s="38">
        <f t="shared" si="76"/>
        <v>22.650052833543768</v>
      </c>
      <c r="AF62" s="38">
        <f t="shared" si="76"/>
        <v>18.583830893869177</v>
      </c>
      <c r="AG62" s="38">
        <f t="shared" si="76"/>
        <v>16.003368561197394</v>
      </c>
      <c r="AH62" s="38">
        <f t="shared" si="76"/>
        <v>13.718674391381928</v>
      </c>
      <c r="AI62" s="38">
        <f t="shared" si="76"/>
        <v>11.293110573835101</v>
      </c>
      <c r="AJ62" s="38">
        <f t="shared" si="76"/>
        <v>8.5200032375296217</v>
      </c>
      <c r="AK62" s="38">
        <f t="shared" si="76"/>
        <v>3.6743028868623422</v>
      </c>
      <c r="AL62" s="38">
        <f t="shared" si="76"/>
        <v>0.30296115174981847</v>
      </c>
      <c r="AM62" s="38">
        <f t="shared" si="76"/>
        <v>0.22188437979403744</v>
      </c>
      <c r="AN62" s="38">
        <f t="shared" si="76"/>
        <v>0.13143021517383288</v>
      </c>
      <c r="AO62" s="38">
        <f t="shared" si="76"/>
        <v>5.0575965518598026E-2</v>
      </c>
      <c r="AP62" s="38">
        <f t="shared" si="76"/>
        <v>-1.6027703017204117E-2</v>
      </c>
      <c r="AQ62" s="38">
        <f t="shared" si="76"/>
        <v>-6.6216214847663296E-2</v>
      </c>
      <c r="AR62" s="38">
        <f t="shared" si="76"/>
        <v>-9.7230326249957172E-2</v>
      </c>
      <c r="AS62" s="38">
        <f t="shared" si="76"/>
        <v>-0.11710608921170987</v>
      </c>
      <c r="AT62" s="38">
        <f t="shared" si="76"/>
        <v>-0.13460696945289227</v>
      </c>
      <c r="AU62" s="38">
        <f t="shared" si="76"/>
        <v>-0.15317679949587315</v>
      </c>
      <c r="AV62" s="38">
        <f t="shared" si="76"/>
        <v>-0.17452509736208219</v>
      </c>
      <c r="AW62" s="38">
        <f t="shared" si="76"/>
        <v>-0.21149341139906105</v>
      </c>
    </row>
    <row r="63" spans="1:49" x14ac:dyDescent="0.25">
      <c r="A63">
        <v>456311</v>
      </c>
      <c r="B63" t="s">
        <v>311</v>
      </c>
      <c r="C63" s="53"/>
      <c r="D63" s="38">
        <f t="shared" ref="D63" si="77">-(SUM(D51:D52)-SUM(C51:C52))</f>
        <v>0</v>
      </c>
      <c r="E63" s="38">
        <f t="shared" ref="E63" si="78">-(SUM(E51:E52)-SUM(D51:D52))</f>
        <v>0</v>
      </c>
      <c r="F63" s="38">
        <f t="shared" ref="F63:AW63" si="79">-(SUM(F51:F52)-SUM(E51:E52))</f>
        <v>0</v>
      </c>
      <c r="G63" s="38">
        <f t="shared" si="79"/>
        <v>0</v>
      </c>
      <c r="H63" s="38">
        <f t="shared" si="79"/>
        <v>0</v>
      </c>
      <c r="I63" s="38">
        <f t="shared" si="79"/>
        <v>0</v>
      </c>
      <c r="J63" s="38">
        <f t="shared" si="79"/>
        <v>0</v>
      </c>
      <c r="K63" s="38">
        <f t="shared" si="79"/>
        <v>0</v>
      </c>
      <c r="L63" s="38">
        <f t="shared" si="79"/>
        <v>0</v>
      </c>
      <c r="M63" s="38">
        <f t="shared" si="79"/>
        <v>0</v>
      </c>
      <c r="N63" s="38">
        <f t="shared" si="79"/>
        <v>0</v>
      </c>
      <c r="O63" s="38">
        <f t="shared" si="79"/>
        <v>0</v>
      </c>
      <c r="P63" s="38">
        <f t="shared" si="79"/>
        <v>0</v>
      </c>
      <c r="Q63" s="38">
        <f t="shared" si="79"/>
        <v>0</v>
      </c>
      <c r="R63" s="38">
        <f t="shared" si="79"/>
        <v>0</v>
      </c>
      <c r="S63" s="38">
        <f t="shared" si="79"/>
        <v>0</v>
      </c>
      <c r="T63" s="38">
        <f t="shared" si="79"/>
        <v>0</v>
      </c>
      <c r="U63" s="38">
        <f t="shared" si="79"/>
        <v>0</v>
      </c>
      <c r="V63" s="38">
        <f t="shared" si="79"/>
        <v>0</v>
      </c>
      <c r="W63" s="38">
        <f t="shared" si="79"/>
        <v>0</v>
      </c>
      <c r="X63" s="38">
        <f t="shared" si="79"/>
        <v>0</v>
      </c>
      <c r="Y63" s="38">
        <f t="shared" si="79"/>
        <v>0</v>
      </c>
      <c r="Z63" s="38">
        <f t="shared" si="79"/>
        <v>0</v>
      </c>
      <c r="AA63" s="38">
        <f t="shared" si="79"/>
        <v>0</v>
      </c>
      <c r="AB63" s="38">
        <f t="shared" si="79"/>
        <v>0</v>
      </c>
      <c r="AC63" s="38">
        <f t="shared" si="79"/>
        <v>0</v>
      </c>
      <c r="AD63" s="38">
        <f t="shared" si="79"/>
        <v>0</v>
      </c>
      <c r="AE63" s="38">
        <f t="shared" si="79"/>
        <v>0</v>
      </c>
      <c r="AF63" s="38">
        <f t="shared" si="79"/>
        <v>0</v>
      </c>
      <c r="AG63" s="38">
        <f t="shared" si="79"/>
        <v>0</v>
      </c>
      <c r="AH63" s="38">
        <f t="shared" si="79"/>
        <v>0</v>
      </c>
      <c r="AI63" s="38">
        <f t="shared" si="79"/>
        <v>0</v>
      </c>
      <c r="AJ63" s="38">
        <f t="shared" si="79"/>
        <v>0</v>
      </c>
      <c r="AK63" s="38">
        <f t="shared" si="79"/>
        <v>0</v>
      </c>
      <c r="AL63" s="38">
        <f t="shared" si="79"/>
        <v>0</v>
      </c>
      <c r="AM63" s="38">
        <f t="shared" si="79"/>
        <v>0</v>
      </c>
      <c r="AN63" s="38">
        <f t="shared" si="79"/>
        <v>0</v>
      </c>
      <c r="AO63" s="38">
        <f t="shared" si="79"/>
        <v>0</v>
      </c>
      <c r="AP63" s="38">
        <f t="shared" si="79"/>
        <v>0</v>
      </c>
      <c r="AQ63" s="38">
        <f t="shared" si="79"/>
        <v>0</v>
      </c>
      <c r="AR63" s="38">
        <f t="shared" si="79"/>
        <v>0</v>
      </c>
      <c r="AS63" s="38">
        <f t="shared" si="79"/>
        <v>0</v>
      </c>
      <c r="AT63" s="38">
        <f t="shared" si="79"/>
        <v>0</v>
      </c>
      <c r="AU63" s="38">
        <f t="shared" si="79"/>
        <v>0</v>
      </c>
      <c r="AV63" s="38">
        <f t="shared" si="79"/>
        <v>0</v>
      </c>
      <c r="AW63" s="38">
        <f t="shared" si="79"/>
        <v>0</v>
      </c>
    </row>
    <row r="64" spans="1:49" x14ac:dyDescent="0.25">
      <c r="A64">
        <v>449100</v>
      </c>
      <c r="B64" t="s">
        <v>298</v>
      </c>
      <c r="C64" s="265">
        <v>0</v>
      </c>
      <c r="D64" s="265"/>
      <c r="E64" s="265"/>
      <c r="F64" s="265"/>
      <c r="G64" s="265"/>
      <c r="H64" s="265"/>
      <c r="I64" s="265">
        <v>0</v>
      </c>
      <c r="K64" s="266"/>
      <c r="L64" s="265">
        <v>0</v>
      </c>
      <c r="N64" s="53"/>
      <c r="O64" s="265">
        <v>0</v>
      </c>
      <c r="P64" s="152"/>
      <c r="R64" s="265"/>
      <c r="U64" s="265"/>
      <c r="W64" s="266"/>
      <c r="X64" s="265"/>
      <c r="Z64" s="53"/>
      <c r="AA64" s="265"/>
      <c r="AB64" s="152"/>
      <c r="AD64" s="265"/>
      <c r="AG64" s="265"/>
      <c r="AI64" s="266"/>
      <c r="AJ64" s="265"/>
      <c r="AL64" s="53"/>
      <c r="AM64" s="265"/>
      <c r="AN64" s="152"/>
      <c r="AP64" s="265"/>
      <c r="AS64" s="265"/>
      <c r="AU64" s="266"/>
      <c r="AV64" s="265"/>
    </row>
    <row r="65" spans="3:8" x14ac:dyDescent="0.25">
      <c r="C65" s="53"/>
      <c r="D65" s="53"/>
      <c r="E65" s="53"/>
      <c r="F65" s="53"/>
      <c r="G65" s="53"/>
      <c r="H65" s="53"/>
    </row>
    <row r="66" spans="3:8" x14ac:dyDescent="0.25">
      <c r="C66" s="53"/>
      <c r="D66" s="53"/>
      <c r="E66" s="53"/>
      <c r="F66" s="53"/>
      <c r="G66" s="53"/>
      <c r="H66" s="53"/>
    </row>
    <row r="67" spans="3:8" x14ac:dyDescent="0.25">
      <c r="C67" s="53"/>
      <c r="D67" s="53"/>
      <c r="E67" s="53"/>
      <c r="F67" s="53"/>
      <c r="G67" s="53"/>
      <c r="H67" s="53"/>
    </row>
  </sheetData>
  <mergeCells count="2">
    <mergeCell ref="A2:B2"/>
    <mergeCell ref="A34:B34"/>
  </mergeCells>
  <printOptions horizontalCentered="1"/>
  <pageMargins left="0.45" right="0.45" top="0.5" bottom="0.5" header="0.3" footer="0.3"/>
  <pageSetup scale="57" fitToWidth="3" orientation="landscape" r:id="rId1"/>
  <headerFooter scaleWithDoc="0">
    <oddFooter>&amp;L&amp;F / 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P76"/>
  <sheetViews>
    <sheetView zoomScaleNormal="100" workbookViewId="0">
      <selection activeCell="D4" sqref="D1:M1048576"/>
    </sheetView>
  </sheetViews>
  <sheetFormatPr defaultRowHeight="15" x14ac:dyDescent="0.25"/>
  <cols>
    <col min="1" max="1" width="9.42578125" customWidth="1"/>
    <col min="2" max="2" width="33" customWidth="1"/>
    <col min="3" max="3" width="18.5703125" customWidth="1"/>
    <col min="4" max="13" width="15" hidden="1" customWidth="1"/>
    <col min="14" max="15" width="15" customWidth="1"/>
    <col min="16" max="16" width="13.28515625" customWidth="1"/>
  </cols>
  <sheetData>
    <row r="1" spans="1:16" ht="15.75" x14ac:dyDescent="0.25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106"/>
    </row>
    <row r="2" spans="1:16" ht="15.75" x14ac:dyDescent="0.25">
      <c r="A2" s="315" t="s">
        <v>205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106"/>
    </row>
    <row r="3" spans="1:16" ht="15.75" x14ac:dyDescent="0.25">
      <c r="A3" s="316" t="s">
        <v>206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106"/>
    </row>
    <row r="4" spans="1:16" ht="15" customHeight="1" x14ac:dyDescent="0.25">
      <c r="A4" s="107"/>
      <c r="B4" s="105"/>
      <c r="C4" s="105"/>
      <c r="D4" s="56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6"/>
    </row>
    <row r="5" spans="1:16" x14ac:dyDescent="0.25">
      <c r="A5" s="55"/>
      <c r="B5" s="55"/>
      <c r="C5" s="55"/>
      <c r="D5" s="56"/>
      <c r="E5" s="108"/>
      <c r="F5" s="108"/>
      <c r="G5" s="108"/>
      <c r="H5" s="162"/>
      <c r="I5" s="108"/>
      <c r="J5" s="108"/>
      <c r="K5" s="108"/>
      <c r="L5" s="108"/>
      <c r="M5" s="108"/>
      <c r="N5" s="108"/>
      <c r="O5" s="108"/>
      <c r="P5" s="106"/>
    </row>
    <row r="6" spans="1:16" x14ac:dyDescent="0.25">
      <c r="A6" s="109" t="s">
        <v>40</v>
      </c>
      <c r="B6" s="110"/>
      <c r="C6" s="111" t="s">
        <v>41</v>
      </c>
      <c r="D6" s="112">
        <v>43466</v>
      </c>
      <c r="E6" s="112">
        <f t="shared" ref="E6:O6" si="0">EDATE(D6,1)</f>
        <v>43497</v>
      </c>
      <c r="F6" s="112">
        <f t="shared" si="0"/>
        <v>43525</v>
      </c>
      <c r="G6" s="112">
        <f t="shared" si="0"/>
        <v>43556</v>
      </c>
      <c r="H6" s="112">
        <f t="shared" si="0"/>
        <v>43586</v>
      </c>
      <c r="I6" s="112">
        <f t="shared" si="0"/>
        <v>43617</v>
      </c>
      <c r="J6" s="112">
        <f t="shared" si="0"/>
        <v>43647</v>
      </c>
      <c r="K6" s="112">
        <f t="shared" si="0"/>
        <v>43678</v>
      </c>
      <c r="L6" s="112">
        <f t="shared" si="0"/>
        <v>43709</v>
      </c>
      <c r="M6" s="112">
        <f t="shared" si="0"/>
        <v>43739</v>
      </c>
      <c r="N6" s="112">
        <f t="shared" si="0"/>
        <v>43770</v>
      </c>
      <c r="O6" s="112">
        <f t="shared" si="0"/>
        <v>43800</v>
      </c>
      <c r="P6" s="112" t="s">
        <v>59</v>
      </c>
    </row>
    <row r="7" spans="1:16" ht="16.899999999999999" customHeight="1" x14ac:dyDescent="0.25">
      <c r="A7" s="56"/>
      <c r="B7" s="56" t="s">
        <v>44</v>
      </c>
      <c r="C7" s="56" t="s">
        <v>45</v>
      </c>
      <c r="D7" s="56" t="s">
        <v>46</v>
      </c>
      <c r="E7" s="56" t="s">
        <v>47</v>
      </c>
      <c r="F7" s="56" t="s">
        <v>74</v>
      </c>
      <c r="G7" s="56" t="s">
        <v>75</v>
      </c>
      <c r="H7" s="163" t="s">
        <v>76</v>
      </c>
      <c r="I7" s="56" t="s">
        <v>77</v>
      </c>
      <c r="J7" s="56" t="s">
        <v>78</v>
      </c>
      <c r="K7" s="56" t="s">
        <v>79</v>
      </c>
      <c r="L7" s="56" t="s">
        <v>80</v>
      </c>
      <c r="M7" s="56" t="s">
        <v>81</v>
      </c>
      <c r="N7" s="56" t="s">
        <v>82</v>
      </c>
      <c r="O7" s="56" t="s">
        <v>83</v>
      </c>
      <c r="P7" s="56" t="s">
        <v>84</v>
      </c>
    </row>
    <row r="8" spans="1:16" x14ac:dyDescent="0.25">
      <c r="A8" s="56"/>
      <c r="B8" s="56"/>
      <c r="C8" s="56"/>
      <c r="D8" s="56"/>
      <c r="E8" s="56"/>
      <c r="F8" s="56"/>
      <c r="G8" s="56"/>
      <c r="H8" s="163"/>
      <c r="I8" s="56"/>
      <c r="J8" s="56"/>
      <c r="K8" s="56"/>
      <c r="L8" s="56"/>
      <c r="M8" s="56"/>
      <c r="N8" s="56"/>
      <c r="O8" s="56"/>
      <c r="P8" s="56"/>
    </row>
    <row r="9" spans="1:16" x14ac:dyDescent="0.25">
      <c r="A9" s="56"/>
      <c r="B9" s="113" t="s">
        <v>161</v>
      </c>
      <c r="C9" s="56"/>
      <c r="D9" s="56"/>
      <c r="E9" s="56"/>
      <c r="F9" s="56"/>
      <c r="G9" s="56"/>
      <c r="H9" s="163"/>
      <c r="I9" s="56"/>
      <c r="J9" s="56"/>
      <c r="K9" s="56"/>
      <c r="L9" s="56"/>
      <c r="M9" s="56"/>
      <c r="N9" s="56"/>
      <c r="O9" s="56"/>
      <c r="P9" s="106"/>
    </row>
    <row r="10" spans="1:16" x14ac:dyDescent="0.25">
      <c r="A10" s="56">
        <v>1</v>
      </c>
      <c r="B10" s="55" t="s">
        <v>162</v>
      </c>
      <c r="C10" s="56" t="s">
        <v>163</v>
      </c>
      <c r="D10" s="114">
        <f>'01.2019 Base Rate Revenue'!$C16</f>
        <v>164455</v>
      </c>
      <c r="E10" s="114">
        <f>'02.2019 Base Rate Revenue'!$C16+'02.2019 Base Rate Revenue'!D16</f>
        <v>164455</v>
      </c>
      <c r="F10" s="114">
        <f>'03.2019 Base Rate Revenue'!$C16+'03.2019 Base Rate Revenue'!D16</f>
        <v>164201</v>
      </c>
      <c r="G10" s="114">
        <f>'04.2019 Base Rate Revenue'!$C16</f>
        <v>163106</v>
      </c>
      <c r="H10" s="114">
        <f>'05.2019 Base Rate Revenue'!$C16</f>
        <v>166886</v>
      </c>
      <c r="I10" s="114">
        <f>'06.2019 Base Rate Revenue'!$C16</f>
        <v>164587</v>
      </c>
      <c r="J10" s="114">
        <f>'07.2019 Base Rate Revenue'!$C16</f>
        <v>165355</v>
      </c>
      <c r="K10" s="114">
        <f>'08.2019 Base Rate Revenue'!$C16</f>
        <v>165693</v>
      </c>
      <c r="L10" s="114">
        <f>'09.2019 Base Rate Revenue'!$C16</f>
        <v>162332</v>
      </c>
      <c r="M10" s="114">
        <f>'10.2019 Base Rate Revenue'!$C16</f>
        <v>169448</v>
      </c>
      <c r="N10" s="114">
        <f>'11.2019 Base Rate Revenue'!$C16</f>
        <v>166729</v>
      </c>
      <c r="O10" s="114">
        <f>'12.2019 Base Rate Revenue'!$C16</f>
        <v>167092</v>
      </c>
      <c r="P10" s="115">
        <f>SUM(D10:O10)</f>
        <v>1984339</v>
      </c>
    </row>
    <row r="11" spans="1:16" ht="25.5" x14ac:dyDescent="0.25">
      <c r="A11" s="116">
        <f t="shared" ref="A11:A12" si="1">A10+1</f>
        <v>2</v>
      </c>
      <c r="B11" s="117" t="s">
        <v>164</v>
      </c>
      <c r="C11" s="118" t="s">
        <v>96</v>
      </c>
      <c r="D11" s="119">
        <f>'UG-170486 Auth Base'!D90</f>
        <v>55.60659793197712</v>
      </c>
      <c r="E11" s="119">
        <f>'UG-170486 Auth Base'!E90</f>
        <v>44.263101987627543</v>
      </c>
      <c r="F11" s="119">
        <f>'UG-170486 Auth Base'!F90</f>
        <v>36.07004415129321</v>
      </c>
      <c r="G11" s="119">
        <f>'UG-170486 Auth Base'!G90</f>
        <v>22.057270366230398</v>
      </c>
      <c r="H11" s="119">
        <f>'UG-170486 Auth Base'!H90</f>
        <v>12.847310592119427</v>
      </c>
      <c r="I11" s="119">
        <f>'UG-170486 Auth Base'!I90</f>
        <v>8.3048388322355109</v>
      </c>
      <c r="J11" s="119">
        <f>'UG-170486 Auth Base'!J90</f>
        <v>6.0444731289140226</v>
      </c>
      <c r="K11" s="119">
        <f>'UG-170486 Auth Base'!K90</f>
        <v>6.2059465105473501</v>
      </c>
      <c r="L11" s="119">
        <f>'UG-170486 Auth Base'!L90</f>
        <v>7.9044427835798148</v>
      </c>
      <c r="M11" s="119">
        <f>'UG-170486 Auth Base'!M90</f>
        <v>19.75096016113789</v>
      </c>
      <c r="N11" s="119">
        <f>'UG-170486 Auth Base'!N90</f>
        <v>38.296167944879095</v>
      </c>
      <c r="O11" s="119">
        <f>'UG-170486 Auth Base'!O90</f>
        <v>57.078845609458618</v>
      </c>
      <c r="P11" s="119">
        <f>SUM(D11:O11)</f>
        <v>314.43</v>
      </c>
    </row>
    <row r="12" spans="1:16" x14ac:dyDescent="0.25">
      <c r="A12" s="56">
        <f t="shared" si="1"/>
        <v>3</v>
      </c>
      <c r="B12" s="55" t="s">
        <v>27</v>
      </c>
      <c r="C12" s="56" t="str">
        <f>"("&amp;A10&amp;") x ("&amp;A11&amp;")"</f>
        <v>(1) x (2)</v>
      </c>
      <c r="D12" s="120">
        <f t="shared" ref="D12:O12" si="2">D10*D11</f>
        <v>9144783.0629032981</v>
      </c>
      <c r="E12" s="120">
        <f t="shared" si="2"/>
        <v>7279288.4373752875</v>
      </c>
      <c r="F12" s="120">
        <f t="shared" si="2"/>
        <v>5922737.3196864966</v>
      </c>
      <c r="G12" s="120">
        <f t="shared" si="2"/>
        <v>3597673.1403543754</v>
      </c>
      <c r="H12" s="164">
        <f t="shared" si="2"/>
        <v>2144036.2754764426</v>
      </c>
      <c r="I12" s="120">
        <f t="shared" si="2"/>
        <v>1366868.5088811461</v>
      </c>
      <c r="J12" s="120">
        <f t="shared" si="2"/>
        <v>999483.85423157818</v>
      </c>
      <c r="K12" s="120">
        <f t="shared" si="2"/>
        <v>1028281.8951721221</v>
      </c>
      <c r="L12" s="120">
        <f t="shared" si="2"/>
        <v>1283144.0059440786</v>
      </c>
      <c r="M12" s="120">
        <f t="shared" si="2"/>
        <v>3346760.697384493</v>
      </c>
      <c r="N12" s="120">
        <f t="shared" si="2"/>
        <v>6385081.7852817466</v>
      </c>
      <c r="O12" s="120">
        <f t="shared" si="2"/>
        <v>9537418.4705756586</v>
      </c>
      <c r="P12" s="120">
        <f>SUM(D12:O12)</f>
        <v>52035557.453266725</v>
      </c>
    </row>
    <row r="13" spans="1:16" x14ac:dyDescent="0.25">
      <c r="A13" s="56"/>
      <c r="B13" s="55"/>
      <c r="C13" s="56"/>
      <c r="D13" s="120"/>
      <c r="E13" s="120"/>
      <c r="F13" s="120"/>
      <c r="G13" s="120"/>
      <c r="H13" s="164"/>
      <c r="I13" s="120"/>
      <c r="J13" s="120"/>
      <c r="K13" s="120"/>
      <c r="L13" s="120"/>
      <c r="M13" s="120"/>
      <c r="N13" s="120"/>
      <c r="O13" s="120"/>
      <c r="P13" s="120"/>
    </row>
    <row r="14" spans="1:16" x14ac:dyDescent="0.25">
      <c r="A14" s="56"/>
      <c r="B14" s="55" t="s">
        <v>165</v>
      </c>
      <c r="C14" s="56" t="s">
        <v>163</v>
      </c>
      <c r="D14" s="114">
        <f>'01.2019 Base Rate Revenue'!$I16</f>
        <v>21097779.06749</v>
      </c>
      <c r="E14" s="114">
        <f>'02.2019 Base Rate Revenue'!$I16</f>
        <v>23418618.537940003</v>
      </c>
      <c r="F14" s="114">
        <f>'03.2019 Base Rate Revenue'!$I16</f>
        <v>18495518.434899997</v>
      </c>
      <c r="G14" s="114">
        <f>'04.2019 Base Rate Revenue'!$I16</f>
        <v>8688149.8068300001</v>
      </c>
      <c r="H14" s="114">
        <f>'05.2019 Base Rate Revenue'!$I16</f>
        <v>4317307.7046499997</v>
      </c>
      <c r="I14" s="114">
        <f>'06.2019 Base Rate Revenue'!$I16</f>
        <v>2499965.9128</v>
      </c>
      <c r="J14" s="114">
        <f>'07.2019 Base Rate Revenue'!$I16</f>
        <v>2395099.96147</v>
      </c>
      <c r="K14" s="114">
        <f>'08.2019 Base Rate Revenue'!$I16</f>
        <v>2219193.12733</v>
      </c>
      <c r="L14" s="114">
        <f>'09.2019 Base Rate Revenue'!$I16</f>
        <v>3672892.1403299998</v>
      </c>
      <c r="M14" s="114">
        <f>'10.2019 Base Rate Revenue'!$I16</f>
        <v>12761927.928239999</v>
      </c>
      <c r="N14" s="114">
        <f>'11.2019 Base Rate Revenue'!$I16</f>
        <v>17329272.246089999</v>
      </c>
      <c r="O14" s="114">
        <f>'12.2019 Base Rate Revenue'!$I16</f>
        <v>19625255.084459998</v>
      </c>
      <c r="P14" s="121">
        <f>SUM(D14:O14)</f>
        <v>136520979.95253</v>
      </c>
    </row>
    <row r="15" spans="1:16" ht="26.25" x14ac:dyDescent="0.25">
      <c r="A15" s="56">
        <v>4</v>
      </c>
      <c r="B15" s="122" t="s">
        <v>166</v>
      </c>
      <c r="C15" s="56" t="s">
        <v>163</v>
      </c>
      <c r="D15" s="123">
        <f>'01.2019 Base Rate Revenue'!$I36</f>
        <v>10669188.535250001</v>
      </c>
      <c r="E15" s="123">
        <f>'02.2019 Base Rate Revenue'!$I36</f>
        <v>10924265.97978</v>
      </c>
      <c r="F15" s="123">
        <f>'03.2019 Base Rate Revenue'!$I36</f>
        <v>7990455.5639699996</v>
      </c>
      <c r="G15" s="123">
        <f>'04.2019 Base Rate Revenue'!$I36</f>
        <v>4849756.6280499958</v>
      </c>
      <c r="H15" s="123">
        <f>'05.2019 Base Rate Revenue'!$I36</f>
        <v>3122405.1209899997</v>
      </c>
      <c r="I15" s="123">
        <f>'06.2019 Base Rate Revenue'!$I36</f>
        <v>2515508.9652599953</v>
      </c>
      <c r="J15" s="123">
        <f>'07.2019 Base Rate Revenue'!$I36</f>
        <v>2534302.0002199993</v>
      </c>
      <c r="K15" s="123">
        <f>'08.2019 Base Rate Revenue'!$I36</f>
        <v>2514716.8812400047</v>
      </c>
      <c r="L15" s="123">
        <f>'09.2019 Base Rate Revenue'!$I36</f>
        <v>2922891.9679500023</v>
      </c>
      <c r="M15" s="123">
        <f>'10.2019 Base Rate Revenue'!$I36</f>
        <v>6570619.3250099979</v>
      </c>
      <c r="N15" s="123">
        <f>'11.2019 Base Rate Revenue'!$I36</f>
        <v>7577650.5810799981</v>
      </c>
      <c r="O15" s="123">
        <f>'12.2019 Base Rate Revenue'!$I36</f>
        <v>10002366.166820001</v>
      </c>
      <c r="P15" s="124">
        <f>SUM(D15:O15)</f>
        <v>72194127.715619981</v>
      </c>
    </row>
    <row r="16" spans="1:16" x14ac:dyDescent="0.25">
      <c r="A16" s="56">
        <v>5</v>
      </c>
      <c r="B16" s="55" t="s">
        <v>167</v>
      </c>
      <c r="C16" s="56" t="s">
        <v>163</v>
      </c>
      <c r="D16" s="123">
        <f>'01.2019 Base Rate Revenue'!$C36</f>
        <v>1579269.5</v>
      </c>
      <c r="E16" s="123">
        <f>'02.2019 Base Rate Revenue'!$C36</f>
        <v>1549602</v>
      </c>
      <c r="F16" s="123">
        <f>'03.2019 Base Rate Revenue'!$C36</f>
        <v>1605794.5</v>
      </c>
      <c r="G16" s="123">
        <f>'04.2019 Base Rate Revenue'!$C36</f>
        <v>1569814</v>
      </c>
      <c r="H16" s="123">
        <f>'05.2019 Base Rate Revenue'!$C36</f>
        <v>1612539.5</v>
      </c>
      <c r="I16" s="123">
        <f>'06.2019 Base Rate Revenue'!$C36</f>
        <v>1593454</v>
      </c>
      <c r="J16" s="123">
        <f>'07.2019 Base Rate Revenue'!$C36</f>
        <v>1603229.5</v>
      </c>
      <c r="K16" s="123">
        <f>'08.2019 Base Rate Revenue'!$C36</f>
        <v>1605186.5</v>
      </c>
      <c r="L16" s="123">
        <f>'09.2019 Base Rate Revenue'!$C36</f>
        <v>1568317.5</v>
      </c>
      <c r="M16" s="123">
        <f>'10.2019 Base Rate Revenue'!$C36</f>
        <v>1633848</v>
      </c>
      <c r="N16" s="123">
        <f>'11.2019 Base Rate Revenue'!$C36</f>
        <v>1605196.5</v>
      </c>
      <c r="O16" s="123">
        <f>'12.2019 Base Rate Revenue'!$C36</f>
        <v>1607998</v>
      </c>
      <c r="P16" s="124">
        <f>SUM(D16:O16)</f>
        <v>19134249.5</v>
      </c>
    </row>
    <row r="17" spans="1:16" x14ac:dyDescent="0.25">
      <c r="A17" s="56">
        <v>6</v>
      </c>
      <c r="B17" s="55" t="s">
        <v>168</v>
      </c>
      <c r="C17" s="56" t="str">
        <f>"("&amp;A15&amp;") - ("&amp;A16&amp;")"</f>
        <v>(4) - (5)</v>
      </c>
      <c r="D17" s="120">
        <f>D15-D16</f>
        <v>9089919.0352500007</v>
      </c>
      <c r="E17" s="120">
        <f t="shared" ref="E17:O17" si="3">E15-E16</f>
        <v>9374663.9797799997</v>
      </c>
      <c r="F17" s="120">
        <f t="shared" si="3"/>
        <v>6384661.0639699996</v>
      </c>
      <c r="G17" s="120">
        <f t="shared" si="3"/>
        <v>3279942.6280499958</v>
      </c>
      <c r="H17" s="164">
        <f t="shared" si="3"/>
        <v>1509865.6209899997</v>
      </c>
      <c r="I17" s="120">
        <f t="shared" si="3"/>
        <v>922054.96525999531</v>
      </c>
      <c r="J17" s="120">
        <f t="shared" si="3"/>
        <v>931072.50021999935</v>
      </c>
      <c r="K17" s="120">
        <f t="shared" si="3"/>
        <v>909530.38124000467</v>
      </c>
      <c r="L17" s="120">
        <f t="shared" si="3"/>
        <v>1354574.4679500023</v>
      </c>
      <c r="M17" s="120">
        <f t="shared" si="3"/>
        <v>4936771.3250099979</v>
      </c>
      <c r="N17" s="120">
        <f t="shared" si="3"/>
        <v>5972454.0810799981</v>
      </c>
      <c r="O17" s="120">
        <f t="shared" si="3"/>
        <v>8394368.1668200009</v>
      </c>
      <c r="P17" s="120">
        <f>SUM(D17:O17)</f>
        <v>53059878.215619996</v>
      </c>
    </row>
    <row r="18" spans="1:16" x14ac:dyDescent="0.25">
      <c r="A18" s="56"/>
      <c r="B18" s="125" t="s">
        <v>169</v>
      </c>
      <c r="C18" s="56"/>
      <c r="D18" s="126">
        <f>D17/D10</f>
        <v>55.272986745614304</v>
      </c>
      <c r="E18" s="126">
        <f t="shared" ref="E18:L18" si="4">E17/E10</f>
        <v>57.004432700617187</v>
      </c>
      <c r="F18" s="126">
        <f t="shared" si="4"/>
        <v>38.883204511361072</v>
      </c>
      <c r="G18" s="126">
        <f t="shared" si="4"/>
        <v>20.109270217220676</v>
      </c>
      <c r="H18" s="165">
        <f t="shared" si="4"/>
        <v>9.0472874955957945</v>
      </c>
      <c r="I18" s="126">
        <f t="shared" si="4"/>
        <v>5.6022344733180347</v>
      </c>
      <c r="J18" s="126">
        <f t="shared" si="4"/>
        <v>5.6307489959178696</v>
      </c>
      <c r="K18" s="126">
        <f t="shared" si="4"/>
        <v>5.4892504887955722</v>
      </c>
      <c r="L18" s="126">
        <f t="shared" si="4"/>
        <v>8.34446977767786</v>
      </c>
      <c r="M18" s="126">
        <f>M17/M10</f>
        <v>29.134432539835217</v>
      </c>
      <c r="N18" s="126">
        <f>N17/N10</f>
        <v>35.821327310066025</v>
      </c>
      <c r="O18" s="126">
        <f>O17/O10</f>
        <v>50.238001620783763</v>
      </c>
      <c r="P18" s="126"/>
    </row>
    <row r="19" spans="1:16" x14ac:dyDescent="0.25">
      <c r="A19" s="56">
        <v>7</v>
      </c>
      <c r="B19" s="55" t="s">
        <v>170</v>
      </c>
      <c r="C19" s="56" t="str">
        <f>"("&amp;A$12&amp;") - ("&amp;A17&amp;")"</f>
        <v>(3) - (6)</v>
      </c>
      <c r="D19" s="127">
        <f>D12-D17</f>
        <v>54864.027653297409</v>
      </c>
      <c r="E19" s="127">
        <f t="shared" ref="E19:O19" si="5">E12-E17</f>
        <v>-2095375.5424047122</v>
      </c>
      <c r="F19" s="127">
        <f t="shared" si="5"/>
        <v>-461923.74428350292</v>
      </c>
      <c r="G19" s="127">
        <f t="shared" si="5"/>
        <v>317730.5123043796</v>
      </c>
      <c r="H19" s="127">
        <f t="shared" si="5"/>
        <v>634170.65448644292</v>
      </c>
      <c r="I19" s="127">
        <f t="shared" si="5"/>
        <v>444813.54362115078</v>
      </c>
      <c r="J19" s="127">
        <f t="shared" si="5"/>
        <v>68411.354011578835</v>
      </c>
      <c r="K19" s="127">
        <f t="shared" si="5"/>
        <v>118751.51393211738</v>
      </c>
      <c r="L19" s="127">
        <f t="shared" si="5"/>
        <v>-71430.462005923735</v>
      </c>
      <c r="M19" s="127">
        <f t="shared" si="5"/>
        <v>-1590010.627625505</v>
      </c>
      <c r="N19" s="127">
        <f t="shared" si="5"/>
        <v>412627.70420174859</v>
      </c>
      <c r="O19" s="127">
        <f t="shared" si="5"/>
        <v>1143050.3037556577</v>
      </c>
      <c r="P19" s="128">
        <f t="shared" ref="P19:P22" si="6">SUM(D19:O19)</f>
        <v>-1024320.7623532703</v>
      </c>
    </row>
    <row r="20" spans="1:16" x14ac:dyDescent="0.25">
      <c r="A20" s="56">
        <v>8</v>
      </c>
      <c r="B20" s="55" t="s">
        <v>171</v>
      </c>
      <c r="C20" s="56" t="s">
        <v>172</v>
      </c>
      <c r="D20" s="127">
        <f>D19*-'UG-170486 Auth Base'!$R$20</f>
        <v>-2549.2570449104637</v>
      </c>
      <c r="E20" s="127">
        <f>E19*-'UG-170486 Auth Base'!$R$20</f>
        <v>97361.62457783494</v>
      </c>
      <c r="F20" s="127">
        <f>F19*-'UG-170486 Auth Base'!$R$20</f>
        <v>21463.286778132959</v>
      </c>
      <c r="G20" s="127">
        <f>G19*-'UG-170486 Auth Base'!$R$20</f>
        <v>-14763.348254222996</v>
      </c>
      <c r="H20" s="127">
        <f>H19*-'UG-170486 Auth Base'!$R$20</f>
        <v>-29466.739460712564</v>
      </c>
      <c r="I20" s="127">
        <f>I19*-'UG-170486 Auth Base'!$R$20</f>
        <v>-20668.261304356769</v>
      </c>
      <c r="J20" s="127">
        <f>J19*-'UG-170486 Auth Base'!$R$20</f>
        <v>-3178.7335641480099</v>
      </c>
      <c r="K20" s="127">
        <f>K19*-'UG-170486 Auth Base'!$R$20</f>
        <v>-5517.7890948558334</v>
      </c>
      <c r="L20" s="127">
        <f>L19*-'UG-170486 Auth Base'!$R$20</f>
        <v>3319.0164171052456</v>
      </c>
      <c r="M20" s="127">
        <f>M19*-'UG-170486 Auth Base'!$R$20</f>
        <v>73879.843812619074</v>
      </c>
      <c r="N20" s="127">
        <f>N19*-'UG-170486 Auth Base'!$R$20</f>
        <v>-19172.746275734244</v>
      </c>
      <c r="O20" s="127">
        <f>O19*-'UG-170486 Auth Base'!$R$20</f>
        <v>-53111.83236400663</v>
      </c>
      <c r="P20" s="128">
        <f t="shared" si="6"/>
        <v>47595.064222744702</v>
      </c>
    </row>
    <row r="21" spans="1:16" x14ac:dyDescent="0.25">
      <c r="A21" s="56"/>
      <c r="B21" s="55"/>
      <c r="C21" s="129" t="s">
        <v>173</v>
      </c>
      <c r="D21" s="130">
        <v>5.1799999999999999E-2</v>
      </c>
      <c r="E21" s="130">
        <v>5.1799999999999999E-2</v>
      </c>
      <c r="F21" s="130">
        <v>5.1799999999999999E-2</v>
      </c>
      <c r="G21" s="130">
        <v>5.45E-2</v>
      </c>
      <c r="H21" s="130">
        <f>G21</f>
        <v>5.45E-2</v>
      </c>
      <c r="I21" s="130">
        <f t="shared" ref="I21" si="7">H21</f>
        <v>5.45E-2</v>
      </c>
      <c r="J21" s="130">
        <v>5.5E-2</v>
      </c>
      <c r="K21" s="130">
        <f>J21</f>
        <v>5.5E-2</v>
      </c>
      <c r="L21" s="130">
        <f>K21</f>
        <v>5.5E-2</v>
      </c>
      <c r="M21" s="130">
        <v>5.4199999999999998E-2</v>
      </c>
      <c r="N21" s="130">
        <v>5.4199999999999998E-2</v>
      </c>
      <c r="O21" s="130">
        <v>5.4199999999999998E-2</v>
      </c>
      <c r="P21" s="128"/>
    </row>
    <row r="22" spans="1:16" x14ac:dyDescent="0.25">
      <c r="A22" s="56">
        <v>9</v>
      </c>
      <c r="B22" s="55" t="s">
        <v>174</v>
      </c>
      <c r="C22" s="129" t="s">
        <v>175</v>
      </c>
      <c r="D22" s="132">
        <f>(D19+D20)/2*D21/12</f>
        <v>112.9127132297685</v>
      </c>
      <c r="E22" s="132">
        <f>(D24+(E19+E20)/2)*E21/12</f>
        <v>-4086.0672063046973</v>
      </c>
      <c r="F22" s="132">
        <f t="shared" ref="F22:O22" si="8">(E24+(F19+F20)/2)*F21/12</f>
        <v>-9366.7459231706798</v>
      </c>
      <c r="G22" s="132">
        <f t="shared" si="8"/>
        <v>-10209.73898414742</v>
      </c>
      <c r="H22" s="166">
        <f t="shared" si="8"/>
        <v>-8194.9384732989274</v>
      </c>
      <c r="I22" s="132">
        <f t="shared" si="8"/>
        <v>-5895.8120998998447</v>
      </c>
      <c r="J22" s="132">
        <f t="shared" si="8"/>
        <v>-4855.4335641215075</v>
      </c>
      <c r="K22" s="132">
        <f t="shared" si="8"/>
        <v>-4468.7022600129776</v>
      </c>
      <c r="L22" s="132">
        <f t="shared" si="8"/>
        <v>-4385.7785887603541</v>
      </c>
      <c r="M22" s="132">
        <f t="shared" si="8"/>
        <v>-7919.5415803425285</v>
      </c>
      <c r="N22" s="132">
        <f t="shared" si="8"/>
        <v>-10490.687749941597</v>
      </c>
      <c r="O22" s="132">
        <f t="shared" si="8"/>
        <v>-7188.0738617364377</v>
      </c>
      <c r="P22" s="128">
        <f t="shared" si="6"/>
        <v>-76948.607578507203</v>
      </c>
    </row>
    <row r="23" spans="1:16" ht="15.75" thickBot="1" x14ac:dyDescent="0.3">
      <c r="A23" s="56"/>
      <c r="B23" s="108" t="s">
        <v>176</v>
      </c>
      <c r="C23" s="56"/>
      <c r="D23" s="133">
        <f>D19+D20+D22</f>
        <v>52427.683321616714</v>
      </c>
      <c r="E23" s="133">
        <f t="shared" ref="E23:O23" si="9">E19+E20+E22</f>
        <v>-2002099.985033182</v>
      </c>
      <c r="F23" s="133">
        <f t="shared" si="9"/>
        <v>-449827.20342854067</v>
      </c>
      <c r="G23" s="133">
        <f t="shared" si="9"/>
        <v>292757.42506600916</v>
      </c>
      <c r="H23" s="133">
        <f t="shared" si="9"/>
        <v>596508.97655243147</v>
      </c>
      <c r="I23" s="133">
        <f t="shared" si="9"/>
        <v>418249.47021689417</v>
      </c>
      <c r="J23" s="133">
        <f t="shared" si="9"/>
        <v>60377.186883309318</v>
      </c>
      <c r="K23" s="133">
        <f t="shared" si="9"/>
        <v>108765.02257724857</v>
      </c>
      <c r="L23" s="133">
        <f t="shared" si="9"/>
        <v>-72497.224177578843</v>
      </c>
      <c r="M23" s="133">
        <f t="shared" si="9"/>
        <v>-1524050.3253932283</v>
      </c>
      <c r="N23" s="133">
        <f t="shared" si="9"/>
        <v>382964.27017607272</v>
      </c>
      <c r="O23" s="133">
        <f t="shared" si="9"/>
        <v>1082750.3975299147</v>
      </c>
      <c r="P23" s="133">
        <f>SUM(D23:O23)</f>
        <v>-1053674.3057090335</v>
      </c>
    </row>
    <row r="24" spans="1:16" ht="15.75" thickBot="1" x14ac:dyDescent="0.3">
      <c r="A24" s="56">
        <v>10</v>
      </c>
      <c r="B24" s="55" t="s">
        <v>177</v>
      </c>
      <c r="C24" s="56" t="str">
        <f>"Σ(("&amp;A$19&amp;") + ("&amp;A22&amp;"))"</f>
        <v>Σ((7) + (9))</v>
      </c>
      <c r="D24" s="120">
        <f>D19+D20+D22</f>
        <v>52427.683321616714</v>
      </c>
      <c r="E24" s="120">
        <f>D24+E19+E20+E22</f>
        <v>-1949672.3017115653</v>
      </c>
      <c r="F24" s="120">
        <f t="shared" ref="F24:N24" si="10">E24+F19+F20+F22</f>
        <v>-2399499.5051401062</v>
      </c>
      <c r="G24" s="120">
        <f t="shared" si="10"/>
        <v>-2106742.080074097</v>
      </c>
      <c r="H24" s="164">
        <f t="shared" si="10"/>
        <v>-1510233.1035216656</v>
      </c>
      <c r="I24" s="120">
        <f t="shared" si="10"/>
        <v>-1091983.6333047715</v>
      </c>
      <c r="J24" s="120">
        <f t="shared" si="10"/>
        <v>-1031606.4464214621</v>
      </c>
      <c r="K24" s="120">
        <f t="shared" si="10"/>
        <v>-922841.42384421348</v>
      </c>
      <c r="L24" s="120">
        <f t="shared" si="10"/>
        <v>-995338.64802179241</v>
      </c>
      <c r="M24" s="120">
        <f t="shared" si="10"/>
        <v>-2519388.9734150213</v>
      </c>
      <c r="N24" s="120">
        <f t="shared" si="10"/>
        <v>-2136424.7032389482</v>
      </c>
      <c r="O24" s="134">
        <f>N24+O19+O20+O22</f>
        <v>-1053674.3057090335</v>
      </c>
      <c r="P24" s="106"/>
    </row>
    <row r="25" spans="1:16" ht="18" customHeight="1" x14ac:dyDescent="0.25">
      <c r="A25" s="56"/>
      <c r="B25" s="55"/>
      <c r="C25" s="56"/>
      <c r="D25" s="72"/>
      <c r="E25" s="72"/>
      <c r="F25" s="72"/>
      <c r="G25" s="72"/>
      <c r="H25" s="167"/>
      <c r="I25" s="72"/>
      <c r="J25" s="72"/>
      <c r="K25" s="72"/>
      <c r="L25" s="72"/>
      <c r="M25" s="72"/>
      <c r="N25" s="72"/>
      <c r="O25" s="72"/>
      <c r="P25" s="106"/>
    </row>
    <row r="26" spans="1:16" x14ac:dyDescent="0.25">
      <c r="A26" s="56"/>
      <c r="B26" s="55"/>
      <c r="C26" s="56"/>
      <c r="D26" s="72"/>
      <c r="E26" s="72"/>
      <c r="F26" s="72"/>
      <c r="G26" s="72"/>
      <c r="H26" s="167"/>
      <c r="I26" s="72"/>
      <c r="J26" s="72"/>
      <c r="K26" s="72"/>
      <c r="L26" s="72"/>
      <c r="M26" s="72"/>
      <c r="N26" s="72"/>
      <c r="O26" s="72"/>
      <c r="P26" s="106"/>
    </row>
    <row r="27" spans="1:16" x14ac:dyDescent="0.25">
      <c r="A27" s="56"/>
      <c r="B27" s="113" t="s">
        <v>29</v>
      </c>
      <c r="C27" s="56"/>
      <c r="D27" s="56"/>
      <c r="E27" s="56"/>
      <c r="F27" s="56"/>
      <c r="G27" s="56"/>
      <c r="H27" s="163"/>
      <c r="I27" s="56"/>
      <c r="J27" s="56"/>
      <c r="K27" s="56"/>
      <c r="L27" s="56"/>
      <c r="M27" s="56"/>
      <c r="N27" s="56"/>
      <c r="O27" s="56"/>
      <c r="P27" s="106"/>
    </row>
    <row r="28" spans="1:16" x14ac:dyDescent="0.25">
      <c r="A28" s="56">
        <v>11</v>
      </c>
      <c r="B28" s="55" t="s">
        <v>162</v>
      </c>
      <c r="C28" s="56" t="s">
        <v>163</v>
      </c>
      <c r="D28" s="114">
        <f>'01.2019 Base Rate Revenue'!$C18</f>
        <v>3104</v>
      </c>
      <c r="E28" s="114">
        <f>'02.2019 Base Rate Revenue'!$C18+'02.2019 Base Rate Revenue'!D18</f>
        <v>3105</v>
      </c>
      <c r="F28" s="114">
        <f>'03.2019 Base Rate Revenue'!$C18+'03.2019 Base Rate Revenue'!D18</f>
        <v>3105</v>
      </c>
      <c r="G28" s="114">
        <f>'04.2019 Base Rate Revenue'!$C18</f>
        <v>3108</v>
      </c>
      <c r="H28" s="114">
        <f>'05.2019 Base Rate Revenue'!$C18</f>
        <v>3110</v>
      </c>
      <c r="I28" s="114">
        <f>'06.2019 Base Rate Revenue'!$C18</f>
        <v>3089</v>
      </c>
      <c r="J28" s="114">
        <f>'07.2019 Base Rate Revenue'!$C18</f>
        <v>3114</v>
      </c>
      <c r="K28" s="114">
        <f>'08.2019 Base Rate Revenue'!$C18</f>
        <v>3107</v>
      </c>
      <c r="L28" s="114">
        <f>'09.2019 Base Rate Revenue'!$C18</f>
        <v>3042</v>
      </c>
      <c r="M28" s="114">
        <f>'10.2019 Base Rate Revenue'!$C18</f>
        <v>3142</v>
      </c>
      <c r="N28" s="114">
        <f>'11.2019 Base Rate Revenue'!$C18</f>
        <v>3087</v>
      </c>
      <c r="O28" s="114">
        <f>'12.2019 Base Rate Revenue'!$C18</f>
        <v>3132</v>
      </c>
      <c r="P28" s="135">
        <f>SUM(D28:O28)</f>
        <v>37245</v>
      </c>
    </row>
    <row r="29" spans="1:16" ht="25.5" x14ac:dyDescent="0.25">
      <c r="A29" s="116">
        <v>12</v>
      </c>
      <c r="B29" s="117" t="s">
        <v>164</v>
      </c>
      <c r="C29" s="118" t="s">
        <v>96</v>
      </c>
      <c r="D29" s="119">
        <f>'UG-170486 Auth Base'!D94</f>
        <v>644.72071006316287</v>
      </c>
      <c r="E29" s="119">
        <f>'UG-170486 Auth Base'!E94</f>
        <v>572.95798240681665</v>
      </c>
      <c r="F29" s="119">
        <f>'UG-170486 Auth Base'!F94</f>
        <v>501.96685841519201</v>
      </c>
      <c r="G29" s="119">
        <f>'UG-170486 Auth Base'!G94</f>
        <v>351.39303933924487</v>
      </c>
      <c r="H29" s="119">
        <f>'UG-170486 Auth Base'!H94</f>
        <v>270.89587418127491</v>
      </c>
      <c r="I29" s="119">
        <f>'UG-170486 Auth Base'!I94</f>
        <v>181.96563697969282</v>
      </c>
      <c r="J29" s="119">
        <f>'UG-170486 Auth Base'!J94</f>
        <v>155.9609268589395</v>
      </c>
      <c r="K29" s="119">
        <f>'UG-170486 Auth Base'!K94</f>
        <v>163.10613396324226</v>
      </c>
      <c r="L29" s="119">
        <f>'UG-170486 Auth Base'!L94</f>
        <v>199.46971218804904</v>
      </c>
      <c r="M29" s="119">
        <f>'UG-170486 Auth Base'!M94</f>
        <v>369.63584080802372</v>
      </c>
      <c r="N29" s="119">
        <f>'UG-170486 Auth Base'!N94</f>
        <v>494.51412130939275</v>
      </c>
      <c r="O29" s="119">
        <f>'UG-170486 Auth Base'!O94</f>
        <v>714.9331634869684</v>
      </c>
      <c r="P29" s="119">
        <f>SUM(D29:O29)</f>
        <v>4621.5199999999995</v>
      </c>
    </row>
    <row r="30" spans="1:16" x14ac:dyDescent="0.25">
      <c r="A30" s="56">
        <v>13</v>
      </c>
      <c r="B30" s="55" t="s">
        <v>27</v>
      </c>
      <c r="C30" s="56" t="str">
        <f>"("&amp;A28&amp;") x ("&amp;A29&amp;")"</f>
        <v>(11) x (12)</v>
      </c>
      <c r="D30" s="120">
        <f t="shared" ref="D30:O30" si="11">D28*D29</f>
        <v>2001213.0840360576</v>
      </c>
      <c r="E30" s="120">
        <f t="shared" si="11"/>
        <v>1779034.5353731657</v>
      </c>
      <c r="F30" s="120">
        <f t="shared" si="11"/>
        <v>1558607.0953791712</v>
      </c>
      <c r="G30" s="120">
        <f t="shared" si="11"/>
        <v>1092129.566266373</v>
      </c>
      <c r="H30" s="164">
        <f t="shared" si="11"/>
        <v>842486.16870376491</v>
      </c>
      <c r="I30" s="120">
        <f t="shared" si="11"/>
        <v>562091.85263027111</v>
      </c>
      <c r="J30" s="120">
        <f t="shared" si="11"/>
        <v>485662.32623873762</v>
      </c>
      <c r="K30" s="120">
        <f t="shared" si="11"/>
        <v>506770.7582237937</v>
      </c>
      <c r="L30" s="120">
        <f t="shared" si="11"/>
        <v>606786.86447604524</v>
      </c>
      <c r="M30" s="120">
        <f t="shared" si="11"/>
        <v>1161395.8118188104</v>
      </c>
      <c r="N30" s="120">
        <f t="shared" si="11"/>
        <v>1526565.0924820954</v>
      </c>
      <c r="O30" s="120">
        <f t="shared" si="11"/>
        <v>2239170.668041185</v>
      </c>
      <c r="P30" s="136">
        <f>SUM(D30:O30)</f>
        <v>14361913.823669469</v>
      </c>
    </row>
    <row r="31" spans="1:16" x14ac:dyDescent="0.25">
      <c r="A31" s="56"/>
      <c r="B31" s="55"/>
      <c r="C31" s="56"/>
      <c r="D31" s="120"/>
      <c r="E31" s="120"/>
      <c r="F31" s="120"/>
      <c r="G31" s="120"/>
      <c r="H31" s="164"/>
      <c r="I31" s="120"/>
      <c r="J31" s="120"/>
      <c r="K31" s="120"/>
      <c r="L31" s="120"/>
      <c r="M31" s="120"/>
      <c r="N31" s="120"/>
      <c r="O31" s="120"/>
      <c r="P31" s="136"/>
    </row>
    <row r="32" spans="1:16" x14ac:dyDescent="0.25">
      <c r="A32" s="56"/>
      <c r="B32" s="55" t="s">
        <v>165</v>
      </c>
      <c r="C32" s="56"/>
      <c r="D32" s="114">
        <f>'01.2019 Base Rate Revenue'!$I18</f>
        <v>8210392.0812400002</v>
      </c>
      <c r="E32" s="114">
        <f>'02.2019 Base Rate Revenue'!$I18</f>
        <v>9238294.3179899994</v>
      </c>
      <c r="F32" s="114">
        <f>'03.2019 Base Rate Revenue'!$I18</f>
        <v>7010693.9129900001</v>
      </c>
      <c r="G32" s="114">
        <f>'04.2019 Base Rate Revenue'!$I18</f>
        <v>4691448.634779999</v>
      </c>
      <c r="H32" s="114">
        <f>'05.2019 Base Rate Revenue'!$I18</f>
        <v>2535742.6242300002</v>
      </c>
      <c r="I32" s="114">
        <f>'06.2019 Base Rate Revenue'!$I18</f>
        <v>2351006.50722</v>
      </c>
      <c r="J32" s="114">
        <f>'07.2019 Base Rate Revenue'!$I18</f>
        <v>1986504.76923</v>
      </c>
      <c r="K32" s="114">
        <f>'08.2019 Base Rate Revenue'!$I18</f>
        <v>1996824.1103099999</v>
      </c>
      <c r="L32" s="114">
        <f>'09.2019 Base Rate Revenue'!$I18</f>
        <v>2999537.9689300004</v>
      </c>
      <c r="M32" s="114">
        <f>'10.2019 Base Rate Revenue'!$I18</f>
        <v>5544724.5913500004</v>
      </c>
      <c r="N32" s="114">
        <f>'11.2019 Base Rate Revenue'!$I18</f>
        <v>7158607.0081899995</v>
      </c>
      <c r="O32" s="114">
        <f>'12.2019 Base Rate Revenue'!$I18</f>
        <v>8056572.1063599996</v>
      </c>
      <c r="P32" s="115">
        <f>SUM(D32:O32)</f>
        <v>61780348.632819995</v>
      </c>
    </row>
    <row r="33" spans="1:16" ht="26.25" x14ac:dyDescent="0.25">
      <c r="A33" s="56">
        <v>14</v>
      </c>
      <c r="B33" s="122" t="s">
        <v>166</v>
      </c>
      <c r="C33" s="56" t="s">
        <v>163</v>
      </c>
      <c r="D33" s="123">
        <f>'01.2019 Base Rate Revenue'!$I38</f>
        <v>2240673.3227400002</v>
      </c>
      <c r="E33" s="123">
        <f>'02.2019 Base Rate Revenue'!$I38</f>
        <v>2439374.6760000004</v>
      </c>
      <c r="F33" s="123">
        <f>'03.2019 Base Rate Revenue'!$I38</f>
        <v>1856133.3134100002</v>
      </c>
      <c r="G33" s="123">
        <f>'04.2019 Base Rate Revenue'!$I38</f>
        <v>1471430.3849599999</v>
      </c>
      <c r="H33" s="123">
        <f>'05.2019 Base Rate Revenue'!$I38</f>
        <v>894058.42724999983</v>
      </c>
      <c r="I33" s="123">
        <f>'06.2019 Base Rate Revenue'!$I38</f>
        <v>842351.76428999996</v>
      </c>
      <c r="J33" s="123">
        <f>'07.2019 Base Rate Revenue'!$I38</f>
        <v>743187.63459000003</v>
      </c>
      <c r="K33" s="123">
        <f>'08.2019 Base Rate Revenue'!$I38</f>
        <v>749321.16916000005</v>
      </c>
      <c r="L33" s="123">
        <f>'09.2019 Base Rate Revenue'!$I38</f>
        <v>998397.24438999989</v>
      </c>
      <c r="M33" s="123">
        <f>'10.2019 Base Rate Revenue'!$I38</f>
        <v>1653595.4731600003</v>
      </c>
      <c r="N33" s="123">
        <f>'11.2019 Base Rate Revenue'!$I38</f>
        <v>1712358.0068000003</v>
      </c>
      <c r="O33" s="123">
        <f>'12.2019 Base Rate Revenue'!$I38</f>
        <v>2335771.0180500001</v>
      </c>
      <c r="P33" s="120">
        <f>SUM(D33:O33)</f>
        <v>17936652.434799999</v>
      </c>
    </row>
    <row r="34" spans="1:16" x14ac:dyDescent="0.25">
      <c r="A34" s="56">
        <v>15</v>
      </c>
      <c r="B34" s="55" t="s">
        <v>167</v>
      </c>
      <c r="C34" s="56" t="s">
        <v>163</v>
      </c>
      <c r="D34" s="123">
        <f>'01.2019 Base Rate Revenue'!$C38</f>
        <v>304123.82</v>
      </c>
      <c r="E34" s="123">
        <f>'02.2019 Base Rate Revenue'!$C38</f>
        <v>297416.03000000003</v>
      </c>
      <c r="F34" s="123">
        <f>'03.2019 Base Rate Revenue'!$C38</f>
        <v>308252.99</v>
      </c>
      <c r="G34" s="123">
        <f>'04.2019 Base Rate Revenue'!$C38</f>
        <v>304279.39</v>
      </c>
      <c r="H34" s="123">
        <f>'05.2019 Base Rate Revenue'!$C38</f>
        <v>304303.33</v>
      </c>
      <c r="I34" s="123">
        <f>'06.2019 Base Rate Revenue'!$C38</f>
        <v>300937.48</v>
      </c>
      <c r="J34" s="123">
        <f>'07.2019 Base Rate Revenue'!$C38</f>
        <v>304541.84000000003</v>
      </c>
      <c r="K34" s="123">
        <f>'08.2019 Base Rate Revenue'!$C38</f>
        <v>303206.39</v>
      </c>
      <c r="L34" s="123">
        <f>'09.2019 Base Rate Revenue'!$C38</f>
        <v>298093.89999999997</v>
      </c>
      <c r="M34" s="123">
        <f>'10.2019 Base Rate Revenue'!$C38</f>
        <v>306902.67000000004</v>
      </c>
      <c r="N34" s="123">
        <f>'11.2019 Base Rate Revenue'!$C38</f>
        <v>309489.36</v>
      </c>
      <c r="O34" s="123">
        <f>'12.2019 Base Rate Revenue'!$C38</f>
        <v>306623.76999999996</v>
      </c>
      <c r="P34" s="124">
        <f>SUM(D34:O34)</f>
        <v>3648170.9699999997</v>
      </c>
    </row>
    <row r="35" spans="1:16" x14ac:dyDescent="0.25">
      <c r="A35" s="56">
        <v>16</v>
      </c>
      <c r="B35" s="55" t="s">
        <v>168</v>
      </c>
      <c r="C35" s="56" t="str">
        <f>"("&amp;A33&amp;") - ("&amp;A34&amp;")"</f>
        <v>(14) - (15)</v>
      </c>
      <c r="D35" s="120">
        <f t="shared" ref="D35:O35" si="12">D33-D34</f>
        <v>1936549.5027400001</v>
      </c>
      <c r="E35" s="120">
        <f t="shared" si="12"/>
        <v>2141958.6460000006</v>
      </c>
      <c r="F35" s="120">
        <f t="shared" si="12"/>
        <v>1547880.3234100002</v>
      </c>
      <c r="G35" s="120">
        <f t="shared" si="12"/>
        <v>1167150.9949599998</v>
      </c>
      <c r="H35" s="164">
        <f t="shared" si="12"/>
        <v>589755.09724999988</v>
      </c>
      <c r="I35" s="120">
        <f t="shared" si="12"/>
        <v>541414.28428999998</v>
      </c>
      <c r="J35" s="120">
        <f t="shared" si="12"/>
        <v>438645.79459</v>
      </c>
      <c r="K35" s="120">
        <f t="shared" si="12"/>
        <v>446114.77916000003</v>
      </c>
      <c r="L35" s="120">
        <f t="shared" si="12"/>
        <v>700303.34438999998</v>
      </c>
      <c r="M35" s="120">
        <f t="shared" si="12"/>
        <v>1346692.8031600001</v>
      </c>
      <c r="N35" s="120">
        <f t="shared" si="12"/>
        <v>1402868.6468000002</v>
      </c>
      <c r="O35" s="120">
        <f t="shared" si="12"/>
        <v>2029147.2480500001</v>
      </c>
      <c r="P35" s="124">
        <f>SUM(D35:O35)</f>
        <v>14288481.464800002</v>
      </c>
    </row>
    <row r="36" spans="1:16" x14ac:dyDescent="0.25">
      <c r="A36" s="137"/>
      <c r="B36" s="56" t="s">
        <v>178</v>
      </c>
      <c r="C36" s="56"/>
      <c r="D36" s="138">
        <f>D35/D28</f>
        <v>623.88837072809281</v>
      </c>
      <c r="E36" s="138">
        <f t="shared" ref="E36:O36" si="13">E35/E28</f>
        <v>689.84175394524982</v>
      </c>
      <c r="F36" s="138">
        <f t="shared" si="13"/>
        <v>498.51218145249601</v>
      </c>
      <c r="G36" s="138">
        <f t="shared" si="13"/>
        <v>375.53120815958812</v>
      </c>
      <c r="H36" s="168">
        <f t="shared" si="13"/>
        <v>189.63186406752408</v>
      </c>
      <c r="I36" s="138">
        <f t="shared" si="13"/>
        <v>175.27170096795078</v>
      </c>
      <c r="J36" s="138">
        <f t="shared" si="13"/>
        <v>140.86249023442517</v>
      </c>
      <c r="K36" s="138">
        <f t="shared" si="13"/>
        <v>143.58377185709688</v>
      </c>
      <c r="L36" s="138">
        <f t="shared" si="13"/>
        <v>230.21148730769229</v>
      </c>
      <c r="M36" s="138">
        <f t="shared" si="13"/>
        <v>428.61005829408026</v>
      </c>
      <c r="N36" s="138">
        <f t="shared" si="13"/>
        <v>454.44400609005515</v>
      </c>
      <c r="O36" s="138">
        <f t="shared" si="13"/>
        <v>647.87587741060031</v>
      </c>
      <c r="P36" s="138"/>
    </row>
    <row r="37" spans="1:16" x14ac:dyDescent="0.25">
      <c r="A37" s="56">
        <v>17</v>
      </c>
      <c r="B37" s="55" t="s">
        <v>170</v>
      </c>
      <c r="C37" s="56" t="str">
        <f>"("&amp;A30&amp;") - ("&amp;A35&amp;")"</f>
        <v>(13) - (16)</v>
      </c>
      <c r="D37" s="127">
        <f>D30-D35</f>
        <v>64663.58129605744</v>
      </c>
      <c r="E37" s="127">
        <f t="shared" ref="E37:O37" si="14">E30-E35</f>
        <v>-362924.11062683491</v>
      </c>
      <c r="F37" s="127">
        <f t="shared" si="14"/>
        <v>10726.771969171008</v>
      </c>
      <c r="G37" s="127">
        <f t="shared" si="14"/>
        <v>-75021.428693626774</v>
      </c>
      <c r="H37" s="127">
        <f t="shared" si="14"/>
        <v>252731.07145376503</v>
      </c>
      <c r="I37" s="127">
        <f t="shared" si="14"/>
        <v>20677.568340271129</v>
      </c>
      <c r="J37" s="127">
        <f t="shared" si="14"/>
        <v>47016.531648737611</v>
      </c>
      <c r="K37" s="127">
        <f t="shared" si="14"/>
        <v>60655.979063793668</v>
      </c>
      <c r="L37" s="127">
        <f t="shared" si="14"/>
        <v>-93516.479913954739</v>
      </c>
      <c r="M37" s="127">
        <f t="shared" si="14"/>
        <v>-185296.99134118971</v>
      </c>
      <c r="N37" s="127">
        <f t="shared" si="14"/>
        <v>123696.44568209513</v>
      </c>
      <c r="O37" s="127">
        <f t="shared" si="14"/>
        <v>210023.41999118496</v>
      </c>
      <c r="P37" s="124">
        <f t="shared" ref="P37:P40" si="15">SUM(D37:O37)</f>
        <v>73432.358869469841</v>
      </c>
    </row>
    <row r="38" spans="1:16" x14ac:dyDescent="0.25">
      <c r="A38" s="56">
        <v>18</v>
      </c>
      <c r="B38" s="55" t="s">
        <v>171</v>
      </c>
      <c r="C38" s="56" t="s">
        <v>172</v>
      </c>
      <c r="D38" s="127">
        <f>D37*-'UG-170486 Auth Base'!$R$20</f>
        <v>-3004.5933049213086</v>
      </c>
      <c r="E38" s="127">
        <f>E37*-'UG-170486 Auth Base'!$R$20</f>
        <v>16863.26880027588</v>
      </c>
      <c r="F38" s="127">
        <f>F37*-'UG-170486 Auth Base'!$R$20</f>
        <v>-498.41945954753083</v>
      </c>
      <c r="G38" s="127">
        <f>G37*-'UG-170486 Auth Base'!$R$20</f>
        <v>3485.8706842493675</v>
      </c>
      <c r="H38" s="127">
        <f>H37*-'UG-170486 Auth Base'!$R$20</f>
        <v>-11743.14923509919</v>
      </c>
      <c r="I38" s="127">
        <f>I37*-'UG-170486 Auth Base'!$R$20</f>
        <v>-960.78321293069791</v>
      </c>
      <c r="J38" s="127">
        <f>J37*-'UG-170486 Auth Base'!$R$20</f>
        <v>-2184.6231430585926</v>
      </c>
      <c r="K38" s="127">
        <f>K37*-'UG-170486 Auth Base'!$R$20</f>
        <v>-2818.3800671991721</v>
      </c>
      <c r="L38" s="127">
        <f>L37*-'UG-170486 Auth Base'!$R$20</f>
        <v>4345.2432392019064</v>
      </c>
      <c r="M38" s="127">
        <f>M37*-'UG-170486 Auth Base'!$R$20</f>
        <v>8609.8247026683784</v>
      </c>
      <c r="N38" s="127">
        <f>N37*-'UG-170486 Auth Base'!$R$20</f>
        <v>-5747.555348618549</v>
      </c>
      <c r="O38" s="127">
        <f>O37*-'UG-170486 Auth Base'!$R$20</f>
        <v>-9758.7382098904072</v>
      </c>
      <c r="P38" s="124">
        <f t="shared" si="15"/>
        <v>-3412.034554869917</v>
      </c>
    </row>
    <row r="39" spans="1:16" x14ac:dyDescent="0.25">
      <c r="A39" s="129"/>
      <c r="B39" s="139"/>
      <c r="C39" s="56" t="s">
        <v>173</v>
      </c>
      <c r="D39" s="130">
        <f t="shared" ref="D39:O39" si="16">D21</f>
        <v>5.1799999999999999E-2</v>
      </c>
      <c r="E39" s="130">
        <f t="shared" si="16"/>
        <v>5.1799999999999999E-2</v>
      </c>
      <c r="F39" s="130">
        <f t="shared" si="16"/>
        <v>5.1799999999999999E-2</v>
      </c>
      <c r="G39" s="130">
        <f t="shared" si="16"/>
        <v>5.45E-2</v>
      </c>
      <c r="H39" s="131">
        <f t="shared" si="16"/>
        <v>5.45E-2</v>
      </c>
      <c r="I39" s="130">
        <f t="shared" si="16"/>
        <v>5.45E-2</v>
      </c>
      <c r="J39" s="130">
        <f t="shared" si="16"/>
        <v>5.5E-2</v>
      </c>
      <c r="K39" s="130">
        <f t="shared" si="16"/>
        <v>5.5E-2</v>
      </c>
      <c r="L39" s="130">
        <f t="shared" si="16"/>
        <v>5.5E-2</v>
      </c>
      <c r="M39" s="130">
        <f t="shared" si="16"/>
        <v>5.4199999999999998E-2</v>
      </c>
      <c r="N39" s="130">
        <f t="shared" si="16"/>
        <v>5.4199999999999998E-2</v>
      </c>
      <c r="O39" s="130">
        <f t="shared" si="16"/>
        <v>5.4199999999999998E-2</v>
      </c>
      <c r="P39" s="140"/>
    </row>
    <row r="40" spans="1:16" x14ac:dyDescent="0.25">
      <c r="A40" s="56">
        <v>19</v>
      </c>
      <c r="B40" s="55" t="s">
        <v>174</v>
      </c>
      <c r="C40" s="56" t="s">
        <v>175</v>
      </c>
      <c r="D40" s="132">
        <f>(D37+D38)/2*D39/12</f>
        <v>133.08064908086882</v>
      </c>
      <c r="E40" s="132">
        <f>(D42+(E37+E38)/2)*E39/12</f>
        <v>-480.17888731205318</v>
      </c>
      <c r="F40" s="132">
        <f t="shared" ref="F40:O40" si="17">(E42+(F37+F38)/2)*F39/12</f>
        <v>-1207.0901156180028</v>
      </c>
      <c r="G40" s="132">
        <f t="shared" si="17"/>
        <v>-1414.7085869413656</v>
      </c>
      <c r="H40" s="166">
        <f t="shared" si="17"/>
        <v>-1036.3356447151316</v>
      </c>
      <c r="I40" s="132">
        <f t="shared" si="17"/>
        <v>-449.02539616999024</v>
      </c>
      <c r="J40" s="132">
        <f t="shared" si="17"/>
        <v>-307.27883870753095</v>
      </c>
      <c r="K40" s="132">
        <f t="shared" si="17"/>
        <v>-73.402912025563651</v>
      </c>
      <c r="L40" s="132">
        <f t="shared" si="17"/>
        <v>-145.54559505146031</v>
      </c>
      <c r="M40" s="132">
        <f t="shared" si="17"/>
        <v>-744.48284330114132</v>
      </c>
      <c r="N40" s="132">
        <f t="shared" si="17"/>
        <v>-880.49603146561094</v>
      </c>
      <c r="O40" s="132">
        <f t="shared" si="17"/>
        <v>-165.84062151520578</v>
      </c>
      <c r="P40" s="132">
        <f t="shared" si="15"/>
        <v>-6771.3048237421872</v>
      </c>
    </row>
    <row r="41" spans="1:16" ht="15.75" thickBot="1" x14ac:dyDescent="0.3">
      <c r="A41" s="56"/>
      <c r="B41" s="108" t="s">
        <v>179</v>
      </c>
      <c r="C41" s="56"/>
      <c r="D41" s="133">
        <f>D37+D38+D40</f>
        <v>61792.068640217003</v>
      </c>
      <c r="E41" s="133">
        <f t="shared" ref="E41:O41" si="18">E37+E38+E40</f>
        <v>-346541.02071387111</v>
      </c>
      <c r="F41" s="133">
        <f t="shared" si="18"/>
        <v>9021.2623940054746</v>
      </c>
      <c r="G41" s="133">
        <f t="shared" si="18"/>
        <v>-72950.266596318776</v>
      </c>
      <c r="H41" s="133">
        <f t="shared" si="18"/>
        <v>239951.58657395068</v>
      </c>
      <c r="I41" s="133">
        <f t="shared" si="18"/>
        <v>19267.759731170441</v>
      </c>
      <c r="J41" s="133">
        <f t="shared" si="18"/>
        <v>44524.629666971487</v>
      </c>
      <c r="K41" s="133">
        <f t="shared" si="18"/>
        <v>57764.196084568932</v>
      </c>
      <c r="L41" s="133">
        <f t="shared" si="18"/>
        <v>-89316.782269804287</v>
      </c>
      <c r="M41" s="133">
        <f t="shared" si="18"/>
        <v>-177431.64948182247</v>
      </c>
      <c r="N41" s="133">
        <f t="shared" si="18"/>
        <v>117068.39430201097</v>
      </c>
      <c r="O41" s="133">
        <f t="shared" si="18"/>
        <v>200098.84115977935</v>
      </c>
      <c r="P41" s="133">
        <f>SUM(D41:O41)</f>
        <v>63249.019490857696</v>
      </c>
    </row>
    <row r="42" spans="1:16" ht="15.75" thickBot="1" x14ac:dyDescent="0.3">
      <c r="A42" s="56">
        <v>20</v>
      </c>
      <c r="B42" s="55" t="s">
        <v>180</v>
      </c>
      <c r="C42" s="56" t="str">
        <f>"Σ(("&amp;A37&amp;") + ("&amp;A40&amp;"))"</f>
        <v>Σ((17) + (19))</v>
      </c>
      <c r="D42" s="120">
        <f>D37+D38+D40</f>
        <v>61792.068640217003</v>
      </c>
      <c r="E42" s="120">
        <f>D42+E37+E38+E40</f>
        <v>-284748.9520736541</v>
      </c>
      <c r="F42" s="120">
        <f t="shared" ref="F42:O42" si="19">E42+F37+F38+F40</f>
        <v>-275727.68967964867</v>
      </c>
      <c r="G42" s="120">
        <f t="shared" si="19"/>
        <v>-348677.95627596742</v>
      </c>
      <c r="H42" s="164">
        <f t="shared" si="19"/>
        <v>-108726.3697020167</v>
      </c>
      <c r="I42" s="120">
        <f t="shared" si="19"/>
        <v>-89458.609970846257</v>
      </c>
      <c r="J42" s="120">
        <f t="shared" si="19"/>
        <v>-44933.98030387477</v>
      </c>
      <c r="K42" s="120">
        <f t="shared" si="19"/>
        <v>12830.215780694161</v>
      </c>
      <c r="L42" s="120">
        <f t="shared" si="19"/>
        <v>-76486.566489110133</v>
      </c>
      <c r="M42" s="120">
        <f t="shared" si="19"/>
        <v>-253918.21597093259</v>
      </c>
      <c r="N42" s="120">
        <f t="shared" si="19"/>
        <v>-136849.82166892162</v>
      </c>
      <c r="O42" s="134">
        <f t="shared" si="19"/>
        <v>63249.019490857725</v>
      </c>
      <c r="P42" s="106"/>
    </row>
    <row r="43" spans="1:16" ht="15.75" thickBot="1" x14ac:dyDescent="0.3">
      <c r="A43" s="56"/>
      <c r="B43" s="55"/>
      <c r="C43" s="55"/>
      <c r="D43" s="55"/>
      <c r="E43" s="55"/>
      <c r="F43" s="55"/>
      <c r="G43" s="55"/>
      <c r="H43" s="169"/>
      <c r="I43" s="55"/>
      <c r="J43" s="55"/>
      <c r="K43" s="55"/>
      <c r="L43" s="55"/>
      <c r="M43" s="55"/>
      <c r="N43" s="55"/>
      <c r="O43" s="55"/>
      <c r="P43" s="106"/>
    </row>
    <row r="44" spans="1:16" ht="15.75" thickBot="1" x14ac:dyDescent="0.3">
      <c r="A44" s="113">
        <v>21</v>
      </c>
      <c r="B44" s="108" t="s">
        <v>181</v>
      </c>
      <c r="C44" s="113" t="str">
        <f>"("&amp;A24&amp;") + ("&amp;A42&amp;")"</f>
        <v>(10) + (20)</v>
      </c>
      <c r="D44" s="120">
        <f t="shared" ref="D44:O44" si="20">D24+D42</f>
        <v>114219.75196183371</v>
      </c>
      <c r="E44" s="120">
        <f t="shared" si="20"/>
        <v>-2234421.2537852195</v>
      </c>
      <c r="F44" s="120">
        <f t="shared" si="20"/>
        <v>-2675227.1948197549</v>
      </c>
      <c r="G44" s="120">
        <f t="shared" si="20"/>
        <v>-2455420.0363500644</v>
      </c>
      <c r="H44" s="164">
        <f t="shared" si="20"/>
        <v>-1618959.4732236823</v>
      </c>
      <c r="I44" s="120">
        <f t="shared" si="20"/>
        <v>-1181442.2432756177</v>
      </c>
      <c r="J44" s="120">
        <f t="shared" si="20"/>
        <v>-1076540.4267253368</v>
      </c>
      <c r="K44" s="120">
        <f t="shared" si="20"/>
        <v>-910011.20806351933</v>
      </c>
      <c r="L44" s="120">
        <f t="shared" si="20"/>
        <v>-1071825.2145109025</v>
      </c>
      <c r="M44" s="120">
        <f t="shared" si="20"/>
        <v>-2773307.1893859538</v>
      </c>
      <c r="N44" s="120">
        <f t="shared" si="20"/>
        <v>-2273274.5249078698</v>
      </c>
      <c r="O44" s="134">
        <f t="shared" si="20"/>
        <v>-990425.28621817578</v>
      </c>
      <c r="P44" s="106"/>
    </row>
    <row r="45" spans="1:16" x14ac:dyDescent="0.25">
      <c r="H45" s="24"/>
    </row>
    <row r="46" spans="1:16" ht="109.15" customHeight="1" x14ac:dyDescent="0.25">
      <c r="A46" s="139"/>
      <c r="B46" s="141" t="s">
        <v>182</v>
      </c>
      <c r="C46" s="85" t="s">
        <v>183</v>
      </c>
      <c r="D46" s="142">
        <f t="shared" ref="D46:O46" si="21">D6</f>
        <v>43466</v>
      </c>
      <c r="E46" s="142">
        <f t="shared" si="21"/>
        <v>43497</v>
      </c>
      <c r="F46" s="142">
        <f t="shared" si="21"/>
        <v>43525</v>
      </c>
      <c r="G46" s="142">
        <f t="shared" si="21"/>
        <v>43556</v>
      </c>
      <c r="H46" s="170">
        <f t="shared" si="21"/>
        <v>43586</v>
      </c>
      <c r="I46" s="142">
        <f t="shared" si="21"/>
        <v>43617</v>
      </c>
      <c r="J46" s="142">
        <f t="shared" si="21"/>
        <v>43647</v>
      </c>
      <c r="K46" s="142">
        <f t="shared" si="21"/>
        <v>43678</v>
      </c>
      <c r="L46" s="142">
        <f t="shared" si="21"/>
        <v>43709</v>
      </c>
      <c r="M46" s="142">
        <f t="shared" si="21"/>
        <v>43739</v>
      </c>
      <c r="N46" s="142">
        <f t="shared" si="21"/>
        <v>43770</v>
      </c>
      <c r="O46" s="142">
        <f t="shared" si="21"/>
        <v>43800</v>
      </c>
    </row>
    <row r="47" spans="1:16" x14ac:dyDescent="0.25">
      <c r="A47" s="139"/>
      <c r="B47" s="139"/>
      <c r="H47" s="24"/>
    </row>
    <row r="48" spans="1:16" x14ac:dyDescent="0.25">
      <c r="A48" s="139" t="s">
        <v>184</v>
      </c>
      <c r="B48" s="139" t="s">
        <v>185</v>
      </c>
      <c r="D48" s="34">
        <f>ROUND(-D19-D20,2)</f>
        <v>-52314.77</v>
      </c>
      <c r="E48" s="34">
        <f>-E19-E20</f>
        <v>1998013.9178268772</v>
      </c>
      <c r="F48" s="34">
        <f>ROUND(-F19-F20,2)</f>
        <v>440460.46</v>
      </c>
      <c r="G48" s="34">
        <f>ROUND(-G19-G20,2)</f>
        <v>-302967.15999999997</v>
      </c>
      <c r="H48" s="34">
        <f>ROUND(-H19-H20,2)</f>
        <v>-604703.92000000004</v>
      </c>
      <c r="I48" s="34">
        <f>-I19-I20</f>
        <v>-424145.28231679404</v>
      </c>
      <c r="J48" s="34">
        <f>-J19-J20</f>
        <v>-65232.620447430825</v>
      </c>
      <c r="K48" s="34">
        <f>-K19-K20</f>
        <v>-113233.72483726154</v>
      </c>
      <c r="L48" s="34">
        <f>ROUND(-L19-L20,2)</f>
        <v>68111.45</v>
      </c>
      <c r="M48" s="34">
        <f>ROUND(-M19-M20,2)</f>
        <v>1516130.78</v>
      </c>
      <c r="N48" s="34">
        <f>ROUND(-N19-N20,2)</f>
        <v>-393454.96</v>
      </c>
      <c r="O48" s="34">
        <f>ROUND(-O19-O20,2)</f>
        <v>-1089938.47</v>
      </c>
      <c r="P48" s="38"/>
    </row>
    <row r="49" spans="1:16" x14ac:dyDescent="0.25">
      <c r="A49" s="139" t="s">
        <v>184</v>
      </c>
      <c r="B49" s="139" t="s">
        <v>186</v>
      </c>
      <c r="D49" s="34">
        <f>ROUND(IF(D22&lt;0,-D22,0),2)</f>
        <v>0</v>
      </c>
      <c r="E49" s="34">
        <f>IF(E22&lt;0,-E22,0)</f>
        <v>4086.0672063046973</v>
      </c>
      <c r="F49" s="34">
        <f>ROUND(IF(F22&lt;0,-F22,0),2)</f>
        <v>9366.75</v>
      </c>
      <c r="G49" s="34">
        <f>ROUND(IF(G22&lt;0,-G22,0),2)</f>
        <v>10209.74</v>
      </c>
      <c r="H49" s="34">
        <f>ROUND(IF(H22&lt;0,-H22,0),2)</f>
        <v>8194.94</v>
      </c>
      <c r="I49" s="34">
        <f>IF(I22&lt;0,-I22,0)</f>
        <v>5895.8120998998447</v>
      </c>
      <c r="J49" s="34">
        <f>IF(J22&lt;0,-J22,0)</f>
        <v>4855.4335641215075</v>
      </c>
      <c r="K49" s="34">
        <f>IF(K22&lt;0,-K22,0)</f>
        <v>4468.7022600129776</v>
      </c>
      <c r="L49" s="34">
        <f>ROUND(IF(L22&lt;0,-L22,0),2)</f>
        <v>4385.78</v>
      </c>
      <c r="M49" s="34">
        <f>ROUND(IF(M22&lt;0,-M22,0),2)</f>
        <v>7919.54</v>
      </c>
      <c r="N49" s="34">
        <f>ROUND(IF(N22&lt;0,-N22,0),2)</f>
        <v>10490.69</v>
      </c>
      <c r="O49" s="34">
        <f>ROUND(IF(O22&lt;0,-O22,0),2)</f>
        <v>7188.07</v>
      </c>
      <c r="P49" s="38"/>
    </row>
    <row r="50" spans="1:16" x14ac:dyDescent="0.25">
      <c r="A50" s="139" t="s">
        <v>184</v>
      </c>
      <c r="B50" s="139" t="s">
        <v>187</v>
      </c>
      <c r="D50" s="34">
        <f>ROUND(IF(D22&gt;0,-D22,0),2)</f>
        <v>-112.91</v>
      </c>
      <c r="E50" s="34">
        <f>IF(E22&gt;0,-E22,0)</f>
        <v>0</v>
      </c>
      <c r="F50" s="34">
        <f>ROUND(IF(F22&gt;0,-F22,0),2)</f>
        <v>0</v>
      </c>
      <c r="G50" s="34">
        <f>ROUND(IF(G22&gt;0,-G22,0),2)</f>
        <v>0</v>
      </c>
      <c r="H50" s="34">
        <f>ROUND(IF(H22&gt;0,-H22,0),2)</f>
        <v>0</v>
      </c>
      <c r="I50" s="34">
        <f>IF(I22&gt;0,-I22,0)</f>
        <v>0</v>
      </c>
      <c r="J50" s="34">
        <f>IF(J22&gt;0,-J22,0)</f>
        <v>0</v>
      </c>
      <c r="K50" s="34">
        <f>IF(K22&gt;0,-K22,0)</f>
        <v>0</v>
      </c>
      <c r="L50" s="34">
        <f>ROUND(IF(L22&gt;0,-L22,0),2)</f>
        <v>0</v>
      </c>
      <c r="M50" s="34">
        <f>ROUND(IF(M22&gt;0,-M22,0),2)</f>
        <v>0</v>
      </c>
      <c r="N50" s="34">
        <f>ROUND(IF(N22&gt;0,-N22,0),2)</f>
        <v>0</v>
      </c>
      <c r="O50" s="34">
        <f>ROUND(IF(O22&gt;0,-O22,0),2)</f>
        <v>0</v>
      </c>
      <c r="P50" s="38"/>
    </row>
    <row r="51" spans="1:16" ht="15.75" thickBot="1" x14ac:dyDescent="0.3">
      <c r="A51" s="139" t="s">
        <v>184</v>
      </c>
      <c r="B51" s="139" t="s">
        <v>188</v>
      </c>
      <c r="D51" s="34">
        <f t="shared" ref="D51" si="22">-SUM(D48:D50)</f>
        <v>52427.68</v>
      </c>
      <c r="E51" s="34">
        <f t="shared" ref="E51:F51" si="23">-SUM(E48:E50)</f>
        <v>-2002099.985033182</v>
      </c>
      <c r="F51" s="34">
        <f t="shared" si="23"/>
        <v>-449827.21</v>
      </c>
      <c r="G51" s="34">
        <f>-SUM(G48:G50)</f>
        <v>292757.42</v>
      </c>
      <c r="H51" s="143">
        <f t="shared" ref="H51:O51" si="24">-SUM(H48:H50)</f>
        <v>596508.9800000001</v>
      </c>
      <c r="I51" s="34">
        <f t="shared" si="24"/>
        <v>418249.47021689417</v>
      </c>
      <c r="J51" s="34">
        <f t="shared" si="24"/>
        <v>60377.186883309318</v>
      </c>
      <c r="K51" s="34">
        <f t="shared" si="24"/>
        <v>108765.02257724857</v>
      </c>
      <c r="L51" s="34">
        <f t="shared" si="24"/>
        <v>-72497.23</v>
      </c>
      <c r="M51" s="34">
        <f t="shared" si="24"/>
        <v>-1524050.32</v>
      </c>
      <c r="N51" s="34">
        <f t="shared" si="24"/>
        <v>382964.27</v>
      </c>
      <c r="O51" s="34">
        <f t="shared" si="24"/>
        <v>1082750.3999999999</v>
      </c>
      <c r="P51" s="38"/>
    </row>
    <row r="52" spans="1:16" x14ac:dyDescent="0.25">
      <c r="A52" s="139" t="s">
        <v>184</v>
      </c>
      <c r="B52" s="144" t="s">
        <v>189</v>
      </c>
      <c r="C52" s="145"/>
      <c r="D52" s="143">
        <f t="shared" ref="D52" si="25">-D53-D54</f>
        <v>-548728.17832748289</v>
      </c>
      <c r="E52" s="34">
        <f t="shared" ref="E52" si="26">-E53-E54</f>
        <v>-608289.40976375504</v>
      </c>
      <c r="F52" s="34">
        <f>-F53-F54</f>
        <v>-480282.60202894401</v>
      </c>
      <c r="G52" s="34">
        <f>-G53-G54</f>
        <v>-225602.90229801202</v>
      </c>
      <c r="H52" s="143">
        <f>-H53-H54</f>
        <v>-112108.5039704612</v>
      </c>
      <c r="I52" s="143">
        <f t="shared" ref="I52:O52" si="27">-I53-I54</f>
        <v>-64915.171566811216</v>
      </c>
      <c r="J52" s="143">
        <f t="shared" si="27"/>
        <v>-62193.7668052968</v>
      </c>
      <c r="K52" s="143">
        <f t="shared" si="27"/>
        <v>-57902.920744188792</v>
      </c>
      <c r="L52" s="143">
        <f t="shared" si="27"/>
        <v>-95374.632783996785</v>
      </c>
      <c r="M52" s="143">
        <f t="shared" si="27"/>
        <v>-331383.18494506238</v>
      </c>
      <c r="N52" s="143">
        <f t="shared" si="27"/>
        <v>70320.020370236976</v>
      </c>
      <c r="O52" s="143">
        <f t="shared" si="27"/>
        <v>76803.395995259983</v>
      </c>
      <c r="P52" s="38"/>
    </row>
    <row r="53" spans="1:16" x14ac:dyDescent="0.25">
      <c r="A53" s="139" t="s">
        <v>184</v>
      </c>
      <c r="B53" s="146" t="s">
        <v>190</v>
      </c>
      <c r="C53" s="147"/>
      <c r="D53" s="143">
        <f>IF(-'01.2019 Base Rate Revenue'!$W$14&lt;0,-'01.2019 Base Rate Revenue'!$W$14,0)</f>
        <v>0</v>
      </c>
      <c r="E53" s="143">
        <f>IF(-'02.2019 Base Rate Revenue'!$W$14&lt;0,-'02.2019 Base Rate Revenue'!$W$14,0)</f>
        <v>0</v>
      </c>
      <c r="F53" s="143">
        <f>IF(-'03.2019 Base Rate Revenue'!$W$14&lt;0,-'03.2019 Base Rate Revenue'!$W$14,0)</f>
        <v>0</v>
      </c>
      <c r="G53" s="143">
        <f>IF(-'04.2019 Base Rate Revenue'!$W$14&lt;0,-'04.2019 Base Rate Revenue'!$W$14,0)</f>
        <v>0</v>
      </c>
      <c r="H53" s="143">
        <f>IF(-'05.2019 Base Rate Revenue'!$W$14&lt;0,-'05.2019 Base Rate Revenue'!$W$14,0)</f>
        <v>0</v>
      </c>
      <c r="I53" s="143">
        <f>IF(-'06.2019 Base Rate Revenue'!$W$14&lt;0,-'06.2019 Base Rate Revenue'!$W$14,0)</f>
        <v>0</v>
      </c>
      <c r="J53" s="143">
        <f>IF(-'07.2019 Base Rate Revenue'!$W$14&lt;0,-'07.2019 Base Rate Revenue'!$W$14,0)</f>
        <v>0</v>
      </c>
      <c r="K53" s="143">
        <f>IF(-'08.2019 Base Rate Revenue'!$W$14&lt;0,-'08.2019 Base Rate Revenue'!$W$14,0)</f>
        <v>0</v>
      </c>
      <c r="L53" s="143">
        <f>IF(-'09.2019 Base Rate Revenue'!$W$14&lt;0,-'09.2019 Base Rate Revenue'!$W$14,0)</f>
        <v>0</v>
      </c>
      <c r="M53" s="143">
        <f>IF(-'10.2019 Base Rate Revenue'!$W$14&lt;0,-'10.2019 Base Rate Revenue'!$W$14,0)</f>
        <v>0</v>
      </c>
      <c r="N53" s="143">
        <f>IF(-'11.2019 Base Rate Revenue'!$W$14&lt;0,-'11.2019 Base Rate Revenue'!$W$14,0)</f>
        <v>-70320.020370236976</v>
      </c>
      <c r="O53" s="143">
        <f>IF(-'12.2019 Base Rate Revenue'!$W$14&lt;0,-'12.2019 Base Rate Revenue'!$W$14,0)</f>
        <v>-76803.395995259983</v>
      </c>
      <c r="P53" s="38"/>
    </row>
    <row r="54" spans="1:16" ht="15.75" thickBot="1" x14ac:dyDescent="0.3">
      <c r="A54" s="139" t="s">
        <v>184</v>
      </c>
      <c r="B54" s="148" t="s">
        <v>191</v>
      </c>
      <c r="C54" s="149"/>
      <c r="D54" s="143">
        <f>IF(-'01.2019 Base Rate Revenue'!$W$14&gt;0,-'01.2019 Base Rate Revenue'!$W$14,0)</f>
        <v>548728.17832748289</v>
      </c>
      <c r="E54" s="143">
        <f>IF(-'02.2019 Base Rate Revenue'!$W$14&gt;0,-'02.2019 Base Rate Revenue'!$W$14,0)</f>
        <v>608289.40976375504</v>
      </c>
      <c r="F54" s="143">
        <f>IF(-'03.2019 Base Rate Revenue'!$W$14&gt;0,-'03.2019 Base Rate Revenue'!$W$14,0)</f>
        <v>480282.60202894401</v>
      </c>
      <c r="G54" s="143">
        <f>IF(-'04.2019 Base Rate Revenue'!$W$14&gt;0,-'04.2019 Base Rate Revenue'!$W$14,0)</f>
        <v>225602.90229801202</v>
      </c>
      <c r="H54" s="143">
        <f>IF(-'05.2019 Base Rate Revenue'!$W$14&gt;0,-'05.2019 Base Rate Revenue'!$W$14,0)</f>
        <v>112108.5039704612</v>
      </c>
      <c r="I54" s="143">
        <f>IF(-'06.2019 Base Rate Revenue'!$W$14&gt;0,-'06.2019 Base Rate Revenue'!$W$14,0)</f>
        <v>64915.171566811216</v>
      </c>
      <c r="J54" s="143">
        <f>IF(-'07.2019 Base Rate Revenue'!$W$14&gt;0,-'07.2019 Base Rate Revenue'!$W$14,0)</f>
        <v>62193.7668052968</v>
      </c>
      <c r="K54" s="143">
        <f>IF(-'08.2019 Base Rate Revenue'!$W$14&gt;0,-'08.2019 Base Rate Revenue'!$W$14,0)</f>
        <v>57902.920744188792</v>
      </c>
      <c r="L54" s="143">
        <f>IF(-'09.2019 Base Rate Revenue'!$W$14&gt;0,-'09.2019 Base Rate Revenue'!$W$14,0)</f>
        <v>95374.632783996785</v>
      </c>
      <c r="M54" s="143">
        <f>IF(-'10.2019 Base Rate Revenue'!$W$14&gt;0,-'10.2019 Base Rate Revenue'!$W$14,0)</f>
        <v>331383.18494506238</v>
      </c>
      <c r="N54" s="143">
        <f>IF(-'11.2019 Base Rate Revenue'!$W$14&gt;0,-'11.2019 Base Rate Revenue'!$W$14,0)</f>
        <v>0</v>
      </c>
      <c r="O54" s="143">
        <f>IF(-'12.2019 Base Rate Revenue'!$W$14&gt;0,-'12.2019 Base Rate Revenue'!$W$14,0)</f>
        <v>0</v>
      </c>
      <c r="P54" s="38"/>
    </row>
    <row r="55" spans="1:16" x14ac:dyDescent="0.25">
      <c r="A55" s="139"/>
      <c r="B55" s="139"/>
      <c r="D55" s="34"/>
      <c r="E55" s="34"/>
      <c r="F55" s="34"/>
      <c r="G55" s="34"/>
      <c r="H55" s="143"/>
      <c r="I55" s="34"/>
      <c r="J55" s="34"/>
      <c r="K55" s="34"/>
      <c r="L55" s="34"/>
      <c r="M55" s="34"/>
      <c r="N55" s="34"/>
      <c r="O55" s="34"/>
      <c r="P55" s="38"/>
    </row>
    <row r="56" spans="1:16" x14ac:dyDescent="0.25">
      <c r="A56" s="139" t="s">
        <v>184</v>
      </c>
      <c r="B56" s="139" t="s">
        <v>192</v>
      </c>
      <c r="D56" s="34">
        <f t="shared" ref="D56" si="28">ROUND(-D37-D38,2)</f>
        <v>-61658.99</v>
      </c>
      <c r="E56" s="34">
        <f t="shared" ref="E56:K56" si="29">-E37-E38</f>
        <v>346060.84182655904</v>
      </c>
      <c r="F56" s="34">
        <f>ROUND(-F37-F38,2)</f>
        <v>-10228.35</v>
      </c>
      <c r="G56" s="143">
        <f>ROUND(-G37-G38,2)</f>
        <v>71535.56</v>
      </c>
      <c r="H56" s="143">
        <f>ROUND(-H37-H38,2)</f>
        <v>-240987.92</v>
      </c>
      <c r="I56" s="34">
        <f t="shared" si="29"/>
        <v>-19716.78512734043</v>
      </c>
      <c r="J56" s="34">
        <f t="shared" si="29"/>
        <v>-44831.908505679021</v>
      </c>
      <c r="K56" s="34">
        <f t="shared" si="29"/>
        <v>-57837.598996594497</v>
      </c>
      <c r="L56" s="34">
        <f>ROUND(-L37-L38,2)</f>
        <v>89171.24</v>
      </c>
      <c r="M56" s="34">
        <f t="shared" ref="M56:O56" si="30">ROUND(-M37-M38,2)</f>
        <v>176687.17</v>
      </c>
      <c r="N56" s="34">
        <f t="shared" si="30"/>
        <v>-117948.89</v>
      </c>
      <c r="O56" s="34">
        <f t="shared" si="30"/>
        <v>-200264.68</v>
      </c>
      <c r="P56" s="38"/>
    </row>
    <row r="57" spans="1:16" x14ac:dyDescent="0.25">
      <c r="A57" s="139" t="s">
        <v>184</v>
      </c>
      <c r="B57" s="139" t="s">
        <v>186</v>
      </c>
      <c r="D57" s="34">
        <f t="shared" ref="D57" si="31">ROUND(IF(D40&lt;0,-D40,0),2)</f>
        <v>0</v>
      </c>
      <c r="E57" s="34">
        <f t="shared" ref="E57:K57" si="32">IF(E40&lt;0,-E40,0)</f>
        <v>480.17888731205318</v>
      </c>
      <c r="F57" s="34">
        <f>ROUND(IF(F40&lt;0,-F40,0),2)</f>
        <v>1207.0899999999999</v>
      </c>
      <c r="G57" s="143">
        <f>ROUND(IF(G40&lt;0,-G40,0),2)</f>
        <v>1414.71</v>
      </c>
      <c r="H57" s="143">
        <f>ROUND(IF(H40&lt;0,-H40,0),2)</f>
        <v>1036.3399999999999</v>
      </c>
      <c r="I57" s="34">
        <f t="shared" si="32"/>
        <v>449.02539616999024</v>
      </c>
      <c r="J57" s="34">
        <f t="shared" si="32"/>
        <v>307.27883870753095</v>
      </c>
      <c r="K57" s="34">
        <f t="shared" si="32"/>
        <v>73.402912025563651</v>
      </c>
      <c r="L57" s="34">
        <f>ROUND(IF(L40&lt;0,-L40,0),2)</f>
        <v>145.55000000000001</v>
      </c>
      <c r="M57" s="34">
        <f t="shared" ref="M57:O57" si="33">ROUND(IF(M40&lt;0,-M40,0),2)</f>
        <v>744.48</v>
      </c>
      <c r="N57" s="34">
        <f t="shared" si="33"/>
        <v>880.5</v>
      </c>
      <c r="O57" s="34">
        <f t="shared" si="33"/>
        <v>165.84</v>
      </c>
      <c r="P57" s="38"/>
    </row>
    <row r="58" spans="1:16" x14ac:dyDescent="0.25">
      <c r="A58" s="139" t="s">
        <v>184</v>
      </c>
      <c r="B58" s="139" t="s">
        <v>187</v>
      </c>
      <c r="D58" s="34">
        <f t="shared" ref="D58" si="34">ROUND(IF(D40&gt;0,-D40,0),2)</f>
        <v>-133.08000000000001</v>
      </c>
      <c r="E58" s="34">
        <f t="shared" ref="E58:K58" si="35">IF(E40&gt;0,-E40,0)</f>
        <v>0</v>
      </c>
      <c r="F58" s="34">
        <f>ROUND(IF(F40&gt;0,-F40,0),2)</f>
        <v>0</v>
      </c>
      <c r="G58" s="143">
        <f t="shared" ref="G58" si="36">IF(G40&gt;0,-G40,0)</f>
        <v>0</v>
      </c>
      <c r="H58" s="143">
        <f t="shared" si="35"/>
        <v>0</v>
      </c>
      <c r="I58" s="34">
        <f t="shared" si="35"/>
        <v>0</v>
      </c>
      <c r="J58" s="34">
        <f t="shared" si="35"/>
        <v>0</v>
      </c>
      <c r="K58" s="34">
        <f t="shared" si="35"/>
        <v>0</v>
      </c>
      <c r="L58" s="34">
        <f>ROUND(IF(L40&gt;0,-L40,0),2)</f>
        <v>0</v>
      </c>
      <c r="M58" s="34">
        <f t="shared" ref="M58:O58" si="37">ROUND(IF(M40&gt;0,-M40,0),2)</f>
        <v>0</v>
      </c>
      <c r="N58" s="34">
        <f t="shared" si="37"/>
        <v>0</v>
      </c>
      <c r="O58" s="34">
        <f t="shared" si="37"/>
        <v>0</v>
      </c>
      <c r="P58" s="38"/>
    </row>
    <row r="59" spans="1:16" ht="15.75" thickBot="1" x14ac:dyDescent="0.3">
      <c r="A59" s="139" t="s">
        <v>184</v>
      </c>
      <c r="B59" s="139" t="s">
        <v>193</v>
      </c>
      <c r="D59" s="34">
        <f t="shared" ref="D59" si="38">-SUM(D56:D58)</f>
        <v>61792.07</v>
      </c>
      <c r="E59" s="34">
        <f t="shared" ref="E59:F59" si="39">-SUM(E56:E58)</f>
        <v>-346541.02071387111</v>
      </c>
      <c r="F59" s="34">
        <f t="shared" si="39"/>
        <v>9021.26</v>
      </c>
      <c r="G59" s="34">
        <f>-SUM(G56:G58)</f>
        <v>-72950.27</v>
      </c>
      <c r="H59" s="143">
        <f>-SUM(H56:H58)</f>
        <v>239951.58000000002</v>
      </c>
      <c r="I59" s="34">
        <f t="shared" ref="I59:O59" si="40">-SUM(I56:I58)</f>
        <v>19267.759731170441</v>
      </c>
      <c r="J59" s="34">
        <f t="shared" si="40"/>
        <v>44524.629666971487</v>
      </c>
      <c r="K59" s="34">
        <f t="shared" si="40"/>
        <v>57764.196084568932</v>
      </c>
      <c r="L59" s="34">
        <f t="shared" si="40"/>
        <v>-89316.790000000008</v>
      </c>
      <c r="M59" s="34">
        <f t="shared" si="40"/>
        <v>-177431.65000000002</v>
      </c>
      <c r="N59" s="34">
        <f t="shared" si="40"/>
        <v>117068.39</v>
      </c>
      <c r="O59" s="34">
        <f t="shared" si="40"/>
        <v>200098.84</v>
      </c>
      <c r="P59" s="38"/>
    </row>
    <row r="60" spans="1:16" x14ac:dyDescent="0.25">
      <c r="A60" s="139" t="s">
        <v>184</v>
      </c>
      <c r="B60" s="144" t="s">
        <v>194</v>
      </c>
      <c r="C60" s="145"/>
      <c r="D60" s="143">
        <f t="shared" ref="D60" si="41">-D62-D61</f>
        <v>54040.595008167715</v>
      </c>
      <c r="E60" s="34">
        <f t="shared" ref="E60:F60" si="42">-E62-E61</f>
        <v>60452.58542858281</v>
      </c>
      <c r="F60" s="34">
        <f t="shared" si="42"/>
        <v>45797.841316857892</v>
      </c>
      <c r="G60" s="34">
        <f>-G62-G61</f>
        <v>30594.48138544098</v>
      </c>
      <c r="H60" s="143">
        <f>-H62-H61</f>
        <v>16444.462095695821</v>
      </c>
      <c r="I60" s="143">
        <f t="shared" ref="I60:O60" si="43">-I62-I61</f>
        <v>15300.98129318374</v>
      </c>
      <c r="J60" s="143">
        <f t="shared" si="43"/>
        <v>12859.234294933078</v>
      </c>
      <c r="K60" s="143">
        <f t="shared" si="43"/>
        <v>12957.273378167059</v>
      </c>
      <c r="L60" s="143">
        <f t="shared" si="43"/>
        <v>19487.24375486463</v>
      </c>
      <c r="M60" s="143">
        <f t="shared" si="43"/>
        <v>36228.274287845998</v>
      </c>
      <c r="N60" s="143">
        <f t="shared" si="43"/>
        <v>127849.57254273602</v>
      </c>
      <c r="O60" s="143">
        <f t="shared" si="43"/>
        <v>140117.79398730304</v>
      </c>
    </row>
    <row r="61" spans="1:16" x14ac:dyDescent="0.25">
      <c r="A61" s="139" t="s">
        <v>184</v>
      </c>
      <c r="B61" s="146" t="s">
        <v>195</v>
      </c>
      <c r="C61" s="150"/>
      <c r="D61" s="143">
        <f>IF(-'01.2019 Base Rate Revenue'!$W$15&lt;0,-'01.2019 Base Rate Revenue'!$W$15,0)</f>
        <v>-54040.595008167715</v>
      </c>
      <c r="E61" s="143">
        <f>IF(-'02.2019 Base Rate Revenue'!$W$15&lt;0,-'02.2019 Base Rate Revenue'!$W$15,0)</f>
        <v>-60452.58542858281</v>
      </c>
      <c r="F61" s="143">
        <f>IF(-'03.2019 Base Rate Revenue'!$W$15&lt;0,-'03.2019 Base Rate Revenue'!$W$15,0)</f>
        <v>-45797.841316857892</v>
      </c>
      <c r="G61" s="143">
        <f>IF(-'04.2019 Base Rate Revenue'!$W$15&lt;0,-'04.2019 Base Rate Revenue'!$W$15,0)</f>
        <v>-30594.48138544098</v>
      </c>
      <c r="H61" s="143">
        <f>IF(-'05.2019 Base Rate Revenue'!$W$15&lt;0,-'05.2019 Base Rate Revenue'!$W$15,0)</f>
        <v>-16444.462095695821</v>
      </c>
      <c r="I61" s="143">
        <f>IF(-'06.2019 Base Rate Revenue'!$W$15&lt;0,-'06.2019 Base Rate Revenue'!$W$15,0)</f>
        <v>-15300.98129318374</v>
      </c>
      <c r="J61" s="143">
        <f>IF(-'07.2019 Base Rate Revenue'!$W$15&lt;0,-'07.2019 Base Rate Revenue'!$W$15,0)</f>
        <v>-12859.234294933078</v>
      </c>
      <c r="K61" s="143">
        <f>IF(-'08.2019 Base Rate Revenue'!$W$15&lt;0,-'08.2019 Base Rate Revenue'!$W$15,0)</f>
        <v>-12957.273378167059</v>
      </c>
      <c r="L61" s="143">
        <f>IF(-'09.2019 Base Rate Revenue'!$W$15&lt;0,-'09.2019 Base Rate Revenue'!$W$15,0)</f>
        <v>-19487.24375486463</v>
      </c>
      <c r="M61" s="143">
        <f>IF(-'10.2019 Base Rate Revenue'!$W$15&lt;0,-'10.2019 Base Rate Revenue'!$W$15,0)</f>
        <v>-36228.274287845998</v>
      </c>
      <c r="N61" s="143">
        <f>IF(-'11.2019 Base Rate Revenue'!$W$15&lt;0,-'11.2019 Base Rate Revenue'!$W$15,0)</f>
        <v>-127849.57254273602</v>
      </c>
      <c r="O61" s="143">
        <f>IF(-'12.2019 Base Rate Revenue'!$W$15&lt;0,-'12.2019 Base Rate Revenue'!$W$15,0)</f>
        <v>-140117.79398730304</v>
      </c>
    </row>
    <row r="62" spans="1:16" ht="15.75" thickBot="1" x14ac:dyDescent="0.3">
      <c r="A62" s="139" t="s">
        <v>184</v>
      </c>
      <c r="B62" s="148" t="s">
        <v>196</v>
      </c>
      <c r="C62" s="151"/>
      <c r="D62" s="143">
        <f>IF(-'01.2019 Base Rate Revenue'!$W$15&gt;0,-'01.2019 Base Rate Revenue'!$W$15,0)</f>
        <v>0</v>
      </c>
      <c r="E62" s="143">
        <f>IF(-'02.2019 Base Rate Revenue'!$W$15&gt;0,-'02.2019 Base Rate Revenue'!$W$15,0)</f>
        <v>0</v>
      </c>
      <c r="F62" s="143">
        <f>IF(-'03.2019 Base Rate Revenue'!$W$15&gt;0,-'03.2019 Base Rate Revenue'!$W$15,0)</f>
        <v>0</v>
      </c>
      <c r="G62" s="143">
        <f>IF(-'04.2019 Base Rate Revenue'!$W$15&gt;0,-'04.2019 Base Rate Revenue'!$W$15,0)</f>
        <v>0</v>
      </c>
      <c r="H62" s="143">
        <f>IF(-'05.2019 Base Rate Revenue'!$W$15&gt;0,-'05.2019 Base Rate Revenue'!$W$15,0)</f>
        <v>0</v>
      </c>
      <c r="I62" s="143">
        <f>IF(-'06.2019 Base Rate Revenue'!$W$15&gt;0,-'06.2019 Base Rate Revenue'!$W$15,0)</f>
        <v>0</v>
      </c>
      <c r="J62" s="143">
        <f>IF(-'07.2019 Base Rate Revenue'!$W$15&gt;0,-'07.2019 Base Rate Revenue'!$W$15,0)</f>
        <v>0</v>
      </c>
      <c r="K62" s="143">
        <f>IF(-'08.2019 Base Rate Revenue'!$W$15&gt;0,-'08.2019 Base Rate Revenue'!$W$15,0)</f>
        <v>0</v>
      </c>
      <c r="L62" s="143">
        <f>IF(-'09.2019 Base Rate Revenue'!$W$15&gt;0,-'09.2019 Base Rate Revenue'!$W$15,0)</f>
        <v>0</v>
      </c>
      <c r="M62" s="143">
        <f>IF(-'10.2019 Base Rate Revenue'!$W$15&gt;0,-'10.2019 Base Rate Revenue'!$W$15,0)</f>
        <v>0</v>
      </c>
      <c r="N62" s="143">
        <f>IF(-'11.2019 Base Rate Revenue'!$W$15&gt;0,-'11.2019 Base Rate Revenue'!$W$15,0)</f>
        <v>0</v>
      </c>
      <c r="O62" s="143">
        <f>IF(-'12.2019 Base Rate Revenue'!$W$15&gt;0,-'12.2019 Base Rate Revenue'!$W$15,0)</f>
        <v>0</v>
      </c>
    </row>
    <row r="63" spans="1:16" x14ac:dyDescent="0.25">
      <c r="A63" s="152"/>
      <c r="B63" s="139"/>
      <c r="C63" s="152"/>
      <c r="H63" s="24"/>
    </row>
    <row r="64" spans="1:16" x14ac:dyDescent="0.25">
      <c r="A64" s="139" t="s">
        <v>184</v>
      </c>
      <c r="B64" s="139" t="s">
        <v>197</v>
      </c>
      <c r="C64" s="34"/>
      <c r="D64" s="34">
        <f t="shared" ref="D64" si="44">-D65-D66</f>
        <v>0</v>
      </c>
      <c r="E64" s="34">
        <f t="shared" ref="E64:O64" si="45">-E65-E66</f>
        <v>0</v>
      </c>
      <c r="F64" s="34">
        <f t="shared" si="45"/>
        <v>0</v>
      </c>
      <c r="G64" s="34">
        <f t="shared" si="45"/>
        <v>0</v>
      </c>
      <c r="H64" s="143">
        <f t="shared" si="45"/>
        <v>0</v>
      </c>
      <c r="I64" s="34">
        <f t="shared" si="45"/>
        <v>0</v>
      </c>
      <c r="J64" s="34">
        <f t="shared" si="45"/>
        <v>0</v>
      </c>
      <c r="K64" s="34">
        <f t="shared" si="45"/>
        <v>0</v>
      </c>
      <c r="L64" s="34">
        <f t="shared" si="45"/>
        <v>0</v>
      </c>
      <c r="M64" s="34">
        <f t="shared" si="45"/>
        <v>0</v>
      </c>
      <c r="N64" s="34">
        <f t="shared" si="45"/>
        <v>0</v>
      </c>
      <c r="O64" s="34">
        <f t="shared" si="45"/>
        <v>0</v>
      </c>
    </row>
    <row r="65" spans="1:15" x14ac:dyDescent="0.25">
      <c r="A65" s="139" t="s">
        <v>184</v>
      </c>
      <c r="B65" s="139" t="s">
        <v>198</v>
      </c>
      <c r="C65" s="34"/>
      <c r="D65" s="34">
        <f t="shared" ref="D65" si="46">D76</f>
        <v>0</v>
      </c>
      <c r="E65" s="34">
        <f t="shared" ref="E65:O65" si="47">E76</f>
        <v>0</v>
      </c>
      <c r="F65" s="34">
        <f t="shared" si="47"/>
        <v>0</v>
      </c>
      <c r="G65" s="34">
        <f t="shared" si="47"/>
        <v>0</v>
      </c>
      <c r="H65" s="143">
        <f t="shared" si="47"/>
        <v>0</v>
      </c>
      <c r="I65" s="34">
        <f t="shared" si="47"/>
        <v>0</v>
      </c>
      <c r="J65" s="34">
        <f t="shared" si="47"/>
        <v>0</v>
      </c>
      <c r="K65" s="34">
        <f t="shared" si="47"/>
        <v>0</v>
      </c>
      <c r="L65" s="34">
        <f t="shared" si="47"/>
        <v>0</v>
      </c>
      <c r="M65" s="34">
        <f t="shared" si="47"/>
        <v>0</v>
      </c>
      <c r="N65" s="34">
        <f t="shared" si="47"/>
        <v>0</v>
      </c>
      <c r="O65" s="34">
        <f t="shared" si="47"/>
        <v>0</v>
      </c>
    </row>
    <row r="66" spans="1:15" x14ac:dyDescent="0.25">
      <c r="A66" s="139" t="s">
        <v>184</v>
      </c>
      <c r="B66" s="139" t="s">
        <v>199</v>
      </c>
      <c r="C66" s="153"/>
      <c r="D66" s="153">
        <f t="shared" ref="D66" si="48">D72</f>
        <v>0</v>
      </c>
      <c r="E66" s="153">
        <f t="shared" ref="E66:O66" si="49">E72</f>
        <v>0</v>
      </c>
      <c r="F66" s="153">
        <f t="shared" si="49"/>
        <v>0</v>
      </c>
      <c r="G66" s="153">
        <f t="shared" si="49"/>
        <v>0</v>
      </c>
      <c r="H66" s="153">
        <f t="shared" si="49"/>
        <v>0</v>
      </c>
      <c r="I66" s="153">
        <f t="shared" si="49"/>
        <v>0</v>
      </c>
      <c r="J66" s="153">
        <f t="shared" si="49"/>
        <v>0</v>
      </c>
      <c r="K66" s="153">
        <f t="shared" si="49"/>
        <v>0</v>
      </c>
      <c r="L66" s="153">
        <f t="shared" si="49"/>
        <v>0</v>
      </c>
      <c r="M66" s="153">
        <f t="shared" si="49"/>
        <v>0</v>
      </c>
      <c r="N66" s="153">
        <f t="shared" si="49"/>
        <v>0</v>
      </c>
      <c r="O66" s="153">
        <f t="shared" si="49"/>
        <v>0</v>
      </c>
    </row>
    <row r="67" spans="1:15" ht="15.75" thickBot="1" x14ac:dyDescent="0.3">
      <c r="B67" s="154"/>
      <c r="C67" s="155"/>
      <c r="D67" s="155" t="str">
        <f t="shared" ref="D67" si="50">IF(SUM(D64:D66)=0,"",SUM(D64:D66))</f>
        <v/>
      </c>
      <c r="E67" s="155" t="str">
        <f t="shared" ref="E67:O67" si="51">IF(SUM(E64:E66)=0,"",SUM(E64:E66))</f>
        <v/>
      </c>
      <c r="F67" s="155" t="str">
        <f t="shared" si="51"/>
        <v/>
      </c>
      <c r="G67" s="155" t="str">
        <f t="shared" si="51"/>
        <v/>
      </c>
      <c r="H67" s="155" t="str">
        <f t="shared" si="51"/>
        <v/>
      </c>
      <c r="I67" s="155" t="str">
        <f t="shared" si="51"/>
        <v/>
      </c>
      <c r="J67" s="155" t="str">
        <f t="shared" si="51"/>
        <v/>
      </c>
      <c r="K67" s="155" t="str">
        <f t="shared" si="51"/>
        <v/>
      </c>
      <c r="L67" s="155" t="str">
        <f t="shared" si="51"/>
        <v/>
      </c>
      <c r="M67" s="155" t="str">
        <f t="shared" si="51"/>
        <v/>
      </c>
      <c r="N67" s="155" t="str">
        <f t="shared" si="51"/>
        <v/>
      </c>
      <c r="O67" s="155" t="str">
        <f t="shared" si="51"/>
        <v/>
      </c>
    </row>
    <row r="68" spans="1:15" x14ac:dyDescent="0.25">
      <c r="B68" s="24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</row>
    <row r="69" spans="1:15" x14ac:dyDescent="0.25">
      <c r="A69" s="139" t="s">
        <v>184</v>
      </c>
      <c r="B69" s="157" t="s">
        <v>200</v>
      </c>
      <c r="H69" s="24"/>
    </row>
    <row r="70" spans="1:15" x14ac:dyDescent="0.25">
      <c r="A70" s="139" t="s">
        <v>184</v>
      </c>
      <c r="B70" s="152" t="s">
        <v>203</v>
      </c>
      <c r="C70" s="158"/>
      <c r="D70" s="158">
        <f>'GDWA 3% test'!D20+'GDWA 3% test'!D52</f>
        <v>0</v>
      </c>
      <c r="E70" s="158">
        <f>'GDWA 3% test'!E20+'GDWA 3% test'!E52</f>
        <v>0</v>
      </c>
      <c r="F70" s="158">
        <f>'GDWA 3% test'!F20+'GDWA 3% test'!F52</f>
        <v>0</v>
      </c>
      <c r="G70" s="158">
        <f>'GDWA 3% test'!G20+'GDWA 3% test'!G52</f>
        <v>0</v>
      </c>
      <c r="H70" s="158">
        <f>'GDWA 3% test'!H20+'GDWA 3% test'!H52</f>
        <v>0</v>
      </c>
      <c r="I70" s="158">
        <f>'GDWA 3% test'!I20+'GDWA 3% test'!I52</f>
        <v>0</v>
      </c>
      <c r="J70" s="158">
        <f>'GDWA 3% test'!J20+'GDWA 3% test'!J52</f>
        <v>0</v>
      </c>
      <c r="K70" s="158">
        <f>'GDWA 3% test'!K20+'GDWA 3% test'!K52</f>
        <v>0</v>
      </c>
      <c r="L70" s="158">
        <f>'GDWA 3% test'!L20+'GDWA 3% test'!L52</f>
        <v>0</v>
      </c>
      <c r="M70" s="158">
        <f>'GDWA 3% test'!M20+'GDWA 3% test'!M52</f>
        <v>0</v>
      </c>
      <c r="N70" s="158">
        <f>'GDWA 3% test'!N20+'GDWA 3% test'!N52</f>
        <v>0</v>
      </c>
      <c r="O70" s="158">
        <f>'GDWA 3% test'!O20+'GDWA 3% test'!O52</f>
        <v>0</v>
      </c>
    </row>
    <row r="71" spans="1:15" x14ac:dyDescent="0.25">
      <c r="A71" s="139" t="s">
        <v>184</v>
      </c>
      <c r="B71" s="152" t="s">
        <v>204</v>
      </c>
      <c r="C71" s="159"/>
      <c r="D71" s="159">
        <f>'GDWA 3% test'!C19+'GDWA 3% test'!C51</f>
        <v>0</v>
      </c>
      <c r="E71" s="161">
        <f>D70</f>
        <v>0</v>
      </c>
      <c r="F71" s="161">
        <f t="shared" ref="F71:O71" si="52">E70</f>
        <v>0</v>
      </c>
      <c r="G71" s="161">
        <f t="shared" si="52"/>
        <v>0</v>
      </c>
      <c r="H71" s="161">
        <f t="shared" si="52"/>
        <v>0</v>
      </c>
      <c r="I71" s="161">
        <f t="shared" si="52"/>
        <v>0</v>
      </c>
      <c r="J71" s="161">
        <f t="shared" si="52"/>
        <v>0</v>
      </c>
      <c r="K71" s="161">
        <f t="shared" si="52"/>
        <v>0</v>
      </c>
      <c r="L71" s="161">
        <f t="shared" si="52"/>
        <v>0</v>
      </c>
      <c r="M71" s="161">
        <f t="shared" si="52"/>
        <v>0</v>
      </c>
      <c r="N71" s="161">
        <f t="shared" si="52"/>
        <v>0</v>
      </c>
      <c r="O71" s="161">
        <f t="shared" si="52"/>
        <v>0</v>
      </c>
    </row>
    <row r="72" spans="1:15" x14ac:dyDescent="0.25">
      <c r="A72" s="139" t="s">
        <v>184</v>
      </c>
      <c r="B72" t="s">
        <v>201</v>
      </c>
      <c r="C72" s="34"/>
      <c r="D72" s="34">
        <f t="shared" ref="D72" si="53">D70-D71</f>
        <v>0</v>
      </c>
      <c r="E72" s="34">
        <f t="shared" ref="E72:O72" si="54">E70-E71</f>
        <v>0</v>
      </c>
      <c r="F72" s="34">
        <f t="shared" si="54"/>
        <v>0</v>
      </c>
      <c r="G72" s="34">
        <f t="shared" si="54"/>
        <v>0</v>
      </c>
      <c r="H72" s="34">
        <f t="shared" si="54"/>
        <v>0</v>
      </c>
      <c r="I72" s="34">
        <f t="shared" si="54"/>
        <v>0</v>
      </c>
      <c r="J72" s="34">
        <f t="shared" si="54"/>
        <v>0</v>
      </c>
      <c r="K72" s="34">
        <f t="shared" si="54"/>
        <v>0</v>
      </c>
      <c r="L72" s="34">
        <f t="shared" si="54"/>
        <v>0</v>
      </c>
      <c r="M72" s="34">
        <f t="shared" si="54"/>
        <v>0</v>
      </c>
      <c r="N72" s="34">
        <f t="shared" si="54"/>
        <v>0</v>
      </c>
      <c r="O72" s="34">
        <f t="shared" si="54"/>
        <v>0</v>
      </c>
    </row>
    <row r="73" spans="1:15" x14ac:dyDescent="0.25">
      <c r="A73" s="139" t="s">
        <v>184</v>
      </c>
      <c r="B73" s="157" t="s">
        <v>202</v>
      </c>
      <c r="C73" s="160"/>
    </row>
    <row r="74" spans="1:15" x14ac:dyDescent="0.25">
      <c r="A74" s="139" t="s">
        <v>184</v>
      </c>
      <c r="B74" s="152" t="s">
        <v>279</v>
      </c>
      <c r="C74" s="158"/>
      <c r="D74" s="158">
        <v>0</v>
      </c>
      <c r="E74" s="158">
        <v>0</v>
      </c>
      <c r="F74" s="158">
        <v>0</v>
      </c>
      <c r="G74" s="158">
        <v>0</v>
      </c>
      <c r="H74" s="158">
        <v>0</v>
      </c>
      <c r="I74" s="158">
        <v>0</v>
      </c>
      <c r="J74" s="158">
        <v>0</v>
      </c>
      <c r="K74" s="158">
        <v>0</v>
      </c>
      <c r="L74" s="158">
        <v>0</v>
      </c>
      <c r="M74" s="158">
        <v>0</v>
      </c>
      <c r="N74" s="158">
        <v>0</v>
      </c>
      <c r="O74" s="158">
        <f>'GDWA 3% test'!$O$19+'GDWA 3% test'!$O$51</f>
        <v>0</v>
      </c>
    </row>
    <row r="75" spans="1:15" x14ac:dyDescent="0.25">
      <c r="A75" s="139" t="s">
        <v>184</v>
      </c>
      <c r="B75" s="152" t="s">
        <v>278</v>
      </c>
      <c r="C75" s="161"/>
      <c r="D75" s="161">
        <f t="shared" ref="D75:O75" si="55">C74</f>
        <v>0</v>
      </c>
      <c r="E75" s="161">
        <f>D74</f>
        <v>0</v>
      </c>
      <c r="F75" s="161">
        <f t="shared" si="55"/>
        <v>0</v>
      </c>
      <c r="G75" s="161">
        <f t="shared" si="55"/>
        <v>0</v>
      </c>
      <c r="H75" s="161">
        <f t="shared" si="55"/>
        <v>0</v>
      </c>
      <c r="I75" s="161">
        <f t="shared" si="55"/>
        <v>0</v>
      </c>
      <c r="J75" s="161">
        <f t="shared" si="55"/>
        <v>0</v>
      </c>
      <c r="K75" s="161">
        <f t="shared" si="55"/>
        <v>0</v>
      </c>
      <c r="L75" s="161">
        <f t="shared" si="55"/>
        <v>0</v>
      </c>
      <c r="M75" s="161">
        <f t="shared" si="55"/>
        <v>0</v>
      </c>
      <c r="N75" s="161">
        <f t="shared" si="55"/>
        <v>0</v>
      </c>
      <c r="O75" s="161">
        <f t="shared" si="55"/>
        <v>0</v>
      </c>
    </row>
    <row r="76" spans="1:15" x14ac:dyDescent="0.25">
      <c r="A76" s="139" t="s">
        <v>184</v>
      </c>
      <c r="B76" t="s">
        <v>201</v>
      </c>
      <c r="C76" s="34"/>
      <c r="D76" s="34">
        <f t="shared" ref="D76" si="56">D74-D75</f>
        <v>0</v>
      </c>
      <c r="E76" s="34">
        <f t="shared" ref="E76:O76" si="57">E74-E75</f>
        <v>0</v>
      </c>
      <c r="F76" s="34">
        <f t="shared" si="57"/>
        <v>0</v>
      </c>
      <c r="G76" s="34">
        <f t="shared" si="57"/>
        <v>0</v>
      </c>
      <c r="H76" s="34">
        <f t="shared" si="57"/>
        <v>0</v>
      </c>
      <c r="I76" s="34">
        <f t="shared" si="57"/>
        <v>0</v>
      </c>
      <c r="J76" s="34">
        <f t="shared" si="57"/>
        <v>0</v>
      </c>
      <c r="K76" s="34">
        <f t="shared" si="57"/>
        <v>0</v>
      </c>
      <c r="L76" s="34">
        <f t="shared" si="57"/>
        <v>0</v>
      </c>
      <c r="M76" s="34">
        <f t="shared" si="57"/>
        <v>0</v>
      </c>
      <c r="N76" s="34">
        <f t="shared" si="57"/>
        <v>0</v>
      </c>
      <c r="O76" s="34">
        <f t="shared" si="57"/>
        <v>0</v>
      </c>
    </row>
  </sheetData>
  <mergeCells count="3">
    <mergeCell ref="A1:O1"/>
    <mergeCell ref="A2:O2"/>
    <mergeCell ref="A3:O3"/>
  </mergeCells>
  <printOptions horizontalCentered="1"/>
  <pageMargins left="0.45" right="0.45" top="0.81" bottom="0.5" header="0.3" footer="0.3"/>
  <pageSetup scale="90" orientation="portrait" r:id="rId1"/>
  <headerFooter scaleWithDoc="0">
    <oddFooter>&amp;L&amp;F / &amp;A&amp;RPage &amp;P</oddFooter>
  </headerFooter>
  <rowBreaks count="1" manualBreakCount="1">
    <brk id="45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cols>
    <col min="1" max="16384" width="9.140625" style="280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G73"/>
  <sheetViews>
    <sheetView tabSelected="1" topLeftCell="A40" zoomScaleNormal="100" workbookViewId="0">
      <selection activeCell="F18" sqref="F18"/>
    </sheetView>
  </sheetViews>
  <sheetFormatPr defaultRowHeight="15" x14ac:dyDescent="0.25"/>
  <cols>
    <col min="1" max="1" width="19" customWidth="1"/>
    <col min="2" max="2" width="5.85546875" customWidth="1"/>
    <col min="3" max="3" width="13.5703125" customWidth="1"/>
    <col min="4" max="4" width="16.42578125" customWidth="1"/>
    <col min="5" max="5" width="14.85546875" customWidth="1"/>
    <col min="6" max="6" width="13.42578125" customWidth="1"/>
    <col min="7" max="7" width="15.7109375" customWidth="1"/>
    <col min="8" max="8" width="14.7109375" customWidth="1"/>
    <col min="9" max="9" width="14.140625" customWidth="1"/>
    <col min="10" max="11" width="10" customWidth="1"/>
    <col min="12" max="12" width="12.28515625" bestFit="1" customWidth="1"/>
    <col min="13" max="13" width="2.28515625" customWidth="1"/>
    <col min="14" max="14" width="14.140625" customWidth="1"/>
    <col min="15" max="15" width="14.5703125" customWidth="1"/>
    <col min="16" max="16" width="12.85546875" customWidth="1"/>
    <col min="17" max="17" width="12.7109375" customWidth="1"/>
    <col min="18" max="18" width="15.42578125" customWidth="1"/>
    <col min="19" max="19" width="15.28515625" customWidth="1"/>
    <col min="20" max="20" width="12.42578125" customWidth="1"/>
    <col min="21" max="21" width="15.5703125" customWidth="1"/>
    <col min="22" max="22" width="2.28515625" customWidth="1"/>
    <col min="23" max="23" width="16.7109375" customWidth="1"/>
    <col min="24" max="24" width="2.42578125" customWidth="1"/>
    <col min="25" max="25" width="14.28515625" customWidth="1"/>
    <col min="26" max="26" width="13.42578125" customWidth="1"/>
    <col min="27" max="27" width="13.85546875" customWidth="1"/>
    <col min="28" max="28" width="14.28515625" customWidth="1"/>
    <col min="29" max="29" width="16.140625" customWidth="1"/>
    <col min="30" max="30" width="10.5703125" customWidth="1"/>
  </cols>
  <sheetData>
    <row r="1" spans="1:33" x14ac:dyDescent="0.25">
      <c r="A1" s="319" t="s">
        <v>207</v>
      </c>
      <c r="B1" s="319"/>
      <c r="C1" s="319"/>
      <c r="D1" s="319"/>
      <c r="E1" s="319"/>
      <c r="F1" s="319"/>
      <c r="G1" s="319"/>
      <c r="H1" s="319"/>
      <c r="I1" s="319"/>
      <c r="J1" s="171"/>
      <c r="K1" s="171"/>
      <c r="L1" s="171" t="s">
        <v>337</v>
      </c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2" t="s">
        <v>209</v>
      </c>
      <c r="AA1" s="173" t="s">
        <v>210</v>
      </c>
      <c r="AB1" s="171"/>
      <c r="AC1" s="172" t="s">
        <v>211</v>
      </c>
      <c r="AD1" s="173" t="s">
        <v>334</v>
      </c>
      <c r="AE1" s="77"/>
      <c r="AF1" s="77"/>
      <c r="AG1" s="77"/>
    </row>
    <row r="2" spans="1:33" ht="51.75" x14ac:dyDescent="0.25">
      <c r="A2" s="174"/>
      <c r="B2" s="175"/>
      <c r="C2" s="176" t="s">
        <v>212</v>
      </c>
      <c r="D2" s="175"/>
      <c r="E2" s="176" t="s">
        <v>213</v>
      </c>
      <c r="F2" s="177" t="s">
        <v>214</v>
      </c>
      <c r="G2" s="177" t="s">
        <v>215</v>
      </c>
      <c r="H2" s="177" t="s">
        <v>115</v>
      </c>
      <c r="I2" s="177" t="s">
        <v>216</v>
      </c>
      <c r="J2" s="171"/>
      <c r="K2" s="171"/>
      <c r="L2" s="171"/>
      <c r="M2" s="171"/>
      <c r="N2" s="299" t="str">
        <f>AA1&amp;" Billed Schedule 175 Revenue"</f>
        <v>December Billed Schedule 175 Revenue</v>
      </c>
      <c r="O2" s="299" t="str">
        <f>AA1&amp;" Billed Therms"</f>
        <v>December Billed Therms</v>
      </c>
      <c r="P2" s="299" t="str">
        <f>AA1&amp;" Unbilled Therms"</f>
        <v>December Unbilled Therms</v>
      </c>
      <c r="Q2" s="299" t="s">
        <v>336</v>
      </c>
      <c r="R2" s="299" t="s">
        <v>218</v>
      </c>
      <c r="S2" s="299" t="str">
        <f>AD1&amp;" Unbilled Therms reversal"</f>
        <v>November Unbilled Therms reversal</v>
      </c>
      <c r="T2" s="299" t="s">
        <v>336</v>
      </c>
      <c r="U2" s="299" t="str">
        <f>AD1&amp;" Schedule 175 Unbilled Reversal"</f>
        <v>November Schedule 175 Unbilled Reversal</v>
      </c>
      <c r="V2" s="171"/>
      <c r="W2" s="299" t="str">
        <f>"Total "&amp;AA1&amp;" Schedule 175 Revenue"</f>
        <v>Total December Schedule 175 Revenue</v>
      </c>
      <c r="X2" s="171"/>
      <c r="Y2" s="299" t="str">
        <f>"Calendar "&amp;AA1&amp;" Usage"</f>
        <v>Calendar December Usage</v>
      </c>
      <c r="Z2" s="299" t="str">
        <f>Q2</f>
        <v>11/1/2019 rate</v>
      </c>
      <c r="AA2" s="299" t="s">
        <v>219</v>
      </c>
      <c r="AB2" s="299" t="s">
        <v>220</v>
      </c>
      <c r="AC2" s="299" t="str">
        <f>"implied "&amp;AD1&amp;" unbilled/Cancel-Rebill True-up therms"</f>
        <v>implied November unbilled/Cancel-Rebill True-up therms</v>
      </c>
      <c r="AD2" s="171"/>
      <c r="AE2" s="77"/>
      <c r="AF2" s="77"/>
      <c r="AG2" s="77"/>
    </row>
    <row r="3" spans="1:33" x14ac:dyDescent="0.25">
      <c r="A3" s="179"/>
      <c r="B3" s="179"/>
      <c r="C3" s="179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299"/>
      <c r="O3" s="299"/>
      <c r="P3" s="299"/>
      <c r="Q3" s="299"/>
      <c r="R3" s="299"/>
      <c r="S3" s="299"/>
      <c r="T3" s="299"/>
      <c r="U3" s="299"/>
      <c r="V3" s="171"/>
      <c r="W3" s="299"/>
      <c r="X3" s="171"/>
      <c r="Y3" s="299"/>
      <c r="Z3" s="299"/>
      <c r="AA3" s="299"/>
      <c r="AB3" s="299"/>
      <c r="AC3" s="299"/>
      <c r="AD3" s="171"/>
      <c r="AE3" s="77"/>
      <c r="AF3" s="77"/>
      <c r="AG3" s="77"/>
    </row>
    <row r="4" spans="1:33" x14ac:dyDescent="0.25">
      <c r="A4" s="180" t="s">
        <v>221</v>
      </c>
      <c r="B4" s="179"/>
      <c r="C4" s="181">
        <v>166937</v>
      </c>
      <c r="D4" s="179"/>
      <c r="E4" s="182">
        <v>20257388.459169999</v>
      </c>
      <c r="F4" s="182">
        <v>-11016370</v>
      </c>
      <c r="G4" s="182">
        <f>10375003-G5</f>
        <v>10365482</v>
      </c>
      <c r="H4" s="183">
        <f>F4+G4</f>
        <v>-650888</v>
      </c>
      <c r="I4" s="184">
        <f t="shared" ref="I4:I13" si="0">SUM(E4:G4)</f>
        <v>19606500.459169999</v>
      </c>
      <c r="J4" s="171"/>
      <c r="K4" s="171"/>
      <c r="L4" s="171" t="s">
        <v>222</v>
      </c>
      <c r="M4" s="171"/>
      <c r="N4" s="185">
        <v>83010.289999999994</v>
      </c>
      <c r="O4" s="186">
        <f>E4</f>
        <v>20257388.459169999</v>
      </c>
      <c r="P4" s="186">
        <f t="shared" ref="P4:P9" si="1">G4</f>
        <v>10365482</v>
      </c>
      <c r="Q4" s="187">
        <v>4.1999999999999997E-3</v>
      </c>
      <c r="R4" s="188">
        <f>P4*Q4</f>
        <v>43535.024399999995</v>
      </c>
      <c r="S4" s="186">
        <f t="shared" ref="S4:S9" si="2">F4</f>
        <v>-11016370</v>
      </c>
      <c r="T4" s="187">
        <v>4.1999999999999997E-3</v>
      </c>
      <c r="U4" s="189">
        <f>S4*T4</f>
        <v>-46268.753999999994</v>
      </c>
      <c r="V4" s="171"/>
      <c r="W4" s="190">
        <f>N4+R4+U4</f>
        <v>80276.560399999988</v>
      </c>
      <c r="X4" s="171"/>
      <c r="Y4" s="191">
        <f>O4+P4+S4</f>
        <v>19606500.459169999</v>
      </c>
      <c r="Z4" s="192">
        <f>Q4</f>
        <v>4.1999999999999997E-3</v>
      </c>
      <c r="AA4" s="193">
        <f>Y4*Z4</f>
        <v>82347.301928513989</v>
      </c>
      <c r="AB4" s="190">
        <f>W4-AA4</f>
        <v>-2070.7415285140014</v>
      </c>
      <c r="AC4" s="191">
        <f>AB4/T4</f>
        <v>-493033.69726523844</v>
      </c>
      <c r="AD4" s="194">
        <f t="shared" ref="AD4:AD11" si="3">AB4/W4</f>
        <v>-2.5795095332883766E-2</v>
      </c>
      <c r="AE4" s="77"/>
      <c r="AF4" s="77"/>
      <c r="AG4" s="77"/>
    </row>
    <row r="5" spans="1:33" x14ac:dyDescent="0.25">
      <c r="A5" s="180" t="s">
        <v>223</v>
      </c>
      <c r="B5" s="179"/>
      <c r="C5" s="181">
        <v>155</v>
      </c>
      <c r="D5" s="179"/>
      <c r="E5" s="182">
        <v>18576.62529</v>
      </c>
      <c r="F5" s="182">
        <v>-9343</v>
      </c>
      <c r="G5" s="182">
        <v>9521</v>
      </c>
      <c r="H5" s="183">
        <f t="shared" ref="H5:H13" si="4">F5+G5</f>
        <v>178</v>
      </c>
      <c r="I5" s="184">
        <f t="shared" si="0"/>
        <v>18754.62529</v>
      </c>
      <c r="J5" s="171"/>
      <c r="K5" s="171"/>
      <c r="L5" s="171" t="s">
        <v>224</v>
      </c>
      <c r="M5" s="171"/>
      <c r="N5" s="185">
        <v>74</v>
      </c>
      <c r="O5" s="186">
        <f t="shared" ref="O5:O7" si="5">E5</f>
        <v>18576.62529</v>
      </c>
      <c r="P5" s="186">
        <f t="shared" si="1"/>
        <v>9521</v>
      </c>
      <c r="Q5" s="187">
        <v>4.1999999999999997E-3</v>
      </c>
      <c r="R5" s="188">
        <f t="shared" ref="R5:R10" si="6">P5*Q5</f>
        <v>39.988199999999999</v>
      </c>
      <c r="S5" s="186">
        <f t="shared" si="2"/>
        <v>-9343</v>
      </c>
      <c r="T5" s="187">
        <v>4.1999999999999997E-3</v>
      </c>
      <c r="U5" s="189">
        <f t="shared" ref="U5:U10" si="7">S5*T5</f>
        <v>-39.240600000000001</v>
      </c>
      <c r="V5" s="171"/>
      <c r="W5" s="190">
        <f t="shared" ref="W5:W10" si="8">N5+R5+U5</f>
        <v>74.747600000000006</v>
      </c>
      <c r="X5" s="171"/>
      <c r="Y5" s="191">
        <f t="shared" ref="Y5:Y10" si="9">O5+P5+S5</f>
        <v>18754.62529</v>
      </c>
      <c r="Z5" s="192">
        <f t="shared" ref="Z5:Z10" si="10">Q5</f>
        <v>4.1999999999999997E-3</v>
      </c>
      <c r="AA5" s="193">
        <f t="shared" ref="AA5:AA10" si="11">Y5*Z5</f>
        <v>78.769426217999992</v>
      </c>
      <c r="AB5" s="190">
        <f t="shared" ref="AB5:AB10" si="12">W5-AA5</f>
        <v>-4.0218262179999869</v>
      </c>
      <c r="AC5" s="191">
        <f t="shared" ref="AC5:AC10" si="13">AB5/T5</f>
        <v>-957.57767095237784</v>
      </c>
      <c r="AD5" s="194">
        <f t="shared" si="3"/>
        <v>-5.3805422756048174E-2</v>
      </c>
      <c r="AE5" s="77"/>
      <c r="AF5" s="77"/>
      <c r="AG5" s="77"/>
    </row>
    <row r="6" spans="1:33" x14ac:dyDescent="0.25">
      <c r="A6" s="180" t="s">
        <v>225</v>
      </c>
      <c r="B6" s="179"/>
      <c r="C6" s="181">
        <v>3123</v>
      </c>
      <c r="D6" s="179"/>
      <c r="E6" s="182">
        <v>7749217.9453600002</v>
      </c>
      <c r="F6" s="182">
        <v>-4267717</v>
      </c>
      <c r="G6" s="182">
        <v>3794161</v>
      </c>
      <c r="H6" s="183">
        <f t="shared" si="4"/>
        <v>-473556</v>
      </c>
      <c r="I6" s="184">
        <f>SUM(E6:G6)</f>
        <v>7275661.9453600002</v>
      </c>
      <c r="J6" s="171"/>
      <c r="K6" s="171"/>
      <c r="L6" s="171" t="s">
        <v>226</v>
      </c>
      <c r="M6" s="171"/>
      <c r="N6" s="185">
        <v>141119.97</v>
      </c>
      <c r="O6" s="186">
        <f t="shared" si="5"/>
        <v>7749217.9453600002</v>
      </c>
      <c r="P6" s="186">
        <f t="shared" si="1"/>
        <v>3794161</v>
      </c>
      <c r="Q6" s="195">
        <v>1.8409999999999999E-2</v>
      </c>
      <c r="R6" s="188">
        <f t="shared" si="6"/>
        <v>69850.504010000004</v>
      </c>
      <c r="S6" s="186">
        <f t="shared" si="2"/>
        <v>-4267717</v>
      </c>
      <c r="T6" s="187">
        <v>1.8409999999999999E-2</v>
      </c>
      <c r="U6" s="189">
        <f t="shared" si="7"/>
        <v>-78568.669970000003</v>
      </c>
      <c r="V6" s="171"/>
      <c r="W6" s="190">
        <f t="shared" si="8"/>
        <v>132401.80404000002</v>
      </c>
      <c r="X6" s="171"/>
      <c r="Y6" s="191">
        <f t="shared" si="9"/>
        <v>7275661.9453600012</v>
      </c>
      <c r="Z6" s="179">
        <f t="shared" si="10"/>
        <v>1.8409999999999999E-2</v>
      </c>
      <c r="AA6" s="193">
        <f t="shared" si="11"/>
        <v>133944.93641407762</v>
      </c>
      <c r="AB6" s="190">
        <f t="shared" si="12"/>
        <v>-1543.1323740775988</v>
      </c>
      <c r="AC6" s="191">
        <f t="shared" si="13"/>
        <v>-83820.335365431762</v>
      </c>
      <c r="AD6" s="194">
        <f t="shared" si="3"/>
        <v>-1.1654919547859044E-2</v>
      </c>
      <c r="AE6" s="77"/>
      <c r="AF6" s="77"/>
      <c r="AG6" s="77"/>
    </row>
    <row r="7" spans="1:33" x14ac:dyDescent="0.25">
      <c r="A7" s="180" t="s">
        <v>227</v>
      </c>
      <c r="B7" s="179"/>
      <c r="C7" s="181">
        <v>1</v>
      </c>
      <c r="D7" s="179"/>
      <c r="E7" s="182">
        <v>18990.132000000001</v>
      </c>
      <c r="F7" s="182">
        <v>-12872</v>
      </c>
      <c r="G7" s="182">
        <v>9733</v>
      </c>
      <c r="H7" s="183">
        <f t="shared" si="4"/>
        <v>-3139</v>
      </c>
      <c r="I7" s="184">
        <f>SUM(E7:G7)</f>
        <v>15851.132000000001</v>
      </c>
      <c r="J7" s="171"/>
      <c r="K7" s="171"/>
      <c r="L7" s="171" t="s">
        <v>228</v>
      </c>
      <c r="M7" s="171"/>
      <c r="N7" s="185">
        <v>349.61</v>
      </c>
      <c r="O7" s="186">
        <f t="shared" si="5"/>
        <v>18990.132000000001</v>
      </c>
      <c r="P7" s="186">
        <f t="shared" si="1"/>
        <v>9733</v>
      </c>
      <c r="Q7" s="187">
        <v>1.8409999999999999E-2</v>
      </c>
      <c r="R7" s="188">
        <f t="shared" si="6"/>
        <v>179.18453</v>
      </c>
      <c r="S7" s="186">
        <f t="shared" si="2"/>
        <v>-12872</v>
      </c>
      <c r="T7" s="187">
        <v>1.8409999999999999E-2</v>
      </c>
      <c r="U7" s="189">
        <f t="shared" si="7"/>
        <v>-236.97351999999998</v>
      </c>
      <c r="V7" s="171"/>
      <c r="W7" s="190">
        <f t="shared" si="8"/>
        <v>291.82101</v>
      </c>
      <c r="X7" s="171"/>
      <c r="Y7" s="191">
        <f t="shared" si="9"/>
        <v>15851.132000000001</v>
      </c>
      <c r="Z7" s="192">
        <f t="shared" si="10"/>
        <v>1.8409999999999999E-2</v>
      </c>
      <c r="AA7" s="193">
        <f t="shared" si="11"/>
        <v>291.81934011999999</v>
      </c>
      <c r="AB7" s="190">
        <f t="shared" si="12"/>
        <v>1.6698800000085612E-3</v>
      </c>
      <c r="AC7" s="191"/>
      <c r="AD7" s="194"/>
      <c r="AE7" s="77"/>
      <c r="AF7" s="77"/>
      <c r="AG7" s="77"/>
    </row>
    <row r="8" spans="1:33" x14ac:dyDescent="0.25">
      <c r="A8" s="180" t="s">
        <v>229</v>
      </c>
      <c r="B8" s="179"/>
      <c r="C8" s="181">
        <v>4</v>
      </c>
      <c r="D8" s="287"/>
      <c r="E8" s="182">
        <v>204341.89</v>
      </c>
      <c r="F8" s="182">
        <v>-147373</v>
      </c>
      <c r="G8" s="182">
        <v>104730</v>
      </c>
      <c r="H8" s="183">
        <f t="shared" si="4"/>
        <v>-42643</v>
      </c>
      <c r="I8" s="184">
        <f t="shared" si="0"/>
        <v>161698.89000000001</v>
      </c>
      <c r="J8" s="171"/>
      <c r="K8" s="171"/>
      <c r="L8" s="171" t="s">
        <v>230</v>
      </c>
      <c r="M8" s="171"/>
      <c r="N8" s="185">
        <v>3761.94</v>
      </c>
      <c r="O8" s="186">
        <f>E8</f>
        <v>204341.89</v>
      </c>
      <c r="P8" s="186">
        <f t="shared" si="1"/>
        <v>104730</v>
      </c>
      <c r="Q8" s="195">
        <v>1.8409999999999999E-2</v>
      </c>
      <c r="R8" s="188">
        <f t="shared" si="6"/>
        <v>1928.0792999999999</v>
      </c>
      <c r="S8" s="186">
        <f t="shared" si="2"/>
        <v>-147373</v>
      </c>
      <c r="T8" s="187">
        <v>1.8409999999999999E-2</v>
      </c>
      <c r="U8" s="189">
        <f t="shared" si="7"/>
        <v>-2713.1369300000001</v>
      </c>
      <c r="V8" s="171"/>
      <c r="W8" s="190">
        <f>N8+R8+U8</f>
        <v>2976.8823699999998</v>
      </c>
      <c r="X8" s="171"/>
      <c r="Y8" s="191">
        <f t="shared" si="9"/>
        <v>161698.89000000001</v>
      </c>
      <c r="Z8" s="179">
        <f t="shared" si="10"/>
        <v>1.8409999999999999E-2</v>
      </c>
      <c r="AA8" s="193">
        <f t="shared" si="11"/>
        <v>2976.8765649000002</v>
      </c>
      <c r="AB8" s="190">
        <f t="shared" si="12"/>
        <v>5.8050999996339669E-3</v>
      </c>
      <c r="AC8" s="191">
        <f t="shared" si="13"/>
        <v>0.31532319389646751</v>
      </c>
      <c r="AD8" s="194">
        <f>AB8/W8</f>
        <v>1.9500602570446771E-6</v>
      </c>
      <c r="AE8" s="77"/>
      <c r="AF8" s="77"/>
      <c r="AG8" s="77"/>
    </row>
    <row r="9" spans="1:33" x14ac:dyDescent="0.25">
      <c r="A9" s="180" t="s">
        <v>231</v>
      </c>
      <c r="B9" s="179"/>
      <c r="C9" s="181">
        <v>4</v>
      </c>
      <c r="D9" s="287"/>
      <c r="E9" s="182">
        <v>536882.13899999997</v>
      </c>
      <c r="F9" s="182">
        <v>-208686</v>
      </c>
      <c r="G9" s="182">
        <v>275164</v>
      </c>
      <c r="H9" s="183">
        <f t="shared" si="4"/>
        <v>66478</v>
      </c>
      <c r="I9" s="184">
        <f t="shared" si="0"/>
        <v>603360.13899999997</v>
      </c>
      <c r="J9" s="171"/>
      <c r="K9" s="171"/>
      <c r="L9" s="171" t="s">
        <v>137</v>
      </c>
      <c r="M9" s="171"/>
      <c r="N9" s="185">
        <v>9696.1299999999992</v>
      </c>
      <c r="O9" s="186">
        <f>E9</f>
        <v>536882.13899999997</v>
      </c>
      <c r="P9" s="186">
        <f t="shared" si="1"/>
        <v>275164</v>
      </c>
      <c r="Q9" s="187">
        <v>1.8409999999999999E-2</v>
      </c>
      <c r="R9" s="188">
        <f t="shared" si="6"/>
        <v>5065.7692399999996</v>
      </c>
      <c r="S9" s="186">
        <f t="shared" si="2"/>
        <v>-208686</v>
      </c>
      <c r="T9" s="187">
        <v>1.8409999999999999E-2</v>
      </c>
      <c r="U9" s="189">
        <f t="shared" si="7"/>
        <v>-3841.9092599999999</v>
      </c>
      <c r="V9" s="171"/>
      <c r="W9" s="190">
        <f>N9+R9+U9</f>
        <v>10919.989979999998</v>
      </c>
      <c r="X9" s="171"/>
      <c r="Y9" s="191">
        <f t="shared" si="9"/>
        <v>603360.13899999997</v>
      </c>
      <c r="Z9" s="192">
        <f t="shared" si="10"/>
        <v>1.8409999999999999E-2</v>
      </c>
      <c r="AA9" s="193">
        <f t="shared" si="11"/>
        <v>11107.860158989999</v>
      </c>
      <c r="AB9" s="190">
        <f t="shared" si="12"/>
        <v>-187.87017899000057</v>
      </c>
      <c r="AC9" s="191"/>
      <c r="AD9" s="194"/>
      <c r="AE9" s="77"/>
      <c r="AF9" s="77"/>
      <c r="AG9" s="77"/>
    </row>
    <row r="10" spans="1:33" x14ac:dyDescent="0.25">
      <c r="A10" s="180" t="s">
        <v>232</v>
      </c>
      <c r="B10" s="179"/>
      <c r="C10" s="181">
        <v>1</v>
      </c>
      <c r="D10" s="179"/>
      <c r="E10" s="182">
        <v>62449.625</v>
      </c>
      <c r="F10" s="182"/>
      <c r="G10" s="182"/>
      <c r="H10" s="183">
        <f t="shared" si="4"/>
        <v>0</v>
      </c>
      <c r="I10" s="184">
        <f t="shared" si="0"/>
        <v>62449.625</v>
      </c>
      <c r="J10" s="171"/>
      <c r="K10" s="171"/>
      <c r="L10" s="171" t="s">
        <v>233</v>
      </c>
      <c r="M10" s="171"/>
      <c r="N10" s="185">
        <v>0</v>
      </c>
      <c r="O10" s="186">
        <v>0</v>
      </c>
      <c r="P10" s="186">
        <v>0</v>
      </c>
      <c r="Q10" s="195">
        <v>1.8409999999999999E-2</v>
      </c>
      <c r="R10" s="188">
        <f t="shared" si="6"/>
        <v>0</v>
      </c>
      <c r="S10" s="186">
        <v>0</v>
      </c>
      <c r="T10" s="187">
        <v>1.8409999999999999E-2</v>
      </c>
      <c r="U10" s="189">
        <f t="shared" si="7"/>
        <v>0</v>
      </c>
      <c r="V10" s="171"/>
      <c r="W10" s="190">
        <f t="shared" si="8"/>
        <v>0</v>
      </c>
      <c r="X10" s="171"/>
      <c r="Y10" s="191">
        <f t="shared" si="9"/>
        <v>0</v>
      </c>
      <c r="Z10" s="179">
        <f t="shared" si="10"/>
        <v>1.8409999999999999E-2</v>
      </c>
      <c r="AA10" s="193">
        <f t="shared" si="11"/>
        <v>0</v>
      </c>
      <c r="AB10" s="190">
        <f t="shared" si="12"/>
        <v>0</v>
      </c>
      <c r="AC10" s="191">
        <f t="shared" si="13"/>
        <v>0</v>
      </c>
      <c r="AD10" s="194"/>
      <c r="AE10" s="77"/>
      <c r="AF10" s="77"/>
      <c r="AG10" s="77"/>
    </row>
    <row r="11" spans="1:33" x14ac:dyDescent="0.25">
      <c r="A11" s="180" t="s">
        <v>234</v>
      </c>
      <c r="B11" s="179"/>
      <c r="C11" s="181">
        <v>37</v>
      </c>
      <c r="D11" s="179"/>
      <c r="E11" s="182">
        <v>3207391</v>
      </c>
      <c r="F11" s="182">
        <v>-3206337</v>
      </c>
      <c r="G11" s="182">
        <v>3156615</v>
      </c>
      <c r="H11" s="183">
        <f t="shared" si="4"/>
        <v>-49722</v>
      </c>
      <c r="I11" s="184">
        <f t="shared" si="0"/>
        <v>3157669</v>
      </c>
      <c r="J11" s="171"/>
      <c r="K11" s="171"/>
      <c r="L11" s="171"/>
      <c r="M11" s="171"/>
      <c r="N11" s="196">
        <f>SUM(N4:N10)</f>
        <v>238011.94</v>
      </c>
      <c r="O11" s="197">
        <f>SUM(O4:O10)</f>
        <v>28785397.190819997</v>
      </c>
      <c r="P11" s="197">
        <f>SUM(P4:P10)</f>
        <v>14558791</v>
      </c>
      <c r="Q11" s="171"/>
      <c r="R11" s="196">
        <f>SUM(R4:R10)</f>
        <v>120598.54967999998</v>
      </c>
      <c r="S11" s="197">
        <f>SUM(S4:S10)</f>
        <v>-15662361</v>
      </c>
      <c r="T11" s="198"/>
      <c r="U11" s="196">
        <f>SUM(U4:U10)</f>
        <v>-131668.68427999999</v>
      </c>
      <c r="V11" s="171"/>
      <c r="W11" s="196">
        <f>SUM(W4:W10)</f>
        <v>226941.80540000001</v>
      </c>
      <c r="X11" s="171"/>
      <c r="Y11" s="199">
        <f>SUM(Y4:Y10)</f>
        <v>27681827.190819997</v>
      </c>
      <c r="Z11" s="171"/>
      <c r="AA11" s="199">
        <f>SUM(AA4:AA10)</f>
        <v>230747.56383281964</v>
      </c>
      <c r="AB11" s="196">
        <f>SUM(AB4:AB10)</f>
        <v>-3805.7584328196012</v>
      </c>
      <c r="AC11" s="199">
        <f>SUM(AC4:AC10)</f>
        <v>-577811.29497842863</v>
      </c>
      <c r="AD11" s="194">
        <f t="shared" si="3"/>
        <v>-1.6769754810541403E-2</v>
      </c>
      <c r="AE11" s="77"/>
      <c r="AF11" s="77"/>
      <c r="AG11" s="77"/>
    </row>
    <row r="12" spans="1:33" x14ac:dyDescent="0.25">
      <c r="A12" s="180" t="s">
        <v>235</v>
      </c>
      <c r="B12" s="179"/>
      <c r="C12" s="181">
        <v>3</v>
      </c>
      <c r="D12" s="179"/>
      <c r="E12" s="182">
        <v>1088514</v>
      </c>
      <c r="F12" s="182"/>
      <c r="G12" s="182"/>
      <c r="H12" s="183">
        <f t="shared" si="4"/>
        <v>0</v>
      </c>
      <c r="I12" s="184">
        <f t="shared" si="0"/>
        <v>1088514</v>
      </c>
      <c r="J12" s="171"/>
      <c r="K12" s="171"/>
      <c r="L12" s="171"/>
      <c r="M12" s="171"/>
      <c r="N12" s="171"/>
      <c r="O12" s="200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77"/>
      <c r="AF12" s="77"/>
      <c r="AG12" s="77"/>
    </row>
    <row r="13" spans="1:33" x14ac:dyDescent="0.25">
      <c r="A13" s="180" t="s">
        <v>236</v>
      </c>
      <c r="B13" s="179"/>
      <c r="C13" s="181">
        <v>5</v>
      </c>
      <c r="D13" s="201"/>
      <c r="E13" s="182">
        <v>4436580</v>
      </c>
      <c r="F13" s="182">
        <v>-4436580</v>
      </c>
      <c r="G13" s="182">
        <v>4791048</v>
      </c>
      <c r="H13" s="183">
        <f t="shared" si="4"/>
        <v>354468</v>
      </c>
      <c r="I13" s="184">
        <f t="shared" si="0"/>
        <v>4791048</v>
      </c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2" t="s">
        <v>328</v>
      </c>
      <c r="U13" s="171" t="s">
        <v>238</v>
      </c>
      <c r="V13" s="171"/>
      <c r="W13" s="202">
        <v>0.95584499999999994</v>
      </c>
      <c r="X13" s="171"/>
      <c r="Y13" s="171"/>
      <c r="Z13" s="171" t="s">
        <v>239</v>
      </c>
      <c r="AA13" s="171" t="s">
        <v>240</v>
      </c>
      <c r="AB13" s="171"/>
      <c r="AC13" s="171" t="s">
        <v>241</v>
      </c>
      <c r="AD13" s="171"/>
      <c r="AE13" s="77"/>
      <c r="AF13" s="77"/>
      <c r="AG13" s="77"/>
    </row>
    <row r="14" spans="1:33" x14ac:dyDescent="0.25">
      <c r="A14" s="179"/>
      <c r="B14" s="179"/>
      <c r="C14" s="203">
        <f>SUM(C4:C13)</f>
        <v>170270</v>
      </c>
      <c r="D14" s="171"/>
      <c r="E14" s="203">
        <f>SUM(E4:E13)</f>
        <v>37580331.815819994</v>
      </c>
      <c r="F14" s="203">
        <f>SUM(F4:F13)</f>
        <v>-23305278</v>
      </c>
      <c r="G14" s="203">
        <f>SUM(G4:G13)</f>
        <v>22506454</v>
      </c>
      <c r="H14" s="203">
        <f>SUM(H4:H13)</f>
        <v>-798824</v>
      </c>
      <c r="I14" s="203">
        <f t="shared" ref="I14" si="14">SUM(I4:I13)</f>
        <v>36781507.815819994</v>
      </c>
      <c r="J14" s="171"/>
      <c r="K14" s="171"/>
      <c r="L14" s="171"/>
      <c r="M14" s="171"/>
      <c r="N14" s="171"/>
      <c r="O14" s="171"/>
      <c r="P14" s="171"/>
      <c r="Q14" s="171"/>
      <c r="R14" s="171"/>
      <c r="S14" s="171" t="s">
        <v>184</v>
      </c>
      <c r="T14" s="171" t="s">
        <v>242</v>
      </c>
      <c r="U14" s="171"/>
      <c r="V14" s="171"/>
      <c r="W14" s="204">
        <f>(W4+W5)*W13</f>
        <v>76803.395995259983</v>
      </c>
      <c r="X14" s="171"/>
      <c r="Y14" s="171" t="s">
        <v>28</v>
      </c>
      <c r="Z14" s="183">
        <f>O4+O5+P4+P5+S4+S5</f>
        <v>19625255.084459998</v>
      </c>
      <c r="AA14" s="192">
        <v>4.0099999999999997E-3</v>
      </c>
      <c r="AB14" s="190">
        <f>Z14*AA14</f>
        <v>78697.272888684587</v>
      </c>
      <c r="AC14" s="190">
        <f>W14-AB14</f>
        <v>-1893.8768934246036</v>
      </c>
      <c r="AD14" s="194">
        <f>AC14/W14</f>
        <v>-2.4658765004889713E-2</v>
      </c>
      <c r="AE14" s="77"/>
      <c r="AF14" s="77"/>
      <c r="AG14" s="77"/>
    </row>
    <row r="15" spans="1:33" ht="15.75" thickBot="1" x14ac:dyDescent="0.3">
      <c r="A15" s="179"/>
      <c r="B15" s="179"/>
      <c r="C15" s="179"/>
      <c r="D15" s="171"/>
      <c r="E15" s="179"/>
      <c r="F15" s="179"/>
      <c r="G15" s="179"/>
      <c r="H15" s="179"/>
      <c r="I15" s="179"/>
      <c r="J15" s="171"/>
      <c r="K15" s="171"/>
      <c r="L15" s="171"/>
      <c r="M15" s="171"/>
      <c r="N15" s="171"/>
      <c r="O15" s="171"/>
      <c r="P15" s="171"/>
      <c r="Q15" s="171"/>
      <c r="R15" s="171"/>
      <c r="S15" s="171" t="s">
        <v>184</v>
      </c>
      <c r="T15" s="171" t="s">
        <v>243</v>
      </c>
      <c r="U15" s="171"/>
      <c r="V15" s="171"/>
      <c r="W15" s="204">
        <f>SUM(W6:W10)*W13</f>
        <v>140117.79398730304</v>
      </c>
      <c r="X15" s="171"/>
      <c r="Y15" s="171" t="s">
        <v>244</v>
      </c>
      <c r="Z15" s="183">
        <f>SUM(O6:P10,S6:S10)</f>
        <v>8056572.1063600015</v>
      </c>
      <c r="AA15" s="192">
        <v>1.7600000000000001E-2</v>
      </c>
      <c r="AB15" s="190">
        <f>(Z15)*AA15</f>
        <v>141795.66907193605</v>
      </c>
      <c r="AC15" s="190">
        <f>W15-AB15</f>
        <v>-1677.8750846330076</v>
      </c>
      <c r="AD15" s="194">
        <f>AC15/W15</f>
        <v>-1.197474665341256E-2</v>
      </c>
      <c r="AE15" s="77"/>
      <c r="AF15" s="77"/>
      <c r="AG15" s="77"/>
    </row>
    <row r="16" spans="1:33" x14ac:dyDescent="0.25">
      <c r="A16" s="179" t="s">
        <v>28</v>
      </c>
      <c r="B16" s="179"/>
      <c r="C16" s="205">
        <f>C4+C5</f>
        <v>167092</v>
      </c>
      <c r="D16" s="171"/>
      <c r="E16" s="206">
        <f>E4+E5</f>
        <v>20275965.084459998</v>
      </c>
      <c r="F16" s="206">
        <f t="shared" ref="F16:H16" si="15">F4+F5</f>
        <v>-11025713</v>
      </c>
      <c r="G16" s="206">
        <f t="shared" si="15"/>
        <v>10375003</v>
      </c>
      <c r="H16" s="206">
        <f t="shared" si="15"/>
        <v>-650710</v>
      </c>
      <c r="I16" s="205">
        <f>I4+I5</f>
        <v>19625255.084459998</v>
      </c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77"/>
      <c r="AF16" s="77"/>
      <c r="AG16" s="77"/>
    </row>
    <row r="17" spans="1:33" x14ac:dyDescent="0.25">
      <c r="A17" s="179"/>
      <c r="B17" s="179"/>
      <c r="C17" s="207"/>
      <c r="D17" s="171"/>
      <c r="E17" s="179"/>
      <c r="F17" s="179"/>
      <c r="G17" s="179"/>
      <c r="H17" s="179"/>
      <c r="I17" s="208"/>
      <c r="J17" s="171"/>
      <c r="K17" s="171"/>
      <c r="L17" s="171"/>
      <c r="M17" s="171"/>
      <c r="N17" s="171"/>
      <c r="O17" s="171"/>
      <c r="P17" s="171"/>
      <c r="Q17" s="171"/>
      <c r="R17" s="190">
        <f>R11+U11</f>
        <v>-11070.134600000005</v>
      </c>
      <c r="S17" s="171" t="s">
        <v>320</v>
      </c>
      <c r="T17" s="171"/>
      <c r="U17" s="171"/>
      <c r="V17" s="171"/>
      <c r="W17" s="171"/>
      <c r="X17" s="171"/>
      <c r="Y17" s="171" t="s">
        <v>245</v>
      </c>
      <c r="Z17" s="171"/>
      <c r="AA17" s="171"/>
      <c r="AB17" s="171"/>
      <c r="AC17" s="171"/>
      <c r="AD17" s="171"/>
      <c r="AE17" s="77"/>
      <c r="AF17" s="77"/>
      <c r="AG17" s="77"/>
    </row>
    <row r="18" spans="1:33" ht="15.75" thickBot="1" x14ac:dyDescent="0.3">
      <c r="A18" s="179" t="s">
        <v>244</v>
      </c>
      <c r="B18" s="179"/>
      <c r="C18" s="209">
        <f>SUM(C6:C9)</f>
        <v>3132</v>
      </c>
      <c r="D18" s="171"/>
      <c r="E18" s="210">
        <f>SUM(E6:E9)</f>
        <v>8509432.1063599996</v>
      </c>
      <c r="F18" s="210">
        <f t="shared" ref="F18:H18" si="16">SUM(F6:F9)</f>
        <v>-4636648</v>
      </c>
      <c r="G18" s="210">
        <f t="shared" si="16"/>
        <v>4183788</v>
      </c>
      <c r="H18" s="210">
        <f t="shared" si="16"/>
        <v>-452860</v>
      </c>
      <c r="I18" s="209">
        <f>SUM(I6:I9)</f>
        <v>8056572.1063599996</v>
      </c>
      <c r="J18" s="171"/>
      <c r="K18" s="171"/>
      <c r="L18" s="171"/>
      <c r="M18" s="171"/>
      <c r="N18" s="171"/>
      <c r="O18" s="171"/>
      <c r="P18" s="171"/>
      <c r="Q18" s="171"/>
      <c r="R18" s="190">
        <f>E64</f>
        <v>-11070.134599999999</v>
      </c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77"/>
      <c r="AF18" s="77"/>
      <c r="AG18" s="77"/>
    </row>
    <row r="19" spans="1:33" x14ac:dyDescent="0.25">
      <c r="A19" s="179"/>
      <c r="B19" s="179"/>
      <c r="C19" s="179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77"/>
      <c r="AF19" s="77"/>
      <c r="AG19" s="77"/>
    </row>
    <row r="20" spans="1:33" ht="51.75" x14ac:dyDescent="0.25">
      <c r="A20" s="174"/>
      <c r="B20" s="211"/>
      <c r="C20" s="177" t="s">
        <v>246</v>
      </c>
      <c r="D20" s="300" t="s">
        <v>247</v>
      </c>
      <c r="E20" s="177" t="s">
        <v>335</v>
      </c>
      <c r="F20" s="177" t="s">
        <v>249</v>
      </c>
      <c r="G20" s="177" t="s">
        <v>250</v>
      </c>
      <c r="H20" s="177" t="s">
        <v>251</v>
      </c>
      <c r="I20" s="177" t="s">
        <v>252</v>
      </c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77"/>
      <c r="AF20" s="77"/>
      <c r="AG20" s="77"/>
    </row>
    <row r="21" spans="1:33" x14ac:dyDescent="0.25">
      <c r="A21" s="179"/>
      <c r="B21" s="179"/>
      <c r="C21" s="179"/>
      <c r="D21" s="179"/>
      <c r="E21" s="179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77"/>
      <c r="AF21" s="77"/>
      <c r="AG21" s="77"/>
    </row>
    <row r="22" spans="1:33" x14ac:dyDescent="0.25">
      <c r="A22" s="180" t="s">
        <v>221</v>
      </c>
      <c r="B22" s="179"/>
      <c r="C22" s="213">
        <v>1606525.5</v>
      </c>
      <c r="D22" s="213">
        <v>10098045.76</v>
      </c>
      <c r="E22" s="213">
        <v>-7671479.7541252198</v>
      </c>
      <c r="F22" s="213">
        <f>7359161-F23</f>
        <v>7356778.9081475139</v>
      </c>
      <c r="G22" s="214">
        <f>SUM(D22:F22)</f>
        <v>9783344.9140222929</v>
      </c>
      <c r="H22" s="190">
        <f>-I54</f>
        <v>209065.22560000001</v>
      </c>
      <c r="I22" s="190">
        <f t="shared" ref="I22:I31" si="17">G22+H22</f>
        <v>9992410.1396222934</v>
      </c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77"/>
      <c r="AF22" s="77"/>
      <c r="AG22" s="77"/>
    </row>
    <row r="23" spans="1:33" x14ac:dyDescent="0.25">
      <c r="A23" s="180" t="s">
        <v>223</v>
      </c>
      <c r="B23" s="179"/>
      <c r="C23" s="213">
        <v>1472.5</v>
      </c>
      <c r="D23" s="213">
        <v>9171.08</v>
      </c>
      <c r="E23" s="213">
        <v>-1626.2458747795599</v>
      </c>
      <c r="F23" s="213">
        <f>G5*(K23-C23)/E5</f>
        <v>2382.0918524863027</v>
      </c>
      <c r="G23" s="214">
        <f>SUM(D23:F23)</f>
        <v>9926.9259777067418</v>
      </c>
      <c r="H23" s="190">
        <f>-I55</f>
        <v>29.101220000000001</v>
      </c>
      <c r="I23" s="190">
        <f t="shared" si="17"/>
        <v>9956.0271977067423</v>
      </c>
      <c r="J23" s="171"/>
      <c r="K23" s="294">
        <v>6120.25</v>
      </c>
      <c r="L23" s="171" t="s">
        <v>277</v>
      </c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77"/>
      <c r="AF23" s="77"/>
      <c r="AG23" s="77"/>
    </row>
    <row r="24" spans="1:33" x14ac:dyDescent="0.25">
      <c r="A24" s="180" t="s">
        <v>225</v>
      </c>
      <c r="B24" s="179"/>
      <c r="C24" s="213">
        <v>304603</v>
      </c>
      <c r="D24" s="213">
        <v>2287568.2000000002</v>
      </c>
      <c r="E24" s="213">
        <v>-2094851</v>
      </c>
      <c r="F24" s="213">
        <v>1862401</v>
      </c>
      <c r="G24" s="214">
        <f>SUM(D24:F24)</f>
        <v>2055118.2000000002</v>
      </c>
      <c r="H24" s="190">
        <f>-I56</f>
        <v>149108.57772</v>
      </c>
      <c r="I24" s="190">
        <f t="shared" si="17"/>
        <v>2204226.7777200001</v>
      </c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77"/>
      <c r="AF24" s="77"/>
      <c r="AG24" s="77"/>
    </row>
    <row r="25" spans="1:33" x14ac:dyDescent="0.25">
      <c r="A25" s="180" t="s">
        <v>227</v>
      </c>
      <c r="B25" s="179"/>
      <c r="C25" s="213">
        <v>97.24</v>
      </c>
      <c r="D25" s="213">
        <v>4937.88</v>
      </c>
      <c r="E25" s="213">
        <v>-7259</v>
      </c>
      <c r="F25" s="213">
        <v>5489</v>
      </c>
      <c r="G25" s="214">
        <f>SUM(D25:F25)</f>
        <v>3167.88</v>
      </c>
      <c r="H25" s="190">
        <f>-I57</f>
        <v>954.31877999999983</v>
      </c>
      <c r="I25" s="190">
        <f>G25+H25</f>
        <v>4122.1987799999997</v>
      </c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77"/>
      <c r="AF25" s="77"/>
      <c r="AG25" s="77"/>
    </row>
    <row r="26" spans="1:33" x14ac:dyDescent="0.25">
      <c r="A26" s="180" t="s">
        <v>229</v>
      </c>
      <c r="B26" s="179"/>
      <c r="C26" s="213">
        <v>961.79</v>
      </c>
      <c r="D26" s="213">
        <v>37800.74</v>
      </c>
      <c r="E26" s="213">
        <v>-56398</v>
      </c>
      <c r="F26" s="213">
        <v>40079</v>
      </c>
      <c r="G26" s="214">
        <f t="shared" ref="G26:G31" si="18">SUM(D26:F26)</f>
        <v>21481.739999999998</v>
      </c>
      <c r="H26" s="190">
        <f t="shared" ref="H26:H31" si="19">-I58</f>
        <v>13212.93355</v>
      </c>
      <c r="I26" s="190">
        <f t="shared" si="17"/>
        <v>34694.67355</v>
      </c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77"/>
      <c r="AF26" s="77"/>
      <c r="AG26" s="77"/>
    </row>
    <row r="27" spans="1:33" x14ac:dyDescent="0.25">
      <c r="A27" s="180" t="s">
        <v>231</v>
      </c>
      <c r="B27" s="179"/>
      <c r="C27" s="213">
        <v>961.74</v>
      </c>
      <c r="D27" s="213">
        <v>87164.29</v>
      </c>
      <c r="E27" s="213">
        <v>-79862</v>
      </c>
      <c r="F27" s="213">
        <v>105302</v>
      </c>
      <c r="G27" s="214">
        <f t="shared" si="18"/>
        <v>112604.29</v>
      </c>
      <c r="H27" s="190">
        <f t="shared" si="19"/>
        <v>-19876.921999999999</v>
      </c>
      <c r="I27" s="190">
        <f t="shared" si="17"/>
        <v>92727.367999999988</v>
      </c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77"/>
      <c r="AF27" s="77"/>
      <c r="AG27" s="77"/>
    </row>
    <row r="28" spans="1:33" x14ac:dyDescent="0.25">
      <c r="A28" s="180" t="s">
        <v>232</v>
      </c>
      <c r="B28" s="179"/>
      <c r="C28" s="213">
        <v>0</v>
      </c>
      <c r="D28" s="213">
        <v>12350.01</v>
      </c>
      <c r="E28" s="213"/>
      <c r="F28" s="213"/>
      <c r="G28" s="214">
        <f t="shared" si="18"/>
        <v>12350.01</v>
      </c>
      <c r="H28" s="190">
        <f t="shared" si="19"/>
        <v>0</v>
      </c>
      <c r="I28" s="190">
        <f t="shared" si="17"/>
        <v>12350.01</v>
      </c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77"/>
      <c r="AF28" s="77"/>
      <c r="AG28" s="77"/>
    </row>
    <row r="29" spans="1:33" x14ac:dyDescent="0.25">
      <c r="A29" s="180" t="s">
        <v>234</v>
      </c>
      <c r="B29" s="179"/>
      <c r="C29" s="213">
        <v>20350</v>
      </c>
      <c r="D29" s="213">
        <v>280934.27</v>
      </c>
      <c r="E29" s="213">
        <v>-177599</v>
      </c>
      <c r="F29" s="213">
        <v>174845</v>
      </c>
      <c r="G29" s="214">
        <f t="shared" si="18"/>
        <v>278180.27</v>
      </c>
      <c r="H29" s="190">
        <f t="shared" si="19"/>
        <v>67.621919999999989</v>
      </c>
      <c r="I29" s="190">
        <f t="shared" si="17"/>
        <v>278247.89192000002</v>
      </c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77"/>
      <c r="AF29" s="77"/>
      <c r="AG29" s="77"/>
    </row>
    <row r="30" spans="1:33" x14ac:dyDescent="0.25">
      <c r="A30" s="180" t="s">
        <v>235</v>
      </c>
      <c r="B30" s="179"/>
      <c r="C30" s="213">
        <v>0</v>
      </c>
      <c r="D30" s="213">
        <v>22760.83</v>
      </c>
      <c r="E30" s="213"/>
      <c r="F30" s="213"/>
      <c r="G30" s="214">
        <f t="shared" si="18"/>
        <v>22760.83</v>
      </c>
      <c r="H30" s="190">
        <f t="shared" si="19"/>
        <v>0</v>
      </c>
      <c r="I30" s="190">
        <f t="shared" si="17"/>
        <v>22760.83</v>
      </c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77"/>
      <c r="AF30" s="77"/>
      <c r="AG30" s="77"/>
    </row>
    <row r="31" spans="1:33" x14ac:dyDescent="0.25">
      <c r="A31" s="180" t="s">
        <v>236</v>
      </c>
      <c r="B31" s="179"/>
      <c r="C31" s="213">
        <v>1000</v>
      </c>
      <c r="D31" s="213">
        <v>111913.21</v>
      </c>
      <c r="E31" s="213">
        <v>-92769</v>
      </c>
      <c r="F31" s="213">
        <v>100181</v>
      </c>
      <c r="G31" s="214">
        <f t="shared" si="18"/>
        <v>119325.21</v>
      </c>
      <c r="H31" s="190">
        <f t="shared" si="19"/>
        <v>0</v>
      </c>
      <c r="I31" s="190">
        <f t="shared" si="17"/>
        <v>119325.21</v>
      </c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77"/>
      <c r="AF31" s="77"/>
      <c r="AG31" s="77"/>
    </row>
    <row r="32" spans="1:33" x14ac:dyDescent="0.25">
      <c r="A32" s="180" t="s">
        <v>253</v>
      </c>
      <c r="B32" s="179"/>
      <c r="C32" s="213"/>
      <c r="D32" s="213">
        <v>9175490.1600000001</v>
      </c>
      <c r="E32" s="213"/>
      <c r="F32" s="213"/>
      <c r="G32" s="214"/>
      <c r="H32" s="190"/>
      <c r="I32" s="190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77"/>
      <c r="AF32" s="77"/>
      <c r="AG32" s="77"/>
    </row>
    <row r="33" spans="1:33" x14ac:dyDescent="0.25">
      <c r="A33" s="180" t="s">
        <v>254</v>
      </c>
      <c r="B33" s="179"/>
      <c r="C33" s="215"/>
      <c r="D33" s="213">
        <v>798078.45</v>
      </c>
      <c r="E33" s="213"/>
      <c r="F33" s="213"/>
      <c r="G33" s="214"/>
      <c r="H33" s="190"/>
      <c r="I33" s="190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77"/>
      <c r="AF33" s="77"/>
      <c r="AG33" s="77"/>
    </row>
    <row r="34" spans="1:33" x14ac:dyDescent="0.25">
      <c r="A34" s="179"/>
      <c r="B34" s="179"/>
      <c r="C34" s="196">
        <f>SUM(C22:C31)</f>
        <v>1935971.77</v>
      </c>
      <c r="D34" s="216">
        <f>SUM(D22:D33)</f>
        <v>22926214.879999999</v>
      </c>
      <c r="E34" s="216">
        <f>SUM(E22:E33)</f>
        <v>-10181844</v>
      </c>
      <c r="F34" s="216">
        <f>SUM(F22:F33)</f>
        <v>9647458</v>
      </c>
      <c r="G34" s="216">
        <f t="shared" ref="G34:I34" si="20">SUM(G22:G33)</f>
        <v>12418260.27</v>
      </c>
      <c r="H34" s="216">
        <f t="shared" si="20"/>
        <v>352560.85678999999</v>
      </c>
      <c r="I34" s="216">
        <f t="shared" si="20"/>
        <v>12770821.126790004</v>
      </c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77"/>
      <c r="AF34" s="77"/>
      <c r="AG34" s="77"/>
    </row>
    <row r="35" spans="1:33" ht="15.75" thickBot="1" x14ac:dyDescent="0.3">
      <c r="A35" s="179"/>
      <c r="B35" s="179"/>
      <c r="C35" s="171"/>
      <c r="D35" s="217"/>
      <c r="E35" s="179"/>
      <c r="F35" s="179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77"/>
      <c r="AF35" s="77"/>
      <c r="AG35" s="77"/>
    </row>
    <row r="36" spans="1:33" x14ac:dyDescent="0.25">
      <c r="A36" s="179" t="s">
        <v>28</v>
      </c>
      <c r="B36" s="179"/>
      <c r="C36" s="218">
        <f>C22+C23</f>
        <v>1607998</v>
      </c>
      <c r="D36" s="188">
        <f>D22+D23</f>
        <v>10107216.84</v>
      </c>
      <c r="E36" s="188">
        <f t="shared" ref="E36:H36" si="21">E22+E23</f>
        <v>-7673105.9999999991</v>
      </c>
      <c r="F36" s="188">
        <f t="shared" si="21"/>
        <v>7359161</v>
      </c>
      <c r="G36" s="188">
        <f t="shared" si="21"/>
        <v>9793271.8399999999</v>
      </c>
      <c r="H36" s="188">
        <f t="shared" si="21"/>
        <v>209094.32682000002</v>
      </c>
      <c r="I36" s="218">
        <f>I22+I23</f>
        <v>10002366.166820001</v>
      </c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77"/>
      <c r="AF36" s="77"/>
      <c r="AG36" s="77"/>
    </row>
    <row r="37" spans="1:33" x14ac:dyDescent="0.25">
      <c r="A37" s="179"/>
      <c r="B37" s="179"/>
      <c r="C37" s="219"/>
      <c r="D37" s="188"/>
      <c r="E37" s="179"/>
      <c r="F37" s="179"/>
      <c r="G37" s="171"/>
      <c r="H37" s="171"/>
      <c r="I37" s="220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77"/>
      <c r="AF37" s="77"/>
      <c r="AG37" s="77"/>
    </row>
    <row r="38" spans="1:33" ht="15.75" thickBot="1" x14ac:dyDescent="0.3">
      <c r="A38" s="179" t="s">
        <v>244</v>
      </c>
      <c r="B38" s="179"/>
      <c r="C38" s="221">
        <f>SUM(C24:C27)</f>
        <v>306623.76999999996</v>
      </c>
      <c r="D38" s="222">
        <f>SUM(D24:D27)</f>
        <v>2417471.1100000003</v>
      </c>
      <c r="E38" s="222">
        <f t="shared" ref="E38:H38" si="22">SUM(E24:E27)</f>
        <v>-2238370</v>
      </c>
      <c r="F38" s="222">
        <f t="shared" si="22"/>
        <v>2013271</v>
      </c>
      <c r="G38" s="222">
        <f t="shared" si="22"/>
        <v>2192372.11</v>
      </c>
      <c r="H38" s="222">
        <f t="shared" si="22"/>
        <v>143398.90805</v>
      </c>
      <c r="I38" s="221">
        <f>SUM(I24:I27)</f>
        <v>2335771.0180500001</v>
      </c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77"/>
      <c r="AF38" s="77"/>
      <c r="AG38" s="77"/>
    </row>
    <row r="39" spans="1:33" x14ac:dyDescent="0.25">
      <c r="A39" s="179"/>
      <c r="B39" s="179"/>
      <c r="C39" s="223"/>
      <c r="D39" s="222"/>
      <c r="E39" s="222"/>
      <c r="F39" s="222"/>
      <c r="G39" s="222"/>
      <c r="H39" s="222"/>
      <c r="I39" s="223"/>
      <c r="J39" s="171"/>
      <c r="K39" s="171"/>
      <c r="L39" s="171"/>
      <c r="M39" s="171"/>
      <c r="N39" s="171" t="s">
        <v>276</v>
      </c>
      <c r="O39" s="171"/>
      <c r="P39" s="171"/>
      <c r="Q39" s="171"/>
      <c r="R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77"/>
      <c r="AF39" s="77"/>
      <c r="AG39" s="77"/>
    </row>
    <row r="40" spans="1:33" ht="27.75" customHeight="1" x14ac:dyDescent="0.25">
      <c r="A40" s="179" t="s">
        <v>255</v>
      </c>
      <c r="B40" s="171"/>
      <c r="C40" s="224">
        <v>43770</v>
      </c>
      <c r="D40" s="224">
        <v>43770</v>
      </c>
      <c r="E40" s="224">
        <v>43770</v>
      </c>
      <c r="F40" s="224">
        <v>43739</v>
      </c>
      <c r="G40" s="224">
        <v>43344</v>
      </c>
      <c r="H40" s="224">
        <v>43739</v>
      </c>
      <c r="I40" s="224"/>
      <c r="J40" s="224"/>
      <c r="K40" s="224"/>
      <c r="L40" s="224"/>
      <c r="N40" s="317" t="s">
        <v>264</v>
      </c>
      <c r="O40" s="317" t="s">
        <v>275</v>
      </c>
      <c r="P40" s="317" t="s">
        <v>265</v>
      </c>
      <c r="Q40" s="317" t="s">
        <v>266</v>
      </c>
      <c r="R40" s="317" t="s">
        <v>267</v>
      </c>
      <c r="U40" s="171"/>
      <c r="V40" s="171"/>
      <c r="W40" s="171"/>
      <c r="X40" s="171"/>
      <c r="Y40" s="171"/>
      <c r="Z40" s="171"/>
      <c r="AA40" s="171"/>
      <c r="AB40" s="171"/>
      <c r="AC40" s="171"/>
      <c r="AD40" s="77"/>
      <c r="AE40" s="77"/>
      <c r="AF40" s="77"/>
      <c r="AG40" s="77"/>
    </row>
    <row r="41" spans="1:33" ht="26.25" customHeight="1" x14ac:dyDescent="0.25">
      <c r="A41" s="226" t="s">
        <v>256</v>
      </c>
      <c r="B41" s="175"/>
      <c r="C41" s="227" t="s">
        <v>257</v>
      </c>
      <c r="D41" s="227" t="s">
        <v>258</v>
      </c>
      <c r="E41" s="227" t="s">
        <v>260</v>
      </c>
      <c r="F41" s="227" t="s">
        <v>261</v>
      </c>
      <c r="G41" s="227" t="s">
        <v>262</v>
      </c>
      <c r="H41" s="227" t="s">
        <v>263</v>
      </c>
      <c r="I41" s="227"/>
      <c r="J41" s="227"/>
      <c r="K41" s="227"/>
      <c r="L41" s="298"/>
      <c r="M41" s="152"/>
      <c r="N41" s="317"/>
      <c r="O41" s="317"/>
      <c r="P41" s="317"/>
      <c r="Q41" s="317"/>
      <c r="R41" s="317"/>
      <c r="U41" s="171"/>
      <c r="V41" s="171"/>
      <c r="W41" s="171"/>
      <c r="X41" s="171"/>
      <c r="Y41" s="171"/>
      <c r="Z41" s="171"/>
      <c r="AA41" s="171"/>
      <c r="AB41" s="171"/>
      <c r="AC41" s="171"/>
      <c r="AD41" s="77"/>
      <c r="AE41" s="77"/>
      <c r="AF41" s="77"/>
      <c r="AG41" s="77"/>
    </row>
    <row r="42" spans="1:33" x14ac:dyDescent="0.25">
      <c r="A42" s="180" t="s">
        <v>221</v>
      </c>
      <c r="B42" s="179"/>
      <c r="C42" s="229">
        <v>0.26150000000000001</v>
      </c>
      <c r="D42" s="229">
        <v>4.2900000000000004E-3</v>
      </c>
      <c r="E42" s="229">
        <v>4.1999999999999997E-3</v>
      </c>
      <c r="F42" s="229">
        <v>0</v>
      </c>
      <c r="G42" s="229">
        <v>3.0280000000000001E-2</v>
      </c>
      <c r="H42" s="229">
        <v>2.0930000000000001E-2</v>
      </c>
      <c r="I42" s="229"/>
      <c r="J42" s="229"/>
      <c r="K42" s="229"/>
      <c r="L42" s="229"/>
      <c r="N42" s="231">
        <f>SUM(C42:H42)</f>
        <v>0.32120000000000004</v>
      </c>
      <c r="O42" s="231">
        <f>SUM(C42:H42)</f>
        <v>0.32120000000000004</v>
      </c>
      <c r="P42" s="193">
        <f t="shared" ref="P42:P51" si="23">N42*G4</f>
        <v>3329392.8184000002</v>
      </c>
      <c r="Q42" s="232">
        <f t="shared" ref="Q42:Q51" si="24">-F4*O42</f>
        <v>3538458.0440000002</v>
      </c>
      <c r="R42" s="193">
        <f>P42-Q42</f>
        <v>-209065.22560000001</v>
      </c>
      <c r="U42" s="171"/>
      <c r="V42" s="171"/>
      <c r="W42" s="171"/>
      <c r="X42" s="171"/>
      <c r="Y42" s="171"/>
      <c r="Z42" s="171"/>
      <c r="AA42" s="171"/>
      <c r="AB42" s="171"/>
      <c r="AC42" s="171"/>
      <c r="AD42" s="77"/>
      <c r="AE42" s="77"/>
      <c r="AF42" s="77"/>
      <c r="AG42" s="77"/>
    </row>
    <row r="43" spans="1:33" x14ac:dyDescent="0.25">
      <c r="A43" s="180" t="s">
        <v>223</v>
      </c>
      <c r="B43" s="179"/>
      <c r="C43" s="229">
        <v>0.26150000000000001</v>
      </c>
      <c r="D43" s="229">
        <v>4.2900000000000004E-3</v>
      </c>
      <c r="E43" s="229">
        <v>4.1999999999999997E-3</v>
      </c>
      <c r="F43" s="229">
        <v>-0.48469000000000001</v>
      </c>
      <c r="G43" s="229">
        <v>3.0280000000000001E-2</v>
      </c>
      <c r="H43" s="229">
        <v>2.0930000000000001E-2</v>
      </c>
      <c r="I43" s="229"/>
      <c r="J43" s="229"/>
      <c r="K43" s="229"/>
      <c r="L43" s="229"/>
      <c r="N43" s="231">
        <f t="shared" ref="N43:N51" si="25">SUM(C43:H43)</f>
        <v>-0.16349</v>
      </c>
      <c r="O43" s="231">
        <f t="shared" ref="O43:O51" si="26">SUM(C43:H43)</f>
        <v>-0.16349</v>
      </c>
      <c r="P43" s="193">
        <f t="shared" si="23"/>
        <v>-1556.5882899999999</v>
      </c>
      <c r="Q43" s="232">
        <f t="shared" si="24"/>
        <v>-1527.4870699999999</v>
      </c>
      <c r="R43" s="193">
        <f t="shared" ref="R43:R51" si="27">P43-Q43</f>
        <v>-29.101220000000012</v>
      </c>
      <c r="U43" s="171"/>
      <c r="V43" s="171"/>
      <c r="W43" s="171"/>
      <c r="X43" s="171"/>
      <c r="Y43" s="171"/>
      <c r="Z43" s="171"/>
      <c r="AA43" s="171"/>
      <c r="AB43" s="171"/>
      <c r="AC43" s="171"/>
      <c r="AD43" s="77"/>
      <c r="AE43" s="77"/>
      <c r="AF43" s="77"/>
      <c r="AG43" s="77"/>
    </row>
    <row r="44" spans="1:33" x14ac:dyDescent="0.25">
      <c r="A44" s="180" t="s">
        <v>225</v>
      </c>
      <c r="B44" s="179"/>
      <c r="C44" s="229">
        <v>0.25180999999999998</v>
      </c>
      <c r="D44" s="229">
        <v>1.085E-2</v>
      </c>
      <c r="E44" s="229">
        <v>1.8409999999999999E-2</v>
      </c>
      <c r="F44" s="229">
        <v>0</v>
      </c>
      <c r="G44" s="229">
        <v>1.626E-2</v>
      </c>
      <c r="H44" s="229">
        <v>1.754E-2</v>
      </c>
      <c r="I44" s="229"/>
      <c r="J44" s="229"/>
      <c r="K44" s="229"/>
      <c r="L44" s="229"/>
      <c r="N44" s="231">
        <f t="shared" si="25"/>
        <v>0.31486999999999998</v>
      </c>
      <c r="O44" s="231">
        <f t="shared" si="26"/>
        <v>0.31486999999999998</v>
      </c>
      <c r="P44" s="193">
        <f t="shared" si="23"/>
        <v>1194667.47407</v>
      </c>
      <c r="Q44" s="232">
        <f t="shared" si="24"/>
        <v>1343776.0517899999</v>
      </c>
      <c r="R44" s="193">
        <f t="shared" si="27"/>
        <v>-149108.57771999994</v>
      </c>
      <c r="U44" s="171"/>
      <c r="V44" s="171"/>
      <c r="W44" s="171"/>
      <c r="X44" s="171"/>
      <c r="Y44" s="171"/>
      <c r="Z44" s="171"/>
      <c r="AA44" s="171"/>
      <c r="AB44" s="171"/>
      <c r="AC44" s="171"/>
      <c r="AD44" s="77"/>
      <c r="AE44" s="77"/>
      <c r="AF44" s="77"/>
      <c r="AG44" s="77"/>
    </row>
    <row r="45" spans="1:33" x14ac:dyDescent="0.25">
      <c r="A45" s="180" t="s">
        <v>227</v>
      </c>
      <c r="B45" s="179"/>
      <c r="C45" s="229">
        <v>0.25180999999999998</v>
      </c>
      <c r="D45" s="229">
        <v>0</v>
      </c>
      <c r="E45" s="229">
        <v>1.8409999999999999E-2</v>
      </c>
      <c r="F45" s="229">
        <v>0</v>
      </c>
      <c r="G45" s="229">
        <v>1.626E-2</v>
      </c>
      <c r="H45" s="229">
        <v>1.754E-2</v>
      </c>
      <c r="I45" s="229"/>
      <c r="J45" s="229"/>
      <c r="K45" s="229"/>
      <c r="L45" s="229"/>
      <c r="N45" s="231">
        <f t="shared" si="25"/>
        <v>0.30401999999999996</v>
      </c>
      <c r="O45" s="231">
        <f t="shared" si="26"/>
        <v>0.30401999999999996</v>
      </c>
      <c r="P45" s="193">
        <f t="shared" si="23"/>
        <v>2959.0266599999995</v>
      </c>
      <c r="Q45" s="232">
        <f t="shared" si="24"/>
        <v>3913.3454399999996</v>
      </c>
      <c r="R45" s="193">
        <f t="shared" si="27"/>
        <v>-954.31878000000006</v>
      </c>
      <c r="U45" s="171"/>
      <c r="V45" s="171"/>
      <c r="W45" s="171"/>
      <c r="X45" s="171"/>
      <c r="Y45" s="171"/>
      <c r="Z45" s="171"/>
      <c r="AA45" s="171"/>
      <c r="AB45" s="171"/>
      <c r="AC45" s="171"/>
      <c r="AD45" s="77"/>
      <c r="AE45" s="77"/>
      <c r="AF45" s="77"/>
      <c r="AG45" s="77"/>
    </row>
    <row r="46" spans="1:33" x14ac:dyDescent="0.25">
      <c r="A46" s="180" t="s">
        <v>229</v>
      </c>
      <c r="B46" s="179"/>
      <c r="C46" s="229">
        <v>0.25180999999999998</v>
      </c>
      <c r="D46" s="229">
        <v>1.085E-2</v>
      </c>
      <c r="E46" s="229">
        <v>1.8409999999999999E-2</v>
      </c>
      <c r="F46" s="229">
        <v>0</v>
      </c>
      <c r="G46" s="229">
        <v>1.2760000000000001E-2</v>
      </c>
      <c r="H46" s="229">
        <v>1.602E-2</v>
      </c>
      <c r="I46" s="229"/>
      <c r="J46" s="229"/>
      <c r="K46" s="229"/>
      <c r="L46" s="229"/>
      <c r="N46" s="231">
        <f t="shared" si="25"/>
        <v>0.30984999999999996</v>
      </c>
      <c r="O46" s="231">
        <f t="shared" si="26"/>
        <v>0.30984999999999996</v>
      </c>
      <c r="P46" s="193">
        <f t="shared" si="23"/>
        <v>32450.590499999995</v>
      </c>
      <c r="Q46" s="232">
        <f t="shared" si="24"/>
        <v>45663.524049999993</v>
      </c>
      <c r="R46" s="193">
        <f t="shared" si="27"/>
        <v>-13212.933549999998</v>
      </c>
      <c r="U46" s="171"/>
      <c r="V46" s="171"/>
      <c r="W46" s="171"/>
      <c r="X46" s="171"/>
      <c r="Y46" s="171"/>
      <c r="Z46" s="171"/>
      <c r="AA46" s="171"/>
      <c r="AB46" s="171"/>
      <c r="AC46" s="171"/>
      <c r="AD46" s="77"/>
      <c r="AE46" s="77"/>
      <c r="AF46" s="77"/>
      <c r="AG46" s="77"/>
    </row>
    <row r="47" spans="1:33" x14ac:dyDescent="0.25">
      <c r="A47" s="180" t="s">
        <v>231</v>
      </c>
      <c r="B47" s="179"/>
      <c r="C47" s="229">
        <v>0.25180999999999998</v>
      </c>
      <c r="D47" s="229">
        <v>0</v>
      </c>
      <c r="E47" s="229">
        <v>1.8409999999999999E-2</v>
      </c>
      <c r="F47" s="229">
        <v>0</v>
      </c>
      <c r="G47" s="229">
        <v>1.2760000000000001E-2</v>
      </c>
      <c r="H47" s="229">
        <v>1.602E-2</v>
      </c>
      <c r="I47" s="229"/>
      <c r="J47" s="229"/>
      <c r="K47" s="229"/>
      <c r="L47" s="229"/>
      <c r="N47" s="231">
        <f>SUM(C47:H47)</f>
        <v>0.29899999999999993</v>
      </c>
      <c r="O47" s="231">
        <f t="shared" si="26"/>
        <v>0.29899999999999993</v>
      </c>
      <c r="P47" s="193">
        <f t="shared" si="23"/>
        <v>82274.035999999978</v>
      </c>
      <c r="Q47" s="232">
        <f t="shared" si="24"/>
        <v>62397.113999999987</v>
      </c>
      <c r="R47" s="193">
        <f t="shared" si="27"/>
        <v>19876.921999999991</v>
      </c>
      <c r="U47" s="171"/>
      <c r="V47" s="171"/>
      <c r="W47" s="171"/>
      <c r="X47" s="171"/>
      <c r="Y47" s="171"/>
      <c r="Z47" s="171"/>
      <c r="AA47" s="171"/>
      <c r="AB47" s="171"/>
      <c r="AC47" s="171"/>
      <c r="AD47" s="77"/>
      <c r="AE47" s="77"/>
      <c r="AF47" s="77"/>
      <c r="AG47" s="77"/>
    </row>
    <row r="48" spans="1:33" x14ac:dyDescent="0.25">
      <c r="A48" s="180" t="s">
        <v>232</v>
      </c>
      <c r="B48" s="179"/>
      <c r="C48" s="229">
        <v>0.21892</v>
      </c>
      <c r="D48" s="229">
        <v>0</v>
      </c>
      <c r="E48" s="229">
        <v>0</v>
      </c>
      <c r="F48" s="229">
        <v>0</v>
      </c>
      <c r="G48" s="229">
        <v>1.132E-2</v>
      </c>
      <c r="H48" s="229">
        <v>1.5389999999999999E-2</v>
      </c>
      <c r="I48" s="229"/>
      <c r="J48" s="229"/>
      <c r="K48" s="229"/>
      <c r="L48" s="229"/>
      <c r="N48" s="231">
        <f t="shared" si="25"/>
        <v>0.24562999999999999</v>
      </c>
      <c r="O48" s="231">
        <f t="shared" si="26"/>
        <v>0.24562999999999999</v>
      </c>
      <c r="P48" s="193">
        <f t="shared" si="23"/>
        <v>0</v>
      </c>
      <c r="Q48" s="232">
        <f t="shared" si="24"/>
        <v>0</v>
      </c>
      <c r="R48" s="193">
        <f t="shared" si="27"/>
        <v>0</v>
      </c>
      <c r="U48" s="171"/>
      <c r="V48" s="171"/>
      <c r="W48" s="171"/>
      <c r="X48" s="171"/>
      <c r="Y48" s="171"/>
      <c r="Z48" s="171"/>
      <c r="AA48" s="171"/>
      <c r="AB48" s="171"/>
      <c r="AC48" s="171"/>
      <c r="AD48" s="77"/>
      <c r="AE48" s="77"/>
      <c r="AF48" s="77"/>
      <c r="AG48" s="77"/>
    </row>
    <row r="49" spans="1:33" x14ac:dyDescent="0.25">
      <c r="A49" s="180" t="s">
        <v>234</v>
      </c>
      <c r="B49" s="179"/>
      <c r="C49" s="229">
        <v>5.5999999999999995E-4</v>
      </c>
      <c r="D49" s="229">
        <v>0</v>
      </c>
      <c r="E49" s="229">
        <v>0</v>
      </c>
      <c r="F49" s="229">
        <v>0</v>
      </c>
      <c r="G49" s="229">
        <v>0</v>
      </c>
      <c r="H49" s="229">
        <v>8.0000000000000004E-4</v>
      </c>
      <c r="I49" s="229"/>
      <c r="J49" s="229"/>
      <c r="K49" s="229"/>
      <c r="L49" s="229"/>
      <c r="N49" s="231">
        <f t="shared" si="25"/>
        <v>1.3600000000000001E-3</v>
      </c>
      <c r="O49" s="231">
        <f t="shared" si="26"/>
        <v>1.3600000000000001E-3</v>
      </c>
      <c r="P49" s="193">
        <f t="shared" si="23"/>
        <v>4292.9964</v>
      </c>
      <c r="Q49" s="232">
        <f t="shared" si="24"/>
        <v>4360.6183200000005</v>
      </c>
      <c r="R49" s="193">
        <f t="shared" si="27"/>
        <v>-67.6219200000005</v>
      </c>
      <c r="U49" s="171"/>
      <c r="V49" s="171"/>
      <c r="W49" s="171"/>
      <c r="X49" s="171"/>
      <c r="Y49" s="171"/>
      <c r="Z49" s="171"/>
      <c r="AA49" s="171"/>
      <c r="AB49" s="171"/>
      <c r="AC49" s="171"/>
      <c r="AD49" s="77"/>
      <c r="AE49" s="77"/>
      <c r="AF49" s="77"/>
      <c r="AG49" s="77"/>
    </row>
    <row r="50" spans="1:33" x14ac:dyDescent="0.25">
      <c r="A50" s="180" t="s">
        <v>235</v>
      </c>
      <c r="B50" s="179"/>
      <c r="C50" s="229">
        <v>0</v>
      </c>
      <c r="D50" s="229">
        <v>0</v>
      </c>
      <c r="E50" s="229">
        <v>0</v>
      </c>
      <c r="F50" s="229">
        <v>0</v>
      </c>
      <c r="G50" s="229">
        <v>0</v>
      </c>
      <c r="H50" s="229">
        <v>0</v>
      </c>
      <c r="I50" s="229"/>
      <c r="J50" s="229"/>
      <c r="K50" s="229"/>
      <c r="L50" s="229"/>
      <c r="N50" s="231">
        <f t="shared" si="25"/>
        <v>0</v>
      </c>
      <c r="O50" s="231">
        <f t="shared" si="26"/>
        <v>0</v>
      </c>
      <c r="P50" s="193">
        <f t="shared" si="23"/>
        <v>0</v>
      </c>
      <c r="Q50" s="232">
        <f t="shared" si="24"/>
        <v>0</v>
      </c>
      <c r="R50" s="193">
        <f t="shared" si="27"/>
        <v>0</v>
      </c>
      <c r="U50" s="171"/>
      <c r="V50" s="171"/>
      <c r="W50" s="171"/>
      <c r="X50" s="171"/>
      <c r="Y50" s="171"/>
      <c r="Z50" s="171"/>
      <c r="AA50" s="171"/>
      <c r="AB50" s="171"/>
      <c r="AC50" s="171"/>
      <c r="AD50" s="77"/>
      <c r="AE50" s="77"/>
      <c r="AF50" s="77"/>
      <c r="AG50" s="77"/>
    </row>
    <row r="51" spans="1:33" x14ac:dyDescent="0.25">
      <c r="A51" s="180" t="s">
        <v>236</v>
      </c>
      <c r="B51" s="179"/>
      <c r="C51" s="229">
        <v>0</v>
      </c>
      <c r="D51" s="229">
        <v>0</v>
      </c>
      <c r="E51" s="229">
        <v>0</v>
      </c>
      <c r="F51" s="229">
        <v>0</v>
      </c>
      <c r="G51" s="229">
        <v>0</v>
      </c>
      <c r="H51" s="229">
        <v>0</v>
      </c>
      <c r="I51" s="229"/>
      <c r="J51" s="229"/>
      <c r="K51" s="229"/>
      <c r="L51" s="229"/>
      <c r="N51" s="231">
        <f t="shared" si="25"/>
        <v>0</v>
      </c>
      <c r="O51" s="231">
        <f t="shared" si="26"/>
        <v>0</v>
      </c>
      <c r="P51" s="193">
        <f t="shared" si="23"/>
        <v>0</v>
      </c>
      <c r="Q51" s="232">
        <f t="shared" si="24"/>
        <v>0</v>
      </c>
      <c r="R51" s="193">
        <f t="shared" si="27"/>
        <v>0</v>
      </c>
      <c r="U51" s="171"/>
      <c r="V51" s="171"/>
      <c r="W51" s="171"/>
      <c r="X51" s="171"/>
      <c r="Y51" s="171"/>
      <c r="Z51" s="171"/>
      <c r="AA51" s="171"/>
      <c r="AB51" s="171"/>
      <c r="AC51" s="171"/>
      <c r="AD51" s="77"/>
      <c r="AE51" s="77"/>
      <c r="AF51" s="77"/>
      <c r="AG51" s="77"/>
    </row>
    <row r="52" spans="1:33" x14ac:dyDescent="0.25">
      <c r="A52" s="180"/>
      <c r="B52" s="179"/>
      <c r="C52" s="229"/>
      <c r="D52" s="229"/>
      <c r="E52" s="229"/>
      <c r="F52" s="229"/>
      <c r="G52" s="229"/>
      <c r="H52" s="229"/>
      <c r="I52" s="229"/>
      <c r="J52" s="229"/>
      <c r="N52" s="171"/>
      <c r="P52" s="233">
        <f>SUM(P42:P51)</f>
        <v>4644480.3537400002</v>
      </c>
      <c r="Q52" s="233">
        <f>SUM(Q42:Q51)</f>
        <v>4997041.2105300017</v>
      </c>
      <c r="R52" s="233">
        <f>SUM(R42:R51)</f>
        <v>-352560.85678999993</v>
      </c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77"/>
      <c r="AF52" s="77"/>
      <c r="AG52" s="77"/>
    </row>
    <row r="53" spans="1:33" ht="35.25" customHeight="1" x14ac:dyDescent="0.25">
      <c r="A53" s="226" t="s">
        <v>267</v>
      </c>
      <c r="B53" s="175"/>
      <c r="C53" s="300" t="s">
        <v>268</v>
      </c>
      <c r="D53" s="300" t="s">
        <v>269</v>
      </c>
      <c r="E53" s="300" t="s">
        <v>260</v>
      </c>
      <c r="F53" s="300" t="s">
        <v>270</v>
      </c>
      <c r="G53" s="300" t="s">
        <v>271</v>
      </c>
      <c r="H53" s="300" t="s">
        <v>272</v>
      </c>
      <c r="I53" s="318" t="s">
        <v>273</v>
      </c>
      <c r="J53" s="318"/>
      <c r="M53" s="171"/>
      <c r="N53" s="171"/>
      <c r="O53" s="171"/>
      <c r="Q53" s="301">
        <f>'11.2019 Base Rate Revenue'!P52</f>
        <v>4997041.2105300017</v>
      </c>
      <c r="R53" s="190">
        <f>I64</f>
        <v>-352560.85678999999</v>
      </c>
      <c r="U53" s="171"/>
      <c r="V53" s="171"/>
      <c r="W53" s="171"/>
      <c r="X53" s="171"/>
      <c r="Y53" s="171"/>
      <c r="Z53" s="171"/>
      <c r="AA53" s="171"/>
      <c r="AB53" s="171"/>
      <c r="AC53" s="171"/>
      <c r="AD53" s="77"/>
      <c r="AE53" s="77"/>
      <c r="AF53" s="77"/>
    </row>
    <row r="54" spans="1:33" x14ac:dyDescent="0.25">
      <c r="A54" s="180" t="s">
        <v>221</v>
      </c>
      <c r="B54" s="171"/>
      <c r="C54" s="188">
        <f>C42*$H4</f>
        <v>-170207.212</v>
      </c>
      <c r="D54" s="188">
        <f t="shared" ref="D54:E54" si="28">D42*$H4</f>
        <v>-2792.3095200000002</v>
      </c>
      <c r="E54" s="188">
        <f t="shared" si="28"/>
        <v>-2733.7295999999997</v>
      </c>
      <c r="F54" s="188">
        <f>F42*$H4</f>
        <v>0</v>
      </c>
      <c r="G54" s="188">
        <f t="shared" ref="G54:H54" si="29">G42*$H4</f>
        <v>-19708.888640000001</v>
      </c>
      <c r="H54" s="188">
        <f t="shared" si="29"/>
        <v>-13623.08584</v>
      </c>
      <c r="I54" s="188">
        <f t="shared" ref="I54:I63" si="30">SUM(C54:H54)</f>
        <v>-209065.22560000001</v>
      </c>
      <c r="M54" s="171"/>
      <c r="N54" s="193"/>
      <c r="O54" s="171"/>
      <c r="P54" s="171"/>
      <c r="Q54" s="193">
        <f>R52-R53</f>
        <v>0</v>
      </c>
      <c r="R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77"/>
      <c r="AE54" s="77"/>
      <c r="AF54" s="77"/>
    </row>
    <row r="55" spans="1:33" x14ac:dyDescent="0.25">
      <c r="A55" s="180" t="s">
        <v>223</v>
      </c>
      <c r="B55" s="171"/>
      <c r="C55" s="188">
        <f t="shared" ref="C55:E55" si="31">C43*$H5</f>
        <v>46.547000000000004</v>
      </c>
      <c r="D55" s="188">
        <f t="shared" si="31"/>
        <v>0.76362000000000008</v>
      </c>
      <c r="E55" s="188">
        <f t="shared" si="31"/>
        <v>0.74759999999999993</v>
      </c>
      <c r="F55" s="188">
        <f t="shared" ref="F55:H63" si="32">F43*$H5</f>
        <v>-86.274820000000005</v>
      </c>
      <c r="G55" s="188">
        <f t="shared" si="32"/>
        <v>5.3898400000000004</v>
      </c>
      <c r="H55" s="188">
        <f t="shared" si="32"/>
        <v>3.7255400000000001</v>
      </c>
      <c r="I55" s="188">
        <f t="shared" si="30"/>
        <v>-29.101220000000001</v>
      </c>
      <c r="J55" s="171"/>
      <c r="K55" s="171"/>
      <c r="L55" s="171"/>
      <c r="M55" s="193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77"/>
      <c r="AE55" s="77"/>
      <c r="AF55" s="77"/>
    </row>
    <row r="56" spans="1:33" x14ac:dyDescent="0.25">
      <c r="A56" s="180" t="s">
        <v>225</v>
      </c>
      <c r="B56" s="171"/>
      <c r="C56" s="188">
        <f t="shared" ref="C56:E56" si="33">C44*$H6</f>
        <v>-119246.13635999999</v>
      </c>
      <c r="D56" s="188">
        <f t="shared" si="33"/>
        <v>-5138.0825999999997</v>
      </c>
      <c r="E56" s="188">
        <f t="shared" si="33"/>
        <v>-8718.1659600000003</v>
      </c>
      <c r="F56" s="188">
        <f t="shared" si="32"/>
        <v>0</v>
      </c>
      <c r="G56" s="188">
        <f t="shared" si="32"/>
        <v>-7700.0205599999999</v>
      </c>
      <c r="H56" s="188">
        <f t="shared" si="32"/>
        <v>-8306.1722399999999</v>
      </c>
      <c r="I56" s="188">
        <f t="shared" si="30"/>
        <v>-149108.57772</v>
      </c>
      <c r="J56" s="171"/>
      <c r="K56" s="171"/>
      <c r="L56" s="171"/>
      <c r="M56" s="193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77"/>
      <c r="AE56" s="77"/>
      <c r="AF56" s="77"/>
    </row>
    <row r="57" spans="1:33" x14ac:dyDescent="0.25">
      <c r="A57" s="180" t="s">
        <v>227</v>
      </c>
      <c r="B57" s="171"/>
      <c r="C57" s="188">
        <f t="shared" ref="C57:E57" si="34">C45*$H7</f>
        <v>-790.43158999999991</v>
      </c>
      <c r="D57" s="188">
        <f t="shared" si="34"/>
        <v>0</v>
      </c>
      <c r="E57" s="188">
        <f t="shared" si="34"/>
        <v>-57.788989999999998</v>
      </c>
      <c r="F57" s="188">
        <f t="shared" si="32"/>
        <v>0</v>
      </c>
      <c r="G57" s="188">
        <f t="shared" si="32"/>
        <v>-51.040140000000001</v>
      </c>
      <c r="H57" s="188">
        <f t="shared" si="32"/>
        <v>-55.058059999999998</v>
      </c>
      <c r="I57" s="188">
        <f t="shared" si="30"/>
        <v>-954.31877999999983</v>
      </c>
      <c r="J57" s="171"/>
      <c r="K57" s="171"/>
      <c r="L57" s="171"/>
      <c r="M57" s="193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77"/>
      <c r="AE57" s="77"/>
      <c r="AF57" s="77"/>
    </row>
    <row r="58" spans="1:33" x14ac:dyDescent="0.25">
      <c r="A58" s="180" t="s">
        <v>229</v>
      </c>
      <c r="B58" s="171"/>
      <c r="C58" s="188">
        <f t="shared" ref="C58:E58" si="35">C46*$H8</f>
        <v>-10737.93383</v>
      </c>
      <c r="D58" s="188">
        <f t="shared" si="35"/>
        <v>-462.67655000000002</v>
      </c>
      <c r="E58" s="188">
        <f t="shared" si="35"/>
        <v>-785.05763000000002</v>
      </c>
      <c r="F58" s="188">
        <f t="shared" si="32"/>
        <v>0</v>
      </c>
      <c r="G58" s="188">
        <f t="shared" si="32"/>
        <v>-544.12468000000001</v>
      </c>
      <c r="H58" s="188">
        <f t="shared" si="32"/>
        <v>-683.14085999999998</v>
      </c>
      <c r="I58" s="188">
        <f t="shared" si="30"/>
        <v>-13212.93355</v>
      </c>
      <c r="J58" s="171"/>
      <c r="K58" s="171"/>
      <c r="L58" s="171"/>
      <c r="M58" s="193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77"/>
      <c r="AE58" s="77"/>
      <c r="AF58" s="77"/>
    </row>
    <row r="59" spans="1:33" x14ac:dyDescent="0.25">
      <c r="A59" s="180" t="s">
        <v>231</v>
      </c>
      <c r="B59" s="171"/>
      <c r="C59" s="188">
        <f t="shared" ref="C59:E59" si="36">C47*$H9</f>
        <v>16739.82518</v>
      </c>
      <c r="D59" s="188">
        <f t="shared" si="36"/>
        <v>0</v>
      </c>
      <c r="E59" s="188">
        <f t="shared" si="36"/>
        <v>1223.85998</v>
      </c>
      <c r="F59" s="188">
        <f t="shared" si="32"/>
        <v>0</v>
      </c>
      <c r="G59" s="188">
        <f t="shared" si="32"/>
        <v>848.25927999999999</v>
      </c>
      <c r="H59" s="188">
        <f t="shared" si="32"/>
        <v>1064.97756</v>
      </c>
      <c r="I59" s="188">
        <f t="shared" si="30"/>
        <v>19876.921999999999</v>
      </c>
      <c r="J59" s="171"/>
      <c r="K59" s="171"/>
      <c r="L59" s="171"/>
      <c r="M59" s="193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77"/>
      <c r="AE59" s="77"/>
      <c r="AF59" s="77"/>
    </row>
    <row r="60" spans="1:33" x14ac:dyDescent="0.25">
      <c r="A60" s="180" t="s">
        <v>232</v>
      </c>
      <c r="B60" s="171"/>
      <c r="C60" s="188">
        <f t="shared" ref="C60:E60" si="37">C48*$H10</f>
        <v>0</v>
      </c>
      <c r="D60" s="188">
        <f t="shared" si="37"/>
        <v>0</v>
      </c>
      <c r="E60" s="188">
        <f t="shared" si="37"/>
        <v>0</v>
      </c>
      <c r="F60" s="188">
        <f t="shared" si="32"/>
        <v>0</v>
      </c>
      <c r="G60" s="188">
        <f t="shared" si="32"/>
        <v>0</v>
      </c>
      <c r="H60" s="188">
        <f t="shared" si="32"/>
        <v>0</v>
      </c>
      <c r="I60" s="188">
        <f t="shared" si="30"/>
        <v>0</v>
      </c>
      <c r="J60" s="171"/>
      <c r="K60" s="171"/>
      <c r="L60" s="171"/>
      <c r="M60" s="193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77"/>
      <c r="AE60" s="77"/>
      <c r="AF60" s="77"/>
    </row>
    <row r="61" spans="1:33" x14ac:dyDescent="0.25">
      <c r="A61" s="180" t="s">
        <v>234</v>
      </c>
      <c r="B61" s="171"/>
      <c r="C61" s="188">
        <f t="shared" ref="C61:E61" si="38">C49*$H11</f>
        <v>-27.844319999999996</v>
      </c>
      <c r="D61" s="188">
        <f t="shared" si="38"/>
        <v>0</v>
      </c>
      <c r="E61" s="188">
        <f t="shared" si="38"/>
        <v>0</v>
      </c>
      <c r="F61" s="188">
        <f t="shared" si="32"/>
        <v>0</v>
      </c>
      <c r="G61" s="188">
        <f t="shared" si="32"/>
        <v>0</v>
      </c>
      <c r="H61" s="188">
        <f t="shared" si="32"/>
        <v>-39.7776</v>
      </c>
      <c r="I61" s="188">
        <f t="shared" si="30"/>
        <v>-67.621919999999989</v>
      </c>
      <c r="J61" s="171"/>
      <c r="K61" s="171"/>
      <c r="L61" s="171"/>
      <c r="M61" s="193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77"/>
      <c r="AE61" s="77"/>
      <c r="AF61" s="77"/>
    </row>
    <row r="62" spans="1:33" x14ac:dyDescent="0.25">
      <c r="A62" s="180" t="s">
        <v>235</v>
      </c>
      <c r="B62" s="171"/>
      <c r="C62" s="188">
        <f t="shared" ref="C62:E62" si="39">C50*$H12</f>
        <v>0</v>
      </c>
      <c r="D62" s="188">
        <f t="shared" si="39"/>
        <v>0</v>
      </c>
      <c r="E62" s="188">
        <f t="shared" si="39"/>
        <v>0</v>
      </c>
      <c r="F62" s="188">
        <f t="shared" si="32"/>
        <v>0</v>
      </c>
      <c r="G62" s="188">
        <f t="shared" si="32"/>
        <v>0</v>
      </c>
      <c r="H62" s="188">
        <f t="shared" si="32"/>
        <v>0</v>
      </c>
      <c r="I62" s="188">
        <f t="shared" si="30"/>
        <v>0</v>
      </c>
      <c r="J62" s="171"/>
      <c r="K62" s="171"/>
      <c r="L62" s="171"/>
      <c r="M62" s="193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77"/>
      <c r="AE62" s="77"/>
      <c r="AF62" s="77"/>
    </row>
    <row r="63" spans="1:33" x14ac:dyDescent="0.25">
      <c r="A63" s="180" t="s">
        <v>236</v>
      </c>
      <c r="B63" s="171"/>
      <c r="C63" s="188">
        <f t="shared" ref="C63:E63" si="40">C51*$H13</f>
        <v>0</v>
      </c>
      <c r="D63" s="188">
        <f t="shared" si="40"/>
        <v>0</v>
      </c>
      <c r="E63" s="188">
        <f t="shared" si="40"/>
        <v>0</v>
      </c>
      <c r="F63" s="188">
        <f t="shared" si="32"/>
        <v>0</v>
      </c>
      <c r="G63" s="188">
        <f t="shared" si="32"/>
        <v>0</v>
      </c>
      <c r="H63" s="188">
        <f t="shared" si="32"/>
        <v>0</v>
      </c>
      <c r="I63" s="188">
        <f t="shared" si="30"/>
        <v>0</v>
      </c>
      <c r="J63" s="171"/>
      <c r="K63" s="171"/>
      <c r="L63" s="171"/>
      <c r="M63" s="234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77"/>
      <c r="AE63" s="77"/>
      <c r="AF63" s="77"/>
    </row>
    <row r="64" spans="1:33" x14ac:dyDescent="0.25">
      <c r="A64" s="171"/>
      <c r="B64" s="171"/>
      <c r="C64" s="196">
        <f>SUM(C54:C63)</f>
        <v>-284223.18591999996</v>
      </c>
      <c r="D64" s="196">
        <f t="shared" ref="D64:H64" si="41">SUM(D54:D63)</f>
        <v>-8392.305049999999</v>
      </c>
      <c r="E64" s="196">
        <f t="shared" si="41"/>
        <v>-11070.134599999999</v>
      </c>
      <c r="F64" s="196">
        <f t="shared" si="41"/>
        <v>-86.274820000000005</v>
      </c>
      <c r="G64" s="196">
        <f t="shared" si="41"/>
        <v>-27150.424900000005</v>
      </c>
      <c r="H64" s="196">
        <f t="shared" si="41"/>
        <v>-21638.531500000001</v>
      </c>
      <c r="I64" s="196">
        <f>SUM(I54:I63)</f>
        <v>-352560.85678999999</v>
      </c>
      <c r="J64" s="171"/>
      <c r="K64" s="171"/>
      <c r="L64" s="171"/>
      <c r="M64" s="234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77"/>
      <c r="AE64" s="77"/>
      <c r="AF64" s="77"/>
    </row>
    <row r="65" spans="1:33" x14ac:dyDescent="0.25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88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77"/>
      <c r="AE65" s="77"/>
      <c r="AF65" s="77"/>
    </row>
    <row r="66" spans="1:33" x14ac:dyDescent="0.25">
      <c r="A66" s="179" t="s">
        <v>28</v>
      </c>
      <c r="B66" s="179"/>
      <c r="C66" s="188">
        <f>C54+C55</f>
        <v>-170160.66500000001</v>
      </c>
      <c r="D66" s="188">
        <f>D54+D55</f>
        <v>-2791.5459000000001</v>
      </c>
      <c r="E66" s="188">
        <f t="shared" ref="E66:H66" si="42">E54+E55</f>
        <v>-2732.9819999999995</v>
      </c>
      <c r="F66" s="188">
        <f t="shared" si="42"/>
        <v>-86.274820000000005</v>
      </c>
      <c r="G66" s="188">
        <f t="shared" si="42"/>
        <v>-19703.498800000001</v>
      </c>
      <c r="H66" s="188">
        <f t="shared" si="42"/>
        <v>-13619.3603</v>
      </c>
      <c r="I66" s="188">
        <f>I54+I55</f>
        <v>-209094.32682000002</v>
      </c>
      <c r="J66" s="171"/>
      <c r="K66" s="171"/>
      <c r="L66" s="171"/>
      <c r="M66" s="188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77"/>
      <c r="AE66" s="77"/>
      <c r="AF66" s="77"/>
    </row>
    <row r="67" spans="1:33" x14ac:dyDescent="0.25">
      <c r="A67" s="179"/>
      <c r="B67" s="179"/>
      <c r="C67" s="188"/>
      <c r="D67" s="188"/>
      <c r="E67" s="188"/>
      <c r="F67" s="188"/>
      <c r="G67" s="188"/>
      <c r="H67" s="188"/>
      <c r="I67" s="188"/>
      <c r="J67" s="171"/>
      <c r="K67" s="171"/>
      <c r="L67" s="171"/>
      <c r="M67" s="179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77"/>
      <c r="AE67" s="77"/>
      <c r="AF67" s="77"/>
    </row>
    <row r="68" spans="1:33" x14ac:dyDescent="0.25">
      <c r="A68" s="179" t="s">
        <v>244</v>
      </c>
      <c r="B68" s="179"/>
      <c r="C68" s="222">
        <f>C56+C58</f>
        <v>-129984.07018999998</v>
      </c>
      <c r="D68" s="222">
        <f>D56+D58</f>
        <v>-5600.7591499999999</v>
      </c>
      <c r="E68" s="222">
        <f t="shared" ref="E68:H68" si="43">E56+E58</f>
        <v>-9503.2235899999996</v>
      </c>
      <c r="F68" s="222">
        <f t="shared" si="43"/>
        <v>0</v>
      </c>
      <c r="G68" s="222">
        <f t="shared" si="43"/>
        <v>-8244.1452399999998</v>
      </c>
      <c r="H68" s="222">
        <f t="shared" si="43"/>
        <v>-8989.3130999999994</v>
      </c>
      <c r="I68" s="222">
        <f>I56+I58</f>
        <v>-162321.51126999999</v>
      </c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77"/>
      <c r="AE68" s="77"/>
      <c r="AF68" s="77"/>
    </row>
    <row r="69" spans="1:33" x14ac:dyDescent="0.25">
      <c r="A69" s="171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77"/>
      <c r="AF69" s="77"/>
      <c r="AG69" s="77"/>
    </row>
    <row r="70" spans="1:33" x14ac:dyDescent="0.25">
      <c r="A70" s="171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77"/>
      <c r="AF70" s="77"/>
      <c r="AG70" s="77"/>
    </row>
    <row r="71" spans="1:33" x14ac:dyDescent="0.25">
      <c r="A71" s="171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77"/>
      <c r="AF71" s="77"/>
      <c r="AG71" s="77"/>
    </row>
    <row r="72" spans="1:33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77"/>
      <c r="AF72" s="77"/>
      <c r="AG72" s="77"/>
    </row>
    <row r="73" spans="1:33" x14ac:dyDescent="0.25">
      <c r="A73" s="171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77"/>
      <c r="AF73" s="77"/>
      <c r="AG73" s="77"/>
    </row>
  </sheetData>
  <mergeCells count="7">
    <mergeCell ref="R40:R41"/>
    <mergeCell ref="I53:J53"/>
    <mergeCell ref="A1:I1"/>
    <mergeCell ref="O40:O41"/>
    <mergeCell ref="P40:P41"/>
    <mergeCell ref="Q40:Q41"/>
    <mergeCell ref="N40:N41"/>
  </mergeCells>
  <printOptions horizontalCentered="1"/>
  <pageMargins left="0.45" right="0.45" top="0.5" bottom="0.5" header="0.3" footer="0.3"/>
  <pageSetup scale="80" orientation="landscape" r:id="rId1"/>
  <headerFooter scaleWithDoc="0">
    <oddFooter>&amp;L&amp;F / &amp;A&amp;RPage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G73"/>
  <sheetViews>
    <sheetView topLeftCell="A22" zoomScaleNormal="100" workbookViewId="0">
      <selection sqref="A1:XFD1048576"/>
    </sheetView>
  </sheetViews>
  <sheetFormatPr defaultRowHeight="15" x14ac:dyDescent="0.25"/>
  <cols>
    <col min="1" max="1" width="19" customWidth="1"/>
    <col min="2" max="2" width="5.85546875" customWidth="1"/>
    <col min="3" max="3" width="13.5703125" customWidth="1"/>
    <col min="4" max="4" width="16.42578125" customWidth="1"/>
    <col min="5" max="5" width="13" customWidth="1"/>
    <col min="6" max="6" width="13.42578125" customWidth="1"/>
    <col min="7" max="7" width="15.7109375" customWidth="1"/>
    <col min="8" max="8" width="14.7109375" customWidth="1"/>
    <col min="9" max="9" width="14.140625" customWidth="1"/>
    <col min="10" max="11" width="10" customWidth="1"/>
    <col min="12" max="12" width="12.28515625" bestFit="1" customWidth="1"/>
    <col min="13" max="13" width="2.28515625" customWidth="1"/>
    <col min="14" max="14" width="14.140625" customWidth="1"/>
    <col min="15" max="15" width="14.5703125" customWidth="1"/>
    <col min="16" max="16" width="12.85546875" customWidth="1"/>
    <col min="17" max="17" width="12.7109375" customWidth="1"/>
    <col min="18" max="18" width="15.42578125" customWidth="1"/>
    <col min="19" max="19" width="15.28515625" customWidth="1"/>
    <col min="20" max="20" width="12.42578125" customWidth="1"/>
    <col min="21" max="21" width="15.5703125" customWidth="1"/>
    <col min="22" max="22" width="2.28515625" customWidth="1"/>
    <col min="23" max="23" width="16.7109375" customWidth="1"/>
    <col min="24" max="24" width="2.42578125" customWidth="1"/>
    <col min="25" max="25" width="14.28515625" customWidth="1"/>
    <col min="26" max="26" width="13.42578125" customWidth="1"/>
    <col min="27" max="27" width="13.85546875" customWidth="1"/>
    <col min="28" max="28" width="14.28515625" customWidth="1"/>
    <col min="29" max="29" width="16.140625" customWidth="1"/>
    <col min="30" max="30" width="10.5703125" customWidth="1"/>
  </cols>
  <sheetData>
    <row r="1" spans="1:33" x14ac:dyDescent="0.25">
      <c r="A1" s="319" t="s">
        <v>207</v>
      </c>
      <c r="B1" s="319"/>
      <c r="C1" s="319"/>
      <c r="D1" s="319"/>
      <c r="E1" s="319"/>
      <c r="F1" s="319"/>
      <c r="G1" s="319"/>
      <c r="H1" s="319"/>
      <c r="I1" s="319"/>
      <c r="J1" s="171"/>
      <c r="K1" s="171"/>
      <c r="L1" s="171" t="s">
        <v>337</v>
      </c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2" t="s">
        <v>209</v>
      </c>
      <c r="AA1" s="173" t="s">
        <v>334</v>
      </c>
      <c r="AB1" s="171"/>
      <c r="AC1" s="172" t="s">
        <v>211</v>
      </c>
      <c r="AD1" s="173" t="s">
        <v>332</v>
      </c>
      <c r="AE1" s="77"/>
      <c r="AF1" s="77"/>
      <c r="AG1" s="77"/>
    </row>
    <row r="2" spans="1:33" ht="51.75" x14ac:dyDescent="0.25">
      <c r="A2" s="174"/>
      <c r="B2" s="175"/>
      <c r="C2" s="176" t="s">
        <v>212</v>
      </c>
      <c r="D2" s="175"/>
      <c r="E2" s="176" t="s">
        <v>213</v>
      </c>
      <c r="F2" s="177" t="s">
        <v>214</v>
      </c>
      <c r="G2" s="177" t="s">
        <v>215</v>
      </c>
      <c r="H2" s="177" t="s">
        <v>115</v>
      </c>
      <c r="I2" s="177" t="s">
        <v>216</v>
      </c>
      <c r="J2" s="171"/>
      <c r="K2" s="171"/>
      <c r="L2" s="171"/>
      <c r="M2" s="171"/>
      <c r="N2" s="296" t="str">
        <f>AA1&amp;" Billed Schedule 175 Revenue"</f>
        <v>November Billed Schedule 175 Revenue</v>
      </c>
      <c r="O2" s="296" t="str">
        <f>AA1&amp;" Billed Therms"</f>
        <v>November Billed Therms</v>
      </c>
      <c r="P2" s="296" t="str">
        <f>AA1&amp;" Unbilled Therms"</f>
        <v>November Unbilled Therms</v>
      </c>
      <c r="Q2" s="296" t="s">
        <v>336</v>
      </c>
      <c r="R2" s="296" t="s">
        <v>218</v>
      </c>
      <c r="S2" s="296" t="str">
        <f>AD1&amp;" Unbilled Therms reversal"</f>
        <v>October Unbilled Therms reversal</v>
      </c>
      <c r="T2" s="296" t="s">
        <v>217</v>
      </c>
      <c r="U2" s="296" t="str">
        <f>AD1&amp;" Schedule 175 Unbilled Reversal"</f>
        <v>October Schedule 175 Unbilled Reversal</v>
      </c>
      <c r="V2" s="171"/>
      <c r="W2" s="296" t="str">
        <f>"Total "&amp;AA1&amp;" Schedule 175 Revenue"</f>
        <v>Total November Schedule 175 Revenue</v>
      </c>
      <c r="X2" s="171"/>
      <c r="Y2" s="296" t="str">
        <f>"Calendar "&amp;AA1&amp;" Usage"</f>
        <v>Calendar November Usage</v>
      </c>
      <c r="Z2" s="296" t="str">
        <f>Q2</f>
        <v>11/1/2019 rate</v>
      </c>
      <c r="AA2" s="296" t="s">
        <v>219</v>
      </c>
      <c r="AB2" s="296" t="s">
        <v>220</v>
      </c>
      <c r="AC2" s="296" t="str">
        <f>"implied "&amp;AD1&amp;" unbilled/Cancel-Rebill True-up therms"</f>
        <v>implied October unbilled/Cancel-Rebill True-up therms</v>
      </c>
      <c r="AD2" s="171"/>
      <c r="AE2" s="77"/>
      <c r="AF2" s="77"/>
      <c r="AG2" s="77"/>
    </row>
    <row r="3" spans="1:33" x14ac:dyDescent="0.25">
      <c r="A3" s="179"/>
      <c r="B3" s="179"/>
      <c r="C3" s="179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296"/>
      <c r="O3" s="296"/>
      <c r="P3" s="296"/>
      <c r="Q3" s="296"/>
      <c r="R3" s="296"/>
      <c r="S3" s="296"/>
      <c r="T3" s="296"/>
      <c r="U3" s="296"/>
      <c r="V3" s="171"/>
      <c r="W3" s="296"/>
      <c r="X3" s="171"/>
      <c r="Y3" s="296"/>
      <c r="Z3" s="296"/>
      <c r="AA3" s="296"/>
      <c r="AB3" s="296"/>
      <c r="AC3" s="296"/>
      <c r="AD3" s="171"/>
      <c r="AE3" s="77"/>
      <c r="AF3" s="77"/>
      <c r="AG3" s="77"/>
    </row>
    <row r="4" spans="1:33" x14ac:dyDescent="0.25">
      <c r="A4" s="180" t="s">
        <v>221</v>
      </c>
      <c r="B4" s="179"/>
      <c r="C4" s="181">
        <v>166592</v>
      </c>
      <c r="D4" s="179"/>
      <c r="E4" s="182">
        <v>13933385.69479</v>
      </c>
      <c r="F4" s="182">
        <v>-7635329</v>
      </c>
      <c r="G4" s="182">
        <f>11025713-G5</f>
        <v>11016370</v>
      </c>
      <c r="H4" s="183">
        <f>F4+G4</f>
        <v>3381041</v>
      </c>
      <c r="I4" s="184">
        <f t="shared" ref="I4:I13" si="0">SUM(E4:G4)</f>
        <v>17314426.694789998</v>
      </c>
      <c r="J4" s="171"/>
      <c r="K4" s="171"/>
      <c r="L4" s="171" t="s">
        <v>222</v>
      </c>
      <c r="M4" s="171"/>
      <c r="N4" s="185">
        <v>-180440.43</v>
      </c>
      <c r="O4" s="186">
        <f>E4</f>
        <v>13933385.69479</v>
      </c>
      <c r="P4" s="186">
        <f t="shared" ref="P4:P9" si="1">G4</f>
        <v>11016370</v>
      </c>
      <c r="Q4" s="187">
        <v>4.1999999999999997E-3</v>
      </c>
      <c r="R4" s="188">
        <f>P4*Q4</f>
        <v>46268.753999999994</v>
      </c>
      <c r="S4" s="186">
        <f t="shared" ref="S4:S9" si="2">F4</f>
        <v>-7635329</v>
      </c>
      <c r="T4" s="187">
        <v>-2.7199999999999998E-2</v>
      </c>
      <c r="U4" s="189">
        <f>S4*T4</f>
        <v>207680.94879999998</v>
      </c>
      <c r="V4" s="171"/>
      <c r="W4" s="190">
        <f>N4+R4+U4</f>
        <v>73509.272799999977</v>
      </c>
      <c r="X4" s="171"/>
      <c r="Y4" s="191">
        <f>O4+P4+S4</f>
        <v>17314426.694789998</v>
      </c>
      <c r="Z4" s="192">
        <f>Q4</f>
        <v>4.1999999999999997E-3</v>
      </c>
      <c r="AA4" s="193">
        <f>Y4*Z4</f>
        <v>72720.592118117987</v>
      </c>
      <c r="AB4" s="190">
        <f>W4-AA4</f>
        <v>788.68068188198959</v>
      </c>
      <c r="AC4" s="191">
        <f>AB4/T4</f>
        <v>-28995.613304484912</v>
      </c>
      <c r="AD4" s="194">
        <f t="shared" ref="AD4:AD11" si="3">AB4/W4</f>
        <v>1.0728995837406649E-2</v>
      </c>
      <c r="AE4" s="77"/>
      <c r="AF4" s="77"/>
      <c r="AG4" s="77"/>
    </row>
    <row r="5" spans="1:33" x14ac:dyDescent="0.25">
      <c r="A5" s="180" t="s">
        <v>223</v>
      </c>
      <c r="B5" s="179"/>
      <c r="C5" s="181">
        <v>137</v>
      </c>
      <c r="D5" s="179"/>
      <c r="E5" s="182">
        <v>11798.551299999999</v>
      </c>
      <c r="F5" s="182">
        <v>-6296</v>
      </c>
      <c r="G5" s="182">
        <v>9343</v>
      </c>
      <c r="H5" s="183">
        <f t="shared" ref="H5:H13" si="4">F5+G5</f>
        <v>3047</v>
      </c>
      <c r="I5" s="184">
        <f t="shared" si="0"/>
        <v>14845.551299999999</v>
      </c>
      <c r="J5" s="171"/>
      <c r="K5" s="171"/>
      <c r="L5" s="171" t="s">
        <v>224</v>
      </c>
      <c r="M5" s="171"/>
      <c r="N5" s="185">
        <v>-151.33000000000001</v>
      </c>
      <c r="O5" s="186">
        <f t="shared" ref="O5:O7" si="5">E5</f>
        <v>11798.551299999999</v>
      </c>
      <c r="P5" s="186">
        <f t="shared" si="1"/>
        <v>9343</v>
      </c>
      <c r="Q5" s="187">
        <v>4.1999999999999997E-3</v>
      </c>
      <c r="R5" s="188">
        <f t="shared" ref="R5:R10" si="6">P5*Q5</f>
        <v>39.240600000000001</v>
      </c>
      <c r="S5" s="186">
        <f t="shared" si="2"/>
        <v>-6296</v>
      </c>
      <c r="T5" s="187">
        <v>-2.7199999999999998E-2</v>
      </c>
      <c r="U5" s="189">
        <f t="shared" ref="U5:U10" si="7">S5*T5</f>
        <v>171.25119999999998</v>
      </c>
      <c r="V5" s="171"/>
      <c r="W5" s="190">
        <f t="shared" ref="W5:W10" si="8">N5+R5+U5</f>
        <v>59.161799999999971</v>
      </c>
      <c r="X5" s="171"/>
      <c r="Y5" s="191">
        <f t="shared" ref="Y5:Y10" si="9">O5+P5+S5</f>
        <v>14845.551299999999</v>
      </c>
      <c r="Z5" s="192">
        <f t="shared" ref="Z5:Z10" si="10">Q5</f>
        <v>4.1999999999999997E-3</v>
      </c>
      <c r="AA5" s="193">
        <f t="shared" ref="AA5:AA10" si="11">Y5*Z5</f>
        <v>62.351315459999995</v>
      </c>
      <c r="AB5" s="190">
        <f t="shared" ref="AB5:AB10" si="12">W5-AA5</f>
        <v>-3.1895154600000239</v>
      </c>
      <c r="AC5" s="191">
        <f t="shared" ref="AC5:AC10" si="13">AB5/T5</f>
        <v>117.26159779411853</v>
      </c>
      <c r="AD5" s="194">
        <f t="shared" si="3"/>
        <v>-5.3911737979575089E-2</v>
      </c>
      <c r="AE5" s="77"/>
      <c r="AF5" s="77"/>
      <c r="AG5" s="77"/>
    </row>
    <row r="6" spans="1:33" x14ac:dyDescent="0.25">
      <c r="A6" s="180" t="s">
        <v>225</v>
      </c>
      <c r="B6" s="179"/>
      <c r="C6" s="181">
        <v>3080</v>
      </c>
      <c r="D6" s="179"/>
      <c r="E6" s="182">
        <v>5684787.3211899996</v>
      </c>
      <c r="F6" s="182">
        <v>-3448041</v>
      </c>
      <c r="G6" s="182">
        <v>4267717</v>
      </c>
      <c r="H6" s="183">
        <f t="shared" si="4"/>
        <v>819676</v>
      </c>
      <c r="I6" s="184">
        <f>SUM(E6:G6)</f>
        <v>6504463.3211899996</v>
      </c>
      <c r="J6" s="171"/>
      <c r="K6" s="171"/>
      <c r="L6" s="171" t="s">
        <v>226</v>
      </c>
      <c r="M6" s="171"/>
      <c r="N6" s="185">
        <v>69932.34</v>
      </c>
      <c r="O6" s="186">
        <f t="shared" si="5"/>
        <v>5684787.3211899996</v>
      </c>
      <c r="P6" s="186">
        <f t="shared" si="1"/>
        <v>4267717</v>
      </c>
      <c r="Q6" s="195">
        <v>1.8409999999999999E-2</v>
      </c>
      <c r="R6" s="188">
        <f t="shared" si="6"/>
        <v>78568.669970000003</v>
      </c>
      <c r="S6" s="186">
        <f t="shared" si="2"/>
        <v>-3448041</v>
      </c>
      <c r="T6" s="187">
        <v>6.9100000000000003E-3</v>
      </c>
      <c r="U6" s="189">
        <f t="shared" si="7"/>
        <v>-23825.963310000003</v>
      </c>
      <c r="V6" s="171"/>
      <c r="W6" s="190">
        <f t="shared" si="8"/>
        <v>124675.04666000001</v>
      </c>
      <c r="X6" s="171"/>
      <c r="Y6" s="191">
        <f t="shared" si="9"/>
        <v>6504463.3211899996</v>
      </c>
      <c r="Z6" s="179">
        <f t="shared" si="10"/>
        <v>1.8409999999999999E-2</v>
      </c>
      <c r="AA6" s="193">
        <f t="shared" si="11"/>
        <v>119747.16974310789</v>
      </c>
      <c r="AB6" s="190">
        <f t="shared" si="12"/>
        <v>4927.8769168921135</v>
      </c>
      <c r="AC6" s="191">
        <f t="shared" si="13"/>
        <v>713151.50750971248</v>
      </c>
      <c r="AD6" s="194">
        <f t="shared" si="3"/>
        <v>3.9525767576657697E-2</v>
      </c>
      <c r="AE6" s="77"/>
      <c r="AF6" s="77"/>
      <c r="AG6" s="77"/>
    </row>
    <row r="7" spans="1:33" x14ac:dyDescent="0.25">
      <c r="A7" s="180" t="s">
        <v>227</v>
      </c>
      <c r="B7" s="179"/>
      <c r="C7" s="181">
        <v>1</v>
      </c>
      <c r="D7" s="179"/>
      <c r="E7" s="182">
        <v>16255.312</v>
      </c>
      <c r="F7" s="182">
        <v>-11606</v>
      </c>
      <c r="G7" s="182">
        <v>12872</v>
      </c>
      <c r="H7" s="183">
        <f t="shared" si="4"/>
        <v>1266</v>
      </c>
      <c r="I7" s="184">
        <f>SUM(E7:G7)</f>
        <v>17521.311999999998</v>
      </c>
      <c r="J7" s="171"/>
      <c r="K7" s="171"/>
      <c r="L7" s="171" t="s">
        <v>228</v>
      </c>
      <c r="M7" s="171"/>
      <c r="N7" s="185">
        <v>233.8</v>
      </c>
      <c r="O7" s="186">
        <f t="shared" si="5"/>
        <v>16255.312</v>
      </c>
      <c r="P7" s="186">
        <f t="shared" si="1"/>
        <v>12872</v>
      </c>
      <c r="Q7" s="187">
        <v>1.8409999999999999E-2</v>
      </c>
      <c r="R7" s="188">
        <f t="shared" si="6"/>
        <v>236.97351999999998</v>
      </c>
      <c r="S7" s="186">
        <f t="shared" si="2"/>
        <v>-11606</v>
      </c>
      <c r="T7" s="187">
        <v>0</v>
      </c>
      <c r="U7" s="189">
        <f t="shared" si="7"/>
        <v>0</v>
      </c>
      <c r="V7" s="171"/>
      <c r="W7" s="190">
        <f t="shared" si="8"/>
        <v>470.77351999999996</v>
      </c>
      <c r="X7" s="171"/>
      <c r="Y7" s="191">
        <f t="shared" si="9"/>
        <v>17521.311999999998</v>
      </c>
      <c r="Z7" s="192">
        <f t="shared" si="10"/>
        <v>1.8409999999999999E-2</v>
      </c>
      <c r="AA7" s="193">
        <f t="shared" si="11"/>
        <v>322.56735391999996</v>
      </c>
      <c r="AB7" s="190">
        <f t="shared" si="12"/>
        <v>148.20616608</v>
      </c>
      <c r="AC7" s="191"/>
      <c r="AD7" s="194"/>
      <c r="AE7" s="77"/>
      <c r="AF7" s="77"/>
      <c r="AG7" s="77"/>
    </row>
    <row r="8" spans="1:33" x14ac:dyDescent="0.25">
      <c r="A8" s="180" t="s">
        <v>229</v>
      </c>
      <c r="B8" s="179"/>
      <c r="C8" s="181">
        <v>4</v>
      </c>
      <c r="D8" s="287"/>
      <c r="E8" s="182">
        <v>186105.818</v>
      </c>
      <c r="F8" s="182">
        <v>-138127</v>
      </c>
      <c r="G8" s="182">
        <v>147373</v>
      </c>
      <c r="H8" s="183">
        <f t="shared" si="4"/>
        <v>9246</v>
      </c>
      <c r="I8" s="184">
        <f t="shared" si="0"/>
        <v>195351.818</v>
      </c>
      <c r="J8" s="171"/>
      <c r="K8" s="171"/>
      <c r="L8" s="171" t="s">
        <v>230</v>
      </c>
      <c r="M8" s="171"/>
      <c r="N8" s="185">
        <v>2902.07</v>
      </c>
      <c r="O8" s="186">
        <f>E8</f>
        <v>186105.818</v>
      </c>
      <c r="P8" s="186">
        <f t="shared" si="1"/>
        <v>147373</v>
      </c>
      <c r="Q8" s="195">
        <v>1.8409999999999999E-2</v>
      </c>
      <c r="R8" s="188">
        <f t="shared" si="6"/>
        <v>2713.1369300000001</v>
      </c>
      <c r="S8" s="186">
        <f t="shared" si="2"/>
        <v>-138127</v>
      </c>
      <c r="T8" s="187">
        <v>6.9100000000000003E-3</v>
      </c>
      <c r="U8" s="189">
        <f t="shared" si="7"/>
        <v>-954.45757000000003</v>
      </c>
      <c r="V8" s="171"/>
      <c r="W8" s="190">
        <f>N8+R8+U8</f>
        <v>4660.7493599999998</v>
      </c>
      <c r="X8" s="171"/>
      <c r="Y8" s="191">
        <f t="shared" si="9"/>
        <v>195351.81799999997</v>
      </c>
      <c r="Z8" s="179">
        <f t="shared" si="10"/>
        <v>1.8409999999999999E-2</v>
      </c>
      <c r="AA8" s="193">
        <f t="shared" si="11"/>
        <v>3596.4269693799993</v>
      </c>
      <c r="AB8" s="190">
        <f t="shared" si="12"/>
        <v>1064.3223906200005</v>
      </c>
      <c r="AC8" s="191">
        <f t="shared" si="13"/>
        <v>154026.39516931991</v>
      </c>
      <c r="AD8" s="194">
        <f>AB8/W8</f>
        <v>0.22835864115636559</v>
      </c>
      <c r="AE8" s="77"/>
      <c r="AF8" s="77"/>
      <c r="AG8" s="77"/>
    </row>
    <row r="9" spans="1:33" x14ac:dyDescent="0.25">
      <c r="A9" s="180" t="s">
        <v>231</v>
      </c>
      <c r="B9" s="179"/>
      <c r="C9" s="181">
        <v>2</v>
      </c>
      <c r="D9" s="287"/>
      <c r="E9" s="182">
        <v>263533.55699999997</v>
      </c>
      <c r="F9" s="182">
        <v>-30949</v>
      </c>
      <c r="G9" s="182">
        <v>208686</v>
      </c>
      <c r="H9" s="183">
        <f t="shared" si="4"/>
        <v>177737</v>
      </c>
      <c r="I9" s="184">
        <f t="shared" si="0"/>
        <v>441270.55699999997</v>
      </c>
      <c r="J9" s="171"/>
      <c r="K9" s="171"/>
      <c r="L9" s="171" t="s">
        <v>137</v>
      </c>
      <c r="M9" s="171"/>
      <c r="N9" s="185">
        <v>107.07</v>
      </c>
      <c r="O9" s="186">
        <f>E9</f>
        <v>263533.55699999997</v>
      </c>
      <c r="P9" s="186">
        <f t="shared" si="1"/>
        <v>208686</v>
      </c>
      <c r="Q9" s="187">
        <v>1.8409999999999999E-2</v>
      </c>
      <c r="R9" s="188">
        <f t="shared" si="6"/>
        <v>3841.9092599999999</v>
      </c>
      <c r="S9" s="186">
        <f t="shared" si="2"/>
        <v>-30949</v>
      </c>
      <c r="T9" s="187">
        <v>0</v>
      </c>
      <c r="U9" s="189">
        <f t="shared" si="7"/>
        <v>0</v>
      </c>
      <c r="V9" s="171"/>
      <c r="W9" s="190">
        <f>N9+R9+U9</f>
        <v>3948.9792600000001</v>
      </c>
      <c r="X9" s="171"/>
      <c r="Y9" s="191">
        <f t="shared" si="9"/>
        <v>441270.55699999997</v>
      </c>
      <c r="Z9" s="192">
        <f t="shared" si="10"/>
        <v>1.8409999999999999E-2</v>
      </c>
      <c r="AA9" s="193">
        <f t="shared" si="11"/>
        <v>8123.7909543699989</v>
      </c>
      <c r="AB9" s="190">
        <f t="shared" si="12"/>
        <v>-4174.8116943699988</v>
      </c>
      <c r="AC9" s="191"/>
      <c r="AD9" s="194"/>
      <c r="AE9" s="77"/>
      <c r="AF9" s="77"/>
      <c r="AG9" s="77"/>
    </row>
    <row r="10" spans="1:33" x14ac:dyDescent="0.25">
      <c r="A10" s="180" t="s">
        <v>232</v>
      </c>
      <c r="B10" s="179"/>
      <c r="C10" s="181">
        <v>2</v>
      </c>
      <c r="D10" s="179"/>
      <c r="E10" s="182">
        <v>95173.206999999995</v>
      </c>
      <c r="F10" s="182"/>
      <c r="G10" s="182"/>
      <c r="H10" s="183">
        <f t="shared" si="4"/>
        <v>0</v>
      </c>
      <c r="I10" s="184">
        <f t="shared" si="0"/>
        <v>95173.206999999995</v>
      </c>
      <c r="J10" s="171"/>
      <c r="K10" s="171"/>
      <c r="L10" s="171" t="s">
        <v>233</v>
      </c>
      <c r="M10" s="171"/>
      <c r="N10" s="185">
        <v>0</v>
      </c>
      <c r="O10" s="186">
        <v>0</v>
      </c>
      <c r="P10" s="186">
        <v>0</v>
      </c>
      <c r="Q10" s="195">
        <v>1.8409999999999999E-2</v>
      </c>
      <c r="R10" s="188">
        <f t="shared" si="6"/>
        <v>0</v>
      </c>
      <c r="S10" s="186">
        <v>0</v>
      </c>
      <c r="T10" s="187">
        <v>6.9100000000000003E-3</v>
      </c>
      <c r="U10" s="189">
        <f t="shared" si="7"/>
        <v>0</v>
      </c>
      <c r="V10" s="171"/>
      <c r="W10" s="190">
        <f t="shared" si="8"/>
        <v>0</v>
      </c>
      <c r="X10" s="171"/>
      <c r="Y10" s="191">
        <f t="shared" si="9"/>
        <v>0</v>
      </c>
      <c r="Z10" s="179">
        <f t="shared" si="10"/>
        <v>1.8409999999999999E-2</v>
      </c>
      <c r="AA10" s="193">
        <f t="shared" si="11"/>
        <v>0</v>
      </c>
      <c r="AB10" s="190">
        <f t="shared" si="12"/>
        <v>0</v>
      </c>
      <c r="AC10" s="191">
        <f t="shared" si="13"/>
        <v>0</v>
      </c>
      <c r="AD10" s="194"/>
      <c r="AE10" s="77"/>
      <c r="AF10" s="77"/>
      <c r="AG10" s="77"/>
    </row>
    <row r="11" spans="1:33" x14ac:dyDescent="0.25">
      <c r="A11" s="180" t="s">
        <v>234</v>
      </c>
      <c r="B11" s="179"/>
      <c r="C11" s="181">
        <v>37</v>
      </c>
      <c r="D11" s="179"/>
      <c r="E11" s="182">
        <v>3210635</v>
      </c>
      <c r="F11" s="182">
        <v>-3210986</v>
      </c>
      <c r="G11" s="182">
        <v>3206337</v>
      </c>
      <c r="H11" s="183">
        <f t="shared" si="4"/>
        <v>-4649</v>
      </c>
      <c r="I11" s="184">
        <f t="shared" si="0"/>
        <v>3205986</v>
      </c>
      <c r="J11" s="171"/>
      <c r="K11" s="171"/>
      <c r="L11" s="171"/>
      <c r="M11" s="171"/>
      <c r="N11" s="196">
        <f>SUM(N4:N10)</f>
        <v>-107416.47999999997</v>
      </c>
      <c r="O11" s="197">
        <f>SUM(O4:O10)</f>
        <v>20095866.254280001</v>
      </c>
      <c r="P11" s="197">
        <f>SUM(P4:P10)</f>
        <v>15662361</v>
      </c>
      <c r="Q11" s="171"/>
      <c r="R11" s="196">
        <f>SUM(R4:R10)</f>
        <v>131668.68427999999</v>
      </c>
      <c r="S11" s="197">
        <f>SUM(S4:S10)</f>
        <v>-11270348</v>
      </c>
      <c r="T11" s="198"/>
      <c r="U11" s="196">
        <f>SUM(U4:U10)</f>
        <v>183071.77911999999</v>
      </c>
      <c r="V11" s="171"/>
      <c r="W11" s="196">
        <f>SUM(W4:W10)</f>
        <v>207323.98339999994</v>
      </c>
      <c r="X11" s="171"/>
      <c r="Y11" s="199">
        <f>SUM(Y4:Y10)</f>
        <v>24487879.254279997</v>
      </c>
      <c r="Z11" s="171"/>
      <c r="AA11" s="199">
        <f>SUM(AA4:AA10)</f>
        <v>204572.89845435586</v>
      </c>
      <c r="AB11" s="196">
        <f>SUM(AB4:AB10)</f>
        <v>2751.0849456441047</v>
      </c>
      <c r="AC11" s="199">
        <f>SUM(AC4:AC10)</f>
        <v>838299.55097234168</v>
      </c>
      <c r="AD11" s="194">
        <f t="shared" si="3"/>
        <v>1.3269496854767191E-2</v>
      </c>
      <c r="AE11" s="77"/>
      <c r="AF11" s="77"/>
      <c r="AG11" s="77"/>
    </row>
    <row r="12" spans="1:33" x14ac:dyDescent="0.25">
      <c r="A12" s="180" t="s">
        <v>235</v>
      </c>
      <c r="B12" s="179"/>
      <c r="C12" s="181">
        <v>3</v>
      </c>
      <c r="D12" s="179"/>
      <c r="E12" s="182">
        <v>1435027</v>
      </c>
      <c r="F12" s="182"/>
      <c r="G12" s="182"/>
      <c r="H12" s="183">
        <f t="shared" si="4"/>
        <v>0</v>
      </c>
      <c r="I12" s="184">
        <f t="shared" si="0"/>
        <v>1435027</v>
      </c>
      <c r="J12" s="171"/>
      <c r="K12" s="171"/>
      <c r="L12" s="171"/>
      <c r="M12" s="171"/>
      <c r="N12" s="171"/>
      <c r="O12" s="200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77"/>
      <c r="AF12" s="77"/>
      <c r="AG12" s="77"/>
    </row>
    <row r="13" spans="1:33" x14ac:dyDescent="0.25">
      <c r="A13" s="180" t="s">
        <v>236</v>
      </c>
      <c r="B13" s="179"/>
      <c r="C13" s="181">
        <v>5</v>
      </c>
      <c r="D13" s="201"/>
      <c r="E13" s="182">
        <v>4170776</v>
      </c>
      <c r="F13" s="182">
        <v>-4165893</v>
      </c>
      <c r="G13" s="182">
        <v>4436580</v>
      </c>
      <c r="H13" s="183">
        <f t="shared" si="4"/>
        <v>270687</v>
      </c>
      <c r="I13" s="184">
        <f t="shared" si="0"/>
        <v>4441463</v>
      </c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2" t="s">
        <v>328</v>
      </c>
      <c r="U13" s="171" t="s">
        <v>238</v>
      </c>
      <c r="V13" s="171"/>
      <c r="W13" s="202">
        <v>0.95584499999999994</v>
      </c>
      <c r="X13" s="171"/>
      <c r="Y13" s="171"/>
      <c r="Z13" s="171" t="s">
        <v>239</v>
      </c>
      <c r="AA13" s="171" t="s">
        <v>240</v>
      </c>
      <c r="AB13" s="171"/>
      <c r="AC13" s="171" t="s">
        <v>241</v>
      </c>
      <c r="AD13" s="171"/>
      <c r="AE13" s="77"/>
      <c r="AF13" s="77"/>
      <c r="AG13" s="77"/>
    </row>
    <row r="14" spans="1:33" x14ac:dyDescent="0.25">
      <c r="A14" s="179"/>
      <c r="B14" s="179"/>
      <c r="C14" s="203">
        <f>SUM(C4:C13)</f>
        <v>169863</v>
      </c>
      <c r="D14" s="171"/>
      <c r="E14" s="203">
        <f>SUM(E4:E13)</f>
        <v>29007477.461279999</v>
      </c>
      <c r="F14" s="203">
        <f>SUM(F4:F13)</f>
        <v>-18647227</v>
      </c>
      <c r="G14" s="203">
        <f>SUM(G4:G13)</f>
        <v>23305278</v>
      </c>
      <c r="H14" s="203">
        <f>SUM(H4:H13)</f>
        <v>4658051</v>
      </c>
      <c r="I14" s="203">
        <f t="shared" ref="I14" si="14">SUM(I4:I13)</f>
        <v>33665528.461279996</v>
      </c>
      <c r="J14" s="171"/>
      <c r="K14" s="171"/>
      <c r="L14" s="171"/>
      <c r="M14" s="171"/>
      <c r="N14" s="171"/>
      <c r="O14" s="171"/>
      <c r="P14" s="171"/>
      <c r="Q14" s="171"/>
      <c r="R14" s="171"/>
      <c r="S14" s="171" t="s">
        <v>184</v>
      </c>
      <c r="T14" s="171" t="s">
        <v>242</v>
      </c>
      <c r="U14" s="171"/>
      <c r="V14" s="171"/>
      <c r="W14" s="204">
        <f>(W4+W5)*W13</f>
        <v>70320.020370236976</v>
      </c>
      <c r="X14" s="171"/>
      <c r="Y14" s="171" t="s">
        <v>28</v>
      </c>
      <c r="Z14" s="183">
        <f>O4+O5+P4+P5+S4+S5</f>
        <v>17329272.246090002</v>
      </c>
      <c r="AA14" s="192">
        <v>4.0099999999999997E-3</v>
      </c>
      <c r="AB14" s="190">
        <f>Z14*AA14</f>
        <v>69490.381706820903</v>
      </c>
      <c r="AC14" s="190">
        <f>W14-AB14</f>
        <v>829.63866341607354</v>
      </c>
      <c r="AD14" s="194">
        <f>AC14/W14</f>
        <v>1.1798043559259534E-2</v>
      </c>
      <c r="AE14" s="77"/>
      <c r="AF14" s="77"/>
      <c r="AG14" s="77"/>
    </row>
    <row r="15" spans="1:33" ht="15.75" thickBot="1" x14ac:dyDescent="0.3">
      <c r="A15" s="179"/>
      <c r="B15" s="179"/>
      <c r="C15" s="179"/>
      <c r="D15" s="171"/>
      <c r="E15" s="179"/>
      <c r="F15" s="179"/>
      <c r="G15" s="179"/>
      <c r="H15" s="179"/>
      <c r="I15" s="179"/>
      <c r="J15" s="171"/>
      <c r="K15" s="171"/>
      <c r="L15" s="171"/>
      <c r="M15" s="171"/>
      <c r="N15" s="171"/>
      <c r="O15" s="171"/>
      <c r="P15" s="171"/>
      <c r="Q15" s="171"/>
      <c r="R15" s="171"/>
      <c r="S15" s="171" t="s">
        <v>184</v>
      </c>
      <c r="T15" s="171" t="s">
        <v>243</v>
      </c>
      <c r="U15" s="171"/>
      <c r="V15" s="171"/>
      <c r="W15" s="204">
        <f>SUM(W6:W10)*W13</f>
        <v>127849.57254273602</v>
      </c>
      <c r="X15" s="171"/>
      <c r="Y15" s="171" t="s">
        <v>244</v>
      </c>
      <c r="Z15" s="183">
        <f>SUM(O6:P10,S6:S10)</f>
        <v>7158607.0081900004</v>
      </c>
      <c r="AA15" s="192">
        <v>1.7600000000000001E-2</v>
      </c>
      <c r="AB15" s="190">
        <f>(Z15)*AA15</f>
        <v>125991.48334414401</v>
      </c>
      <c r="AC15" s="190">
        <f>W15-AB15</f>
        <v>1858.0891985920025</v>
      </c>
      <c r="AD15" s="194">
        <f>AC15/W15</f>
        <v>1.4533401728589298E-2</v>
      </c>
      <c r="AE15" s="77"/>
      <c r="AF15" s="77"/>
      <c r="AG15" s="77"/>
    </row>
    <row r="16" spans="1:33" x14ac:dyDescent="0.25">
      <c r="A16" s="179" t="s">
        <v>28</v>
      </c>
      <c r="B16" s="179"/>
      <c r="C16" s="205">
        <f>C4+C5</f>
        <v>166729</v>
      </c>
      <c r="D16" s="171"/>
      <c r="E16" s="206">
        <f>E4+E5</f>
        <v>13945184.24609</v>
      </c>
      <c r="F16" s="206">
        <f t="shared" ref="F16:H16" si="15">F4+F5</f>
        <v>-7641625</v>
      </c>
      <c r="G16" s="206">
        <f t="shared" si="15"/>
        <v>11025713</v>
      </c>
      <c r="H16" s="206">
        <f t="shared" si="15"/>
        <v>3384088</v>
      </c>
      <c r="I16" s="205">
        <f>I4+I5</f>
        <v>17329272.246089999</v>
      </c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77"/>
      <c r="AF16" s="77"/>
      <c r="AG16" s="77"/>
    </row>
    <row r="17" spans="1:33" x14ac:dyDescent="0.25">
      <c r="A17" s="179"/>
      <c r="B17" s="179"/>
      <c r="C17" s="207"/>
      <c r="D17" s="171"/>
      <c r="E17" s="179"/>
      <c r="F17" s="179"/>
      <c r="G17" s="179"/>
      <c r="H17" s="179"/>
      <c r="I17" s="208"/>
      <c r="J17" s="171"/>
      <c r="K17" s="171"/>
      <c r="L17" s="171"/>
      <c r="M17" s="171"/>
      <c r="N17" s="171"/>
      <c r="O17" s="171"/>
      <c r="P17" s="171"/>
      <c r="Q17" s="171"/>
      <c r="R17" s="190">
        <f>R11+U11</f>
        <v>314740.46340000001</v>
      </c>
      <c r="S17" s="171" t="s">
        <v>320</v>
      </c>
      <c r="T17" s="171"/>
      <c r="U17" s="171"/>
      <c r="V17" s="171"/>
      <c r="W17" s="171"/>
      <c r="X17" s="171"/>
      <c r="Y17" s="171" t="s">
        <v>245</v>
      </c>
      <c r="Z17" s="171"/>
      <c r="AA17" s="171"/>
      <c r="AB17" s="171"/>
      <c r="AC17" s="171"/>
      <c r="AD17" s="171"/>
      <c r="AE17" s="77"/>
      <c r="AF17" s="77"/>
      <c r="AG17" s="77"/>
    </row>
    <row r="18" spans="1:33" ht="15.75" thickBot="1" x14ac:dyDescent="0.3">
      <c r="A18" s="179" t="s">
        <v>244</v>
      </c>
      <c r="B18" s="179"/>
      <c r="C18" s="209">
        <f>SUM(C6:C9)</f>
        <v>3087</v>
      </c>
      <c r="D18" s="171"/>
      <c r="E18" s="210">
        <f>SUM(E6:E9)</f>
        <v>6150682.0081899995</v>
      </c>
      <c r="F18" s="210">
        <f t="shared" ref="F18:H18" si="16">SUM(F6:F9)</f>
        <v>-3628723</v>
      </c>
      <c r="G18" s="210">
        <f t="shared" si="16"/>
        <v>4636648</v>
      </c>
      <c r="H18" s="210">
        <f t="shared" si="16"/>
        <v>1007925</v>
      </c>
      <c r="I18" s="209">
        <f>SUM(I6:I9)</f>
        <v>7158607.0081899995</v>
      </c>
      <c r="J18" s="171"/>
      <c r="K18" s="171"/>
      <c r="L18" s="171"/>
      <c r="M18" s="171"/>
      <c r="N18" s="171"/>
      <c r="O18" s="171"/>
      <c r="P18" s="171"/>
      <c r="Q18" s="171"/>
      <c r="R18" s="190">
        <f>E64</f>
        <v>314740.46339999995</v>
      </c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77"/>
      <c r="AF18" s="77"/>
      <c r="AG18" s="77"/>
    </row>
    <row r="19" spans="1:33" x14ac:dyDescent="0.25">
      <c r="A19" s="179"/>
      <c r="B19" s="179"/>
      <c r="C19" s="179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77"/>
      <c r="AF19" s="77"/>
      <c r="AG19" s="77"/>
    </row>
    <row r="20" spans="1:33" ht="51.75" x14ac:dyDescent="0.25">
      <c r="A20" s="174"/>
      <c r="B20" s="211"/>
      <c r="C20" s="177" t="s">
        <v>246</v>
      </c>
      <c r="D20" s="212" t="s">
        <v>247</v>
      </c>
      <c r="E20" s="177" t="s">
        <v>335</v>
      </c>
      <c r="F20" s="177" t="s">
        <v>249</v>
      </c>
      <c r="G20" s="177" t="s">
        <v>250</v>
      </c>
      <c r="H20" s="177" t="s">
        <v>251</v>
      </c>
      <c r="I20" s="177" t="s">
        <v>252</v>
      </c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77"/>
      <c r="AF20" s="77"/>
      <c r="AG20" s="77"/>
    </row>
    <row r="21" spans="1:33" x14ac:dyDescent="0.25">
      <c r="A21" s="179"/>
      <c r="B21" s="179"/>
      <c r="C21" s="179"/>
      <c r="D21" s="179"/>
      <c r="E21" s="179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77"/>
      <c r="AF21" s="77"/>
      <c r="AG21" s="77"/>
    </row>
    <row r="22" spans="1:33" x14ac:dyDescent="0.25">
      <c r="A22" s="180" t="s">
        <v>221</v>
      </c>
      <c r="B22" s="179"/>
      <c r="C22" s="213">
        <v>1603895</v>
      </c>
      <c r="D22" s="213">
        <v>7195527.7999999998</v>
      </c>
      <c r="E22" s="213">
        <v>-5393297.46032196</v>
      </c>
      <c r="F22" s="213">
        <f>7673106-F23</f>
        <v>7671479.7541252207</v>
      </c>
      <c r="G22" s="214">
        <f>SUM(D22:F22)</f>
        <v>9473710.0938032605</v>
      </c>
      <c r="H22" s="190">
        <f>-I54</f>
        <v>-1902588.8057499996</v>
      </c>
      <c r="I22" s="190">
        <f t="shared" ref="I22:I31" si="17">G22+H22</f>
        <v>7571121.2880532611</v>
      </c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77"/>
      <c r="AF22" s="77"/>
      <c r="AG22" s="77"/>
    </row>
    <row r="23" spans="1:33" x14ac:dyDescent="0.25">
      <c r="A23" s="180" t="s">
        <v>223</v>
      </c>
      <c r="B23" s="179"/>
      <c r="C23" s="213">
        <v>1301.5</v>
      </c>
      <c r="D23" s="213">
        <v>5968.79</v>
      </c>
      <c r="E23" s="213">
        <v>-890.53967804296599</v>
      </c>
      <c r="F23" s="213">
        <f>G5*(K23-C23)/E5</f>
        <v>1626.2458747795588</v>
      </c>
      <c r="G23" s="214">
        <f>SUM(D23:F23)</f>
        <v>6704.4961967365925</v>
      </c>
      <c r="H23" s="190">
        <f>-I55</f>
        <v>-175.20316999999986</v>
      </c>
      <c r="I23" s="190">
        <f t="shared" si="17"/>
        <v>6529.2930267365928</v>
      </c>
      <c r="J23" s="171"/>
      <c r="K23" s="294">
        <v>3355.16</v>
      </c>
      <c r="L23" s="171" t="s">
        <v>277</v>
      </c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77"/>
      <c r="AF23" s="77"/>
      <c r="AG23" s="77"/>
    </row>
    <row r="24" spans="1:33" x14ac:dyDescent="0.25">
      <c r="A24" s="180" t="s">
        <v>225</v>
      </c>
      <c r="B24" s="179"/>
      <c r="C24" s="213">
        <v>300629.95</v>
      </c>
      <c r="D24" s="213">
        <v>1738857.71</v>
      </c>
      <c r="E24" s="213">
        <v>-1692506</v>
      </c>
      <c r="F24" s="213">
        <v>2094851</v>
      </c>
      <c r="G24" s="214">
        <f>SUM(D24:F24)</f>
        <v>2141202.71</v>
      </c>
      <c r="H24" s="190">
        <f>-I56</f>
        <v>-527900.59036999976</v>
      </c>
      <c r="I24" s="190">
        <f t="shared" si="17"/>
        <v>1613302.1196300001</v>
      </c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77"/>
      <c r="AF24" s="77"/>
      <c r="AG24" s="77"/>
    </row>
    <row r="25" spans="1:33" x14ac:dyDescent="0.25">
      <c r="A25" s="180" t="s">
        <v>227</v>
      </c>
      <c r="B25" s="179"/>
      <c r="C25" s="213">
        <v>97.25</v>
      </c>
      <c r="D25" s="213">
        <v>4242.59</v>
      </c>
      <c r="E25" s="213">
        <v>-6545</v>
      </c>
      <c r="F25" s="213">
        <v>7259</v>
      </c>
      <c r="G25" s="214">
        <f>SUM(D25:F25)</f>
        <v>4956.59</v>
      </c>
      <c r="H25" s="190">
        <f>-I57</f>
        <v>-319.19935999999984</v>
      </c>
      <c r="I25" s="190">
        <f>G25+H25</f>
        <v>4637.3906400000005</v>
      </c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77"/>
      <c r="AF25" s="77"/>
      <c r="AG25" s="77"/>
    </row>
    <row r="26" spans="1:33" x14ac:dyDescent="0.25">
      <c r="A26" s="180" t="s">
        <v>229</v>
      </c>
      <c r="B26" s="179"/>
      <c r="C26" s="213">
        <v>8281.31</v>
      </c>
      <c r="D26" s="213">
        <v>42529.87</v>
      </c>
      <c r="E26" s="213">
        <v>-52860</v>
      </c>
      <c r="F26" s="213">
        <v>56398</v>
      </c>
      <c r="G26" s="214">
        <f t="shared" ref="G26:G31" si="18">SUM(D26:F26)</f>
        <v>46067.87</v>
      </c>
      <c r="H26" s="190">
        <f t="shared" ref="H26:H31" si="19">-I58</f>
        <v>-9570.9389499999997</v>
      </c>
      <c r="I26" s="190">
        <f t="shared" si="17"/>
        <v>36496.931049999999</v>
      </c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77"/>
      <c r="AF26" s="77"/>
      <c r="AG26" s="77"/>
    </row>
    <row r="27" spans="1:33" x14ac:dyDescent="0.25">
      <c r="A27" s="180" t="s">
        <v>231</v>
      </c>
      <c r="B27" s="179"/>
      <c r="C27" s="213">
        <v>480.85</v>
      </c>
      <c r="D27" s="213">
        <v>42876.09</v>
      </c>
      <c r="E27" s="213">
        <v>-11844</v>
      </c>
      <c r="F27" s="213">
        <v>79862</v>
      </c>
      <c r="G27" s="214">
        <f t="shared" si="18"/>
        <v>110894.09</v>
      </c>
      <c r="H27" s="190">
        <f t="shared" si="19"/>
        <v>-52972.524519999999</v>
      </c>
      <c r="I27" s="190">
        <f t="shared" si="17"/>
        <v>57921.565479999997</v>
      </c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77"/>
      <c r="AF27" s="77"/>
      <c r="AG27" s="77"/>
    </row>
    <row r="28" spans="1:33" x14ac:dyDescent="0.25">
      <c r="A28" s="180" t="s">
        <v>232</v>
      </c>
      <c r="B28" s="179"/>
      <c r="C28" s="213">
        <v>0</v>
      </c>
      <c r="D28" s="213">
        <v>19253.47</v>
      </c>
      <c r="E28" s="213"/>
      <c r="F28" s="213"/>
      <c r="G28" s="214">
        <f t="shared" si="18"/>
        <v>19253.47</v>
      </c>
      <c r="H28" s="190">
        <f t="shared" si="19"/>
        <v>0</v>
      </c>
      <c r="I28" s="190">
        <f t="shared" si="17"/>
        <v>19253.47</v>
      </c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77"/>
      <c r="AF28" s="77"/>
      <c r="AG28" s="77"/>
    </row>
    <row r="29" spans="1:33" x14ac:dyDescent="0.25">
      <c r="A29" s="180" t="s">
        <v>234</v>
      </c>
      <c r="B29" s="179"/>
      <c r="C29" s="213">
        <v>20900</v>
      </c>
      <c r="D29" s="213">
        <v>283943.08</v>
      </c>
      <c r="E29" s="213">
        <v>-177857</v>
      </c>
      <c r="F29" s="213">
        <v>177599</v>
      </c>
      <c r="G29" s="214">
        <f t="shared" si="18"/>
        <v>283685.08</v>
      </c>
      <c r="H29" s="190">
        <f t="shared" si="19"/>
        <v>6.3226400000000922</v>
      </c>
      <c r="I29" s="190">
        <f t="shared" si="17"/>
        <v>283691.40264000004</v>
      </c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77"/>
      <c r="AF29" s="77"/>
      <c r="AG29" s="77"/>
    </row>
    <row r="30" spans="1:33" x14ac:dyDescent="0.25">
      <c r="A30" s="180" t="s">
        <v>235</v>
      </c>
      <c r="B30" s="179"/>
      <c r="C30" s="213">
        <v>0</v>
      </c>
      <c r="D30" s="213">
        <v>30006.42</v>
      </c>
      <c r="E30" s="213"/>
      <c r="F30" s="213"/>
      <c r="G30" s="214">
        <f t="shared" si="18"/>
        <v>30006.42</v>
      </c>
      <c r="H30" s="190">
        <f t="shared" si="19"/>
        <v>0</v>
      </c>
      <c r="I30" s="190">
        <f t="shared" si="17"/>
        <v>30006.42</v>
      </c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77"/>
      <c r="AF30" s="77"/>
      <c r="AG30" s="77"/>
    </row>
    <row r="31" spans="1:33" x14ac:dyDescent="0.25">
      <c r="A31" s="180" t="s">
        <v>236</v>
      </c>
      <c r="B31" s="179"/>
      <c r="C31" s="213">
        <v>1000</v>
      </c>
      <c r="D31" s="213">
        <v>107102.84</v>
      </c>
      <c r="E31" s="213">
        <v>-87109</v>
      </c>
      <c r="F31" s="213">
        <v>92769</v>
      </c>
      <c r="G31" s="214">
        <f t="shared" si="18"/>
        <v>112762.84</v>
      </c>
      <c r="H31" s="190">
        <f t="shared" si="19"/>
        <v>0</v>
      </c>
      <c r="I31" s="190">
        <f t="shared" si="17"/>
        <v>112762.84</v>
      </c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77"/>
      <c r="AF31" s="77"/>
      <c r="AG31" s="77"/>
    </row>
    <row r="32" spans="1:33" x14ac:dyDescent="0.25">
      <c r="A32" s="180" t="s">
        <v>253</v>
      </c>
      <c r="B32" s="179"/>
      <c r="C32" s="213"/>
      <c r="D32" s="213">
        <v>5381911.3499999996</v>
      </c>
      <c r="E32" s="213"/>
      <c r="F32" s="213"/>
      <c r="G32" s="214"/>
      <c r="H32" s="190"/>
      <c r="I32" s="190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77"/>
      <c r="AF32" s="77"/>
      <c r="AG32" s="77"/>
    </row>
    <row r="33" spans="1:33" x14ac:dyDescent="0.25">
      <c r="A33" s="180" t="s">
        <v>254</v>
      </c>
      <c r="B33" s="179"/>
      <c r="C33" s="215"/>
      <c r="D33" s="213">
        <v>399573.16</v>
      </c>
      <c r="E33" s="213"/>
      <c r="F33" s="213"/>
      <c r="G33" s="214"/>
      <c r="H33" s="190"/>
      <c r="I33" s="190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77"/>
      <c r="AF33" s="77"/>
      <c r="AG33" s="77"/>
    </row>
    <row r="34" spans="1:33" x14ac:dyDescent="0.25">
      <c r="A34" s="179"/>
      <c r="B34" s="179"/>
      <c r="C34" s="196">
        <f>SUM(C22:C31)</f>
        <v>1936585.86</v>
      </c>
      <c r="D34" s="216">
        <f>SUM(D22:D33)</f>
        <v>15251793.17</v>
      </c>
      <c r="E34" s="216">
        <f>SUM(E22:E33)</f>
        <v>-7422909.0000000028</v>
      </c>
      <c r="F34" s="216">
        <f>SUM(F22:F33)</f>
        <v>10181844</v>
      </c>
      <c r="G34" s="216">
        <f t="shared" ref="G34:I34" si="20">SUM(G22:G33)</f>
        <v>12229243.659999996</v>
      </c>
      <c r="H34" s="216">
        <f t="shared" si="20"/>
        <v>-2493520.9394799992</v>
      </c>
      <c r="I34" s="216">
        <f t="shared" si="20"/>
        <v>9735722.720519999</v>
      </c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77"/>
      <c r="AF34" s="77"/>
      <c r="AG34" s="77"/>
    </row>
    <row r="35" spans="1:33" ht="15.75" thickBot="1" x14ac:dyDescent="0.3">
      <c r="A35" s="179"/>
      <c r="B35" s="179"/>
      <c r="C35" s="171"/>
      <c r="D35" s="217"/>
      <c r="E35" s="179"/>
      <c r="F35" s="179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77"/>
      <c r="AF35" s="77"/>
      <c r="AG35" s="77"/>
    </row>
    <row r="36" spans="1:33" x14ac:dyDescent="0.25">
      <c r="A36" s="179" t="s">
        <v>28</v>
      </c>
      <c r="B36" s="179"/>
      <c r="C36" s="218">
        <f>C22+C23</f>
        <v>1605196.5</v>
      </c>
      <c r="D36" s="188">
        <f>D22+D23</f>
        <v>7201496.5899999999</v>
      </c>
      <c r="E36" s="188">
        <f t="shared" ref="E36:H36" si="21">E22+E23</f>
        <v>-5394188.0000000028</v>
      </c>
      <c r="F36" s="188">
        <f t="shared" si="21"/>
        <v>7673106</v>
      </c>
      <c r="G36" s="188">
        <f t="shared" si="21"/>
        <v>9480414.589999998</v>
      </c>
      <c r="H36" s="188">
        <f t="shared" si="21"/>
        <v>-1902764.0089199997</v>
      </c>
      <c r="I36" s="218">
        <f>I22+I23</f>
        <v>7577650.5810799981</v>
      </c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77"/>
      <c r="AF36" s="77"/>
      <c r="AG36" s="77"/>
    </row>
    <row r="37" spans="1:33" x14ac:dyDescent="0.25">
      <c r="A37" s="179"/>
      <c r="B37" s="179"/>
      <c r="C37" s="219"/>
      <c r="D37" s="188"/>
      <c r="E37" s="179"/>
      <c r="F37" s="179"/>
      <c r="G37" s="171"/>
      <c r="H37" s="171"/>
      <c r="I37" s="220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77"/>
      <c r="AF37" s="77"/>
      <c r="AG37" s="77"/>
    </row>
    <row r="38" spans="1:33" ht="15.75" thickBot="1" x14ac:dyDescent="0.3">
      <c r="A38" s="179" t="s">
        <v>244</v>
      </c>
      <c r="B38" s="179"/>
      <c r="C38" s="221">
        <f>SUM(C24:C27)</f>
        <v>309489.36</v>
      </c>
      <c r="D38" s="222">
        <f>SUM(D24:D27)</f>
        <v>1828506.2600000002</v>
      </c>
      <c r="E38" s="222">
        <f t="shared" ref="E38:H38" si="22">SUM(E24:E27)</f>
        <v>-1763755</v>
      </c>
      <c r="F38" s="222">
        <f t="shared" si="22"/>
        <v>2238370</v>
      </c>
      <c r="G38" s="222">
        <f t="shared" si="22"/>
        <v>2303121.2599999998</v>
      </c>
      <c r="H38" s="222">
        <f t="shared" si="22"/>
        <v>-590763.25319999969</v>
      </c>
      <c r="I38" s="221">
        <f>SUM(I24:I27)</f>
        <v>1712358.0068000003</v>
      </c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77"/>
      <c r="AF38" s="77"/>
      <c r="AG38" s="77"/>
    </row>
    <row r="39" spans="1:33" x14ac:dyDescent="0.25">
      <c r="A39" s="179"/>
      <c r="B39" s="179"/>
      <c r="C39" s="223"/>
      <c r="D39" s="222"/>
      <c r="E39" s="222"/>
      <c r="F39" s="222"/>
      <c r="G39" s="222"/>
      <c r="H39" s="222"/>
      <c r="I39" s="223"/>
      <c r="J39" s="171"/>
      <c r="K39" s="171"/>
      <c r="L39" s="171"/>
      <c r="M39" s="171"/>
      <c r="N39" s="171" t="s">
        <v>276</v>
      </c>
      <c r="O39" s="171"/>
      <c r="P39" s="171"/>
      <c r="Q39" s="171"/>
      <c r="R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77"/>
      <c r="AF39" s="77"/>
      <c r="AG39" s="77"/>
    </row>
    <row r="40" spans="1:33" ht="27.75" customHeight="1" x14ac:dyDescent="0.25">
      <c r="A40" s="179" t="s">
        <v>255</v>
      </c>
      <c r="B40" s="171"/>
      <c r="C40" s="224">
        <v>43770</v>
      </c>
      <c r="D40" s="224">
        <v>43770</v>
      </c>
      <c r="E40" s="224">
        <v>43770</v>
      </c>
      <c r="F40" s="224">
        <v>43739</v>
      </c>
      <c r="G40" s="224">
        <v>43344</v>
      </c>
      <c r="H40" s="224">
        <v>43739</v>
      </c>
      <c r="I40" s="224">
        <v>43405</v>
      </c>
      <c r="J40" s="224">
        <v>43405</v>
      </c>
      <c r="K40" s="224">
        <v>43405</v>
      </c>
      <c r="L40" s="224"/>
      <c r="N40" s="317" t="s">
        <v>264</v>
      </c>
      <c r="O40" s="317" t="s">
        <v>275</v>
      </c>
      <c r="P40" s="317" t="s">
        <v>265</v>
      </c>
      <c r="Q40" s="317" t="s">
        <v>266</v>
      </c>
      <c r="R40" s="317" t="s">
        <v>267</v>
      </c>
      <c r="U40" s="171"/>
      <c r="V40" s="171"/>
      <c r="W40" s="171"/>
      <c r="X40" s="171"/>
      <c r="Y40" s="171"/>
      <c r="Z40" s="171"/>
      <c r="AA40" s="171"/>
      <c r="AB40" s="171"/>
      <c r="AC40" s="171"/>
      <c r="AD40" s="77"/>
      <c r="AE40" s="77"/>
      <c r="AF40" s="77"/>
      <c r="AG40" s="77"/>
    </row>
    <row r="41" spans="1:33" ht="26.25" customHeight="1" x14ac:dyDescent="0.25">
      <c r="A41" s="226" t="s">
        <v>256</v>
      </c>
      <c r="B41" s="175"/>
      <c r="C41" s="227" t="s">
        <v>257</v>
      </c>
      <c r="D41" s="227" t="s">
        <v>258</v>
      </c>
      <c r="E41" s="227" t="s">
        <v>260</v>
      </c>
      <c r="F41" s="227" t="s">
        <v>261</v>
      </c>
      <c r="G41" s="227" t="s">
        <v>262</v>
      </c>
      <c r="H41" s="227" t="s">
        <v>263</v>
      </c>
      <c r="I41" s="227" t="s">
        <v>257</v>
      </c>
      <c r="J41" s="227" t="s">
        <v>258</v>
      </c>
      <c r="K41" s="227" t="s">
        <v>260</v>
      </c>
      <c r="L41" s="297"/>
      <c r="M41" s="152"/>
      <c r="N41" s="317"/>
      <c r="O41" s="317"/>
      <c r="P41" s="317"/>
      <c r="Q41" s="317"/>
      <c r="R41" s="317"/>
      <c r="U41" s="171"/>
      <c r="V41" s="171"/>
      <c r="W41" s="171"/>
      <c r="X41" s="171"/>
      <c r="Y41" s="171"/>
      <c r="Z41" s="171"/>
      <c r="AA41" s="171"/>
      <c r="AB41" s="171"/>
      <c r="AC41" s="171"/>
      <c r="AD41" s="77"/>
      <c r="AE41" s="77"/>
      <c r="AF41" s="77"/>
      <c r="AG41" s="77"/>
    </row>
    <row r="42" spans="1:33" x14ac:dyDescent="0.25">
      <c r="A42" s="180" t="s">
        <v>221</v>
      </c>
      <c r="B42" s="179"/>
      <c r="C42" s="229">
        <v>0.26150000000000001</v>
      </c>
      <c r="D42" s="229">
        <v>4.2900000000000004E-3</v>
      </c>
      <c r="E42" s="229">
        <v>4.1999999999999997E-3</v>
      </c>
      <c r="F42" s="229">
        <v>0</v>
      </c>
      <c r="G42" s="229">
        <v>3.0280000000000001E-2</v>
      </c>
      <c r="H42" s="229">
        <v>2.0930000000000001E-2</v>
      </c>
      <c r="I42" s="229">
        <v>0.28637000000000001</v>
      </c>
      <c r="J42" s="229">
        <v>-9.6129999999999993E-2</v>
      </c>
      <c r="K42" s="229">
        <v>-2.7199999999999998E-2</v>
      </c>
      <c r="L42" s="229"/>
      <c r="N42" s="231">
        <f t="shared" ref="N42:N51" si="23">SUM(C42:H42)</f>
        <v>0.32120000000000004</v>
      </c>
      <c r="O42" s="231">
        <f t="shared" ref="O42:O51" si="24">SUM(F42:K42)</f>
        <v>0.21425</v>
      </c>
      <c r="P42" s="193">
        <f t="shared" ref="P42:P51" si="25">N42*G4</f>
        <v>3538458.0440000002</v>
      </c>
      <c r="Q42" s="232">
        <f t="shared" ref="Q42:Q51" si="26">-F4*O42</f>
        <v>1635869.2382499999</v>
      </c>
      <c r="R42" s="193">
        <f>P42-Q42</f>
        <v>1902588.8057500003</v>
      </c>
      <c r="U42" s="171"/>
      <c r="V42" s="171"/>
      <c r="W42" s="171"/>
      <c r="X42" s="171"/>
      <c r="Y42" s="171"/>
      <c r="Z42" s="171"/>
      <c r="AA42" s="171"/>
      <c r="AB42" s="171"/>
      <c r="AC42" s="171"/>
      <c r="AD42" s="77"/>
      <c r="AE42" s="77"/>
      <c r="AF42" s="77"/>
      <c r="AG42" s="77"/>
    </row>
    <row r="43" spans="1:33" x14ac:dyDescent="0.25">
      <c r="A43" s="180" t="s">
        <v>223</v>
      </c>
      <c r="B43" s="179"/>
      <c r="C43" s="229">
        <v>0.26150000000000001</v>
      </c>
      <c r="D43" s="229">
        <v>4.2900000000000004E-3</v>
      </c>
      <c r="E43" s="229">
        <v>4.1999999999999997E-3</v>
      </c>
      <c r="F43" s="229">
        <v>-0.48469000000000001</v>
      </c>
      <c r="G43" s="229">
        <v>3.0280000000000001E-2</v>
      </c>
      <c r="H43" s="229">
        <v>2.0930000000000001E-2</v>
      </c>
      <c r="I43" s="229">
        <v>0.28637000000000001</v>
      </c>
      <c r="J43" s="229">
        <v>-9.6129999999999993E-2</v>
      </c>
      <c r="K43" s="229">
        <v>-2.7199999999999998E-2</v>
      </c>
      <c r="L43" s="229"/>
      <c r="N43" s="231">
        <f t="shared" si="23"/>
        <v>-0.16349</v>
      </c>
      <c r="O43" s="231">
        <f t="shared" si="24"/>
        <v>-0.27043999999999996</v>
      </c>
      <c r="P43" s="193">
        <f t="shared" si="25"/>
        <v>-1527.4870699999999</v>
      </c>
      <c r="Q43" s="232">
        <f t="shared" si="26"/>
        <v>-1702.6902399999997</v>
      </c>
      <c r="R43" s="193">
        <f t="shared" ref="R43:R51" si="27">P43-Q43</f>
        <v>175.20316999999977</v>
      </c>
      <c r="U43" s="171"/>
      <c r="V43" s="171"/>
      <c r="W43" s="171"/>
      <c r="X43" s="171"/>
      <c r="Y43" s="171"/>
      <c r="Z43" s="171"/>
      <c r="AA43" s="171"/>
      <c r="AB43" s="171"/>
      <c r="AC43" s="171"/>
      <c r="AD43" s="77"/>
      <c r="AE43" s="77"/>
      <c r="AF43" s="77"/>
      <c r="AG43" s="77"/>
    </row>
    <row r="44" spans="1:33" x14ac:dyDescent="0.25">
      <c r="A44" s="180" t="s">
        <v>225</v>
      </c>
      <c r="B44" s="179"/>
      <c r="C44" s="229">
        <v>0.25180999999999998</v>
      </c>
      <c r="D44" s="229">
        <v>1.085E-2</v>
      </c>
      <c r="E44" s="229">
        <v>1.8409999999999999E-2</v>
      </c>
      <c r="F44" s="229">
        <v>0</v>
      </c>
      <c r="G44" s="229">
        <v>1.626E-2</v>
      </c>
      <c r="H44" s="229">
        <v>1.754E-2</v>
      </c>
      <c r="I44" s="229">
        <v>0.27588000000000001</v>
      </c>
      <c r="J44" s="229">
        <v>-7.9969999999999999E-2</v>
      </c>
      <c r="K44" s="229">
        <v>6.9100000000000003E-3</v>
      </c>
      <c r="L44" s="229"/>
      <c r="N44" s="231">
        <f t="shared" si="23"/>
        <v>0.31486999999999998</v>
      </c>
      <c r="O44" s="231">
        <f t="shared" si="24"/>
        <v>0.23662000000000002</v>
      </c>
      <c r="P44" s="193">
        <f t="shared" si="25"/>
        <v>1343776.0517899999</v>
      </c>
      <c r="Q44" s="232">
        <f t="shared" si="26"/>
        <v>815875.46142000007</v>
      </c>
      <c r="R44" s="193">
        <f t="shared" si="27"/>
        <v>527900.59036999987</v>
      </c>
      <c r="U44" s="171"/>
      <c r="V44" s="171"/>
      <c r="W44" s="171"/>
      <c r="X44" s="171"/>
      <c r="Y44" s="171"/>
      <c r="Z44" s="171"/>
      <c r="AA44" s="171"/>
      <c r="AB44" s="171"/>
      <c r="AC44" s="171"/>
      <c r="AD44" s="77"/>
      <c r="AE44" s="77"/>
      <c r="AF44" s="77"/>
      <c r="AG44" s="77"/>
    </row>
    <row r="45" spans="1:33" x14ac:dyDescent="0.25">
      <c r="A45" s="180" t="s">
        <v>227</v>
      </c>
      <c r="B45" s="179"/>
      <c r="C45" s="229">
        <v>0.25180999999999998</v>
      </c>
      <c r="D45" s="229">
        <v>0</v>
      </c>
      <c r="E45" s="229">
        <v>1.8409999999999999E-2</v>
      </c>
      <c r="F45" s="229">
        <v>0</v>
      </c>
      <c r="G45" s="229">
        <v>1.626E-2</v>
      </c>
      <c r="H45" s="229">
        <v>1.754E-2</v>
      </c>
      <c r="I45" s="229">
        <v>0.27588000000000001</v>
      </c>
      <c r="J45" s="229">
        <v>0</v>
      </c>
      <c r="K45" s="229">
        <v>0</v>
      </c>
      <c r="L45" s="229"/>
      <c r="N45" s="231">
        <f t="shared" si="23"/>
        <v>0.30401999999999996</v>
      </c>
      <c r="O45" s="231">
        <f t="shared" si="24"/>
        <v>0.30968000000000001</v>
      </c>
      <c r="P45" s="193">
        <f t="shared" si="25"/>
        <v>3913.3454399999996</v>
      </c>
      <c r="Q45" s="232">
        <f t="shared" si="26"/>
        <v>3594.14608</v>
      </c>
      <c r="R45" s="193">
        <f t="shared" si="27"/>
        <v>319.19935999999961</v>
      </c>
      <c r="U45" s="171"/>
      <c r="V45" s="171"/>
      <c r="W45" s="171"/>
      <c r="X45" s="171"/>
      <c r="Y45" s="171"/>
      <c r="Z45" s="171"/>
      <c r="AA45" s="171"/>
      <c r="AB45" s="171"/>
      <c r="AC45" s="171"/>
      <c r="AD45" s="77"/>
      <c r="AE45" s="77"/>
      <c r="AF45" s="77"/>
      <c r="AG45" s="77"/>
    </row>
    <row r="46" spans="1:33" x14ac:dyDescent="0.25">
      <c r="A46" s="180" t="s">
        <v>229</v>
      </c>
      <c r="B46" s="179"/>
      <c r="C46" s="229">
        <v>0.25180999999999998</v>
      </c>
      <c r="D46" s="229">
        <v>1.085E-2</v>
      </c>
      <c r="E46" s="229">
        <v>1.8409999999999999E-2</v>
      </c>
      <c r="F46" s="229">
        <v>0</v>
      </c>
      <c r="G46" s="229">
        <v>1.2760000000000001E-2</v>
      </c>
      <c r="H46" s="229">
        <v>1.602E-2</v>
      </c>
      <c r="I46" s="229">
        <v>0.27573999999999999</v>
      </c>
      <c r="J46" s="229">
        <v>-5.0130000000000001E-2</v>
      </c>
      <c r="K46" s="229">
        <v>6.9100000000000003E-3</v>
      </c>
      <c r="L46" s="229"/>
      <c r="N46" s="231">
        <f t="shared" si="23"/>
        <v>0.30984999999999996</v>
      </c>
      <c r="O46" s="231">
        <f t="shared" si="24"/>
        <v>0.26130000000000003</v>
      </c>
      <c r="P46" s="193">
        <f t="shared" si="25"/>
        <v>45663.524049999993</v>
      </c>
      <c r="Q46" s="232">
        <f t="shared" si="26"/>
        <v>36092.585100000004</v>
      </c>
      <c r="R46" s="193">
        <f t="shared" si="27"/>
        <v>9570.9389499999888</v>
      </c>
      <c r="U46" s="171"/>
      <c r="V46" s="171"/>
      <c r="W46" s="171"/>
      <c r="X46" s="171"/>
      <c r="Y46" s="171"/>
      <c r="Z46" s="171"/>
      <c r="AA46" s="171"/>
      <c r="AB46" s="171"/>
      <c r="AC46" s="171"/>
      <c r="AD46" s="77"/>
      <c r="AE46" s="77"/>
      <c r="AF46" s="77"/>
      <c r="AG46" s="77"/>
    </row>
    <row r="47" spans="1:33" x14ac:dyDescent="0.25">
      <c r="A47" s="180" t="s">
        <v>231</v>
      </c>
      <c r="B47" s="179"/>
      <c r="C47" s="229">
        <v>0.25180999999999998</v>
      </c>
      <c r="D47" s="229">
        <v>0</v>
      </c>
      <c r="E47" s="229">
        <v>1.8409999999999999E-2</v>
      </c>
      <c r="F47" s="229">
        <v>0</v>
      </c>
      <c r="G47" s="229">
        <v>1.2760000000000001E-2</v>
      </c>
      <c r="H47" s="229">
        <v>1.602E-2</v>
      </c>
      <c r="I47" s="229">
        <v>0.27573999999999999</v>
      </c>
      <c r="J47" s="229">
        <v>0</v>
      </c>
      <c r="K47" s="229">
        <v>0</v>
      </c>
      <c r="L47" s="229"/>
      <c r="N47" s="231">
        <f t="shared" si="23"/>
        <v>0.29899999999999993</v>
      </c>
      <c r="O47" s="231">
        <f t="shared" si="24"/>
        <v>0.30452000000000001</v>
      </c>
      <c r="P47" s="193">
        <f t="shared" si="25"/>
        <v>62397.113999999987</v>
      </c>
      <c r="Q47" s="232">
        <f t="shared" si="26"/>
        <v>9424.5894800000005</v>
      </c>
      <c r="R47" s="193">
        <f t="shared" si="27"/>
        <v>52972.524519999984</v>
      </c>
      <c r="U47" s="171"/>
      <c r="V47" s="171"/>
      <c r="W47" s="171"/>
      <c r="X47" s="171"/>
      <c r="Y47" s="171"/>
      <c r="Z47" s="171"/>
      <c r="AA47" s="171"/>
      <c r="AB47" s="171"/>
      <c r="AC47" s="171"/>
      <c r="AD47" s="77"/>
      <c r="AE47" s="77"/>
      <c r="AF47" s="77"/>
      <c r="AG47" s="77"/>
    </row>
    <row r="48" spans="1:33" x14ac:dyDescent="0.25">
      <c r="A48" s="180" t="s">
        <v>232</v>
      </c>
      <c r="B48" s="179"/>
      <c r="C48" s="229">
        <v>0.21892</v>
      </c>
      <c r="D48" s="229">
        <v>0</v>
      </c>
      <c r="E48" s="229">
        <v>0</v>
      </c>
      <c r="F48" s="229">
        <v>0</v>
      </c>
      <c r="G48" s="229">
        <v>1.132E-2</v>
      </c>
      <c r="H48" s="229">
        <v>1.5389999999999999E-2</v>
      </c>
      <c r="I48" s="229">
        <v>0.24138999999999999</v>
      </c>
      <c r="J48" s="229">
        <v>0</v>
      </c>
      <c r="K48" s="229">
        <v>0</v>
      </c>
      <c r="L48" s="229"/>
      <c r="N48" s="231">
        <f t="shared" si="23"/>
        <v>0.24562999999999999</v>
      </c>
      <c r="O48" s="231">
        <f t="shared" si="24"/>
        <v>0.2681</v>
      </c>
      <c r="P48" s="193">
        <f t="shared" si="25"/>
        <v>0</v>
      </c>
      <c r="Q48" s="232">
        <f t="shared" si="26"/>
        <v>0</v>
      </c>
      <c r="R48" s="193">
        <f t="shared" si="27"/>
        <v>0</v>
      </c>
      <c r="U48" s="171"/>
      <c r="V48" s="171"/>
      <c r="W48" s="171"/>
      <c r="X48" s="171"/>
      <c r="Y48" s="171"/>
      <c r="Z48" s="171"/>
      <c r="AA48" s="171"/>
      <c r="AB48" s="171"/>
      <c r="AC48" s="171"/>
      <c r="AD48" s="77"/>
      <c r="AE48" s="77"/>
      <c r="AF48" s="77"/>
      <c r="AG48" s="77"/>
    </row>
    <row r="49" spans="1:33" x14ac:dyDescent="0.25">
      <c r="A49" s="180" t="s">
        <v>234</v>
      </c>
      <c r="B49" s="179"/>
      <c r="C49" s="229">
        <v>5.5999999999999995E-4</v>
      </c>
      <c r="D49" s="229">
        <v>0</v>
      </c>
      <c r="E49" s="229">
        <v>0</v>
      </c>
      <c r="F49" s="229">
        <v>0</v>
      </c>
      <c r="G49" s="229">
        <v>0</v>
      </c>
      <c r="H49" s="229">
        <v>8.0000000000000004E-4</v>
      </c>
      <c r="I49" s="229">
        <v>5.5999999999999995E-4</v>
      </c>
      <c r="J49" s="229">
        <v>0</v>
      </c>
      <c r="K49" s="229">
        <v>0</v>
      </c>
      <c r="L49" s="229"/>
      <c r="N49" s="231">
        <f t="shared" si="23"/>
        <v>1.3600000000000001E-3</v>
      </c>
      <c r="O49" s="231">
        <f t="shared" si="24"/>
        <v>1.3600000000000001E-3</v>
      </c>
      <c r="P49" s="193">
        <f t="shared" si="25"/>
        <v>4360.6183200000005</v>
      </c>
      <c r="Q49" s="232">
        <f t="shared" si="26"/>
        <v>4366.9409599999999</v>
      </c>
      <c r="R49" s="193">
        <f t="shared" si="27"/>
        <v>-6.3226399999994101</v>
      </c>
      <c r="U49" s="171"/>
      <c r="V49" s="171"/>
      <c r="W49" s="171"/>
      <c r="X49" s="171"/>
      <c r="Y49" s="171"/>
      <c r="Z49" s="171"/>
      <c r="AA49" s="171"/>
      <c r="AB49" s="171"/>
      <c r="AC49" s="171"/>
      <c r="AD49" s="77"/>
      <c r="AE49" s="77"/>
      <c r="AF49" s="77"/>
      <c r="AG49" s="77"/>
    </row>
    <row r="50" spans="1:33" x14ac:dyDescent="0.25">
      <c r="A50" s="180" t="s">
        <v>235</v>
      </c>
      <c r="B50" s="179"/>
      <c r="C50" s="229">
        <v>0</v>
      </c>
      <c r="D50" s="229">
        <v>0</v>
      </c>
      <c r="E50" s="229">
        <v>0</v>
      </c>
      <c r="F50" s="229">
        <v>0</v>
      </c>
      <c r="G50" s="229">
        <v>0</v>
      </c>
      <c r="H50" s="229">
        <v>0</v>
      </c>
      <c r="I50" s="229">
        <v>0</v>
      </c>
      <c r="J50" s="229">
        <v>0</v>
      </c>
      <c r="K50" s="229">
        <v>0</v>
      </c>
      <c r="L50" s="229"/>
      <c r="N50" s="231">
        <f t="shared" si="23"/>
        <v>0</v>
      </c>
      <c r="O50" s="231">
        <f t="shared" si="24"/>
        <v>0</v>
      </c>
      <c r="P50" s="193">
        <f t="shared" si="25"/>
        <v>0</v>
      </c>
      <c r="Q50" s="232">
        <f t="shared" si="26"/>
        <v>0</v>
      </c>
      <c r="R50" s="193">
        <f t="shared" si="27"/>
        <v>0</v>
      </c>
      <c r="U50" s="171"/>
      <c r="V50" s="171"/>
      <c r="W50" s="171"/>
      <c r="X50" s="171"/>
      <c r="Y50" s="171"/>
      <c r="Z50" s="171"/>
      <c r="AA50" s="171"/>
      <c r="AB50" s="171"/>
      <c r="AC50" s="171"/>
      <c r="AD50" s="77"/>
      <c r="AE50" s="77"/>
      <c r="AF50" s="77"/>
      <c r="AG50" s="77"/>
    </row>
    <row r="51" spans="1:33" x14ac:dyDescent="0.25">
      <c r="A51" s="180" t="s">
        <v>236</v>
      </c>
      <c r="B51" s="179"/>
      <c r="C51" s="229">
        <v>0</v>
      </c>
      <c r="D51" s="229">
        <v>0</v>
      </c>
      <c r="E51" s="229">
        <v>0</v>
      </c>
      <c r="F51" s="229">
        <v>0</v>
      </c>
      <c r="G51" s="229">
        <v>0</v>
      </c>
      <c r="H51" s="229">
        <v>0</v>
      </c>
      <c r="I51" s="229">
        <v>0</v>
      </c>
      <c r="J51" s="229">
        <v>0</v>
      </c>
      <c r="K51" s="229">
        <v>0</v>
      </c>
      <c r="L51" s="229"/>
      <c r="N51" s="231">
        <f t="shared" si="23"/>
        <v>0</v>
      </c>
      <c r="O51" s="231">
        <f t="shared" si="24"/>
        <v>0</v>
      </c>
      <c r="P51" s="193">
        <f t="shared" si="25"/>
        <v>0</v>
      </c>
      <c r="Q51" s="232">
        <f t="shared" si="26"/>
        <v>0</v>
      </c>
      <c r="R51" s="193">
        <f t="shared" si="27"/>
        <v>0</v>
      </c>
      <c r="U51" s="171"/>
      <c r="V51" s="171"/>
      <c r="W51" s="171"/>
      <c r="X51" s="171"/>
      <c r="Y51" s="171"/>
      <c r="Z51" s="171"/>
      <c r="AA51" s="171"/>
      <c r="AB51" s="171"/>
      <c r="AC51" s="171"/>
      <c r="AD51" s="77"/>
      <c r="AE51" s="77"/>
      <c r="AF51" s="77"/>
      <c r="AG51" s="77"/>
    </row>
    <row r="52" spans="1:33" x14ac:dyDescent="0.25">
      <c r="A52" s="180"/>
      <c r="B52" s="179"/>
      <c r="C52" s="229"/>
      <c r="D52" s="229"/>
      <c r="E52" s="229"/>
      <c r="F52" s="229"/>
      <c r="G52" s="229"/>
      <c r="H52" s="229"/>
      <c r="I52" s="229"/>
      <c r="J52" s="229"/>
      <c r="N52" s="171"/>
      <c r="P52" s="233">
        <f>SUM(P42:P51)</f>
        <v>4997041.2105300017</v>
      </c>
      <c r="Q52" s="233">
        <f>SUM(Q42:Q51)</f>
        <v>2503520.2710499996</v>
      </c>
      <c r="R52" s="233">
        <f>SUM(R42:R51)</f>
        <v>2493520.9394800002</v>
      </c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77"/>
      <c r="AF52" s="77"/>
      <c r="AG52" s="77"/>
    </row>
    <row r="53" spans="1:33" ht="35.25" customHeight="1" x14ac:dyDescent="0.25">
      <c r="A53" s="226" t="s">
        <v>267</v>
      </c>
      <c r="B53" s="175"/>
      <c r="C53" s="212" t="s">
        <v>268</v>
      </c>
      <c r="D53" s="212" t="s">
        <v>269</v>
      </c>
      <c r="E53" s="212" t="s">
        <v>260</v>
      </c>
      <c r="F53" s="212" t="s">
        <v>270</v>
      </c>
      <c r="G53" s="212" t="s">
        <v>271</v>
      </c>
      <c r="H53" s="212" t="s">
        <v>272</v>
      </c>
      <c r="I53" s="318" t="s">
        <v>273</v>
      </c>
      <c r="J53" s="318"/>
      <c r="M53" s="171"/>
      <c r="N53" s="171"/>
      <c r="O53" s="171"/>
      <c r="Q53" s="295">
        <f>'10.2019 Base Rate Revenue'!O52</f>
        <v>2503520.2710500001</v>
      </c>
      <c r="R53" s="190">
        <f>I64</f>
        <v>2493520.9394799992</v>
      </c>
      <c r="U53" s="171"/>
      <c r="V53" s="171"/>
      <c r="W53" s="171"/>
      <c r="X53" s="171"/>
      <c r="Y53" s="171"/>
      <c r="Z53" s="171"/>
      <c r="AA53" s="171"/>
      <c r="AB53" s="171"/>
      <c r="AC53" s="171"/>
      <c r="AD53" s="77"/>
      <c r="AE53" s="77"/>
      <c r="AF53" s="77"/>
    </row>
    <row r="54" spans="1:33" x14ac:dyDescent="0.25">
      <c r="A54" s="180" t="s">
        <v>221</v>
      </c>
      <c r="B54" s="171"/>
      <c r="C54" s="188">
        <f>C42*$G4+$F4*I42</f>
        <v>694251.58926999988</v>
      </c>
      <c r="D54" s="188">
        <f>D42*$G4+$F4*J42</f>
        <v>781244.40406999993</v>
      </c>
      <c r="E54" s="188">
        <f>E42*$G4+$F4*K42</f>
        <v>253949.70279999997</v>
      </c>
      <c r="F54" s="188">
        <f>F42*$H4</f>
        <v>0</v>
      </c>
      <c r="G54" s="188">
        <f t="shared" ref="G54:H54" si="28">G42*$H4</f>
        <v>102377.92148</v>
      </c>
      <c r="H54" s="188">
        <f t="shared" si="28"/>
        <v>70765.18813000001</v>
      </c>
      <c r="I54" s="188">
        <f t="shared" ref="I54:I63" si="29">SUM(C54:H54)</f>
        <v>1902588.8057499996</v>
      </c>
      <c r="M54" s="171"/>
      <c r="N54" s="193"/>
      <c r="O54" s="171"/>
      <c r="P54" s="171"/>
      <c r="Q54" s="193">
        <f>R52-R53</f>
        <v>0</v>
      </c>
      <c r="R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77"/>
      <c r="AE54" s="77"/>
      <c r="AF54" s="77"/>
    </row>
    <row r="55" spans="1:33" x14ac:dyDescent="0.25">
      <c r="A55" s="180" t="s">
        <v>223</v>
      </c>
      <c r="B55" s="171"/>
      <c r="C55" s="188">
        <f t="shared" ref="C55:D63" si="30">C43*$G5+$F5*I43</f>
        <v>640.20897999999988</v>
      </c>
      <c r="D55" s="188">
        <f t="shared" si="30"/>
        <v>645.31594999999993</v>
      </c>
      <c r="E55" s="188">
        <f t="shared" ref="E55:E63" si="31">E43*$G5+$F5*K43</f>
        <v>210.49179999999998</v>
      </c>
      <c r="F55" s="188">
        <f t="shared" ref="F55:H55" si="32">F43*$H5</f>
        <v>-1476.85043</v>
      </c>
      <c r="G55" s="188">
        <f t="shared" si="32"/>
        <v>92.263159999999999</v>
      </c>
      <c r="H55" s="188">
        <f t="shared" si="32"/>
        <v>63.773710000000001</v>
      </c>
      <c r="I55" s="188">
        <f t="shared" si="29"/>
        <v>175.20316999999986</v>
      </c>
      <c r="J55" s="171"/>
      <c r="K55" s="171"/>
      <c r="L55" s="171"/>
      <c r="M55" s="193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77"/>
      <c r="AE55" s="77"/>
      <c r="AF55" s="77"/>
    </row>
    <row r="56" spans="1:33" x14ac:dyDescent="0.25">
      <c r="A56" s="180" t="s">
        <v>225</v>
      </c>
      <c r="B56" s="171"/>
      <c r="C56" s="188">
        <f t="shared" si="30"/>
        <v>123408.26668999984</v>
      </c>
      <c r="D56" s="188">
        <f t="shared" si="30"/>
        <v>322044.56821999996</v>
      </c>
      <c r="E56" s="188">
        <f t="shared" si="31"/>
        <v>54742.706659999996</v>
      </c>
      <c r="F56" s="188">
        <f t="shared" ref="F56:H56" si="33">F44*$H6</f>
        <v>0</v>
      </c>
      <c r="G56" s="188">
        <f t="shared" si="33"/>
        <v>13327.931759999999</v>
      </c>
      <c r="H56" s="188">
        <f t="shared" si="33"/>
        <v>14377.117039999999</v>
      </c>
      <c r="I56" s="188">
        <f t="shared" si="29"/>
        <v>527900.59036999976</v>
      </c>
      <c r="J56" s="171"/>
      <c r="K56" s="171"/>
      <c r="L56" s="171"/>
      <c r="M56" s="193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77"/>
      <c r="AE56" s="77"/>
      <c r="AF56" s="77"/>
    </row>
    <row r="57" spans="1:33" x14ac:dyDescent="0.25">
      <c r="A57" s="180" t="s">
        <v>227</v>
      </c>
      <c r="B57" s="171"/>
      <c r="C57" s="188">
        <f t="shared" si="30"/>
        <v>39.435039999999844</v>
      </c>
      <c r="D57" s="188">
        <f t="shared" si="30"/>
        <v>0</v>
      </c>
      <c r="E57" s="188">
        <f t="shared" si="31"/>
        <v>236.97351999999998</v>
      </c>
      <c r="F57" s="188">
        <f t="shared" ref="F57:H57" si="34">F45*$H7</f>
        <v>0</v>
      </c>
      <c r="G57" s="188">
        <f t="shared" si="34"/>
        <v>20.585160000000002</v>
      </c>
      <c r="H57" s="188">
        <f t="shared" si="34"/>
        <v>22.205639999999999</v>
      </c>
      <c r="I57" s="188">
        <f t="shared" si="29"/>
        <v>319.19935999999984</v>
      </c>
      <c r="J57" s="171"/>
      <c r="K57" s="171"/>
      <c r="L57" s="171"/>
      <c r="M57" s="193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77"/>
      <c r="AE57" s="77"/>
      <c r="AF57" s="77"/>
    </row>
    <row r="58" spans="1:33" x14ac:dyDescent="0.25">
      <c r="A58" s="180" t="s">
        <v>229</v>
      </c>
      <c r="B58" s="171"/>
      <c r="C58" s="188">
        <f t="shared" si="30"/>
        <v>-977.14385000000038</v>
      </c>
      <c r="D58" s="188">
        <f t="shared" si="30"/>
        <v>8523.3035600000003</v>
      </c>
      <c r="E58" s="188">
        <f t="shared" si="31"/>
        <v>1758.6793600000001</v>
      </c>
      <c r="F58" s="188">
        <f t="shared" ref="F58:H58" si="35">F46*$H8</f>
        <v>0</v>
      </c>
      <c r="G58" s="188">
        <f t="shared" si="35"/>
        <v>117.97896</v>
      </c>
      <c r="H58" s="188">
        <f t="shared" si="35"/>
        <v>148.12091999999998</v>
      </c>
      <c r="I58" s="188">
        <f t="shared" si="29"/>
        <v>9570.9389499999997</v>
      </c>
      <c r="J58" s="171"/>
      <c r="K58" s="171"/>
      <c r="L58" s="171"/>
      <c r="M58" s="193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77"/>
      <c r="AE58" s="77"/>
      <c r="AF58" s="77"/>
    </row>
    <row r="59" spans="1:33" x14ac:dyDescent="0.25">
      <c r="A59" s="180" t="s">
        <v>231</v>
      </c>
      <c r="B59" s="171"/>
      <c r="C59" s="188">
        <f t="shared" si="30"/>
        <v>44015.344399999994</v>
      </c>
      <c r="D59" s="188">
        <f t="shared" si="30"/>
        <v>0</v>
      </c>
      <c r="E59" s="188">
        <f t="shared" si="31"/>
        <v>3841.9092599999999</v>
      </c>
      <c r="F59" s="188">
        <f t="shared" ref="F59:H59" si="36">F47*$H9</f>
        <v>0</v>
      </c>
      <c r="G59" s="188">
        <f t="shared" si="36"/>
        <v>2267.9241200000001</v>
      </c>
      <c r="H59" s="188">
        <f t="shared" si="36"/>
        <v>2847.34674</v>
      </c>
      <c r="I59" s="188">
        <f t="shared" si="29"/>
        <v>52972.524519999999</v>
      </c>
      <c r="J59" s="171"/>
      <c r="K59" s="171"/>
      <c r="L59" s="171"/>
      <c r="M59" s="193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77"/>
      <c r="AE59" s="77"/>
      <c r="AF59" s="77"/>
    </row>
    <row r="60" spans="1:33" x14ac:dyDescent="0.25">
      <c r="A60" s="180" t="s">
        <v>232</v>
      </c>
      <c r="B60" s="171"/>
      <c r="C60" s="188">
        <f t="shared" si="30"/>
        <v>0</v>
      </c>
      <c r="D60" s="188">
        <f t="shared" si="30"/>
        <v>0</v>
      </c>
      <c r="E60" s="188">
        <f t="shared" si="31"/>
        <v>0</v>
      </c>
      <c r="F60" s="188">
        <f t="shared" ref="F60:H60" si="37">F48*$H10</f>
        <v>0</v>
      </c>
      <c r="G60" s="188">
        <f t="shared" si="37"/>
        <v>0</v>
      </c>
      <c r="H60" s="188">
        <f t="shared" si="37"/>
        <v>0</v>
      </c>
      <c r="I60" s="188">
        <f t="shared" si="29"/>
        <v>0</v>
      </c>
      <c r="J60" s="171"/>
      <c r="K60" s="171"/>
      <c r="L60" s="171"/>
      <c r="M60" s="193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77"/>
      <c r="AE60" s="77"/>
      <c r="AF60" s="77"/>
    </row>
    <row r="61" spans="1:33" x14ac:dyDescent="0.25">
      <c r="A61" s="180" t="s">
        <v>234</v>
      </c>
      <c r="B61" s="171"/>
      <c r="C61" s="188">
        <f t="shared" si="30"/>
        <v>-2.6034400000000915</v>
      </c>
      <c r="D61" s="188">
        <f t="shared" si="30"/>
        <v>0</v>
      </c>
      <c r="E61" s="188">
        <f t="shared" si="31"/>
        <v>0</v>
      </c>
      <c r="F61" s="188">
        <f t="shared" ref="F61:H61" si="38">F49*$H11</f>
        <v>0</v>
      </c>
      <c r="G61" s="188">
        <f t="shared" si="38"/>
        <v>0</v>
      </c>
      <c r="H61" s="188">
        <f t="shared" si="38"/>
        <v>-3.7192000000000003</v>
      </c>
      <c r="I61" s="188">
        <f t="shared" si="29"/>
        <v>-6.3226400000000922</v>
      </c>
      <c r="J61" s="171"/>
      <c r="K61" s="171"/>
      <c r="L61" s="171"/>
      <c r="M61" s="193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77"/>
      <c r="AE61" s="77"/>
      <c r="AF61" s="77"/>
    </row>
    <row r="62" spans="1:33" x14ac:dyDescent="0.25">
      <c r="A62" s="180" t="s">
        <v>235</v>
      </c>
      <c r="B62" s="171"/>
      <c r="C62" s="188">
        <f t="shared" si="30"/>
        <v>0</v>
      </c>
      <c r="D62" s="188">
        <f t="shared" si="30"/>
        <v>0</v>
      </c>
      <c r="E62" s="188">
        <f t="shared" si="31"/>
        <v>0</v>
      </c>
      <c r="F62" s="188">
        <f t="shared" ref="F62:H62" si="39">F50*$H12</f>
        <v>0</v>
      </c>
      <c r="G62" s="188">
        <f t="shared" si="39"/>
        <v>0</v>
      </c>
      <c r="H62" s="188">
        <f t="shared" si="39"/>
        <v>0</v>
      </c>
      <c r="I62" s="188">
        <f t="shared" si="29"/>
        <v>0</v>
      </c>
      <c r="J62" s="171"/>
      <c r="K62" s="171"/>
      <c r="L62" s="171"/>
      <c r="M62" s="193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77"/>
      <c r="AE62" s="77"/>
      <c r="AF62" s="77"/>
    </row>
    <row r="63" spans="1:33" x14ac:dyDescent="0.25">
      <c r="A63" s="180" t="s">
        <v>236</v>
      </c>
      <c r="B63" s="171"/>
      <c r="C63" s="188">
        <f t="shared" si="30"/>
        <v>0</v>
      </c>
      <c r="D63" s="188">
        <f t="shared" si="30"/>
        <v>0</v>
      </c>
      <c r="E63" s="188">
        <f t="shared" si="31"/>
        <v>0</v>
      </c>
      <c r="F63" s="188">
        <f t="shared" ref="F63:H63" si="40">F51*$H13</f>
        <v>0</v>
      </c>
      <c r="G63" s="188">
        <f t="shared" si="40"/>
        <v>0</v>
      </c>
      <c r="H63" s="188">
        <f t="shared" si="40"/>
        <v>0</v>
      </c>
      <c r="I63" s="188">
        <f t="shared" si="29"/>
        <v>0</v>
      </c>
      <c r="J63" s="171"/>
      <c r="K63" s="171"/>
      <c r="L63" s="171"/>
      <c r="M63" s="234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77"/>
      <c r="AE63" s="77"/>
      <c r="AF63" s="77"/>
    </row>
    <row r="64" spans="1:33" x14ac:dyDescent="0.25">
      <c r="A64" s="171"/>
      <c r="B64" s="171"/>
      <c r="C64" s="196">
        <f>SUM(C54:C63)</f>
        <v>861375.0970899997</v>
      </c>
      <c r="D64" s="196">
        <f t="shared" ref="D64:H64" si="41">SUM(D54:D63)</f>
        <v>1112457.5917999998</v>
      </c>
      <c r="E64" s="196">
        <f t="shared" si="41"/>
        <v>314740.46339999995</v>
      </c>
      <c r="F64" s="196">
        <f t="shared" si="41"/>
        <v>-1476.85043</v>
      </c>
      <c r="G64" s="196">
        <f t="shared" si="41"/>
        <v>118204.60463999999</v>
      </c>
      <c r="H64" s="196">
        <f t="shared" si="41"/>
        <v>88220.032979999989</v>
      </c>
      <c r="I64" s="196">
        <f>SUM(I54:I63)</f>
        <v>2493520.9394799992</v>
      </c>
      <c r="J64" s="171"/>
      <c r="K64" s="171"/>
      <c r="L64" s="171"/>
      <c r="M64" s="234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77"/>
      <c r="AE64" s="77"/>
      <c r="AF64" s="77"/>
    </row>
    <row r="65" spans="1:33" x14ac:dyDescent="0.25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88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77"/>
      <c r="AE65" s="77"/>
      <c r="AF65" s="77"/>
    </row>
    <row r="66" spans="1:33" x14ac:dyDescent="0.25">
      <c r="A66" s="179" t="s">
        <v>28</v>
      </c>
      <c r="B66" s="179"/>
      <c r="C66" s="188">
        <f>C54+C55</f>
        <v>694891.79824999988</v>
      </c>
      <c r="D66" s="188">
        <f>D54+D55</f>
        <v>781889.72001999989</v>
      </c>
      <c r="E66" s="188">
        <f t="shared" ref="E66:H66" si="42">E54+E55</f>
        <v>254160.19459999996</v>
      </c>
      <c r="F66" s="188">
        <f t="shared" si="42"/>
        <v>-1476.85043</v>
      </c>
      <c r="G66" s="188">
        <f t="shared" si="42"/>
        <v>102470.18464000001</v>
      </c>
      <c r="H66" s="188">
        <f t="shared" si="42"/>
        <v>70828.961840000004</v>
      </c>
      <c r="I66" s="188">
        <f>I54+I55</f>
        <v>1902764.0089199997</v>
      </c>
      <c r="J66" s="171"/>
      <c r="K66" s="171"/>
      <c r="L66" s="171"/>
      <c r="M66" s="188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77"/>
      <c r="AE66" s="77"/>
      <c r="AF66" s="77"/>
    </row>
    <row r="67" spans="1:33" x14ac:dyDescent="0.25">
      <c r="A67" s="179"/>
      <c r="B67" s="179"/>
      <c r="C67" s="188"/>
      <c r="D67" s="188"/>
      <c r="E67" s="188"/>
      <c r="F67" s="188"/>
      <c r="G67" s="188"/>
      <c r="H67" s="188"/>
      <c r="I67" s="188"/>
      <c r="J67" s="171"/>
      <c r="K67" s="171"/>
      <c r="L67" s="171"/>
      <c r="M67" s="179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77"/>
      <c r="AE67" s="77"/>
      <c r="AF67" s="77"/>
    </row>
    <row r="68" spans="1:33" x14ac:dyDescent="0.25">
      <c r="A68" s="179" t="s">
        <v>244</v>
      </c>
      <c r="B68" s="179"/>
      <c r="C68" s="222">
        <f>C56+C58</f>
        <v>122431.12283999985</v>
      </c>
      <c r="D68" s="222">
        <f>D56+D58</f>
        <v>330567.87177999993</v>
      </c>
      <c r="E68" s="222">
        <f t="shared" ref="E68:H68" si="43">E56+E58</f>
        <v>56501.386019999998</v>
      </c>
      <c r="F68" s="222">
        <f t="shared" si="43"/>
        <v>0</v>
      </c>
      <c r="G68" s="222">
        <f t="shared" si="43"/>
        <v>13445.91072</v>
      </c>
      <c r="H68" s="222">
        <f t="shared" si="43"/>
        <v>14525.237959999999</v>
      </c>
      <c r="I68" s="222">
        <f>I56+I58</f>
        <v>537471.52931999974</v>
      </c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77"/>
      <c r="AE68" s="77"/>
      <c r="AF68" s="77"/>
    </row>
    <row r="69" spans="1:33" x14ac:dyDescent="0.25">
      <c r="A69" s="171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77"/>
      <c r="AF69" s="77"/>
      <c r="AG69" s="77"/>
    </row>
    <row r="70" spans="1:33" x14ac:dyDescent="0.25">
      <c r="A70" s="171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77"/>
      <c r="AF70" s="77"/>
      <c r="AG70" s="77"/>
    </row>
    <row r="71" spans="1:33" x14ac:dyDescent="0.25">
      <c r="A71" s="171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77"/>
      <c r="AF71" s="77"/>
      <c r="AG71" s="77"/>
    </row>
    <row r="72" spans="1:33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77"/>
      <c r="AF72" s="77"/>
      <c r="AG72" s="77"/>
    </row>
    <row r="73" spans="1:33" x14ac:dyDescent="0.25">
      <c r="A73" s="171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77"/>
      <c r="AF73" s="77"/>
      <c r="AG73" s="77"/>
    </row>
  </sheetData>
  <mergeCells count="7">
    <mergeCell ref="R40:R41"/>
    <mergeCell ref="A1:I1"/>
    <mergeCell ref="I53:J53"/>
    <mergeCell ref="N40:N41"/>
    <mergeCell ref="O40:O41"/>
    <mergeCell ref="P40:P41"/>
    <mergeCell ref="Q40:Q41"/>
  </mergeCells>
  <printOptions horizontalCentered="1"/>
  <pageMargins left="0.45" right="0.45" top="0.5" bottom="0.5" header="0.3" footer="0.3"/>
  <pageSetup scale="80" orientation="landscape" r:id="rId1"/>
  <headerFooter scaleWithDoc="0">
    <oddFooter>&amp;L&amp;F / &amp;A&amp;RPage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G73"/>
  <sheetViews>
    <sheetView zoomScaleNormal="100" workbookViewId="0">
      <selection sqref="A1:XFD1048576"/>
    </sheetView>
  </sheetViews>
  <sheetFormatPr defaultRowHeight="15" x14ac:dyDescent="0.25"/>
  <cols>
    <col min="1" max="1" width="19" customWidth="1"/>
    <col min="2" max="2" width="5.85546875" customWidth="1"/>
    <col min="3" max="3" width="17.42578125" customWidth="1"/>
    <col min="4" max="4" width="16.42578125" customWidth="1"/>
    <col min="5" max="5" width="15.28515625" customWidth="1"/>
    <col min="6" max="6" width="15" customWidth="1"/>
    <col min="7" max="7" width="15.7109375" customWidth="1"/>
    <col min="8" max="8" width="14.7109375" customWidth="1"/>
    <col min="9" max="9" width="18.28515625" customWidth="1"/>
    <col min="10" max="10" width="15.7109375" customWidth="1"/>
    <col min="11" max="11" width="10" customWidth="1"/>
    <col min="12" max="12" width="12.28515625" bestFit="1" customWidth="1"/>
    <col min="13" max="13" width="2.28515625" customWidth="1"/>
    <col min="14" max="14" width="17.5703125" customWidth="1"/>
    <col min="15" max="15" width="14.5703125" customWidth="1"/>
    <col min="16" max="16" width="12.85546875" customWidth="1"/>
    <col min="17" max="17" width="12.7109375" customWidth="1"/>
    <col min="18" max="18" width="15.42578125" customWidth="1"/>
    <col min="19" max="19" width="15.28515625" customWidth="1"/>
    <col min="20" max="20" width="11.140625" customWidth="1"/>
    <col min="21" max="21" width="15.5703125" customWidth="1"/>
    <col min="22" max="22" width="2.28515625" customWidth="1"/>
    <col min="23" max="23" width="16.7109375" customWidth="1"/>
    <col min="24" max="24" width="2.42578125" customWidth="1"/>
    <col min="25" max="25" width="14.28515625" customWidth="1"/>
    <col min="26" max="26" width="13.42578125" customWidth="1"/>
    <col min="27" max="27" width="13.85546875" customWidth="1"/>
    <col min="28" max="28" width="14.28515625" customWidth="1"/>
    <col min="29" max="29" width="16.140625" customWidth="1"/>
    <col min="30" max="30" width="10.5703125" customWidth="1"/>
  </cols>
  <sheetData>
    <row r="1" spans="1:33" x14ac:dyDescent="0.25">
      <c r="A1" s="319" t="s">
        <v>207</v>
      </c>
      <c r="B1" s="319"/>
      <c r="C1" s="319"/>
      <c r="D1" s="319"/>
      <c r="E1" s="319"/>
      <c r="F1" s="319"/>
      <c r="G1" s="319"/>
      <c r="H1" s="319"/>
      <c r="I1" s="319"/>
      <c r="J1" s="171"/>
      <c r="K1" s="171"/>
      <c r="L1" s="171" t="s">
        <v>208</v>
      </c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2" t="s">
        <v>209</v>
      </c>
      <c r="AA1" s="173" t="s">
        <v>332</v>
      </c>
      <c r="AB1" s="171"/>
      <c r="AC1" s="172" t="s">
        <v>211</v>
      </c>
      <c r="AD1" s="173" t="s">
        <v>331</v>
      </c>
      <c r="AE1" s="77"/>
      <c r="AF1" s="77"/>
      <c r="AG1" s="77"/>
    </row>
    <row r="2" spans="1:33" ht="51.75" x14ac:dyDescent="0.25">
      <c r="A2" s="174"/>
      <c r="B2" s="175"/>
      <c r="C2" s="176" t="s">
        <v>212</v>
      </c>
      <c r="D2" s="175"/>
      <c r="E2" s="176" t="s">
        <v>213</v>
      </c>
      <c r="F2" s="177" t="s">
        <v>214</v>
      </c>
      <c r="G2" s="177" t="s">
        <v>215</v>
      </c>
      <c r="H2" s="177" t="s">
        <v>115</v>
      </c>
      <c r="I2" s="177" t="s">
        <v>216</v>
      </c>
      <c r="J2" s="171"/>
      <c r="K2" s="171"/>
      <c r="L2" s="171"/>
      <c r="M2" s="171"/>
      <c r="N2" s="293" t="str">
        <f>AA1&amp;" Billed Schedule 175 Revenue"</f>
        <v>October Billed Schedule 175 Revenue</v>
      </c>
      <c r="O2" s="293" t="str">
        <f>AA1&amp;" Billed Therms"</f>
        <v>October Billed Therms</v>
      </c>
      <c r="P2" s="293" t="str">
        <f>AA1&amp;" Unbilled Therms"</f>
        <v>October Unbilled Therms</v>
      </c>
      <c r="Q2" s="293" t="s">
        <v>217</v>
      </c>
      <c r="R2" s="293" t="s">
        <v>218</v>
      </c>
      <c r="S2" s="293" t="str">
        <f>AD1&amp;" Unbilled Therms reversal"</f>
        <v>September Unbilled Therms reversal</v>
      </c>
      <c r="T2" s="293" t="s">
        <v>217</v>
      </c>
      <c r="U2" s="293" t="str">
        <f>AD1&amp;" Schedule 175 Unbilled Reversal"</f>
        <v>September Schedule 175 Unbilled Reversal</v>
      </c>
      <c r="V2" s="171"/>
      <c r="W2" s="293" t="str">
        <f>"Total "&amp;AA1&amp;" Schedule 175 Revenue"</f>
        <v>Total October Schedule 175 Revenue</v>
      </c>
      <c r="X2" s="171"/>
      <c r="Y2" s="293" t="str">
        <f>"Calendar "&amp;AA1&amp;" Usage"</f>
        <v>Calendar October Usage</v>
      </c>
      <c r="Z2" s="293" t="str">
        <f>Q2</f>
        <v>11/1/2018 rate</v>
      </c>
      <c r="AA2" s="293" t="s">
        <v>219</v>
      </c>
      <c r="AB2" s="293" t="s">
        <v>220</v>
      </c>
      <c r="AC2" s="293" t="str">
        <f>"implied "&amp;AD1&amp;" unbilled/Cancel-Rebill True-up therms"</f>
        <v>implied September unbilled/Cancel-Rebill True-up therms</v>
      </c>
      <c r="AD2" s="171"/>
      <c r="AE2" s="77"/>
      <c r="AF2" s="77"/>
      <c r="AG2" s="77"/>
    </row>
    <row r="3" spans="1:33" x14ac:dyDescent="0.25">
      <c r="A3" s="179"/>
      <c r="B3" s="179"/>
      <c r="C3" s="179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293"/>
      <c r="O3" s="293"/>
      <c r="P3" s="293"/>
      <c r="Q3" s="293"/>
      <c r="R3" s="293"/>
      <c r="S3" s="293"/>
      <c r="T3" s="293"/>
      <c r="U3" s="293"/>
      <c r="V3" s="171"/>
      <c r="W3" s="293"/>
      <c r="X3" s="171"/>
      <c r="Y3" s="293"/>
      <c r="Z3" s="293"/>
      <c r="AA3" s="293"/>
      <c r="AB3" s="293"/>
      <c r="AC3" s="293"/>
      <c r="AD3" s="171"/>
      <c r="AE3" s="77"/>
      <c r="AF3" s="77"/>
      <c r="AG3" s="77"/>
    </row>
    <row r="4" spans="1:33" x14ac:dyDescent="0.25">
      <c r="A4" s="180" t="s">
        <v>221</v>
      </c>
      <c r="B4" s="179"/>
      <c r="C4" s="181">
        <v>169324</v>
      </c>
      <c r="D4" s="179"/>
      <c r="E4" s="182">
        <v>7600320.5581099996</v>
      </c>
      <c r="F4" s="182">
        <v>-2483986</v>
      </c>
      <c r="G4" s="182">
        <f>7641625-G5</f>
        <v>7635329</v>
      </c>
      <c r="H4" s="183">
        <f>F4+G4</f>
        <v>5151343</v>
      </c>
      <c r="I4" s="184">
        <f t="shared" ref="I4:I13" si="0">SUM(E4:G4)</f>
        <v>12751663.558109999</v>
      </c>
      <c r="J4" s="171"/>
      <c r="K4" s="171"/>
      <c r="L4" s="171" t="s">
        <v>222</v>
      </c>
      <c r="M4" s="171"/>
      <c r="N4" s="185">
        <v>-206725.59</v>
      </c>
      <c r="O4" s="186">
        <f>E4</f>
        <v>7600320.5581099996</v>
      </c>
      <c r="P4" s="186">
        <f t="shared" ref="P4:P9" si="1">G4</f>
        <v>7635329</v>
      </c>
      <c r="Q4" s="187">
        <v>-2.7199999999999998E-2</v>
      </c>
      <c r="R4" s="188">
        <f>P4*Q4</f>
        <v>-207680.94879999998</v>
      </c>
      <c r="S4" s="186">
        <f t="shared" ref="S4:S9" si="2">F4</f>
        <v>-2483986</v>
      </c>
      <c r="T4" s="187">
        <f>Q4</f>
        <v>-2.7199999999999998E-2</v>
      </c>
      <c r="U4" s="189">
        <f>S4*T4</f>
        <v>67564.419199999989</v>
      </c>
      <c r="V4" s="171"/>
      <c r="W4" s="190">
        <f>N4+R4+U4</f>
        <v>-346842.11959999998</v>
      </c>
      <c r="X4" s="171"/>
      <c r="Y4" s="191">
        <f>O4+P4+S4</f>
        <v>12751663.558109999</v>
      </c>
      <c r="Z4" s="192">
        <f>Q4</f>
        <v>-2.7199999999999998E-2</v>
      </c>
      <c r="AA4" s="193">
        <f>Y4*Z4</f>
        <v>-346845.24878059194</v>
      </c>
      <c r="AB4" s="190">
        <f>W4-AA4</f>
        <v>3.1291805919609033</v>
      </c>
      <c r="AC4" s="191">
        <f>AB4/T4</f>
        <v>-115.04340411620969</v>
      </c>
      <c r="AD4" s="194">
        <f t="shared" ref="AD4:AD11" si="3">AB4/W4</f>
        <v>-9.0219163565534365E-6</v>
      </c>
      <c r="AE4" s="77"/>
      <c r="AF4" s="77"/>
      <c r="AG4" s="77"/>
    </row>
    <row r="5" spans="1:33" x14ac:dyDescent="0.25">
      <c r="A5" s="180" t="s">
        <v>223</v>
      </c>
      <c r="B5" s="179"/>
      <c r="C5" s="181">
        <v>124</v>
      </c>
      <c r="D5" s="179"/>
      <c r="E5" s="182">
        <v>6260.3701300000002</v>
      </c>
      <c r="F5" s="182">
        <v>-2292</v>
      </c>
      <c r="G5" s="182">
        <v>6296</v>
      </c>
      <c r="H5" s="183">
        <f t="shared" ref="H5:H13" si="4">F5+G5</f>
        <v>4004</v>
      </c>
      <c r="I5" s="184">
        <f t="shared" si="0"/>
        <v>10264.370129999999</v>
      </c>
      <c r="J5" s="171"/>
      <c r="K5" s="171"/>
      <c r="L5" s="171" t="s">
        <v>224</v>
      </c>
      <c r="M5" s="171"/>
      <c r="N5" s="185">
        <v>-170.29</v>
      </c>
      <c r="O5" s="186">
        <f t="shared" ref="O5:O7" si="5">E5</f>
        <v>6260.3701300000002</v>
      </c>
      <c r="P5" s="186">
        <f t="shared" si="1"/>
        <v>6296</v>
      </c>
      <c r="Q5" s="187">
        <v>-2.7199999999999998E-2</v>
      </c>
      <c r="R5" s="188">
        <f t="shared" ref="R5:R10" si="6">P5*Q5</f>
        <v>-171.25119999999998</v>
      </c>
      <c r="S5" s="186">
        <f t="shared" si="2"/>
        <v>-2292</v>
      </c>
      <c r="T5" s="187">
        <f t="shared" ref="T5:T10" si="7">Q5</f>
        <v>-2.7199999999999998E-2</v>
      </c>
      <c r="U5" s="189">
        <f t="shared" ref="U5:U10" si="8">S5*T5</f>
        <v>62.342399999999998</v>
      </c>
      <c r="V5" s="171"/>
      <c r="W5" s="190">
        <f t="shared" ref="W5:W10" si="9">N5+R5+U5</f>
        <v>-279.19880000000001</v>
      </c>
      <c r="X5" s="171"/>
      <c r="Y5" s="191">
        <f t="shared" ref="Y5:Y10" si="10">O5+P5+S5</f>
        <v>10264.370129999999</v>
      </c>
      <c r="Z5" s="192">
        <f t="shared" ref="Z5:Z10" si="11">Q5</f>
        <v>-2.7199999999999998E-2</v>
      </c>
      <c r="AA5" s="193">
        <f t="shared" ref="AA5:AA10" si="12">Y5*Z5</f>
        <v>-279.19086753599998</v>
      </c>
      <c r="AB5" s="190">
        <f t="shared" ref="AB5:AB10" si="13">W5-AA5</f>
        <v>-7.9324640000209001E-3</v>
      </c>
      <c r="AC5" s="191">
        <f t="shared" ref="AC5:AC10" si="14">AB5/T5</f>
        <v>0.29163470588312135</v>
      </c>
      <c r="AD5" s="194">
        <f t="shared" si="3"/>
        <v>2.8411526124112639E-5</v>
      </c>
      <c r="AE5" s="77"/>
      <c r="AF5" s="77"/>
      <c r="AG5" s="77"/>
    </row>
    <row r="6" spans="1:33" x14ac:dyDescent="0.25">
      <c r="A6" s="180" t="s">
        <v>225</v>
      </c>
      <c r="B6" s="179"/>
      <c r="C6" s="181">
        <v>3136</v>
      </c>
      <c r="D6" s="179"/>
      <c r="E6" s="182">
        <v>3658692.9313500002</v>
      </c>
      <c r="F6" s="182">
        <v>-1802326</v>
      </c>
      <c r="G6" s="182">
        <v>3448041</v>
      </c>
      <c r="H6" s="183">
        <f t="shared" si="4"/>
        <v>1645715</v>
      </c>
      <c r="I6" s="184">
        <f>SUM(E6:G6)</f>
        <v>5304407.9313500002</v>
      </c>
      <c r="J6" s="171"/>
      <c r="K6" s="171"/>
      <c r="L6" s="171" t="s">
        <v>226</v>
      </c>
      <c r="M6" s="171"/>
      <c r="N6" s="185">
        <v>25281.5</v>
      </c>
      <c r="O6" s="186">
        <f t="shared" si="5"/>
        <v>3658692.9313500002</v>
      </c>
      <c r="P6" s="186">
        <f t="shared" si="1"/>
        <v>3448041</v>
      </c>
      <c r="Q6" s="195">
        <v>6.9100000000000003E-3</v>
      </c>
      <c r="R6" s="188">
        <f t="shared" si="6"/>
        <v>23825.963310000003</v>
      </c>
      <c r="S6" s="186">
        <f t="shared" si="2"/>
        <v>-1802326</v>
      </c>
      <c r="T6" s="187">
        <f t="shared" si="7"/>
        <v>6.9100000000000003E-3</v>
      </c>
      <c r="U6" s="189">
        <f t="shared" si="8"/>
        <v>-12454.07266</v>
      </c>
      <c r="V6" s="171"/>
      <c r="W6" s="190">
        <f t="shared" si="9"/>
        <v>36653.390650000008</v>
      </c>
      <c r="X6" s="171"/>
      <c r="Y6" s="191">
        <f t="shared" si="10"/>
        <v>5304407.9313500002</v>
      </c>
      <c r="Z6" s="179">
        <f t="shared" si="11"/>
        <v>6.9100000000000003E-3</v>
      </c>
      <c r="AA6" s="193">
        <f t="shared" si="12"/>
        <v>36653.458805628507</v>
      </c>
      <c r="AB6" s="190">
        <f t="shared" si="13"/>
        <v>-6.815562849806156E-2</v>
      </c>
      <c r="AC6" s="191">
        <f t="shared" si="14"/>
        <v>-9.8633326335834379</v>
      </c>
      <c r="AD6" s="194">
        <f t="shared" si="3"/>
        <v>-1.8594631298608535E-6</v>
      </c>
      <c r="AE6" s="77"/>
      <c r="AF6" s="77"/>
      <c r="AG6" s="77"/>
    </row>
    <row r="7" spans="1:33" x14ac:dyDescent="0.25">
      <c r="A7" s="180" t="s">
        <v>227</v>
      </c>
      <c r="B7" s="179"/>
      <c r="C7" s="181">
        <v>1</v>
      </c>
      <c r="D7" s="179"/>
      <c r="E7" s="182">
        <v>11540.242</v>
      </c>
      <c r="F7" s="182">
        <v>-6886</v>
      </c>
      <c r="G7" s="182">
        <v>11606</v>
      </c>
      <c r="H7" s="183">
        <f t="shared" si="4"/>
        <v>4720</v>
      </c>
      <c r="I7" s="184">
        <f>SUM(E7:G7)</f>
        <v>16260.242</v>
      </c>
      <c r="J7" s="171"/>
      <c r="K7" s="171"/>
      <c r="L7" s="171" t="s">
        <v>228</v>
      </c>
      <c r="M7" s="171"/>
      <c r="N7" s="185">
        <v>0</v>
      </c>
      <c r="O7" s="186">
        <f t="shared" si="5"/>
        <v>11540.242</v>
      </c>
      <c r="P7" s="186">
        <f t="shared" si="1"/>
        <v>11606</v>
      </c>
      <c r="Q7" s="187">
        <v>0</v>
      </c>
      <c r="R7" s="188">
        <f t="shared" si="6"/>
        <v>0</v>
      </c>
      <c r="S7" s="186">
        <f t="shared" si="2"/>
        <v>-6886</v>
      </c>
      <c r="T7" s="187">
        <f t="shared" si="7"/>
        <v>0</v>
      </c>
      <c r="U7" s="189">
        <f t="shared" si="8"/>
        <v>0</v>
      </c>
      <c r="V7" s="171"/>
      <c r="W7" s="190">
        <f t="shared" si="9"/>
        <v>0</v>
      </c>
      <c r="X7" s="171"/>
      <c r="Y7" s="191">
        <f t="shared" si="10"/>
        <v>16260.241999999998</v>
      </c>
      <c r="Z7" s="192">
        <f t="shared" si="11"/>
        <v>0</v>
      </c>
      <c r="AA7" s="193">
        <f t="shared" si="12"/>
        <v>0</v>
      </c>
      <c r="AB7" s="190">
        <f t="shared" si="13"/>
        <v>0</v>
      </c>
      <c r="AC7" s="191"/>
      <c r="AD7" s="194"/>
      <c r="AE7" s="77"/>
      <c r="AF7" s="77"/>
      <c r="AG7" s="77"/>
    </row>
    <row r="8" spans="1:33" x14ac:dyDescent="0.25">
      <c r="A8" s="180" t="s">
        <v>229</v>
      </c>
      <c r="B8" s="179"/>
      <c r="C8" s="181">
        <v>4</v>
      </c>
      <c r="D8" s="287"/>
      <c r="E8" s="182">
        <v>137341.47399999999</v>
      </c>
      <c r="F8" s="182">
        <v>-87993</v>
      </c>
      <c r="G8" s="182">
        <v>138127</v>
      </c>
      <c r="H8" s="183">
        <f t="shared" si="4"/>
        <v>50134</v>
      </c>
      <c r="I8" s="184">
        <f t="shared" si="0"/>
        <v>187475.47399999999</v>
      </c>
      <c r="J8" s="171"/>
      <c r="K8" s="171"/>
      <c r="L8" s="171" t="s">
        <v>230</v>
      </c>
      <c r="M8" s="171"/>
      <c r="N8" s="185">
        <v>949.02</v>
      </c>
      <c r="O8" s="186">
        <f>E8</f>
        <v>137341.47399999999</v>
      </c>
      <c r="P8" s="186">
        <f t="shared" si="1"/>
        <v>138127</v>
      </c>
      <c r="Q8" s="195">
        <v>6.9100000000000003E-3</v>
      </c>
      <c r="R8" s="188">
        <f t="shared" si="6"/>
        <v>954.45757000000003</v>
      </c>
      <c r="S8" s="186">
        <f t="shared" si="2"/>
        <v>-87993</v>
      </c>
      <c r="T8" s="187">
        <f t="shared" si="7"/>
        <v>6.9100000000000003E-3</v>
      </c>
      <c r="U8" s="189">
        <f t="shared" si="8"/>
        <v>-608.03163000000006</v>
      </c>
      <c r="V8" s="171"/>
      <c r="W8" s="190">
        <f>N8+R8+U8</f>
        <v>1295.4459400000001</v>
      </c>
      <c r="X8" s="171"/>
      <c r="Y8" s="191">
        <f t="shared" si="10"/>
        <v>187475.47399999999</v>
      </c>
      <c r="Z8" s="179">
        <f t="shared" si="11"/>
        <v>6.9100000000000003E-3</v>
      </c>
      <c r="AA8" s="193">
        <f t="shared" si="12"/>
        <v>1295.4555253399999</v>
      </c>
      <c r="AB8" s="190">
        <f t="shared" si="13"/>
        <v>-9.5853399998304667E-3</v>
      </c>
      <c r="AC8" s="191">
        <f t="shared" si="14"/>
        <v>-1.387169319801804</v>
      </c>
      <c r="AD8" s="194">
        <f>AB8/W8</f>
        <v>-7.3992589762799875E-6</v>
      </c>
      <c r="AE8" s="77"/>
      <c r="AF8" s="77"/>
      <c r="AG8" s="77"/>
    </row>
    <row r="9" spans="1:33" x14ac:dyDescent="0.25">
      <c r="A9" s="180" t="s">
        <v>231</v>
      </c>
      <c r="B9" s="179"/>
      <c r="C9" s="181">
        <v>1</v>
      </c>
      <c r="D9" s="287"/>
      <c r="E9" s="182">
        <v>30772.944</v>
      </c>
      <c r="F9" s="182">
        <v>-25141</v>
      </c>
      <c r="G9" s="182">
        <v>30949</v>
      </c>
      <c r="H9" s="183">
        <f t="shared" si="4"/>
        <v>5808</v>
      </c>
      <c r="I9" s="184">
        <f t="shared" si="0"/>
        <v>36580.944000000003</v>
      </c>
      <c r="J9" s="171"/>
      <c r="K9" s="171"/>
      <c r="L9" s="171" t="s">
        <v>137</v>
      </c>
      <c r="M9" s="171"/>
      <c r="N9" s="185">
        <v>0</v>
      </c>
      <c r="O9" s="186">
        <f>E9</f>
        <v>30772.944</v>
      </c>
      <c r="P9" s="186">
        <f t="shared" si="1"/>
        <v>30949</v>
      </c>
      <c r="Q9" s="187">
        <v>0</v>
      </c>
      <c r="R9" s="188">
        <f t="shared" si="6"/>
        <v>0</v>
      </c>
      <c r="S9" s="186">
        <f t="shared" si="2"/>
        <v>-25141</v>
      </c>
      <c r="T9" s="187">
        <f t="shared" si="7"/>
        <v>0</v>
      </c>
      <c r="U9" s="189">
        <f t="shared" si="8"/>
        <v>0</v>
      </c>
      <c r="V9" s="171"/>
      <c r="W9" s="190">
        <f>N9+R9+U9</f>
        <v>0</v>
      </c>
      <c r="X9" s="171"/>
      <c r="Y9" s="191">
        <f t="shared" si="10"/>
        <v>36580.944000000003</v>
      </c>
      <c r="Z9" s="192">
        <f t="shared" si="11"/>
        <v>0</v>
      </c>
      <c r="AA9" s="193">
        <f t="shared" si="12"/>
        <v>0</v>
      </c>
      <c r="AB9" s="190">
        <f t="shared" si="13"/>
        <v>0</v>
      </c>
      <c r="AC9" s="191"/>
      <c r="AD9" s="194"/>
      <c r="AE9" s="77"/>
      <c r="AF9" s="77"/>
      <c r="AG9" s="77"/>
    </row>
    <row r="10" spans="1:33" x14ac:dyDescent="0.25">
      <c r="A10" s="180" t="s">
        <v>232</v>
      </c>
      <c r="B10" s="179"/>
      <c r="C10" s="181">
        <v>3</v>
      </c>
      <c r="D10" s="179"/>
      <c r="E10" s="182">
        <v>107004.38</v>
      </c>
      <c r="F10" s="182"/>
      <c r="G10" s="182"/>
      <c r="H10" s="183">
        <f t="shared" si="4"/>
        <v>0</v>
      </c>
      <c r="I10" s="184">
        <f t="shared" si="0"/>
        <v>107004.38</v>
      </c>
      <c r="J10" s="171"/>
      <c r="K10" s="171"/>
      <c r="L10" s="171" t="s">
        <v>233</v>
      </c>
      <c r="M10" s="171"/>
      <c r="N10" s="185">
        <v>0</v>
      </c>
      <c r="O10" s="186">
        <v>0</v>
      </c>
      <c r="P10" s="186">
        <v>0</v>
      </c>
      <c r="Q10" s="195">
        <v>6.9100000000000003E-3</v>
      </c>
      <c r="R10" s="188">
        <f t="shared" si="6"/>
        <v>0</v>
      </c>
      <c r="S10" s="186">
        <v>0</v>
      </c>
      <c r="T10" s="187">
        <f t="shared" si="7"/>
        <v>6.9100000000000003E-3</v>
      </c>
      <c r="U10" s="189">
        <f t="shared" si="8"/>
        <v>0</v>
      </c>
      <c r="V10" s="171"/>
      <c r="W10" s="190">
        <f t="shared" si="9"/>
        <v>0</v>
      </c>
      <c r="X10" s="171"/>
      <c r="Y10" s="191">
        <f t="shared" si="10"/>
        <v>0</v>
      </c>
      <c r="Z10" s="179">
        <f t="shared" si="11"/>
        <v>6.9100000000000003E-3</v>
      </c>
      <c r="AA10" s="193">
        <f t="shared" si="12"/>
        <v>0</v>
      </c>
      <c r="AB10" s="190">
        <f t="shared" si="13"/>
        <v>0</v>
      </c>
      <c r="AC10" s="191">
        <f t="shared" si="14"/>
        <v>0</v>
      </c>
      <c r="AD10" s="194"/>
      <c r="AE10" s="77"/>
      <c r="AF10" s="77"/>
      <c r="AG10" s="77"/>
    </row>
    <row r="11" spans="1:33" x14ac:dyDescent="0.25">
      <c r="A11" s="180" t="s">
        <v>234</v>
      </c>
      <c r="B11" s="179"/>
      <c r="C11" s="181">
        <v>38</v>
      </c>
      <c r="D11" s="179"/>
      <c r="E11" s="182">
        <v>2566070</v>
      </c>
      <c r="F11" s="182">
        <v>-2566202</v>
      </c>
      <c r="G11" s="182">
        <v>3210986</v>
      </c>
      <c r="H11" s="183">
        <f t="shared" si="4"/>
        <v>644784</v>
      </c>
      <c r="I11" s="184">
        <f t="shared" si="0"/>
        <v>3210854</v>
      </c>
      <c r="J11" s="171"/>
      <c r="K11" s="171"/>
      <c r="L11" s="171"/>
      <c r="M11" s="171"/>
      <c r="N11" s="196">
        <f>SUM(N4:N10)</f>
        <v>-180665.36000000002</v>
      </c>
      <c r="O11" s="197">
        <f>SUM(O4:O10)</f>
        <v>11444928.51959</v>
      </c>
      <c r="P11" s="197">
        <f>SUM(P4:P10)</f>
        <v>11270348</v>
      </c>
      <c r="Q11" s="171"/>
      <c r="R11" s="196">
        <f>SUM(R4:R10)</f>
        <v>-183071.77911999999</v>
      </c>
      <c r="S11" s="197">
        <f>SUM(S4:S10)</f>
        <v>-4408624</v>
      </c>
      <c r="T11" s="198"/>
      <c r="U11" s="196">
        <f>SUM(U4:U10)</f>
        <v>54564.657309999988</v>
      </c>
      <c r="V11" s="171"/>
      <c r="W11" s="196">
        <f>SUM(W4:W10)</f>
        <v>-309172.48180999997</v>
      </c>
      <c r="X11" s="171"/>
      <c r="Y11" s="199">
        <f>SUM(Y4:Y10)</f>
        <v>18306652.519589998</v>
      </c>
      <c r="Z11" s="171"/>
      <c r="AA11" s="199">
        <f>SUM(AA4:AA10)</f>
        <v>-309175.52531715942</v>
      </c>
      <c r="AB11" s="196">
        <f>SUM(AB4:AB10)</f>
        <v>3.0435071594629903</v>
      </c>
      <c r="AC11" s="199">
        <f>SUM(AC4:AC10)</f>
        <v>-126.0022713637118</v>
      </c>
      <c r="AD11" s="194">
        <f t="shared" si="3"/>
        <v>-9.8440428515671036E-6</v>
      </c>
      <c r="AE11" s="77"/>
      <c r="AF11" s="77"/>
      <c r="AG11" s="77"/>
    </row>
    <row r="12" spans="1:33" x14ac:dyDescent="0.25">
      <c r="A12" s="180" t="s">
        <v>235</v>
      </c>
      <c r="B12" s="179"/>
      <c r="C12" s="181">
        <v>3</v>
      </c>
      <c r="D12" s="179"/>
      <c r="E12" s="182">
        <v>813959</v>
      </c>
      <c r="F12" s="182"/>
      <c r="G12" s="182"/>
      <c r="H12" s="183">
        <f t="shared" si="4"/>
        <v>0</v>
      </c>
      <c r="I12" s="184">
        <f t="shared" si="0"/>
        <v>813959</v>
      </c>
      <c r="J12" s="171"/>
      <c r="K12" s="171"/>
      <c r="L12" s="171"/>
      <c r="M12" s="171"/>
      <c r="N12" s="171"/>
      <c r="O12" s="200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77"/>
      <c r="AF12" s="77"/>
      <c r="AG12" s="77"/>
    </row>
    <row r="13" spans="1:33" x14ac:dyDescent="0.25">
      <c r="A13" s="180" t="s">
        <v>236</v>
      </c>
      <c r="B13" s="179"/>
      <c r="C13" s="181">
        <v>5</v>
      </c>
      <c r="D13" s="201"/>
      <c r="E13" s="182">
        <v>3678027</v>
      </c>
      <c r="F13" s="182">
        <v>-3678155</v>
      </c>
      <c r="G13" s="182">
        <v>4165893</v>
      </c>
      <c r="H13" s="183">
        <f t="shared" si="4"/>
        <v>487738</v>
      </c>
      <c r="I13" s="184">
        <f t="shared" si="0"/>
        <v>4165765</v>
      </c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2" t="s">
        <v>237</v>
      </c>
      <c r="U13" s="171" t="s">
        <v>238</v>
      </c>
      <c r="V13" s="171"/>
      <c r="W13" s="202">
        <v>0.95466099999999998</v>
      </c>
      <c r="X13" s="171"/>
      <c r="Y13" s="171"/>
      <c r="Z13" s="171" t="s">
        <v>239</v>
      </c>
      <c r="AA13" s="171" t="s">
        <v>240</v>
      </c>
      <c r="AB13" s="171"/>
      <c r="AC13" s="171" t="s">
        <v>241</v>
      </c>
      <c r="AD13" s="171"/>
      <c r="AE13" s="77"/>
      <c r="AF13" s="77"/>
      <c r="AG13" s="77"/>
    </row>
    <row r="14" spans="1:33" x14ac:dyDescent="0.25">
      <c r="A14" s="179"/>
      <c r="B14" s="179"/>
      <c r="C14" s="203">
        <f>SUM(C4:C13)</f>
        <v>172639</v>
      </c>
      <c r="D14" s="171"/>
      <c r="E14" s="203">
        <f>SUM(E4:E13)</f>
        <v>18609988.899590001</v>
      </c>
      <c r="F14" s="203">
        <f>SUM(F4:F13)</f>
        <v>-10652981</v>
      </c>
      <c r="G14" s="203">
        <f>SUM(G4:G13)</f>
        <v>18647227</v>
      </c>
      <c r="H14" s="203">
        <f>SUM(H4:H13)</f>
        <v>7994246</v>
      </c>
      <c r="I14" s="203">
        <f t="shared" ref="I14" si="15">SUM(I4:I13)</f>
        <v>26604234.899589997</v>
      </c>
      <c r="J14" s="171"/>
      <c r="K14" s="171"/>
      <c r="L14" s="171"/>
      <c r="M14" s="171"/>
      <c r="N14" s="171"/>
      <c r="O14" s="171"/>
      <c r="P14" s="171"/>
      <c r="Q14" s="171"/>
      <c r="R14" s="171"/>
      <c r="S14" s="171" t="s">
        <v>184</v>
      </c>
      <c r="T14" s="171" t="s">
        <v>242</v>
      </c>
      <c r="U14" s="171"/>
      <c r="V14" s="171"/>
      <c r="W14" s="204">
        <f>(W4+W5)*W13</f>
        <v>-331383.18494506238</v>
      </c>
      <c r="X14" s="171"/>
      <c r="Y14" s="171" t="s">
        <v>28</v>
      </c>
      <c r="Z14" s="183">
        <f>O4+O5+P4+P5+S4+S5</f>
        <v>12761927.928239999</v>
      </c>
      <c r="AA14" s="179">
        <v>-2.597E-2</v>
      </c>
      <c r="AB14" s="190">
        <f>Z14*AA14</f>
        <v>-331427.26829639281</v>
      </c>
      <c r="AC14" s="190">
        <f>W14-AB14</f>
        <v>44.083351330424193</v>
      </c>
      <c r="AD14" s="194">
        <f>AC14/W14</f>
        <v>-1.3302832893507391E-4</v>
      </c>
      <c r="AE14" s="77"/>
      <c r="AF14" s="77"/>
      <c r="AG14" s="77"/>
    </row>
    <row r="15" spans="1:33" ht="15.75" thickBot="1" x14ac:dyDescent="0.3">
      <c r="A15" s="179"/>
      <c r="B15" s="179"/>
      <c r="C15" s="179"/>
      <c r="D15" s="171"/>
      <c r="E15" s="179"/>
      <c r="F15" s="179"/>
      <c r="G15" s="179"/>
      <c r="H15" s="179"/>
      <c r="I15" s="179"/>
      <c r="J15" s="171"/>
      <c r="K15" s="171"/>
      <c r="L15" s="171"/>
      <c r="M15" s="171"/>
      <c r="N15" s="171"/>
      <c r="O15" s="171"/>
      <c r="P15" s="171"/>
      <c r="Q15" s="171"/>
      <c r="R15" s="171"/>
      <c r="S15" s="171" t="s">
        <v>184</v>
      </c>
      <c r="T15" s="171" t="s">
        <v>243</v>
      </c>
      <c r="U15" s="171"/>
      <c r="V15" s="171"/>
      <c r="W15" s="204">
        <f>SUM(W6:W10)*W13</f>
        <v>36228.274287845998</v>
      </c>
      <c r="X15" s="171"/>
      <c r="Y15" s="171" t="s">
        <v>244</v>
      </c>
      <c r="Z15" s="183">
        <f>SUM(O6:P10,S6:S10)</f>
        <v>5544724.5913500004</v>
      </c>
      <c r="AA15" s="192">
        <v>6.6E-3</v>
      </c>
      <c r="AB15" s="190">
        <f>(Z15-Y9-Y7)*AA15</f>
        <v>36246.43047531</v>
      </c>
      <c r="AC15" s="190">
        <f>W15-AB15</f>
        <v>-18.156187464002869</v>
      </c>
      <c r="AD15" s="194">
        <f>AC15/W15</f>
        <v>-5.0116070447479128E-4</v>
      </c>
      <c r="AE15" s="77"/>
      <c r="AF15" s="77"/>
      <c r="AG15" s="77"/>
    </row>
    <row r="16" spans="1:33" x14ac:dyDescent="0.25">
      <c r="A16" s="179" t="s">
        <v>28</v>
      </c>
      <c r="B16" s="179"/>
      <c r="C16" s="205">
        <f>C4+C5</f>
        <v>169448</v>
      </c>
      <c r="D16" s="171"/>
      <c r="E16" s="206">
        <f>E4+E5</f>
        <v>7606580.9282399993</v>
      </c>
      <c r="F16" s="206">
        <f t="shared" ref="F16:H16" si="16">F4+F5</f>
        <v>-2486278</v>
      </c>
      <c r="G16" s="206">
        <f t="shared" si="16"/>
        <v>7641625</v>
      </c>
      <c r="H16" s="206">
        <f t="shared" si="16"/>
        <v>5155347</v>
      </c>
      <c r="I16" s="205">
        <f>I4+I5</f>
        <v>12761927.928239999</v>
      </c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77"/>
      <c r="AF16" s="77"/>
      <c r="AG16" s="77"/>
    </row>
    <row r="17" spans="1:33" x14ac:dyDescent="0.25">
      <c r="A17" s="179"/>
      <c r="B17" s="179"/>
      <c r="C17" s="207"/>
      <c r="D17" s="171"/>
      <c r="E17" s="179"/>
      <c r="F17" s="179"/>
      <c r="G17" s="179"/>
      <c r="H17" s="179"/>
      <c r="I17" s="208"/>
      <c r="J17" s="171"/>
      <c r="K17" s="171"/>
      <c r="L17" s="171"/>
      <c r="M17" s="171"/>
      <c r="N17" s="171"/>
      <c r="O17" s="171"/>
      <c r="P17" s="171"/>
      <c r="Q17" s="171"/>
      <c r="R17" s="190">
        <f>R11+U11</f>
        <v>-128507.12181000001</v>
      </c>
      <c r="S17" s="171" t="s">
        <v>320</v>
      </c>
      <c r="T17" s="171"/>
      <c r="U17" s="171"/>
      <c r="V17" s="171"/>
      <c r="W17" s="171"/>
      <c r="X17" s="171"/>
      <c r="Y17" s="171" t="s">
        <v>245</v>
      </c>
      <c r="Z17" s="171"/>
      <c r="AA17" s="171"/>
      <c r="AB17" s="171"/>
      <c r="AC17" s="171"/>
      <c r="AD17" s="171"/>
      <c r="AE17" s="77"/>
      <c r="AF17" s="77"/>
      <c r="AG17" s="77"/>
    </row>
    <row r="18" spans="1:33" ht="15.75" thickBot="1" x14ac:dyDescent="0.3">
      <c r="A18" s="179" t="s">
        <v>244</v>
      </c>
      <c r="B18" s="179"/>
      <c r="C18" s="209">
        <f>SUM(C6:C9)</f>
        <v>3142</v>
      </c>
      <c r="D18" s="171"/>
      <c r="E18" s="210">
        <f>SUM(E6:E9)</f>
        <v>3838347.5913500004</v>
      </c>
      <c r="F18" s="210">
        <f t="shared" ref="F18:H18" si="17">SUM(F6:F9)</f>
        <v>-1922346</v>
      </c>
      <c r="G18" s="210">
        <f t="shared" si="17"/>
        <v>3628723</v>
      </c>
      <c r="H18" s="210">
        <f t="shared" si="17"/>
        <v>1706377</v>
      </c>
      <c r="I18" s="209">
        <f>SUM(I6:I9)</f>
        <v>5544724.5913500004</v>
      </c>
      <c r="J18" s="171"/>
      <c r="K18" s="171"/>
      <c r="L18" s="171"/>
      <c r="M18" s="171"/>
      <c r="N18" s="171"/>
      <c r="O18" s="171"/>
      <c r="P18" s="171"/>
      <c r="Q18" s="171"/>
      <c r="R18" s="190">
        <f>F64</f>
        <v>-128507.12180999998</v>
      </c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77"/>
      <c r="AF18" s="77"/>
      <c r="AG18" s="77"/>
    </row>
    <row r="19" spans="1:33" x14ac:dyDescent="0.25">
      <c r="A19" s="179"/>
      <c r="B19" s="179"/>
      <c r="C19" s="179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77"/>
      <c r="AF19" s="77"/>
      <c r="AG19" s="77"/>
    </row>
    <row r="20" spans="1:33" ht="51.75" x14ac:dyDescent="0.25">
      <c r="A20" s="174"/>
      <c r="B20" s="211"/>
      <c r="C20" s="177" t="s">
        <v>246</v>
      </c>
      <c r="D20" s="212" t="s">
        <v>247</v>
      </c>
      <c r="E20" s="177" t="s">
        <v>248</v>
      </c>
      <c r="F20" s="177" t="s">
        <v>249</v>
      </c>
      <c r="G20" s="177" t="s">
        <v>250</v>
      </c>
      <c r="H20" s="177" t="s">
        <v>251</v>
      </c>
      <c r="I20" s="177" t="s">
        <v>252</v>
      </c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77"/>
      <c r="AF20" s="77"/>
      <c r="AG20" s="77"/>
    </row>
    <row r="21" spans="1:33" x14ac:dyDescent="0.25">
      <c r="A21" s="179"/>
      <c r="B21" s="179"/>
      <c r="C21" s="179"/>
      <c r="D21" s="179"/>
      <c r="E21" s="179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77"/>
      <c r="AF21" s="77"/>
      <c r="AG21" s="77"/>
    </row>
    <row r="22" spans="1:33" x14ac:dyDescent="0.25">
      <c r="A22" s="180" t="s">
        <v>221</v>
      </c>
      <c r="B22" s="179"/>
      <c r="C22" s="213">
        <v>1632651</v>
      </c>
      <c r="D22" s="213">
        <v>4537859.3600000003</v>
      </c>
      <c r="E22" s="213">
        <v>-2258823.7994746701</v>
      </c>
      <c r="F22" s="213">
        <f>5394188-F23</f>
        <v>5393297.4603219572</v>
      </c>
      <c r="G22" s="214">
        <f>SUM(D22:F22)</f>
        <v>7672333.020847287</v>
      </c>
      <c r="H22" s="190">
        <f>-J54</f>
        <v>-1107003.77899</v>
      </c>
      <c r="I22" s="190">
        <f t="shared" ref="I22:I31" si="18">G22+H22</f>
        <v>6565329.2418572865</v>
      </c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77"/>
      <c r="AF22" s="77"/>
      <c r="AG22" s="77"/>
    </row>
    <row r="23" spans="1:33" x14ac:dyDescent="0.25">
      <c r="A23" s="180" t="s">
        <v>223</v>
      </c>
      <c r="B23" s="179"/>
      <c r="C23" s="213">
        <v>1197</v>
      </c>
      <c r="D23" s="213">
        <v>3562.06</v>
      </c>
      <c r="E23" s="213">
        <v>-421.20052533111902</v>
      </c>
      <c r="F23" s="213">
        <f>G5*(K23-C23)/E5</f>
        <v>890.53967804296576</v>
      </c>
      <c r="G23" s="214">
        <f>SUM(D23:F23)</f>
        <v>4031.3991527118469</v>
      </c>
      <c r="H23" s="190">
        <f>-J55</f>
        <v>1258.6840000000004</v>
      </c>
      <c r="I23" s="190">
        <f t="shared" si="18"/>
        <v>5290.0831527118471</v>
      </c>
      <c r="J23" s="171"/>
      <c r="K23" s="294">
        <v>2082.5</v>
      </c>
      <c r="L23" s="171" t="s">
        <v>277</v>
      </c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77"/>
      <c r="AF23" s="77"/>
      <c r="AG23" s="77"/>
    </row>
    <row r="24" spans="1:33" x14ac:dyDescent="0.25">
      <c r="A24" s="180" t="s">
        <v>225</v>
      </c>
      <c r="B24" s="179"/>
      <c r="C24" s="213">
        <v>305603.20000000001</v>
      </c>
      <c r="D24" s="213">
        <v>1189753.6000000001</v>
      </c>
      <c r="E24" s="213">
        <v>-882653</v>
      </c>
      <c r="F24" s="213">
        <v>1692506</v>
      </c>
      <c r="G24" s="214">
        <f>SUM(D24:F24)</f>
        <v>1999606.6</v>
      </c>
      <c r="H24" s="190">
        <f>-J56</f>
        <v>-391445.71167999995</v>
      </c>
      <c r="I24" s="190">
        <f t="shared" si="18"/>
        <v>1608160.8883200001</v>
      </c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77"/>
      <c r="AF24" s="77"/>
      <c r="AG24" s="77"/>
    </row>
    <row r="25" spans="1:33" x14ac:dyDescent="0.25">
      <c r="A25" s="180" t="s">
        <v>227</v>
      </c>
      <c r="B25" s="179"/>
      <c r="C25" s="213">
        <v>97.27</v>
      </c>
      <c r="D25" s="213">
        <v>3043.85</v>
      </c>
      <c r="E25" s="213">
        <v>-3876</v>
      </c>
      <c r="F25" s="213">
        <v>6545</v>
      </c>
      <c r="G25" s="214">
        <f>SUM(D25:F25)</f>
        <v>5712.85</v>
      </c>
      <c r="H25" s="190">
        <f>-J57</f>
        <v>-1469.4707800000001</v>
      </c>
      <c r="I25" s="190">
        <f>G25+H25</f>
        <v>4243.3792200000007</v>
      </c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77"/>
      <c r="AF25" s="77"/>
      <c r="AG25" s="77"/>
    </row>
    <row r="26" spans="1:33" x14ac:dyDescent="0.25">
      <c r="A26" s="180" t="s">
        <v>229</v>
      </c>
      <c r="B26" s="179"/>
      <c r="C26" s="213">
        <v>961.75</v>
      </c>
      <c r="D26" s="213">
        <v>27859.32</v>
      </c>
      <c r="E26" s="213">
        <v>-33674</v>
      </c>
      <c r="F26" s="213">
        <v>52860</v>
      </c>
      <c r="G26" s="214">
        <f t="shared" ref="G26:G31" si="19">SUM(D26:F26)</f>
        <v>47045.32</v>
      </c>
      <c r="H26" s="190">
        <f t="shared" ref="H26:H31" si="20">-J58</f>
        <v>-13190.646989999997</v>
      </c>
      <c r="I26" s="190">
        <f t="shared" si="18"/>
        <v>33854.673009999999</v>
      </c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77"/>
      <c r="AF26" s="77"/>
      <c r="AG26" s="77"/>
    </row>
    <row r="27" spans="1:33" x14ac:dyDescent="0.25">
      <c r="A27" s="180" t="s">
        <v>231</v>
      </c>
      <c r="B27" s="179"/>
      <c r="C27" s="213">
        <v>240.45</v>
      </c>
      <c r="D27" s="213">
        <v>6908.08</v>
      </c>
      <c r="E27" s="213">
        <v>-9621</v>
      </c>
      <c r="F27" s="213">
        <v>11844</v>
      </c>
      <c r="G27" s="214">
        <f t="shared" si="19"/>
        <v>9131.08</v>
      </c>
      <c r="H27" s="190">
        <f t="shared" si="20"/>
        <v>-1794.54739</v>
      </c>
      <c r="I27" s="190">
        <f t="shared" si="18"/>
        <v>7336.5326100000002</v>
      </c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77"/>
      <c r="AF27" s="77"/>
      <c r="AG27" s="77"/>
    </row>
    <row r="28" spans="1:33" x14ac:dyDescent="0.25">
      <c r="A28" s="180" t="s">
        <v>232</v>
      </c>
      <c r="B28" s="179"/>
      <c r="C28" s="213">
        <v>0</v>
      </c>
      <c r="D28" s="213">
        <v>22227.71</v>
      </c>
      <c r="E28" s="213"/>
      <c r="F28" s="213"/>
      <c r="G28" s="214">
        <f t="shared" si="19"/>
        <v>22227.71</v>
      </c>
      <c r="H28" s="190">
        <f t="shared" si="20"/>
        <v>0</v>
      </c>
      <c r="I28" s="190">
        <f t="shared" si="18"/>
        <v>22227.71</v>
      </c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77"/>
      <c r="AF28" s="77"/>
      <c r="AG28" s="77"/>
    </row>
    <row r="29" spans="1:33" x14ac:dyDescent="0.25">
      <c r="A29" s="180" t="s">
        <v>234</v>
      </c>
      <c r="B29" s="179"/>
      <c r="C29" s="213">
        <v>21450</v>
      </c>
      <c r="D29" s="213">
        <v>231959.79</v>
      </c>
      <c r="E29" s="213">
        <v>-141988</v>
      </c>
      <c r="F29" s="213">
        <v>177857</v>
      </c>
      <c r="G29" s="214">
        <f t="shared" si="19"/>
        <v>267828.79000000004</v>
      </c>
      <c r="H29" s="190">
        <f t="shared" si="20"/>
        <v>-1030.8783600000002</v>
      </c>
      <c r="I29" s="190">
        <f t="shared" si="18"/>
        <v>266797.91164000006</v>
      </c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77"/>
      <c r="AF29" s="77"/>
      <c r="AG29" s="77"/>
    </row>
    <row r="30" spans="1:33" x14ac:dyDescent="0.25">
      <c r="A30" s="180" t="s">
        <v>235</v>
      </c>
      <c r="B30" s="179"/>
      <c r="C30" s="213">
        <v>0</v>
      </c>
      <c r="D30" s="213">
        <v>17019.88</v>
      </c>
      <c r="E30" s="213"/>
      <c r="F30" s="213"/>
      <c r="G30" s="214">
        <f t="shared" si="19"/>
        <v>17019.88</v>
      </c>
      <c r="H30" s="190">
        <f t="shared" si="20"/>
        <v>0</v>
      </c>
      <c r="I30" s="190">
        <f t="shared" si="18"/>
        <v>17019.88</v>
      </c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77"/>
      <c r="AF30" s="77"/>
      <c r="AG30" s="77"/>
    </row>
    <row r="31" spans="1:33" x14ac:dyDescent="0.25">
      <c r="A31" s="180" t="s">
        <v>236</v>
      </c>
      <c r="B31" s="179"/>
      <c r="C31" s="213">
        <v>1000</v>
      </c>
      <c r="D31" s="213">
        <v>100782</v>
      </c>
      <c r="E31" s="213">
        <v>-76910</v>
      </c>
      <c r="F31" s="213">
        <v>87109</v>
      </c>
      <c r="G31" s="214">
        <f t="shared" si="19"/>
        <v>110981</v>
      </c>
      <c r="H31" s="190">
        <f t="shared" si="20"/>
        <v>0</v>
      </c>
      <c r="I31" s="190">
        <f t="shared" si="18"/>
        <v>110981</v>
      </c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77"/>
      <c r="AF31" s="77"/>
      <c r="AG31" s="77"/>
    </row>
    <row r="32" spans="1:33" x14ac:dyDescent="0.25">
      <c r="A32" s="180" t="s">
        <v>253</v>
      </c>
      <c r="B32" s="179"/>
      <c r="C32" s="213"/>
      <c r="D32" s="213">
        <v>2567075.69</v>
      </c>
      <c r="E32" s="213"/>
      <c r="F32" s="213"/>
      <c r="G32" s="214"/>
      <c r="H32" s="190"/>
      <c r="I32" s="190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77"/>
      <c r="AF32" s="77"/>
      <c r="AG32" s="77"/>
    </row>
    <row r="33" spans="1:33" x14ac:dyDescent="0.25">
      <c r="A33" s="180" t="s">
        <v>254</v>
      </c>
      <c r="B33" s="179"/>
      <c r="C33" s="215"/>
      <c r="D33" s="213">
        <v>305703.76</v>
      </c>
      <c r="E33" s="213"/>
      <c r="F33" s="213"/>
      <c r="G33" s="214"/>
      <c r="H33" s="190"/>
      <c r="I33" s="190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77"/>
      <c r="AF33" s="77"/>
      <c r="AG33" s="77"/>
    </row>
    <row r="34" spans="1:33" x14ac:dyDescent="0.25">
      <c r="A34" s="179"/>
      <c r="B34" s="179"/>
      <c r="C34" s="196">
        <f>SUM(C22:C31)</f>
        <v>1963200.67</v>
      </c>
      <c r="D34" s="216">
        <f>SUM(D22:D33)</f>
        <v>9013755.0999999996</v>
      </c>
      <c r="E34" s="216">
        <f>SUM(E22:E33)</f>
        <v>-3407967.0000000014</v>
      </c>
      <c r="F34" s="216">
        <f>SUM(F22:F33)</f>
        <v>7422909</v>
      </c>
      <c r="G34" s="216">
        <f t="shared" ref="G34:I34" si="21">SUM(G22:G33)</f>
        <v>10155917.65</v>
      </c>
      <c r="H34" s="216">
        <f t="shared" si="21"/>
        <v>-1514676.3501900001</v>
      </c>
      <c r="I34" s="216">
        <f t="shared" si="21"/>
        <v>8641241.2998099979</v>
      </c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77"/>
      <c r="AF34" s="77"/>
      <c r="AG34" s="77"/>
    </row>
    <row r="35" spans="1:33" ht="15.75" thickBot="1" x14ac:dyDescent="0.3">
      <c r="A35" s="179"/>
      <c r="B35" s="179"/>
      <c r="C35" s="171"/>
      <c r="D35" s="217"/>
      <c r="E35" s="179"/>
      <c r="F35" s="179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77"/>
      <c r="AF35" s="77"/>
      <c r="AG35" s="77"/>
    </row>
    <row r="36" spans="1:33" x14ac:dyDescent="0.25">
      <c r="A36" s="179" t="s">
        <v>28</v>
      </c>
      <c r="B36" s="179"/>
      <c r="C36" s="218">
        <f>C22+C23</f>
        <v>1633848</v>
      </c>
      <c r="D36" s="188">
        <f>D22+D23</f>
        <v>4541421.42</v>
      </c>
      <c r="E36" s="188">
        <f t="shared" ref="E36:H36" si="22">E22+E23</f>
        <v>-2259245.0000000014</v>
      </c>
      <c r="F36" s="188">
        <f t="shared" si="22"/>
        <v>5394188</v>
      </c>
      <c r="G36" s="188">
        <f t="shared" si="22"/>
        <v>7676364.419999999</v>
      </c>
      <c r="H36" s="188">
        <f t="shared" si="22"/>
        <v>-1105745.0949900001</v>
      </c>
      <c r="I36" s="218">
        <f>I22+I23</f>
        <v>6570619.3250099979</v>
      </c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77"/>
      <c r="AF36" s="77"/>
      <c r="AG36" s="77"/>
    </row>
    <row r="37" spans="1:33" x14ac:dyDescent="0.25">
      <c r="A37" s="179"/>
      <c r="B37" s="179"/>
      <c r="C37" s="219"/>
      <c r="D37" s="188"/>
      <c r="E37" s="179"/>
      <c r="F37" s="179"/>
      <c r="G37" s="171"/>
      <c r="H37" s="171"/>
      <c r="I37" s="220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77"/>
      <c r="AF37" s="77"/>
      <c r="AG37" s="77"/>
    </row>
    <row r="38" spans="1:33" ht="15.75" thickBot="1" x14ac:dyDescent="0.3">
      <c r="A38" s="179" t="s">
        <v>244</v>
      </c>
      <c r="B38" s="179"/>
      <c r="C38" s="221">
        <f>SUM(C24:C27)</f>
        <v>306902.67000000004</v>
      </c>
      <c r="D38" s="222">
        <f>SUM(D24:D27)</f>
        <v>1227564.8500000003</v>
      </c>
      <c r="E38" s="222">
        <f t="shared" ref="E38:H38" si="23">SUM(E24:E27)</f>
        <v>-929824</v>
      </c>
      <c r="F38" s="222">
        <f t="shared" si="23"/>
        <v>1763755</v>
      </c>
      <c r="G38" s="222">
        <f t="shared" si="23"/>
        <v>2061495.8500000003</v>
      </c>
      <c r="H38" s="222">
        <f t="shared" si="23"/>
        <v>-407900.37683999992</v>
      </c>
      <c r="I38" s="221">
        <f>SUM(I24:I27)</f>
        <v>1653595.4731600003</v>
      </c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77"/>
      <c r="AF38" s="77"/>
      <c r="AG38" s="77"/>
    </row>
    <row r="39" spans="1:33" x14ac:dyDescent="0.25">
      <c r="A39" s="179"/>
      <c r="B39" s="179"/>
      <c r="C39" s="223"/>
      <c r="D39" s="222"/>
      <c r="E39" s="222"/>
      <c r="F39" s="222"/>
      <c r="G39" s="222"/>
      <c r="H39" s="222"/>
      <c r="I39" s="223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77"/>
      <c r="AF39" s="77"/>
      <c r="AG39" s="77"/>
    </row>
    <row r="40" spans="1:33" ht="76.150000000000006" customHeight="1" x14ac:dyDescent="0.25">
      <c r="A40" s="179" t="s">
        <v>255</v>
      </c>
      <c r="B40" s="171"/>
      <c r="C40" s="224">
        <v>43405</v>
      </c>
      <c r="D40" s="224">
        <v>43405</v>
      </c>
      <c r="E40" s="224">
        <v>43405</v>
      </c>
      <c r="F40" s="224">
        <v>42278</v>
      </c>
      <c r="G40" s="224">
        <v>43739</v>
      </c>
      <c r="H40" s="224">
        <v>43344</v>
      </c>
      <c r="I40" s="224">
        <v>43374</v>
      </c>
      <c r="J40" s="224">
        <v>43739</v>
      </c>
      <c r="K40" s="225"/>
      <c r="L40" s="171" t="s">
        <v>276</v>
      </c>
      <c r="M40" s="171"/>
      <c r="N40" s="171"/>
      <c r="O40" s="317" t="s">
        <v>265</v>
      </c>
      <c r="P40" s="317" t="s">
        <v>266</v>
      </c>
      <c r="Q40" s="317" t="s">
        <v>267</v>
      </c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77"/>
      <c r="AE40" s="77"/>
      <c r="AF40" s="77"/>
      <c r="AG40" s="77"/>
    </row>
    <row r="41" spans="1:33" ht="26.25" x14ac:dyDescent="0.25">
      <c r="A41" s="226" t="s">
        <v>256</v>
      </c>
      <c r="B41" s="175"/>
      <c r="C41" s="227" t="s">
        <v>257</v>
      </c>
      <c r="D41" s="227" t="s">
        <v>258</v>
      </c>
      <c r="E41" s="227" t="s">
        <v>260</v>
      </c>
      <c r="F41" s="227" t="s">
        <v>261</v>
      </c>
      <c r="G41" s="227" t="s">
        <v>261</v>
      </c>
      <c r="H41" s="227" t="s">
        <v>262</v>
      </c>
      <c r="I41" s="227" t="s">
        <v>263</v>
      </c>
      <c r="J41" s="227" t="s">
        <v>263</v>
      </c>
      <c r="K41" s="317" t="s">
        <v>264</v>
      </c>
      <c r="L41" s="317"/>
      <c r="M41" s="317" t="s">
        <v>275</v>
      </c>
      <c r="N41" s="317"/>
      <c r="O41" s="317"/>
      <c r="P41" s="317"/>
      <c r="Q41" s="317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77"/>
      <c r="AE41" s="77"/>
      <c r="AF41" s="77"/>
      <c r="AG41" s="77"/>
    </row>
    <row r="42" spans="1:33" x14ac:dyDescent="0.25">
      <c r="A42" s="180" t="s">
        <v>221</v>
      </c>
      <c r="B42" s="179"/>
      <c r="C42" s="229">
        <v>0.28637000000000001</v>
      </c>
      <c r="D42" s="229">
        <v>-9.6129999999999993E-2</v>
      </c>
      <c r="E42" s="229">
        <v>-2.7199999999999998E-2</v>
      </c>
      <c r="F42" s="229">
        <v>0</v>
      </c>
      <c r="G42" s="229">
        <v>0</v>
      </c>
      <c r="H42" s="229">
        <v>3.0280000000000001E-2</v>
      </c>
      <c r="I42" s="229">
        <v>1.959E-2</v>
      </c>
      <c r="J42" s="229">
        <v>2.0930000000000001E-2</v>
      </c>
      <c r="K42" s="230"/>
      <c r="L42" s="231">
        <f>C42+D42+E42+G42+H42+J42</f>
        <v>0.21425000000000002</v>
      </c>
      <c r="M42" s="171"/>
      <c r="N42" s="231">
        <f>C42+D42+E42+F42+H42+I42</f>
        <v>0.21291000000000002</v>
      </c>
      <c r="O42" s="193">
        <f>L42*G4</f>
        <v>1635869.2382500002</v>
      </c>
      <c r="P42" s="232">
        <f>-F4*N42</f>
        <v>528865.45926000003</v>
      </c>
      <c r="Q42" s="193">
        <f>O42-P42</f>
        <v>1107003.77899</v>
      </c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77"/>
      <c r="AE42" s="77"/>
      <c r="AF42" s="77"/>
      <c r="AG42" s="77"/>
    </row>
    <row r="43" spans="1:33" x14ac:dyDescent="0.25">
      <c r="A43" s="180" t="s">
        <v>223</v>
      </c>
      <c r="B43" s="179"/>
      <c r="C43" s="229">
        <v>0.28637000000000001</v>
      </c>
      <c r="D43" s="229">
        <v>-9.6129999999999993E-2</v>
      </c>
      <c r="E43" s="229">
        <v>-2.7199999999999998E-2</v>
      </c>
      <c r="F43" s="229">
        <v>-0.40662999999999999</v>
      </c>
      <c r="G43" s="229">
        <v>-0.48469000000000001</v>
      </c>
      <c r="H43" s="229">
        <v>3.0280000000000001E-2</v>
      </c>
      <c r="I43" s="229">
        <v>1.959E-2</v>
      </c>
      <c r="J43" s="229">
        <v>2.0930000000000001E-2</v>
      </c>
      <c r="K43" s="230"/>
      <c r="L43" s="231">
        <f t="shared" ref="L43:L51" si="24">C43+D43+E43+G43+H43+J43</f>
        <v>-0.27044000000000001</v>
      </c>
      <c r="M43" s="171"/>
      <c r="N43" s="231">
        <f t="shared" ref="N43:N51" si="25">C43+D43+E43+F43+H43+I43</f>
        <v>-0.19371999999999998</v>
      </c>
      <c r="O43" s="193">
        <f t="shared" ref="O43:O51" si="26">L43*G5</f>
        <v>-1702.6902400000001</v>
      </c>
      <c r="P43" s="232">
        <f t="shared" ref="P43:P51" si="27">-F5*N43</f>
        <v>-444.00623999999993</v>
      </c>
      <c r="Q43" s="193">
        <f t="shared" ref="Q43:Q51" si="28">O43-P43</f>
        <v>-1258.6840000000002</v>
      </c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77"/>
      <c r="AE43" s="77"/>
      <c r="AF43" s="77"/>
      <c r="AG43" s="77"/>
    </row>
    <row r="44" spans="1:33" x14ac:dyDescent="0.25">
      <c r="A44" s="180" t="s">
        <v>225</v>
      </c>
      <c r="B44" s="179"/>
      <c r="C44" s="229">
        <v>0.27588000000000001</v>
      </c>
      <c r="D44" s="229">
        <v>-7.9969999999999999E-2</v>
      </c>
      <c r="E44" s="229">
        <v>6.9100000000000003E-3</v>
      </c>
      <c r="F44" s="229">
        <v>0</v>
      </c>
      <c r="G44" s="229">
        <v>0</v>
      </c>
      <c r="H44" s="229">
        <v>1.626E-2</v>
      </c>
      <c r="I44" s="229">
        <v>1.6410000000000001E-2</v>
      </c>
      <c r="J44" s="229">
        <v>1.754E-2</v>
      </c>
      <c r="K44" s="230"/>
      <c r="L44" s="231">
        <f t="shared" si="24"/>
        <v>0.23662000000000002</v>
      </c>
      <c r="M44" s="171"/>
      <c r="N44" s="231">
        <f t="shared" si="25"/>
        <v>0.23549000000000003</v>
      </c>
      <c r="O44" s="193">
        <f t="shared" si="26"/>
        <v>815875.46142000007</v>
      </c>
      <c r="P44" s="232">
        <f t="shared" si="27"/>
        <v>424429.74974000006</v>
      </c>
      <c r="Q44" s="193">
        <f t="shared" si="28"/>
        <v>391445.71168000001</v>
      </c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77"/>
      <c r="AE44" s="77"/>
      <c r="AF44" s="77"/>
      <c r="AG44" s="77"/>
    </row>
    <row r="45" spans="1:33" x14ac:dyDescent="0.25">
      <c r="A45" s="180" t="s">
        <v>227</v>
      </c>
      <c r="B45" s="179"/>
      <c r="C45" s="229">
        <v>0.27588000000000001</v>
      </c>
      <c r="D45" s="229">
        <v>0</v>
      </c>
      <c r="E45" s="229">
        <v>0</v>
      </c>
      <c r="F45" s="229">
        <v>0</v>
      </c>
      <c r="G45" s="229">
        <v>0</v>
      </c>
      <c r="H45" s="229">
        <v>1.626E-2</v>
      </c>
      <c r="I45" s="229">
        <v>1.6410000000000001E-2</v>
      </c>
      <c r="J45" s="229">
        <v>1.754E-2</v>
      </c>
      <c r="K45" s="230"/>
      <c r="L45" s="231">
        <f t="shared" si="24"/>
        <v>0.30968000000000001</v>
      </c>
      <c r="M45" s="171"/>
      <c r="N45" s="231">
        <f t="shared" si="25"/>
        <v>0.30854999999999999</v>
      </c>
      <c r="O45" s="193">
        <f t="shared" si="26"/>
        <v>3594.14608</v>
      </c>
      <c r="P45" s="232">
        <f t="shared" si="27"/>
        <v>2124.6752999999999</v>
      </c>
      <c r="Q45" s="193">
        <f t="shared" si="28"/>
        <v>1469.4707800000001</v>
      </c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77"/>
      <c r="AE45" s="77"/>
      <c r="AF45" s="77"/>
      <c r="AG45" s="77"/>
    </row>
    <row r="46" spans="1:33" x14ac:dyDescent="0.25">
      <c r="A46" s="180" t="s">
        <v>229</v>
      </c>
      <c r="B46" s="179"/>
      <c r="C46" s="229">
        <v>0.27573999999999999</v>
      </c>
      <c r="D46" s="229">
        <v>-5.0130000000000001E-2</v>
      </c>
      <c r="E46" s="229">
        <v>6.9100000000000003E-3</v>
      </c>
      <c r="F46" s="229">
        <v>0</v>
      </c>
      <c r="G46" s="229">
        <v>0</v>
      </c>
      <c r="H46" s="229">
        <v>1.2760000000000001E-2</v>
      </c>
      <c r="I46" s="229">
        <v>1.499E-2</v>
      </c>
      <c r="J46" s="229">
        <v>1.602E-2</v>
      </c>
      <c r="K46" s="230"/>
      <c r="L46" s="231">
        <f t="shared" si="24"/>
        <v>0.26129999999999998</v>
      </c>
      <c r="M46" s="171"/>
      <c r="N46" s="231">
        <f t="shared" si="25"/>
        <v>0.26026999999999995</v>
      </c>
      <c r="O46" s="193">
        <f t="shared" si="26"/>
        <v>36092.585099999997</v>
      </c>
      <c r="P46" s="232">
        <f t="shared" si="27"/>
        <v>22901.938109999996</v>
      </c>
      <c r="Q46" s="193">
        <f t="shared" si="28"/>
        <v>13190.646990000001</v>
      </c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77"/>
      <c r="AE46" s="77"/>
      <c r="AF46" s="77"/>
      <c r="AG46" s="77"/>
    </row>
    <row r="47" spans="1:33" x14ac:dyDescent="0.25">
      <c r="A47" s="180" t="s">
        <v>231</v>
      </c>
      <c r="B47" s="179"/>
      <c r="C47" s="229">
        <v>0.27573999999999999</v>
      </c>
      <c r="D47" s="229">
        <v>0</v>
      </c>
      <c r="E47" s="229">
        <v>0</v>
      </c>
      <c r="F47" s="229">
        <v>0</v>
      </c>
      <c r="G47" s="229">
        <v>0</v>
      </c>
      <c r="H47" s="229">
        <v>1.2760000000000001E-2</v>
      </c>
      <c r="I47" s="229">
        <v>1.499E-2</v>
      </c>
      <c r="J47" s="229">
        <v>1.602E-2</v>
      </c>
      <c r="K47" s="230"/>
      <c r="L47" s="231">
        <f t="shared" si="24"/>
        <v>0.30451999999999996</v>
      </c>
      <c r="M47" s="171"/>
      <c r="N47" s="231">
        <f t="shared" si="25"/>
        <v>0.30348999999999998</v>
      </c>
      <c r="O47" s="193">
        <f t="shared" si="26"/>
        <v>9424.5894799999987</v>
      </c>
      <c r="P47" s="232">
        <f t="shared" si="27"/>
        <v>7630.0420899999999</v>
      </c>
      <c r="Q47" s="193">
        <f t="shared" si="28"/>
        <v>1794.5473899999988</v>
      </c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77"/>
      <c r="AE47" s="77"/>
      <c r="AF47" s="77"/>
      <c r="AG47" s="77"/>
    </row>
    <row r="48" spans="1:33" x14ac:dyDescent="0.25">
      <c r="A48" s="180" t="s">
        <v>232</v>
      </c>
      <c r="B48" s="179"/>
      <c r="C48" s="229">
        <v>0.24138999999999999</v>
      </c>
      <c r="D48" s="229">
        <v>0</v>
      </c>
      <c r="E48" s="229">
        <v>0</v>
      </c>
      <c r="F48" s="229">
        <v>0</v>
      </c>
      <c r="G48" s="229">
        <v>0</v>
      </c>
      <c r="H48" s="229">
        <v>1.132E-2</v>
      </c>
      <c r="I48" s="229">
        <v>1.44E-2</v>
      </c>
      <c r="J48" s="229">
        <v>1.5389999999999999E-2</v>
      </c>
      <c r="K48" s="230"/>
      <c r="L48" s="231">
        <f t="shared" si="24"/>
        <v>0.2681</v>
      </c>
      <c r="M48" s="171"/>
      <c r="N48" s="231">
        <f t="shared" si="25"/>
        <v>0.26711000000000001</v>
      </c>
      <c r="O48" s="193">
        <f t="shared" si="26"/>
        <v>0</v>
      </c>
      <c r="P48" s="232">
        <f t="shared" si="27"/>
        <v>0</v>
      </c>
      <c r="Q48" s="193">
        <f t="shared" si="28"/>
        <v>0</v>
      </c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77"/>
      <c r="AE48" s="77"/>
      <c r="AF48" s="77"/>
      <c r="AG48" s="77"/>
    </row>
    <row r="49" spans="1:33" x14ac:dyDescent="0.25">
      <c r="A49" s="180" t="s">
        <v>234</v>
      </c>
      <c r="B49" s="179"/>
      <c r="C49" s="229">
        <v>5.5999999999999995E-4</v>
      </c>
      <c r="D49" s="229">
        <v>0</v>
      </c>
      <c r="E49" s="229">
        <v>0</v>
      </c>
      <c r="F49" s="229">
        <v>0</v>
      </c>
      <c r="G49" s="229">
        <v>0</v>
      </c>
      <c r="H49" s="229">
        <v>0</v>
      </c>
      <c r="I49" s="229">
        <v>7.3999999999999999E-4</v>
      </c>
      <c r="J49" s="229">
        <v>8.0000000000000004E-4</v>
      </c>
      <c r="K49" s="230"/>
      <c r="L49" s="231">
        <f t="shared" si="24"/>
        <v>1.3600000000000001E-3</v>
      </c>
      <c r="M49" s="171"/>
      <c r="N49" s="231">
        <f t="shared" si="25"/>
        <v>1.2999999999999999E-3</v>
      </c>
      <c r="O49" s="193">
        <f t="shared" si="26"/>
        <v>4366.9409599999999</v>
      </c>
      <c r="P49" s="232">
        <f t="shared" si="27"/>
        <v>3336.0625999999997</v>
      </c>
      <c r="Q49" s="193">
        <f t="shared" si="28"/>
        <v>1030.8783600000002</v>
      </c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77"/>
      <c r="AE49" s="77"/>
      <c r="AF49" s="77"/>
      <c r="AG49" s="77"/>
    </row>
    <row r="50" spans="1:33" x14ac:dyDescent="0.25">
      <c r="A50" s="180" t="s">
        <v>235</v>
      </c>
      <c r="B50" s="179"/>
      <c r="C50" s="229">
        <v>0</v>
      </c>
      <c r="D50" s="229">
        <v>0</v>
      </c>
      <c r="E50" s="229">
        <v>0</v>
      </c>
      <c r="F50" s="229">
        <v>0</v>
      </c>
      <c r="G50" s="229">
        <v>0</v>
      </c>
      <c r="H50" s="229">
        <v>0</v>
      </c>
      <c r="I50" s="229">
        <v>0</v>
      </c>
      <c r="J50" s="229">
        <v>0</v>
      </c>
      <c r="K50" s="230"/>
      <c r="L50" s="231">
        <f t="shared" si="24"/>
        <v>0</v>
      </c>
      <c r="M50" s="171"/>
      <c r="N50" s="231">
        <f t="shared" si="25"/>
        <v>0</v>
      </c>
      <c r="O50" s="193">
        <f t="shared" si="26"/>
        <v>0</v>
      </c>
      <c r="P50" s="232">
        <f t="shared" si="27"/>
        <v>0</v>
      </c>
      <c r="Q50" s="193">
        <f t="shared" si="28"/>
        <v>0</v>
      </c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77"/>
      <c r="AE50" s="77"/>
      <c r="AF50" s="77"/>
      <c r="AG50" s="77"/>
    </row>
    <row r="51" spans="1:33" x14ac:dyDescent="0.25">
      <c r="A51" s="180" t="s">
        <v>236</v>
      </c>
      <c r="B51" s="179"/>
      <c r="C51" s="229">
        <v>0</v>
      </c>
      <c r="D51" s="229">
        <v>0</v>
      </c>
      <c r="E51" s="229">
        <v>0</v>
      </c>
      <c r="F51" s="229">
        <v>0</v>
      </c>
      <c r="G51" s="229">
        <v>0</v>
      </c>
      <c r="H51" s="229">
        <v>0</v>
      </c>
      <c r="I51" s="229">
        <v>0</v>
      </c>
      <c r="J51" s="229">
        <v>0</v>
      </c>
      <c r="K51" s="230"/>
      <c r="L51" s="231">
        <f t="shared" si="24"/>
        <v>0</v>
      </c>
      <c r="M51" s="171"/>
      <c r="N51" s="231">
        <f t="shared" si="25"/>
        <v>0</v>
      </c>
      <c r="O51" s="193">
        <f t="shared" si="26"/>
        <v>0</v>
      </c>
      <c r="P51" s="232">
        <f t="shared" si="27"/>
        <v>0</v>
      </c>
      <c r="Q51" s="193">
        <f t="shared" si="28"/>
        <v>0</v>
      </c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77"/>
      <c r="AE51" s="77"/>
      <c r="AF51" s="77"/>
      <c r="AG51" s="77"/>
    </row>
    <row r="52" spans="1:33" x14ac:dyDescent="0.25">
      <c r="A52" s="180"/>
      <c r="B52" s="179"/>
      <c r="C52" s="229"/>
      <c r="D52" s="229"/>
      <c r="E52" s="229"/>
      <c r="F52" s="229"/>
      <c r="G52" s="229"/>
      <c r="H52" s="229"/>
      <c r="I52" s="229"/>
      <c r="J52" s="229"/>
      <c r="K52" s="229"/>
      <c r="L52" s="230"/>
      <c r="M52" s="171"/>
      <c r="O52" s="233">
        <f>SUM(O42:O51)</f>
        <v>2503520.2710500001</v>
      </c>
      <c r="P52" s="233">
        <f>SUM(P42:P51)</f>
        <v>988843.92085999995</v>
      </c>
      <c r="Q52" s="233">
        <f>SUM(Q42:Q51)</f>
        <v>1514676.3501900001</v>
      </c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77"/>
      <c r="AF52" s="77"/>
      <c r="AG52" s="77"/>
    </row>
    <row r="53" spans="1:33" ht="39" x14ac:dyDescent="0.25">
      <c r="A53" s="226" t="s">
        <v>267</v>
      </c>
      <c r="B53" s="175"/>
      <c r="C53" s="212" t="s">
        <v>268</v>
      </c>
      <c r="D53" s="212" t="s">
        <v>269</v>
      </c>
      <c r="E53" s="212" t="s">
        <v>259</v>
      </c>
      <c r="F53" s="212" t="s">
        <v>260</v>
      </c>
      <c r="G53" s="212" t="s">
        <v>270</v>
      </c>
      <c r="H53" s="212" t="s">
        <v>271</v>
      </c>
      <c r="I53" s="212" t="s">
        <v>272</v>
      </c>
      <c r="J53" s="212" t="s">
        <v>273</v>
      </c>
      <c r="K53" s="171"/>
      <c r="L53" s="171"/>
      <c r="M53" s="171"/>
      <c r="N53" s="171"/>
      <c r="O53" s="171"/>
      <c r="P53" s="295">
        <f>'10.2019 Base Rate Revenue'!O52</f>
        <v>2503520.2710500001</v>
      </c>
      <c r="Q53" s="190">
        <f>J64</f>
        <v>1514676.3501900001</v>
      </c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77"/>
      <c r="AF53" s="77"/>
      <c r="AG53" s="77"/>
    </row>
    <row r="54" spans="1:33" x14ac:dyDescent="0.25">
      <c r="A54" s="180" t="s">
        <v>221</v>
      </c>
      <c r="B54" s="171"/>
      <c r="C54" s="188">
        <f>C42*$H4</f>
        <v>1475190.09491</v>
      </c>
      <c r="D54" s="188">
        <f>D42*$H4</f>
        <v>-495198.60258999997</v>
      </c>
      <c r="E54" s="188">
        <v>0</v>
      </c>
      <c r="F54" s="188">
        <f>E42*$H4</f>
        <v>-140116.52959999998</v>
      </c>
      <c r="G54" s="188">
        <f>F42*$F4+G42*G4</f>
        <v>0</v>
      </c>
      <c r="H54" s="188">
        <f>H42*$H4</f>
        <v>155982.66604000001</v>
      </c>
      <c r="I54" s="188">
        <f>(I42*$F4)+(J42*G4)</f>
        <v>111146.15023</v>
      </c>
      <c r="J54" s="188">
        <f>SUM(C54:I54)</f>
        <v>1107003.77899</v>
      </c>
      <c r="K54" s="171"/>
      <c r="L54" s="171"/>
      <c r="M54" s="171"/>
      <c r="N54" s="193"/>
      <c r="O54" s="171"/>
      <c r="P54" s="171"/>
      <c r="Q54" s="193">
        <f>Q52-Q53</f>
        <v>0</v>
      </c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77"/>
      <c r="AF54" s="77"/>
      <c r="AG54" s="77"/>
    </row>
    <row r="55" spans="1:33" x14ac:dyDescent="0.25">
      <c r="A55" s="180" t="s">
        <v>223</v>
      </c>
      <c r="B55" s="171"/>
      <c r="C55" s="188">
        <f t="shared" ref="C55:D55" si="29">C43*$H5</f>
        <v>1146.6254800000002</v>
      </c>
      <c r="D55" s="188">
        <f t="shared" si="29"/>
        <v>-384.90451999999999</v>
      </c>
      <c r="E55" s="188">
        <v>0</v>
      </c>
      <c r="F55" s="188">
        <f t="shared" ref="F55:F63" si="30">E43*$H5</f>
        <v>-108.9088</v>
      </c>
      <c r="G55" s="188">
        <f>F43*$F5+G43*G5</f>
        <v>-2119.6122800000003</v>
      </c>
      <c r="H55" s="188">
        <f t="shared" ref="H55:H63" si="31">H43*$H5</f>
        <v>121.24112000000001</v>
      </c>
      <c r="I55" s="188">
        <f t="shared" ref="I55:I63" si="32">(I43*$F5)+(J43*G5)</f>
        <v>86.875</v>
      </c>
      <c r="J55" s="188">
        <f>SUM(C55:I55)</f>
        <v>-1258.6840000000004</v>
      </c>
      <c r="K55" s="171"/>
      <c r="L55" s="171"/>
      <c r="M55" s="171"/>
      <c r="N55" s="193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77"/>
      <c r="AF55" s="77"/>
      <c r="AG55" s="77"/>
    </row>
    <row r="56" spans="1:33" x14ac:dyDescent="0.25">
      <c r="A56" s="180" t="s">
        <v>225</v>
      </c>
      <c r="B56" s="171"/>
      <c r="C56" s="188">
        <f t="shared" ref="C56:D56" si="33">C44*$H6</f>
        <v>454019.8542</v>
      </c>
      <c r="D56" s="188">
        <f t="shared" si="33"/>
        <v>-131607.82855000001</v>
      </c>
      <c r="E56" s="188">
        <v>0</v>
      </c>
      <c r="F56" s="188">
        <f t="shared" si="30"/>
        <v>11371.890650000001</v>
      </c>
      <c r="G56" s="188">
        <f t="shared" ref="G56:G63" si="34">F44*$F6+G44*G6</f>
        <v>0</v>
      </c>
      <c r="H56" s="188">
        <f t="shared" si="31"/>
        <v>26759.3259</v>
      </c>
      <c r="I56" s="188">
        <f t="shared" si="32"/>
        <v>30902.469479999996</v>
      </c>
      <c r="J56" s="188">
        <f t="shared" ref="J56:J63" si="35">SUM(C56:I56)</f>
        <v>391445.71167999995</v>
      </c>
      <c r="K56" s="171"/>
      <c r="L56" s="171"/>
      <c r="M56" s="171"/>
      <c r="N56" s="193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77"/>
      <c r="AF56" s="77"/>
      <c r="AG56" s="77"/>
    </row>
    <row r="57" spans="1:33" x14ac:dyDescent="0.25">
      <c r="A57" s="180" t="s">
        <v>227</v>
      </c>
      <c r="B57" s="171"/>
      <c r="C57" s="188">
        <f t="shared" ref="C57:D57" si="36">C45*$H7</f>
        <v>1302.1536000000001</v>
      </c>
      <c r="D57" s="188">
        <f t="shared" si="36"/>
        <v>0</v>
      </c>
      <c r="E57" s="188">
        <v>0</v>
      </c>
      <c r="F57" s="188">
        <f t="shared" si="30"/>
        <v>0</v>
      </c>
      <c r="G57" s="188">
        <f t="shared" si="34"/>
        <v>0</v>
      </c>
      <c r="H57" s="188">
        <f t="shared" si="31"/>
        <v>76.747200000000007</v>
      </c>
      <c r="I57" s="188">
        <f t="shared" si="32"/>
        <v>90.569980000000001</v>
      </c>
      <c r="J57" s="188">
        <f t="shared" si="35"/>
        <v>1469.4707800000001</v>
      </c>
      <c r="K57" s="171"/>
      <c r="L57" s="171"/>
      <c r="M57" s="171"/>
      <c r="N57" s="193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77"/>
      <c r="AF57" s="77"/>
      <c r="AG57" s="77"/>
    </row>
    <row r="58" spans="1:33" x14ac:dyDescent="0.25">
      <c r="A58" s="180" t="s">
        <v>229</v>
      </c>
      <c r="B58" s="171"/>
      <c r="C58" s="188">
        <f t="shared" ref="C58:D58" si="37">C46*$H8</f>
        <v>13823.94916</v>
      </c>
      <c r="D58" s="188">
        <f t="shared" si="37"/>
        <v>-2513.2174199999999</v>
      </c>
      <c r="E58" s="188">
        <v>0</v>
      </c>
      <c r="F58" s="188">
        <f t="shared" si="30"/>
        <v>346.42594000000003</v>
      </c>
      <c r="G58" s="188">
        <f t="shared" si="34"/>
        <v>0</v>
      </c>
      <c r="H58" s="188">
        <f t="shared" si="31"/>
        <v>639.70983999999999</v>
      </c>
      <c r="I58" s="188">
        <f t="shared" si="32"/>
        <v>893.77946999999995</v>
      </c>
      <c r="J58" s="188">
        <f t="shared" si="35"/>
        <v>13190.646989999997</v>
      </c>
      <c r="K58" s="171"/>
      <c r="L58" s="171"/>
      <c r="M58" s="171"/>
      <c r="N58" s="193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77"/>
      <c r="AF58" s="77"/>
      <c r="AG58" s="77"/>
    </row>
    <row r="59" spans="1:33" x14ac:dyDescent="0.25">
      <c r="A59" s="180" t="s">
        <v>231</v>
      </c>
      <c r="B59" s="171"/>
      <c r="C59" s="188">
        <f t="shared" ref="C59:D59" si="38">C47*$H9</f>
        <v>1601.49792</v>
      </c>
      <c r="D59" s="188">
        <f t="shared" si="38"/>
        <v>0</v>
      </c>
      <c r="E59" s="188">
        <v>0</v>
      </c>
      <c r="F59" s="188">
        <f t="shared" si="30"/>
        <v>0</v>
      </c>
      <c r="G59" s="188">
        <f t="shared" si="34"/>
        <v>0</v>
      </c>
      <c r="H59" s="188">
        <f t="shared" si="31"/>
        <v>74.110079999999996</v>
      </c>
      <c r="I59" s="188">
        <f t="shared" si="32"/>
        <v>118.93939</v>
      </c>
      <c r="J59" s="188">
        <f t="shared" si="35"/>
        <v>1794.54739</v>
      </c>
      <c r="K59" s="171"/>
      <c r="L59" s="171"/>
      <c r="M59" s="171"/>
      <c r="N59" s="193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77"/>
      <c r="AF59" s="77"/>
      <c r="AG59" s="77"/>
    </row>
    <row r="60" spans="1:33" x14ac:dyDescent="0.25">
      <c r="A60" s="180" t="s">
        <v>232</v>
      </c>
      <c r="B60" s="171"/>
      <c r="C60" s="188">
        <f t="shared" ref="C60:D60" si="39">C48*$H10</f>
        <v>0</v>
      </c>
      <c r="D60" s="188">
        <f t="shared" si="39"/>
        <v>0</v>
      </c>
      <c r="E60" s="188">
        <v>0</v>
      </c>
      <c r="F60" s="188">
        <f t="shared" si="30"/>
        <v>0</v>
      </c>
      <c r="G60" s="188">
        <f t="shared" si="34"/>
        <v>0</v>
      </c>
      <c r="H60" s="188">
        <f t="shared" si="31"/>
        <v>0</v>
      </c>
      <c r="I60" s="188">
        <f t="shared" si="32"/>
        <v>0</v>
      </c>
      <c r="J60" s="188">
        <f t="shared" si="35"/>
        <v>0</v>
      </c>
      <c r="K60" s="171"/>
      <c r="L60" s="171"/>
      <c r="M60" s="171"/>
      <c r="N60" s="193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77"/>
      <c r="AF60" s="77"/>
      <c r="AG60" s="77"/>
    </row>
    <row r="61" spans="1:33" x14ac:dyDescent="0.25">
      <c r="A61" s="180" t="s">
        <v>234</v>
      </c>
      <c r="B61" s="171"/>
      <c r="C61" s="188">
        <f t="shared" ref="C61:D61" si="40">C49*$H11</f>
        <v>361.07903999999996</v>
      </c>
      <c r="D61" s="188">
        <f t="shared" si="40"/>
        <v>0</v>
      </c>
      <c r="E61" s="188">
        <v>0</v>
      </c>
      <c r="F61" s="188">
        <f t="shared" si="30"/>
        <v>0</v>
      </c>
      <c r="G61" s="188">
        <f t="shared" si="34"/>
        <v>0</v>
      </c>
      <c r="H61" s="188">
        <f t="shared" si="31"/>
        <v>0</v>
      </c>
      <c r="I61" s="188">
        <f t="shared" si="32"/>
        <v>669.79932000000031</v>
      </c>
      <c r="J61" s="188">
        <f>SUM(C61:I61)</f>
        <v>1030.8783600000002</v>
      </c>
      <c r="K61" s="171"/>
      <c r="L61" s="171"/>
      <c r="M61" s="171"/>
      <c r="N61" s="193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77"/>
      <c r="AF61" s="77"/>
      <c r="AG61" s="77"/>
    </row>
    <row r="62" spans="1:33" x14ac:dyDescent="0.25">
      <c r="A62" s="180" t="s">
        <v>235</v>
      </c>
      <c r="B62" s="171"/>
      <c r="C62" s="188">
        <f t="shared" ref="C62:D62" si="41">C50*$H12</f>
        <v>0</v>
      </c>
      <c r="D62" s="188">
        <f t="shared" si="41"/>
        <v>0</v>
      </c>
      <c r="E62" s="188">
        <v>0</v>
      </c>
      <c r="F62" s="188">
        <f t="shared" si="30"/>
        <v>0</v>
      </c>
      <c r="G62" s="188">
        <f t="shared" si="34"/>
        <v>0</v>
      </c>
      <c r="H62" s="188">
        <f t="shared" si="31"/>
        <v>0</v>
      </c>
      <c r="I62" s="188">
        <f t="shared" si="32"/>
        <v>0</v>
      </c>
      <c r="J62" s="188">
        <f t="shared" si="35"/>
        <v>0</v>
      </c>
      <c r="K62" s="171"/>
      <c r="L62" s="171"/>
      <c r="M62" s="171"/>
      <c r="N62" s="193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77"/>
      <c r="AF62" s="77"/>
      <c r="AG62" s="77"/>
    </row>
    <row r="63" spans="1:33" x14ac:dyDescent="0.25">
      <c r="A63" s="180" t="s">
        <v>236</v>
      </c>
      <c r="B63" s="171"/>
      <c r="C63" s="188">
        <f t="shared" ref="C63:D63" si="42">C51*$H13</f>
        <v>0</v>
      </c>
      <c r="D63" s="188">
        <f t="shared" si="42"/>
        <v>0</v>
      </c>
      <c r="E63" s="188">
        <v>0</v>
      </c>
      <c r="F63" s="188">
        <f t="shared" si="30"/>
        <v>0</v>
      </c>
      <c r="G63" s="188">
        <f t="shared" si="34"/>
        <v>0</v>
      </c>
      <c r="H63" s="188">
        <f t="shared" si="31"/>
        <v>0</v>
      </c>
      <c r="I63" s="188">
        <f t="shared" si="32"/>
        <v>0</v>
      </c>
      <c r="J63" s="188">
        <f t="shared" si="35"/>
        <v>0</v>
      </c>
      <c r="K63" s="171"/>
      <c r="L63" s="171"/>
      <c r="M63" s="171"/>
      <c r="N63" s="234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77"/>
      <c r="AF63" s="77"/>
      <c r="AG63" s="77"/>
    </row>
    <row r="64" spans="1:33" x14ac:dyDescent="0.25">
      <c r="A64" s="171"/>
      <c r="B64" s="171"/>
      <c r="C64" s="196">
        <f>SUM(C54:C63)</f>
        <v>1947445.25431</v>
      </c>
      <c r="D64" s="196">
        <f t="shared" ref="D64:I64" si="43">SUM(D54:D63)</f>
        <v>-629704.55307999998</v>
      </c>
      <c r="E64" s="196">
        <f t="shared" si="43"/>
        <v>0</v>
      </c>
      <c r="F64" s="196">
        <f t="shared" si="43"/>
        <v>-128507.12180999998</v>
      </c>
      <c r="G64" s="196">
        <f t="shared" si="43"/>
        <v>-2119.6122800000003</v>
      </c>
      <c r="H64" s="196">
        <f t="shared" si="43"/>
        <v>183653.80018000002</v>
      </c>
      <c r="I64" s="196">
        <f t="shared" si="43"/>
        <v>143908.58287000001</v>
      </c>
      <c r="J64" s="196">
        <f>SUM(J54:J63)</f>
        <v>1514676.3501900001</v>
      </c>
      <c r="K64" s="171"/>
      <c r="L64" s="171"/>
      <c r="M64" s="171"/>
      <c r="N64" s="234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77"/>
      <c r="AF64" s="77"/>
      <c r="AG64" s="77"/>
    </row>
    <row r="65" spans="1:33" x14ac:dyDescent="0.25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88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77"/>
      <c r="AF65" s="77"/>
      <c r="AG65" s="77"/>
    </row>
    <row r="66" spans="1:33" x14ac:dyDescent="0.25">
      <c r="A66" s="179" t="s">
        <v>28</v>
      </c>
      <c r="B66" s="179"/>
      <c r="C66" s="188">
        <f>C54+C55</f>
        <v>1476336.7203899999</v>
      </c>
      <c r="D66" s="188">
        <f>D54+D55</f>
        <v>-495583.50710999995</v>
      </c>
      <c r="E66" s="188">
        <f t="shared" ref="E66:I66" si="44">E54+E55</f>
        <v>0</v>
      </c>
      <c r="F66" s="188">
        <f t="shared" si="44"/>
        <v>-140225.43839999998</v>
      </c>
      <c r="G66" s="188">
        <f t="shared" si="44"/>
        <v>-2119.6122800000003</v>
      </c>
      <c r="H66" s="188">
        <f t="shared" si="44"/>
        <v>156103.90716</v>
      </c>
      <c r="I66" s="188">
        <f t="shared" si="44"/>
        <v>111233.02523</v>
      </c>
      <c r="J66" s="188">
        <f>J54+J55</f>
        <v>1105745.0949900001</v>
      </c>
      <c r="K66" s="171"/>
      <c r="L66" s="171"/>
      <c r="M66" s="171"/>
      <c r="N66" s="188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77"/>
      <c r="AF66" s="77"/>
      <c r="AG66" s="77"/>
    </row>
    <row r="67" spans="1:33" x14ac:dyDescent="0.25">
      <c r="A67" s="179"/>
      <c r="B67" s="179"/>
      <c r="C67" s="188"/>
      <c r="D67" s="188"/>
      <c r="E67" s="188"/>
      <c r="F67" s="188"/>
      <c r="G67" s="188"/>
      <c r="H67" s="188"/>
      <c r="I67" s="188"/>
      <c r="J67" s="188"/>
      <c r="K67" s="171"/>
      <c r="L67" s="171"/>
      <c r="M67" s="171"/>
      <c r="N67" s="179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77"/>
      <c r="AF67" s="77"/>
      <c r="AG67" s="77"/>
    </row>
    <row r="68" spans="1:33" x14ac:dyDescent="0.25">
      <c r="A68" s="179" t="s">
        <v>244</v>
      </c>
      <c r="B68" s="179"/>
      <c r="C68" s="222">
        <f>C56+C58</f>
        <v>467843.80336000002</v>
      </c>
      <c r="D68" s="222">
        <f>D56+D58</f>
        <v>-134121.04597000001</v>
      </c>
      <c r="E68" s="222">
        <f t="shared" ref="E68:I68" si="45">E56+E58</f>
        <v>0</v>
      </c>
      <c r="F68" s="222">
        <f t="shared" si="45"/>
        <v>11718.31659</v>
      </c>
      <c r="G68" s="222">
        <f t="shared" si="45"/>
        <v>0</v>
      </c>
      <c r="H68" s="222">
        <f t="shared" si="45"/>
        <v>27399.035739999999</v>
      </c>
      <c r="I68" s="222">
        <f t="shared" si="45"/>
        <v>31796.248949999997</v>
      </c>
      <c r="J68" s="222">
        <f>J56+J58</f>
        <v>404636.35866999993</v>
      </c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77"/>
      <c r="AF68" s="77"/>
      <c r="AG68" s="77"/>
    </row>
    <row r="69" spans="1:33" x14ac:dyDescent="0.25">
      <c r="A69" s="171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77"/>
      <c r="AF69" s="77"/>
      <c r="AG69" s="77"/>
    </row>
    <row r="70" spans="1:33" x14ac:dyDescent="0.25">
      <c r="A70" s="171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77"/>
      <c r="AF70" s="77"/>
      <c r="AG70" s="77"/>
    </row>
    <row r="71" spans="1:33" x14ac:dyDescent="0.25">
      <c r="A71" s="171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77"/>
      <c r="AF71" s="77"/>
      <c r="AG71" s="77"/>
    </row>
    <row r="72" spans="1:33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77"/>
      <c r="AF72" s="77"/>
      <c r="AG72" s="77"/>
    </row>
    <row r="73" spans="1:33" x14ac:dyDescent="0.25">
      <c r="A73" s="171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77"/>
      <c r="AF73" s="77"/>
      <c r="AG73" s="77"/>
    </row>
  </sheetData>
  <mergeCells count="6">
    <mergeCell ref="A1:I1"/>
    <mergeCell ref="O40:O41"/>
    <mergeCell ref="P40:P41"/>
    <mergeCell ref="Q40:Q41"/>
    <mergeCell ref="K41:L41"/>
    <mergeCell ref="M41:N41"/>
  </mergeCells>
  <printOptions horizontalCentered="1"/>
  <pageMargins left="0.45" right="0.45" top="0.5" bottom="0.5" header="0.3" footer="0.3"/>
  <pageSetup scale="80" orientation="landscape" r:id="rId1"/>
  <headerFooter scaleWithDoc="0">
    <oddFooter>&amp;L&amp;F / &amp;A&amp;RPage 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G73"/>
  <sheetViews>
    <sheetView zoomScaleNormal="100" workbookViewId="0">
      <selection sqref="A1:XFD1048576"/>
    </sheetView>
  </sheetViews>
  <sheetFormatPr defaultRowHeight="15" x14ac:dyDescent="0.25"/>
  <cols>
    <col min="1" max="1" width="19" customWidth="1"/>
    <col min="2" max="2" width="5.85546875" customWidth="1"/>
    <col min="3" max="3" width="17.42578125" customWidth="1"/>
    <col min="4" max="4" width="16.42578125" customWidth="1"/>
    <col min="5" max="5" width="15.28515625" customWidth="1"/>
    <col min="6" max="6" width="15" customWidth="1"/>
    <col min="7" max="7" width="15.7109375" customWidth="1"/>
    <col min="8" max="8" width="14.7109375" customWidth="1"/>
    <col min="9" max="9" width="18.28515625" customWidth="1"/>
    <col min="10" max="10" width="15.7109375" customWidth="1"/>
    <col min="11" max="11" width="10" customWidth="1"/>
    <col min="12" max="12" width="12.28515625" bestFit="1" customWidth="1"/>
    <col min="13" max="13" width="2.28515625" customWidth="1"/>
    <col min="14" max="14" width="17.5703125" customWidth="1"/>
    <col min="15" max="15" width="14.5703125" customWidth="1"/>
    <col min="16" max="16" width="12.85546875" customWidth="1"/>
    <col min="17" max="17" width="12.7109375" customWidth="1"/>
    <col min="18" max="18" width="15.42578125" customWidth="1"/>
    <col min="19" max="19" width="15.28515625" customWidth="1"/>
    <col min="20" max="20" width="11.140625" customWidth="1"/>
    <col min="21" max="21" width="15.5703125" customWidth="1"/>
    <col min="22" max="22" width="2.28515625" customWidth="1"/>
    <col min="23" max="23" width="16.7109375" customWidth="1"/>
    <col min="24" max="24" width="2.42578125" customWidth="1"/>
    <col min="25" max="25" width="14.28515625" customWidth="1"/>
    <col min="26" max="26" width="13.42578125" customWidth="1"/>
    <col min="27" max="27" width="13.85546875" customWidth="1"/>
    <col min="28" max="28" width="14.28515625" customWidth="1"/>
    <col min="29" max="29" width="16.140625" customWidth="1"/>
    <col min="30" max="30" width="10.5703125" customWidth="1"/>
  </cols>
  <sheetData>
    <row r="1" spans="1:33" x14ac:dyDescent="0.25">
      <c r="A1" s="319" t="s">
        <v>207</v>
      </c>
      <c r="B1" s="319"/>
      <c r="C1" s="319"/>
      <c r="D1" s="319"/>
      <c r="E1" s="319"/>
      <c r="F1" s="319"/>
      <c r="G1" s="319"/>
      <c r="H1" s="319"/>
      <c r="I1" s="319"/>
      <c r="J1" s="171"/>
      <c r="K1" s="171"/>
      <c r="L1" s="171" t="s">
        <v>208</v>
      </c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2" t="s">
        <v>209</v>
      </c>
      <c r="AA1" s="173" t="s">
        <v>331</v>
      </c>
      <c r="AB1" s="171"/>
      <c r="AC1" s="172" t="s">
        <v>211</v>
      </c>
      <c r="AD1" s="173" t="s">
        <v>330</v>
      </c>
      <c r="AE1" s="77"/>
      <c r="AF1" s="77"/>
      <c r="AG1" s="77"/>
    </row>
    <row r="2" spans="1:33" ht="51.75" x14ac:dyDescent="0.25">
      <c r="A2" s="174"/>
      <c r="B2" s="175"/>
      <c r="C2" s="176" t="s">
        <v>212</v>
      </c>
      <c r="D2" s="175"/>
      <c r="E2" s="176" t="s">
        <v>213</v>
      </c>
      <c r="F2" s="177" t="s">
        <v>214</v>
      </c>
      <c r="G2" s="177" t="s">
        <v>215</v>
      </c>
      <c r="H2" s="177" t="s">
        <v>115</v>
      </c>
      <c r="I2" s="177" t="s">
        <v>216</v>
      </c>
      <c r="J2" s="171"/>
      <c r="K2" s="171"/>
      <c r="L2" s="171"/>
      <c r="M2" s="171"/>
      <c r="N2" s="291" t="str">
        <f>AA1&amp;" Billed Schedule 175 Revenue"</f>
        <v>September Billed Schedule 175 Revenue</v>
      </c>
      <c r="O2" s="291" t="str">
        <f>AA1&amp;" Billed Therms"</f>
        <v>September Billed Therms</v>
      </c>
      <c r="P2" s="291" t="str">
        <f>AA1&amp;" Unbilled Therms"</f>
        <v>September Unbilled Therms</v>
      </c>
      <c r="Q2" s="291" t="s">
        <v>217</v>
      </c>
      <c r="R2" s="291" t="s">
        <v>218</v>
      </c>
      <c r="S2" s="291" t="str">
        <f>AD1&amp;" Unbilled Therms reversal"</f>
        <v>August Unbilled Therms reversal</v>
      </c>
      <c r="T2" s="291" t="s">
        <v>217</v>
      </c>
      <c r="U2" s="291" t="str">
        <f>AD1&amp;" Schedule 175 Unbilled Reversal"</f>
        <v>August Schedule 175 Unbilled Reversal</v>
      </c>
      <c r="V2" s="171"/>
      <c r="W2" s="291" t="str">
        <f>"Total "&amp;AA1&amp;" Schedule 175 Revenue"</f>
        <v>Total September Schedule 175 Revenue</v>
      </c>
      <c r="X2" s="171"/>
      <c r="Y2" s="291" t="str">
        <f>"Calendar "&amp;AA1&amp;" Usage"</f>
        <v>Calendar September Usage</v>
      </c>
      <c r="Z2" s="291" t="str">
        <f>Q2</f>
        <v>11/1/2018 rate</v>
      </c>
      <c r="AA2" s="291" t="s">
        <v>219</v>
      </c>
      <c r="AB2" s="291" t="s">
        <v>220</v>
      </c>
      <c r="AC2" s="291" t="str">
        <f>"implied "&amp;AD1&amp;" unbilled/Cancel-Rebill True-up therms"</f>
        <v>implied August unbilled/Cancel-Rebill True-up therms</v>
      </c>
      <c r="AD2" s="171"/>
      <c r="AE2" s="77"/>
      <c r="AF2" s="77"/>
      <c r="AG2" s="77"/>
    </row>
    <row r="3" spans="1:33" x14ac:dyDescent="0.25">
      <c r="A3" s="179"/>
      <c r="B3" s="179"/>
      <c r="C3" s="179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291"/>
      <c r="O3" s="291"/>
      <c r="P3" s="291"/>
      <c r="Q3" s="291"/>
      <c r="R3" s="291"/>
      <c r="S3" s="291"/>
      <c r="T3" s="291"/>
      <c r="U3" s="291"/>
      <c r="V3" s="171"/>
      <c r="W3" s="291"/>
      <c r="X3" s="171"/>
      <c r="Y3" s="291"/>
      <c r="Z3" s="291"/>
      <c r="AA3" s="291"/>
      <c r="AB3" s="291"/>
      <c r="AC3" s="291"/>
      <c r="AD3" s="171"/>
      <c r="AE3" s="77"/>
      <c r="AF3" s="77"/>
      <c r="AG3" s="77"/>
    </row>
    <row r="4" spans="1:33" x14ac:dyDescent="0.25">
      <c r="A4" s="180" t="s">
        <v>221</v>
      </c>
      <c r="B4" s="179"/>
      <c r="C4" s="181">
        <v>162178</v>
      </c>
      <c r="D4" s="179"/>
      <c r="E4" s="182">
        <v>2441636.7374399998</v>
      </c>
      <c r="F4" s="182">
        <v>-1256175</v>
      </c>
      <c r="G4" s="182">
        <f>2486278-G5</f>
        <v>2483986</v>
      </c>
      <c r="H4" s="183">
        <f>F4+G4</f>
        <v>1227811</v>
      </c>
      <c r="I4" s="184">
        <f t="shared" ref="I4:I13" si="0">SUM(E4:G4)</f>
        <v>3669447.7374399998</v>
      </c>
      <c r="J4" s="171"/>
      <c r="K4" s="171"/>
      <c r="L4" s="171" t="s">
        <v>222</v>
      </c>
      <c r="M4" s="171"/>
      <c r="N4" s="185">
        <v>-66413.98</v>
      </c>
      <c r="O4" s="186">
        <f>E4</f>
        <v>2441636.7374399998</v>
      </c>
      <c r="P4" s="186">
        <f t="shared" ref="P4:P9" si="1">G4</f>
        <v>2483986</v>
      </c>
      <c r="Q4" s="187">
        <v>-2.7199999999999998E-2</v>
      </c>
      <c r="R4" s="188">
        <f>P4*Q4</f>
        <v>-67564.419199999989</v>
      </c>
      <c r="S4" s="186">
        <f t="shared" ref="S4:S9" si="2">F4</f>
        <v>-1256175</v>
      </c>
      <c r="T4" s="187">
        <f>Q4</f>
        <v>-2.7199999999999998E-2</v>
      </c>
      <c r="U4" s="189">
        <f>S4*T4</f>
        <v>34167.96</v>
      </c>
      <c r="V4" s="171"/>
      <c r="W4" s="190">
        <f>N4+R4+U4</f>
        <v>-99810.439199999993</v>
      </c>
      <c r="X4" s="171"/>
      <c r="Y4" s="191">
        <f>O4+P4+S4</f>
        <v>3669447.7374399994</v>
      </c>
      <c r="Z4" s="192">
        <f>Q4</f>
        <v>-2.7199999999999998E-2</v>
      </c>
      <c r="AA4" s="193">
        <f>Y4*Z4</f>
        <v>-99808.978458367972</v>
      </c>
      <c r="AB4" s="190">
        <f>W4-AA4</f>
        <v>-1.4607416320213815</v>
      </c>
      <c r="AC4" s="191">
        <f>AB4/T4</f>
        <v>53.70373647137432</v>
      </c>
      <c r="AD4" s="194">
        <f t="shared" ref="AD4:AD11" si="3">AB4/W4</f>
        <v>1.4635158844400533E-5</v>
      </c>
      <c r="AE4" s="77"/>
      <c r="AF4" s="77"/>
      <c r="AG4" s="77"/>
    </row>
    <row r="5" spans="1:33" x14ac:dyDescent="0.25">
      <c r="A5" s="180" t="s">
        <v>223</v>
      </c>
      <c r="B5" s="179"/>
      <c r="C5" s="181">
        <v>154</v>
      </c>
      <c r="D5" s="179"/>
      <c r="E5" s="182">
        <v>2251.4028899999998</v>
      </c>
      <c r="F5" s="182">
        <v>-1099</v>
      </c>
      <c r="G5" s="182">
        <v>2292</v>
      </c>
      <c r="H5" s="183">
        <f>F5+G5</f>
        <v>1193</v>
      </c>
      <c r="I5" s="184">
        <f t="shared" si="0"/>
        <v>3444.4028899999998</v>
      </c>
      <c r="J5" s="171"/>
      <c r="K5" s="171"/>
      <c r="L5" s="171" t="s">
        <v>224</v>
      </c>
      <c r="M5" s="171"/>
      <c r="N5" s="185">
        <v>-61.3</v>
      </c>
      <c r="O5" s="186">
        <f t="shared" ref="O5:O7" si="4">E5</f>
        <v>2251.4028899999998</v>
      </c>
      <c r="P5" s="186">
        <f t="shared" si="1"/>
        <v>2292</v>
      </c>
      <c r="Q5" s="187">
        <v>-2.7199999999999998E-2</v>
      </c>
      <c r="R5" s="188">
        <f t="shared" ref="R5:R10" si="5">P5*Q5</f>
        <v>-62.342399999999998</v>
      </c>
      <c r="S5" s="186">
        <f t="shared" si="2"/>
        <v>-1099</v>
      </c>
      <c r="T5" s="187">
        <f t="shared" ref="T5:T10" si="6">Q5</f>
        <v>-2.7199999999999998E-2</v>
      </c>
      <c r="U5" s="189">
        <f t="shared" ref="U5:U10" si="7">S5*T5</f>
        <v>29.892799999999998</v>
      </c>
      <c r="V5" s="171"/>
      <c r="W5" s="190">
        <f t="shared" ref="W5:W10" si="8">N5+R5+U5</f>
        <v>-93.749600000000001</v>
      </c>
      <c r="X5" s="171"/>
      <c r="Y5" s="191">
        <f t="shared" ref="Y5:Y10" si="9">O5+P5+S5</f>
        <v>3444.4028899999994</v>
      </c>
      <c r="Z5" s="192">
        <f t="shared" ref="Z5:Z10" si="10">Q5</f>
        <v>-2.7199999999999998E-2</v>
      </c>
      <c r="AA5" s="193">
        <f t="shared" ref="AA5:AA10" si="11">Y5*Z5</f>
        <v>-93.687758607999982</v>
      </c>
      <c r="AB5" s="190">
        <f t="shared" ref="AB5:AB10" si="12">W5-AA5</f>
        <v>-6.1841392000019368E-2</v>
      </c>
      <c r="AC5" s="191">
        <f t="shared" ref="AC5:AC10" si="13">AB5/T5</f>
        <v>2.2735805882360065</v>
      </c>
      <c r="AD5" s="194">
        <f t="shared" si="3"/>
        <v>6.5964432914934431E-4</v>
      </c>
      <c r="AE5" s="77"/>
      <c r="AF5" s="77"/>
      <c r="AG5" s="77"/>
    </row>
    <row r="6" spans="1:33" x14ac:dyDescent="0.25">
      <c r="A6" s="180" t="s">
        <v>225</v>
      </c>
      <c r="B6" s="179"/>
      <c r="C6" s="181">
        <v>3036</v>
      </c>
      <c r="D6" s="179"/>
      <c r="E6" s="182">
        <v>1977936.2909299999</v>
      </c>
      <c r="F6" s="182">
        <v>-936252</v>
      </c>
      <c r="G6" s="182">
        <v>1802326</v>
      </c>
      <c r="H6" s="183">
        <f t="shared" ref="H6:H13" si="14">F6+G6</f>
        <v>866074</v>
      </c>
      <c r="I6" s="184">
        <f>SUM(E6:G6)</f>
        <v>2844010.2909300001</v>
      </c>
      <c r="J6" s="171"/>
      <c r="K6" s="171"/>
      <c r="L6" s="171" t="s">
        <v>226</v>
      </c>
      <c r="M6" s="171"/>
      <c r="N6" s="185">
        <v>13667.47</v>
      </c>
      <c r="O6" s="186">
        <f t="shared" si="4"/>
        <v>1977936.2909299999</v>
      </c>
      <c r="P6" s="186">
        <f t="shared" si="1"/>
        <v>1802326</v>
      </c>
      <c r="Q6" s="195">
        <v>6.9100000000000003E-3</v>
      </c>
      <c r="R6" s="188">
        <f t="shared" si="5"/>
        <v>12454.07266</v>
      </c>
      <c r="S6" s="186">
        <f t="shared" si="2"/>
        <v>-936252</v>
      </c>
      <c r="T6" s="187">
        <f t="shared" si="6"/>
        <v>6.9100000000000003E-3</v>
      </c>
      <c r="U6" s="189">
        <f t="shared" si="7"/>
        <v>-6469.5013200000003</v>
      </c>
      <c r="V6" s="171"/>
      <c r="W6" s="190">
        <f t="shared" si="8"/>
        <v>19652.04134</v>
      </c>
      <c r="X6" s="171"/>
      <c r="Y6" s="191">
        <f t="shared" si="9"/>
        <v>2844010.2909300001</v>
      </c>
      <c r="Z6" s="179">
        <f t="shared" si="10"/>
        <v>6.9100000000000003E-3</v>
      </c>
      <c r="AA6" s="193">
        <f t="shared" si="11"/>
        <v>19652.111110326303</v>
      </c>
      <c r="AB6" s="190">
        <f t="shared" si="12"/>
        <v>-6.9770326303114416E-2</v>
      </c>
      <c r="AC6" s="191">
        <f t="shared" si="13"/>
        <v>-10.097008148062868</v>
      </c>
      <c r="AD6" s="194">
        <f t="shared" si="3"/>
        <v>-3.550283916872445E-6</v>
      </c>
      <c r="AE6" s="77"/>
      <c r="AF6" s="77"/>
      <c r="AG6" s="77"/>
    </row>
    <row r="7" spans="1:33" x14ac:dyDescent="0.25">
      <c r="A7" s="180" t="s">
        <v>227</v>
      </c>
      <c r="B7" s="179"/>
      <c r="C7" s="181">
        <v>1</v>
      </c>
      <c r="D7" s="179"/>
      <c r="E7" s="182">
        <v>6765.2939999999999</v>
      </c>
      <c r="F7" s="182">
        <v>-3326</v>
      </c>
      <c r="G7" s="182">
        <v>6886</v>
      </c>
      <c r="H7" s="183">
        <f>F7+G7</f>
        <v>3560</v>
      </c>
      <c r="I7" s="184">
        <f>SUM(E7:G7)</f>
        <v>10325.294</v>
      </c>
      <c r="J7" s="171"/>
      <c r="K7" s="171"/>
      <c r="L7" s="171" t="s">
        <v>228</v>
      </c>
      <c r="M7" s="171"/>
      <c r="N7" s="185">
        <v>0</v>
      </c>
      <c r="O7" s="186">
        <f t="shared" si="4"/>
        <v>6765.2939999999999</v>
      </c>
      <c r="P7" s="186">
        <f t="shared" si="1"/>
        <v>6886</v>
      </c>
      <c r="Q7" s="187">
        <v>0</v>
      </c>
      <c r="R7" s="188">
        <f t="shared" si="5"/>
        <v>0</v>
      </c>
      <c r="S7" s="186">
        <f t="shared" si="2"/>
        <v>-3326</v>
      </c>
      <c r="T7" s="187">
        <f t="shared" si="6"/>
        <v>0</v>
      </c>
      <c r="U7" s="189">
        <f t="shared" si="7"/>
        <v>0</v>
      </c>
      <c r="V7" s="171"/>
      <c r="W7" s="190">
        <f t="shared" si="8"/>
        <v>0</v>
      </c>
      <c r="X7" s="171"/>
      <c r="Y7" s="191">
        <f t="shared" si="9"/>
        <v>10325.294</v>
      </c>
      <c r="Z7" s="192">
        <f t="shared" si="10"/>
        <v>0</v>
      </c>
      <c r="AA7" s="193">
        <f t="shared" si="11"/>
        <v>0</v>
      </c>
      <c r="AB7" s="190">
        <f t="shared" si="12"/>
        <v>0</v>
      </c>
      <c r="AC7" s="191"/>
      <c r="AD7" s="194"/>
      <c r="AE7" s="77"/>
      <c r="AF7" s="77"/>
      <c r="AG7" s="77"/>
    </row>
    <row r="8" spans="1:33" x14ac:dyDescent="0.25">
      <c r="A8" s="180" t="s">
        <v>229</v>
      </c>
      <c r="B8" s="179"/>
      <c r="C8" s="181">
        <v>4</v>
      </c>
      <c r="D8" s="287"/>
      <c r="E8" s="182">
        <v>86446.432000000001</v>
      </c>
      <c r="F8" s="182">
        <v>-64354</v>
      </c>
      <c r="G8" s="182">
        <v>87993</v>
      </c>
      <c r="H8" s="183">
        <f t="shared" si="14"/>
        <v>23639</v>
      </c>
      <c r="I8" s="184">
        <f t="shared" si="0"/>
        <v>110085.432</v>
      </c>
      <c r="J8" s="171"/>
      <c r="K8" s="171"/>
      <c r="L8" s="171" t="s">
        <v>230</v>
      </c>
      <c r="M8" s="171"/>
      <c r="N8" s="185">
        <v>597.35</v>
      </c>
      <c r="O8" s="186">
        <f>E8</f>
        <v>86446.432000000001</v>
      </c>
      <c r="P8" s="186">
        <f t="shared" si="1"/>
        <v>87993</v>
      </c>
      <c r="Q8" s="195">
        <v>6.9100000000000003E-3</v>
      </c>
      <c r="R8" s="188">
        <f t="shared" si="5"/>
        <v>608.03163000000006</v>
      </c>
      <c r="S8" s="186">
        <f t="shared" si="2"/>
        <v>-64354</v>
      </c>
      <c r="T8" s="187">
        <f t="shared" si="6"/>
        <v>6.9100000000000003E-3</v>
      </c>
      <c r="U8" s="189">
        <f t="shared" si="7"/>
        <v>-444.68614000000002</v>
      </c>
      <c r="V8" s="171"/>
      <c r="W8" s="190">
        <f>N8+R8+U8</f>
        <v>760.69549000000006</v>
      </c>
      <c r="X8" s="171"/>
      <c r="Y8" s="191">
        <f t="shared" si="9"/>
        <v>110085.432</v>
      </c>
      <c r="Z8" s="179">
        <f t="shared" si="10"/>
        <v>6.9100000000000003E-3</v>
      </c>
      <c r="AA8" s="193">
        <f t="shared" si="11"/>
        <v>760.69033511999999</v>
      </c>
      <c r="AB8" s="190">
        <f t="shared" si="12"/>
        <v>5.1548800000773554E-3</v>
      </c>
      <c r="AC8" s="191">
        <f t="shared" si="13"/>
        <v>0.74600289436720046</v>
      </c>
      <c r="AD8" s="194">
        <f>AB8/W8</f>
        <v>6.7765355097311734E-6</v>
      </c>
      <c r="AE8" s="77"/>
      <c r="AF8" s="77"/>
      <c r="AG8" s="77"/>
    </row>
    <row r="9" spans="1:33" x14ac:dyDescent="0.25">
      <c r="A9" s="180" t="s">
        <v>231</v>
      </c>
      <c r="B9" s="179"/>
      <c r="C9" s="181">
        <v>1</v>
      </c>
      <c r="D9" s="287"/>
      <c r="E9" s="182">
        <v>24698.952000000001</v>
      </c>
      <c r="F9" s="182">
        <v>-14723</v>
      </c>
      <c r="G9" s="182">
        <v>25141</v>
      </c>
      <c r="H9" s="183">
        <f t="shared" si="14"/>
        <v>10418</v>
      </c>
      <c r="I9" s="184">
        <f t="shared" si="0"/>
        <v>35116.952000000005</v>
      </c>
      <c r="J9" s="171"/>
      <c r="K9" s="171"/>
      <c r="L9" s="171" t="s">
        <v>137</v>
      </c>
      <c r="M9" s="171"/>
      <c r="N9" s="185">
        <v>0</v>
      </c>
      <c r="O9" s="186">
        <f>E9</f>
        <v>24698.952000000001</v>
      </c>
      <c r="P9" s="186">
        <f t="shared" si="1"/>
        <v>25141</v>
      </c>
      <c r="Q9" s="187">
        <v>0</v>
      </c>
      <c r="R9" s="188">
        <f t="shared" si="5"/>
        <v>0</v>
      </c>
      <c r="S9" s="186">
        <f t="shared" si="2"/>
        <v>-14723</v>
      </c>
      <c r="T9" s="187">
        <f t="shared" si="6"/>
        <v>0</v>
      </c>
      <c r="U9" s="189">
        <f t="shared" si="7"/>
        <v>0</v>
      </c>
      <c r="V9" s="171"/>
      <c r="W9" s="190">
        <f>N9+R9+U9</f>
        <v>0</v>
      </c>
      <c r="X9" s="171"/>
      <c r="Y9" s="191">
        <f t="shared" si="9"/>
        <v>35116.952000000005</v>
      </c>
      <c r="Z9" s="192">
        <f t="shared" si="10"/>
        <v>0</v>
      </c>
      <c r="AA9" s="193">
        <f t="shared" si="11"/>
        <v>0</v>
      </c>
      <c r="AB9" s="190">
        <f t="shared" si="12"/>
        <v>0</v>
      </c>
      <c r="AC9" s="191"/>
      <c r="AD9" s="194"/>
      <c r="AE9" s="77"/>
      <c r="AF9" s="77"/>
      <c r="AG9" s="77"/>
    </row>
    <row r="10" spans="1:33" x14ac:dyDescent="0.25">
      <c r="A10" s="180" t="s">
        <v>232</v>
      </c>
      <c r="B10" s="179"/>
      <c r="C10" s="181">
        <v>1</v>
      </c>
      <c r="D10" s="179"/>
      <c r="E10" s="182">
        <v>11737.691999999999</v>
      </c>
      <c r="F10" s="182"/>
      <c r="G10" s="182"/>
      <c r="H10" s="183">
        <f t="shared" si="14"/>
        <v>0</v>
      </c>
      <c r="I10" s="184">
        <f t="shared" si="0"/>
        <v>11737.691999999999</v>
      </c>
      <c r="J10" s="171"/>
      <c r="K10" s="171"/>
      <c r="L10" s="171" t="s">
        <v>233</v>
      </c>
      <c r="M10" s="171"/>
      <c r="N10" s="185">
        <v>0</v>
      </c>
      <c r="O10" s="186">
        <v>0</v>
      </c>
      <c r="P10" s="186">
        <v>0</v>
      </c>
      <c r="Q10" s="195">
        <v>6.9100000000000003E-3</v>
      </c>
      <c r="R10" s="188">
        <f t="shared" si="5"/>
        <v>0</v>
      </c>
      <c r="S10" s="186">
        <v>0</v>
      </c>
      <c r="T10" s="187">
        <f t="shared" si="6"/>
        <v>6.9100000000000003E-3</v>
      </c>
      <c r="U10" s="189">
        <f t="shared" si="7"/>
        <v>0</v>
      </c>
      <c r="V10" s="171"/>
      <c r="W10" s="190">
        <f t="shared" si="8"/>
        <v>0</v>
      </c>
      <c r="X10" s="171"/>
      <c r="Y10" s="191">
        <f t="shared" si="9"/>
        <v>0</v>
      </c>
      <c r="Z10" s="179">
        <f t="shared" si="10"/>
        <v>6.9100000000000003E-3</v>
      </c>
      <c r="AA10" s="193">
        <f t="shared" si="11"/>
        <v>0</v>
      </c>
      <c r="AB10" s="190">
        <f t="shared" si="12"/>
        <v>0</v>
      </c>
      <c r="AC10" s="191">
        <f t="shared" si="13"/>
        <v>0</v>
      </c>
      <c r="AD10" s="194"/>
      <c r="AE10" s="77"/>
      <c r="AF10" s="77"/>
      <c r="AG10" s="77"/>
    </row>
    <row r="11" spans="1:33" x14ac:dyDescent="0.25">
      <c r="A11" s="180" t="s">
        <v>234</v>
      </c>
      <c r="B11" s="179"/>
      <c r="C11" s="181">
        <v>39</v>
      </c>
      <c r="D11" s="179"/>
      <c r="E11" s="182">
        <v>2325589</v>
      </c>
      <c r="F11" s="182">
        <v>-2325581</v>
      </c>
      <c r="G11" s="182">
        <v>2566202</v>
      </c>
      <c r="H11" s="183">
        <f t="shared" si="14"/>
        <v>240621</v>
      </c>
      <c r="I11" s="184">
        <f t="shared" si="0"/>
        <v>2566210</v>
      </c>
      <c r="J11" s="171"/>
      <c r="K11" s="171"/>
      <c r="L11" s="171"/>
      <c r="M11" s="171"/>
      <c r="N11" s="196">
        <f>SUM(N4:N10)</f>
        <v>-52210.46</v>
      </c>
      <c r="O11" s="197">
        <f>SUM(O4:O10)</f>
        <v>4539735.1092599994</v>
      </c>
      <c r="P11" s="197">
        <f>SUM(P4:P10)</f>
        <v>4408624</v>
      </c>
      <c r="Q11" s="171"/>
      <c r="R11" s="196">
        <f>SUM(R4:R10)</f>
        <v>-54564.657309999988</v>
      </c>
      <c r="S11" s="197">
        <f>SUM(S4:S10)</f>
        <v>-2275929</v>
      </c>
      <c r="T11" s="198"/>
      <c r="U11" s="196">
        <f>SUM(U4:U10)</f>
        <v>27283.66534</v>
      </c>
      <c r="V11" s="171"/>
      <c r="W11" s="196">
        <f>SUM(W4:W10)</f>
        <v>-79491.451969999995</v>
      </c>
      <c r="X11" s="171"/>
      <c r="Y11" s="199">
        <f>SUM(Y4:Y10)</f>
        <v>6672430.1092599984</v>
      </c>
      <c r="Z11" s="171"/>
      <c r="AA11" s="199">
        <f>SUM(AA4:AA10)</f>
        <v>-79489.864771529668</v>
      </c>
      <c r="AB11" s="196">
        <f>SUM(AB4:AB10)</f>
        <v>-1.5871984703244379</v>
      </c>
      <c r="AC11" s="199">
        <f>SUM(AC4:AC10)</f>
        <v>46.626311805914661</v>
      </c>
      <c r="AD11" s="194">
        <f t="shared" si="3"/>
        <v>1.9966907522628286E-5</v>
      </c>
      <c r="AE11" s="77"/>
      <c r="AF11" s="77"/>
      <c r="AG11" s="77"/>
    </row>
    <row r="12" spans="1:33" x14ac:dyDescent="0.25">
      <c r="A12" s="180" t="s">
        <v>235</v>
      </c>
      <c r="B12" s="179"/>
      <c r="C12" s="181">
        <v>3</v>
      </c>
      <c r="D12" s="179"/>
      <c r="E12" s="182">
        <v>1405649</v>
      </c>
      <c r="F12" s="182"/>
      <c r="G12" s="182"/>
      <c r="H12" s="183">
        <f t="shared" si="14"/>
        <v>0</v>
      </c>
      <c r="I12" s="184">
        <f t="shared" si="0"/>
        <v>1405649</v>
      </c>
      <c r="J12" s="171"/>
      <c r="K12" s="171"/>
      <c r="L12" s="171"/>
      <c r="M12" s="171"/>
      <c r="N12" s="171"/>
      <c r="O12" s="200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77"/>
      <c r="AF12" s="77"/>
      <c r="AG12" s="77"/>
    </row>
    <row r="13" spans="1:33" x14ac:dyDescent="0.25">
      <c r="A13" s="180" t="s">
        <v>236</v>
      </c>
      <c r="B13" s="179"/>
      <c r="C13" s="181">
        <v>5</v>
      </c>
      <c r="D13" s="201"/>
      <c r="E13" s="182">
        <v>3514085</v>
      </c>
      <c r="F13" s="182">
        <v>-3514085</v>
      </c>
      <c r="G13" s="182">
        <v>3678155</v>
      </c>
      <c r="H13" s="183">
        <f t="shared" si="14"/>
        <v>164070</v>
      </c>
      <c r="I13" s="184">
        <f t="shared" si="0"/>
        <v>3678155</v>
      </c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2" t="s">
        <v>237</v>
      </c>
      <c r="U13" s="171" t="s">
        <v>238</v>
      </c>
      <c r="V13" s="171"/>
      <c r="W13" s="202">
        <v>0.95466099999999998</v>
      </c>
      <c r="X13" s="171"/>
      <c r="Y13" s="171"/>
      <c r="Z13" s="171" t="s">
        <v>239</v>
      </c>
      <c r="AA13" s="171" t="s">
        <v>240</v>
      </c>
      <c r="AB13" s="171"/>
      <c r="AC13" s="171" t="s">
        <v>241</v>
      </c>
      <c r="AD13" s="171"/>
      <c r="AE13" s="77"/>
      <c r="AF13" s="77"/>
      <c r="AG13" s="77"/>
    </row>
    <row r="14" spans="1:33" x14ac:dyDescent="0.25">
      <c r="A14" s="179"/>
      <c r="B14" s="179"/>
      <c r="C14" s="203">
        <f>SUM(C4:C13)</f>
        <v>165422</v>
      </c>
      <c r="D14" s="171"/>
      <c r="E14" s="203">
        <f>SUM(E4:E13)</f>
        <v>11796795.801259998</v>
      </c>
      <c r="F14" s="203">
        <f>SUM(F4:F13)</f>
        <v>-8115595</v>
      </c>
      <c r="G14" s="203">
        <f>SUM(G4:G13)</f>
        <v>10652981</v>
      </c>
      <c r="H14" s="203">
        <f>SUM(H4:H13)</f>
        <v>2537386</v>
      </c>
      <c r="I14" s="203">
        <f t="shared" ref="I14" si="15">SUM(I4:I13)</f>
        <v>14334181.801259998</v>
      </c>
      <c r="J14" s="171"/>
      <c r="K14" s="171"/>
      <c r="L14" s="171"/>
      <c r="M14" s="171"/>
      <c r="N14" s="171"/>
      <c r="O14" s="171"/>
      <c r="P14" s="171"/>
      <c r="Q14" s="171"/>
      <c r="R14" s="171"/>
      <c r="S14" s="171" t="s">
        <v>184</v>
      </c>
      <c r="T14" s="171" t="s">
        <v>242</v>
      </c>
      <c r="U14" s="171"/>
      <c r="V14" s="171"/>
      <c r="W14" s="204">
        <f>(W4+W5)*W13</f>
        <v>-95374.632783996785</v>
      </c>
      <c r="X14" s="171"/>
      <c r="Y14" s="171" t="s">
        <v>28</v>
      </c>
      <c r="Z14" s="183">
        <f>O4+O5+P4+P5+S4+S5</f>
        <v>3672892.1403299998</v>
      </c>
      <c r="AA14" s="179">
        <v>-2.597E-2</v>
      </c>
      <c r="AB14" s="190">
        <f>Z14*AA14</f>
        <v>-95385.008884370094</v>
      </c>
      <c r="AC14" s="190">
        <f>W14-AB14</f>
        <v>10.376100373308873</v>
      </c>
      <c r="AD14" s="194">
        <f>AC14/W14</f>
        <v>-1.0879308334333018E-4</v>
      </c>
      <c r="AE14" s="77"/>
      <c r="AF14" s="77"/>
      <c r="AG14" s="77"/>
    </row>
    <row r="15" spans="1:33" ht="15.75" thickBot="1" x14ac:dyDescent="0.3">
      <c r="A15" s="179"/>
      <c r="B15" s="179"/>
      <c r="C15" s="179"/>
      <c r="D15" s="171"/>
      <c r="E15" s="179"/>
      <c r="F15" s="179"/>
      <c r="G15" s="179"/>
      <c r="H15" s="179"/>
      <c r="I15" s="179"/>
      <c r="J15" s="171"/>
      <c r="K15" s="171"/>
      <c r="L15" s="171"/>
      <c r="M15" s="171"/>
      <c r="N15" s="171"/>
      <c r="O15" s="171"/>
      <c r="P15" s="171"/>
      <c r="Q15" s="171"/>
      <c r="R15" s="171"/>
      <c r="S15" s="171" t="s">
        <v>184</v>
      </c>
      <c r="T15" s="171" t="s">
        <v>243</v>
      </c>
      <c r="U15" s="171"/>
      <c r="V15" s="171"/>
      <c r="W15" s="204">
        <f>SUM(W6:W10)*W13</f>
        <v>19487.24375486463</v>
      </c>
      <c r="X15" s="171"/>
      <c r="Y15" s="171" t="s">
        <v>244</v>
      </c>
      <c r="Z15" s="183">
        <f>SUM(O6:P10,S6:S10)</f>
        <v>2999537.9689300004</v>
      </c>
      <c r="AA15" s="192">
        <v>6.6E-3</v>
      </c>
      <c r="AB15" s="190">
        <f>(Z15-Y9-Y7)*AA15</f>
        <v>19497.031771338003</v>
      </c>
      <c r="AC15" s="190">
        <f>W15-AB15</f>
        <v>-9.7880164733724087</v>
      </c>
      <c r="AD15" s="194">
        <f>AC15/W15</f>
        <v>-5.022781362258586E-4</v>
      </c>
      <c r="AE15" s="77"/>
      <c r="AF15" s="77"/>
      <c r="AG15" s="77"/>
    </row>
    <row r="16" spans="1:33" x14ac:dyDescent="0.25">
      <c r="A16" s="179" t="s">
        <v>28</v>
      </c>
      <c r="B16" s="179"/>
      <c r="C16" s="205">
        <f>C4+C5</f>
        <v>162332</v>
      </c>
      <c r="D16" s="171"/>
      <c r="E16" s="206">
        <f>E4+E5</f>
        <v>2443888.1403299998</v>
      </c>
      <c r="F16" s="206">
        <f t="shared" ref="F16:H16" si="16">F4+F5</f>
        <v>-1257274</v>
      </c>
      <c r="G16" s="206">
        <f t="shared" si="16"/>
        <v>2486278</v>
      </c>
      <c r="H16" s="206">
        <f t="shared" si="16"/>
        <v>1229004</v>
      </c>
      <c r="I16" s="205">
        <f>I4+I5</f>
        <v>3672892.1403299998</v>
      </c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77"/>
      <c r="AF16" s="77"/>
      <c r="AG16" s="77"/>
    </row>
    <row r="17" spans="1:33" x14ac:dyDescent="0.25">
      <c r="A17" s="179"/>
      <c r="B17" s="179"/>
      <c r="C17" s="207"/>
      <c r="D17" s="171"/>
      <c r="E17" s="179"/>
      <c r="F17" s="179"/>
      <c r="G17" s="179"/>
      <c r="H17" s="179"/>
      <c r="I17" s="208"/>
      <c r="J17" s="171"/>
      <c r="K17" s="171"/>
      <c r="L17" s="171"/>
      <c r="M17" s="171"/>
      <c r="N17" s="171"/>
      <c r="O17" s="171"/>
      <c r="P17" s="171"/>
      <c r="Q17" s="171"/>
      <c r="R17" s="190">
        <f>R11+U11</f>
        <v>-27280.991969999988</v>
      </c>
      <c r="S17" s="171" t="s">
        <v>320</v>
      </c>
      <c r="T17" s="171"/>
      <c r="U17" s="171"/>
      <c r="V17" s="171"/>
      <c r="W17" s="171"/>
      <c r="X17" s="171"/>
      <c r="Y17" s="171" t="s">
        <v>245</v>
      </c>
      <c r="Z17" s="171"/>
      <c r="AA17" s="171"/>
      <c r="AB17" s="171"/>
      <c r="AC17" s="171"/>
      <c r="AD17" s="171"/>
      <c r="AE17" s="77"/>
      <c r="AF17" s="77"/>
      <c r="AG17" s="77"/>
    </row>
    <row r="18" spans="1:33" ht="15.75" thickBot="1" x14ac:dyDescent="0.3">
      <c r="A18" s="179" t="s">
        <v>244</v>
      </c>
      <c r="B18" s="179"/>
      <c r="C18" s="209">
        <f>SUM(C6:C9)</f>
        <v>3042</v>
      </c>
      <c r="D18" s="171"/>
      <c r="E18" s="210">
        <f>SUM(E6:E9)</f>
        <v>2095846.96893</v>
      </c>
      <c r="F18" s="210">
        <f t="shared" ref="F18:H18" si="17">SUM(F6:F9)</f>
        <v>-1018655</v>
      </c>
      <c r="G18" s="210">
        <f t="shared" si="17"/>
        <v>1922346</v>
      </c>
      <c r="H18" s="210">
        <f t="shared" si="17"/>
        <v>903691</v>
      </c>
      <c r="I18" s="209">
        <f>SUM(I6:I9)</f>
        <v>2999537.9689300004</v>
      </c>
      <c r="J18" s="171"/>
      <c r="K18" s="171"/>
      <c r="L18" s="171"/>
      <c r="M18" s="171"/>
      <c r="N18" s="171"/>
      <c r="O18" s="171"/>
      <c r="P18" s="171"/>
      <c r="Q18" s="171"/>
      <c r="R18" s="190">
        <f>F64</f>
        <v>-27280.991969999995</v>
      </c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77"/>
      <c r="AF18" s="77"/>
      <c r="AG18" s="77"/>
    </row>
    <row r="19" spans="1:33" x14ac:dyDescent="0.25">
      <c r="A19" s="179"/>
      <c r="B19" s="179"/>
      <c r="C19" s="179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77"/>
      <c r="AF19" s="77"/>
      <c r="AG19" s="77"/>
    </row>
    <row r="20" spans="1:33" ht="51.75" x14ac:dyDescent="0.25">
      <c r="A20" s="174"/>
      <c r="B20" s="211"/>
      <c r="C20" s="177" t="s">
        <v>246</v>
      </c>
      <c r="D20" s="212" t="s">
        <v>247</v>
      </c>
      <c r="E20" s="177" t="s">
        <v>248</v>
      </c>
      <c r="F20" s="177" t="s">
        <v>249</v>
      </c>
      <c r="G20" s="177" t="s">
        <v>250</v>
      </c>
      <c r="H20" s="177" t="s">
        <v>251</v>
      </c>
      <c r="I20" s="177" t="s">
        <v>252</v>
      </c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77"/>
      <c r="AF20" s="77"/>
      <c r="AG20" s="77"/>
    </row>
    <row r="21" spans="1:33" x14ac:dyDescent="0.25">
      <c r="A21" s="179"/>
      <c r="B21" s="179"/>
      <c r="C21" s="179"/>
      <c r="D21" s="179"/>
      <c r="E21" s="179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77"/>
      <c r="AF21" s="77"/>
      <c r="AG21" s="77"/>
    </row>
    <row r="22" spans="1:33" x14ac:dyDescent="0.25">
      <c r="A22" s="180" t="s">
        <v>221</v>
      </c>
      <c r="B22" s="179"/>
      <c r="C22" s="213">
        <v>1566854.5</v>
      </c>
      <c r="D22" s="213">
        <v>2486184.31</v>
      </c>
      <c r="E22" s="213">
        <v>-1563465.5179835199</v>
      </c>
      <c r="F22" s="213">
        <f>2259245-F23</f>
        <v>2258823.7994746687</v>
      </c>
      <c r="G22" s="214">
        <f>SUM(D22:F22)</f>
        <v>3181542.5914911488</v>
      </c>
      <c r="H22" s="190">
        <f>-J54</f>
        <v>-261413.24001000007</v>
      </c>
      <c r="I22" s="190">
        <f t="shared" ref="I22:I31" si="18">G22+H22</f>
        <v>2920129.351481149</v>
      </c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77"/>
      <c r="AF22" s="77"/>
      <c r="AG22" s="77"/>
    </row>
    <row r="23" spans="1:33" x14ac:dyDescent="0.25">
      <c r="A23" s="180" t="s">
        <v>223</v>
      </c>
      <c r="B23" s="179"/>
      <c r="C23" s="213">
        <v>1463</v>
      </c>
      <c r="D23" s="213">
        <v>2312.79</v>
      </c>
      <c r="E23" s="213">
        <v>-202.482016477999</v>
      </c>
      <c r="F23" s="213">
        <f>G5*(K23-C23)/E5</f>
        <v>421.20052533111925</v>
      </c>
      <c r="G23" s="214">
        <f>SUM(D23:F23)</f>
        <v>2531.5085088531205</v>
      </c>
      <c r="H23" s="190">
        <f>-J55</f>
        <v>231.10795999999993</v>
      </c>
      <c r="I23" s="190">
        <f t="shared" si="18"/>
        <v>2762.6164688531203</v>
      </c>
      <c r="J23" s="171"/>
      <c r="K23" s="179">
        <v>1876.74</v>
      </c>
      <c r="L23" s="171" t="s">
        <v>277</v>
      </c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77"/>
      <c r="AF23" s="77"/>
      <c r="AG23" s="77"/>
    </row>
    <row r="24" spans="1:33" x14ac:dyDescent="0.25">
      <c r="A24" s="180" t="s">
        <v>225</v>
      </c>
      <c r="B24" s="179"/>
      <c r="C24" s="213">
        <v>296794.42</v>
      </c>
      <c r="D24" s="213">
        <v>746650.38</v>
      </c>
      <c r="E24" s="213">
        <v>-458511</v>
      </c>
      <c r="F24" s="213">
        <v>882653</v>
      </c>
      <c r="G24" s="214">
        <f>SUM(D24:F24)</f>
        <v>1170792.3799999999</v>
      </c>
      <c r="H24" s="190">
        <f>-J56</f>
        <v>-203951.76626</v>
      </c>
      <c r="I24" s="190">
        <f t="shared" si="18"/>
        <v>966840.61373999994</v>
      </c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77"/>
      <c r="AF24" s="77"/>
      <c r="AG24" s="77"/>
    </row>
    <row r="25" spans="1:33" x14ac:dyDescent="0.25">
      <c r="A25" s="180" t="s">
        <v>227</v>
      </c>
      <c r="B25" s="179"/>
      <c r="C25" s="213">
        <v>97.25</v>
      </c>
      <c r="D25" s="213">
        <v>1829.85</v>
      </c>
      <c r="E25" s="213">
        <v>-1872</v>
      </c>
      <c r="F25" s="213">
        <v>3876</v>
      </c>
      <c r="G25" s="214">
        <f>SUM(D25:F25)</f>
        <v>3833.85</v>
      </c>
      <c r="H25" s="190">
        <f>-J57</f>
        <v>-1098.4380000000001</v>
      </c>
      <c r="I25" s="190">
        <f>G25+H25</f>
        <v>2735.4119999999998</v>
      </c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77"/>
      <c r="AF25" s="77"/>
      <c r="AG25" s="77"/>
    </row>
    <row r="26" spans="1:33" x14ac:dyDescent="0.25">
      <c r="A26" s="180" t="s">
        <v>229</v>
      </c>
      <c r="B26" s="179"/>
      <c r="C26" s="213">
        <v>961.79</v>
      </c>
      <c r="D26" s="213">
        <v>19090.28</v>
      </c>
      <c r="E26" s="213">
        <v>-24628</v>
      </c>
      <c r="F26" s="213">
        <v>33674</v>
      </c>
      <c r="G26" s="214">
        <f t="shared" ref="G26:G31" si="19">SUM(D26:F26)</f>
        <v>28136.28</v>
      </c>
      <c r="H26" s="190">
        <f t="shared" ref="H26:H31" si="20">-J58</f>
        <v>-6152.5225299999993</v>
      </c>
      <c r="I26" s="190">
        <f t="shared" si="18"/>
        <v>21983.75747</v>
      </c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77"/>
      <c r="AF26" s="77"/>
      <c r="AG26" s="77"/>
    </row>
    <row r="27" spans="1:33" x14ac:dyDescent="0.25">
      <c r="A27" s="180" t="s">
        <v>231</v>
      </c>
      <c r="B27" s="179"/>
      <c r="C27" s="213">
        <v>240.44</v>
      </c>
      <c r="D27" s="213">
        <v>6012.22</v>
      </c>
      <c r="E27" s="213">
        <v>-5634</v>
      </c>
      <c r="F27" s="213">
        <v>9621</v>
      </c>
      <c r="G27" s="214">
        <f t="shared" si="19"/>
        <v>9999.2200000000012</v>
      </c>
      <c r="H27" s="190">
        <f t="shared" si="20"/>
        <v>-3161.75882</v>
      </c>
      <c r="I27" s="190">
        <f t="shared" si="18"/>
        <v>6837.4611800000011</v>
      </c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77"/>
      <c r="AF27" s="77"/>
      <c r="AG27" s="77"/>
    </row>
    <row r="28" spans="1:33" x14ac:dyDescent="0.25">
      <c r="A28" s="180" t="s">
        <v>232</v>
      </c>
      <c r="B28" s="179"/>
      <c r="C28" s="213">
        <v>0</v>
      </c>
      <c r="D28" s="213">
        <v>2809.43</v>
      </c>
      <c r="E28" s="213"/>
      <c r="F28" s="213"/>
      <c r="G28" s="214">
        <f t="shared" si="19"/>
        <v>2809.43</v>
      </c>
      <c r="H28" s="190">
        <f t="shared" si="20"/>
        <v>0</v>
      </c>
      <c r="I28" s="190">
        <f t="shared" si="18"/>
        <v>2809.43</v>
      </c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77"/>
      <c r="AF28" s="77"/>
      <c r="AG28" s="77"/>
    </row>
    <row r="29" spans="1:33" x14ac:dyDescent="0.25">
      <c r="A29" s="180" t="s">
        <v>234</v>
      </c>
      <c r="B29" s="179"/>
      <c r="C29" s="213">
        <v>21450</v>
      </c>
      <c r="D29" s="213">
        <v>237054.71</v>
      </c>
      <c r="E29" s="213">
        <v>-128674</v>
      </c>
      <c r="F29" s="213">
        <v>141988</v>
      </c>
      <c r="G29" s="214">
        <f t="shared" si="19"/>
        <v>250368.71</v>
      </c>
      <c r="H29" s="190">
        <f t="shared" si="20"/>
        <v>-312.8073</v>
      </c>
      <c r="I29" s="190">
        <f t="shared" si="18"/>
        <v>250055.90270000001</v>
      </c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77"/>
      <c r="AF29" s="77"/>
      <c r="AG29" s="77"/>
    </row>
    <row r="30" spans="1:33" x14ac:dyDescent="0.25">
      <c r="A30" s="180" t="s">
        <v>235</v>
      </c>
      <c r="B30" s="179"/>
      <c r="C30" s="213">
        <v>0</v>
      </c>
      <c r="D30" s="213">
        <v>29392.12</v>
      </c>
      <c r="E30" s="213"/>
      <c r="F30" s="213"/>
      <c r="G30" s="214">
        <f t="shared" si="19"/>
        <v>29392.12</v>
      </c>
      <c r="H30" s="190">
        <f t="shared" si="20"/>
        <v>0</v>
      </c>
      <c r="I30" s="190">
        <f t="shared" si="18"/>
        <v>29392.12</v>
      </c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77"/>
      <c r="AF30" s="77"/>
      <c r="AG30" s="77"/>
    </row>
    <row r="31" spans="1:33" x14ac:dyDescent="0.25">
      <c r="A31" s="180" t="s">
        <v>236</v>
      </c>
      <c r="B31" s="179"/>
      <c r="C31" s="213">
        <v>1000</v>
      </c>
      <c r="D31" s="213">
        <v>97156.66</v>
      </c>
      <c r="E31" s="213">
        <v>-73480</v>
      </c>
      <c r="F31" s="213">
        <v>76910</v>
      </c>
      <c r="G31" s="214">
        <f t="shared" si="19"/>
        <v>100586.66</v>
      </c>
      <c r="H31" s="190">
        <f t="shared" si="20"/>
        <v>0</v>
      </c>
      <c r="I31" s="190">
        <f t="shared" si="18"/>
        <v>100586.66</v>
      </c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77"/>
      <c r="AF31" s="77"/>
      <c r="AG31" s="77"/>
    </row>
    <row r="32" spans="1:33" x14ac:dyDescent="0.25">
      <c r="A32" s="180" t="s">
        <v>253</v>
      </c>
      <c r="B32" s="179"/>
      <c r="C32" s="213"/>
      <c r="D32" s="213">
        <v>1023464.17</v>
      </c>
      <c r="E32" s="213"/>
      <c r="F32" s="213"/>
      <c r="G32" s="214"/>
      <c r="H32" s="190"/>
      <c r="I32" s="190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77"/>
      <c r="AF32" s="77"/>
      <c r="AG32" s="77"/>
    </row>
    <row r="33" spans="1:33" x14ac:dyDescent="0.25">
      <c r="A33" s="180" t="s">
        <v>254</v>
      </c>
      <c r="B33" s="179"/>
      <c r="C33" s="215"/>
      <c r="D33" s="213">
        <v>160477.39000000001</v>
      </c>
      <c r="E33" s="213"/>
      <c r="F33" s="213"/>
      <c r="G33" s="214"/>
      <c r="H33" s="190"/>
      <c r="I33" s="190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77"/>
      <c r="AF33" s="77"/>
      <c r="AG33" s="77"/>
    </row>
    <row r="34" spans="1:33" x14ac:dyDescent="0.25">
      <c r="A34" s="179"/>
      <c r="B34" s="179"/>
      <c r="C34" s="196">
        <f>SUM(C22:C31)</f>
        <v>1888861.4</v>
      </c>
      <c r="D34" s="216">
        <f>SUM(D22:D33)</f>
        <v>4812434.3100000005</v>
      </c>
      <c r="E34" s="216">
        <f>SUM(E22:E33)</f>
        <v>-2256466.9999999981</v>
      </c>
      <c r="F34" s="216">
        <f>SUM(F22:F33)</f>
        <v>3407967</v>
      </c>
      <c r="G34" s="216">
        <f t="shared" ref="G34:I34" si="21">SUM(G22:G33)</f>
        <v>4779992.7500000019</v>
      </c>
      <c r="H34" s="216">
        <f t="shared" si="21"/>
        <v>-475859.42496000009</v>
      </c>
      <c r="I34" s="216">
        <f t="shared" si="21"/>
        <v>4304133.3250400024</v>
      </c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77"/>
      <c r="AF34" s="77"/>
      <c r="AG34" s="77"/>
    </row>
    <row r="35" spans="1:33" ht="15.75" thickBot="1" x14ac:dyDescent="0.3">
      <c r="A35" s="179"/>
      <c r="B35" s="179"/>
      <c r="C35" s="171"/>
      <c r="D35" s="217"/>
      <c r="E35" s="179"/>
      <c r="F35" s="179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77"/>
      <c r="AF35" s="77"/>
      <c r="AG35" s="77"/>
    </row>
    <row r="36" spans="1:33" x14ac:dyDescent="0.25">
      <c r="A36" s="179" t="s">
        <v>28</v>
      </c>
      <c r="B36" s="179"/>
      <c r="C36" s="218">
        <f>C22+C23</f>
        <v>1568317.5</v>
      </c>
      <c r="D36" s="188">
        <f>D22+D23</f>
        <v>2488497.1</v>
      </c>
      <c r="E36" s="188">
        <f t="shared" ref="E36:H36" si="22">E22+E23</f>
        <v>-1563667.9999999979</v>
      </c>
      <c r="F36" s="188">
        <f t="shared" si="22"/>
        <v>2259245</v>
      </c>
      <c r="G36" s="188">
        <f t="shared" si="22"/>
        <v>3184074.100000002</v>
      </c>
      <c r="H36" s="188">
        <f t="shared" si="22"/>
        <v>-261182.13205000007</v>
      </c>
      <c r="I36" s="218">
        <f>I22+I23</f>
        <v>2922891.9679500023</v>
      </c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77"/>
      <c r="AF36" s="77"/>
      <c r="AG36" s="77"/>
    </row>
    <row r="37" spans="1:33" x14ac:dyDescent="0.25">
      <c r="A37" s="179"/>
      <c r="B37" s="179"/>
      <c r="C37" s="219"/>
      <c r="D37" s="188"/>
      <c r="E37" s="179"/>
      <c r="F37" s="179"/>
      <c r="G37" s="171"/>
      <c r="H37" s="171"/>
      <c r="I37" s="220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77"/>
      <c r="AF37" s="77"/>
      <c r="AG37" s="77"/>
    </row>
    <row r="38" spans="1:33" ht="15.75" thickBot="1" x14ac:dyDescent="0.3">
      <c r="A38" s="179" t="s">
        <v>244</v>
      </c>
      <c r="B38" s="179"/>
      <c r="C38" s="221">
        <f>SUM(C24:C27)</f>
        <v>298093.89999999997</v>
      </c>
      <c r="D38" s="222">
        <f>SUM(D24:D27)</f>
        <v>773582.73</v>
      </c>
      <c r="E38" s="222">
        <f t="shared" ref="E38:H38" si="23">SUM(E24:E27)</f>
        <v>-490645</v>
      </c>
      <c r="F38" s="222">
        <f t="shared" si="23"/>
        <v>929824</v>
      </c>
      <c r="G38" s="222">
        <f t="shared" si="23"/>
        <v>1212761.73</v>
      </c>
      <c r="H38" s="222">
        <f t="shared" si="23"/>
        <v>-214364.48560999997</v>
      </c>
      <c r="I38" s="221">
        <f>SUM(I24:I27)</f>
        <v>998397.24438999989</v>
      </c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77"/>
      <c r="AF38" s="77"/>
      <c r="AG38" s="77"/>
    </row>
    <row r="39" spans="1:33" x14ac:dyDescent="0.25">
      <c r="A39" s="179"/>
      <c r="B39" s="179"/>
      <c r="C39" s="223"/>
      <c r="D39" s="222"/>
      <c r="E39" s="222"/>
      <c r="F39" s="222"/>
      <c r="G39" s="222"/>
      <c r="H39" s="222"/>
      <c r="I39" s="223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77"/>
      <c r="AF39" s="77"/>
      <c r="AG39" s="77"/>
    </row>
    <row r="40" spans="1:33" ht="76.150000000000006" customHeight="1" x14ac:dyDescent="0.25">
      <c r="A40" s="179" t="s">
        <v>255</v>
      </c>
      <c r="B40" s="171"/>
      <c r="C40" s="224">
        <v>43405</v>
      </c>
      <c r="D40" s="224">
        <v>43405</v>
      </c>
      <c r="E40" s="224">
        <v>43617</v>
      </c>
      <c r="F40" s="224">
        <v>43405</v>
      </c>
      <c r="G40" s="224">
        <v>42278</v>
      </c>
      <c r="H40" s="224">
        <v>43344</v>
      </c>
      <c r="I40" s="224">
        <v>43374</v>
      </c>
      <c r="J40" s="225"/>
      <c r="K40" s="225"/>
      <c r="L40" s="171" t="s">
        <v>276</v>
      </c>
      <c r="M40" s="171"/>
      <c r="N40" s="171"/>
      <c r="O40" s="317" t="s">
        <v>265</v>
      </c>
      <c r="P40" s="317" t="s">
        <v>266</v>
      </c>
      <c r="Q40" s="317" t="s">
        <v>267</v>
      </c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77"/>
      <c r="AE40" s="77"/>
      <c r="AF40" s="77"/>
      <c r="AG40" s="77"/>
    </row>
    <row r="41" spans="1:33" ht="26.25" x14ac:dyDescent="0.25">
      <c r="A41" s="226" t="s">
        <v>256</v>
      </c>
      <c r="B41" s="175"/>
      <c r="C41" s="227" t="s">
        <v>257</v>
      </c>
      <c r="D41" s="227" t="s">
        <v>258</v>
      </c>
      <c r="E41" s="227" t="s">
        <v>259</v>
      </c>
      <c r="F41" s="227" t="s">
        <v>260</v>
      </c>
      <c r="G41" s="227" t="s">
        <v>261</v>
      </c>
      <c r="H41" s="227" t="s">
        <v>262</v>
      </c>
      <c r="I41" s="227" t="s">
        <v>263</v>
      </c>
      <c r="J41" s="292"/>
      <c r="K41" s="317" t="s">
        <v>264</v>
      </c>
      <c r="L41" s="317"/>
      <c r="M41" s="317" t="s">
        <v>275</v>
      </c>
      <c r="N41" s="317"/>
      <c r="O41" s="317"/>
      <c r="P41" s="317"/>
      <c r="Q41" s="317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77"/>
      <c r="AE41" s="77"/>
      <c r="AF41" s="77"/>
      <c r="AG41" s="77"/>
    </row>
    <row r="42" spans="1:33" x14ac:dyDescent="0.25">
      <c r="A42" s="180" t="s">
        <v>221</v>
      </c>
      <c r="B42" s="179"/>
      <c r="C42" s="229">
        <v>0.28637000000000001</v>
      </c>
      <c r="D42" s="229">
        <v>-9.6129999999999993E-2</v>
      </c>
      <c r="E42" s="229">
        <v>0</v>
      </c>
      <c r="F42" s="229">
        <v>-2.7199999999999998E-2</v>
      </c>
      <c r="G42" s="229">
        <v>0</v>
      </c>
      <c r="H42" s="229">
        <v>3.0280000000000001E-2</v>
      </c>
      <c r="I42" s="229">
        <v>1.959E-2</v>
      </c>
      <c r="J42" s="229"/>
      <c r="K42" s="230"/>
      <c r="L42" s="231">
        <f>SUM(C42:I42)</f>
        <v>0.21291000000000002</v>
      </c>
      <c r="M42" s="171"/>
      <c r="N42" s="231">
        <f>SUM(C42:I42)</f>
        <v>0.21291000000000002</v>
      </c>
      <c r="O42" s="193">
        <f t="shared" ref="O42:O51" si="24">L42*G4</f>
        <v>528865.45926000003</v>
      </c>
      <c r="P42" s="232">
        <f>-F4*N42</f>
        <v>267452.21925000002</v>
      </c>
      <c r="Q42" s="193">
        <f>O42-P42</f>
        <v>261413.24001000001</v>
      </c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77"/>
      <c r="AE42" s="77"/>
      <c r="AF42" s="77"/>
      <c r="AG42" s="77"/>
    </row>
    <row r="43" spans="1:33" x14ac:dyDescent="0.25">
      <c r="A43" s="180" t="s">
        <v>223</v>
      </c>
      <c r="B43" s="179"/>
      <c r="C43" s="229">
        <v>0.28637000000000001</v>
      </c>
      <c r="D43" s="229">
        <v>-9.6129999999999993E-2</v>
      </c>
      <c r="E43" s="229">
        <v>0</v>
      </c>
      <c r="F43" s="229">
        <v>-2.7199999999999998E-2</v>
      </c>
      <c r="G43" s="229">
        <v>-0.40662999999999999</v>
      </c>
      <c r="H43" s="229">
        <v>3.0280000000000001E-2</v>
      </c>
      <c r="I43" s="229">
        <v>1.959E-2</v>
      </c>
      <c r="J43" s="229"/>
      <c r="K43" s="230"/>
      <c r="L43" s="231">
        <f t="shared" ref="L43:L51" si="25">SUM(C43:I43)</f>
        <v>-0.19371999999999998</v>
      </c>
      <c r="M43" s="171"/>
      <c r="N43" s="231">
        <f t="shared" ref="N43:N51" si="26">SUM(C43:I43)</f>
        <v>-0.19371999999999998</v>
      </c>
      <c r="O43" s="193">
        <f t="shared" si="24"/>
        <v>-444.00623999999993</v>
      </c>
      <c r="P43" s="232">
        <f t="shared" ref="P43:P51" si="27">-F5*N43</f>
        <v>-212.89827999999997</v>
      </c>
      <c r="Q43" s="193">
        <f t="shared" ref="Q43:Q51" si="28">O43-P43</f>
        <v>-231.10795999999996</v>
      </c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77"/>
      <c r="AE43" s="77"/>
      <c r="AF43" s="77"/>
      <c r="AG43" s="77"/>
    </row>
    <row r="44" spans="1:33" x14ac:dyDescent="0.25">
      <c r="A44" s="180" t="s">
        <v>225</v>
      </c>
      <c r="B44" s="179"/>
      <c r="C44" s="229">
        <v>0.27588000000000001</v>
      </c>
      <c r="D44" s="229">
        <v>-7.9969999999999999E-2</v>
      </c>
      <c r="E44" s="229">
        <v>0</v>
      </c>
      <c r="F44" s="229">
        <v>6.9100000000000003E-3</v>
      </c>
      <c r="G44" s="229">
        <v>0</v>
      </c>
      <c r="H44" s="229">
        <v>1.626E-2</v>
      </c>
      <c r="I44" s="229">
        <v>1.6410000000000001E-2</v>
      </c>
      <c r="J44" s="229"/>
      <c r="K44" s="230"/>
      <c r="L44" s="231">
        <f t="shared" si="25"/>
        <v>0.23549000000000003</v>
      </c>
      <c r="M44" s="171"/>
      <c r="N44" s="231">
        <f t="shared" si="26"/>
        <v>0.23549000000000003</v>
      </c>
      <c r="O44" s="193">
        <f t="shared" si="24"/>
        <v>424429.74974000006</v>
      </c>
      <c r="P44" s="232">
        <f t="shared" si="27"/>
        <v>220477.98348000002</v>
      </c>
      <c r="Q44" s="193">
        <f t="shared" si="28"/>
        <v>203951.76626000003</v>
      </c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77"/>
      <c r="AE44" s="77"/>
      <c r="AF44" s="77"/>
      <c r="AG44" s="77"/>
    </row>
    <row r="45" spans="1:33" x14ac:dyDescent="0.25">
      <c r="A45" s="180" t="s">
        <v>227</v>
      </c>
      <c r="B45" s="179"/>
      <c r="C45" s="229">
        <v>0.27588000000000001</v>
      </c>
      <c r="D45" s="229">
        <v>0</v>
      </c>
      <c r="E45" s="229">
        <v>0</v>
      </c>
      <c r="F45" s="229">
        <v>0</v>
      </c>
      <c r="G45" s="229">
        <v>0</v>
      </c>
      <c r="H45" s="229">
        <v>1.626E-2</v>
      </c>
      <c r="I45" s="229">
        <v>1.6410000000000001E-2</v>
      </c>
      <c r="J45" s="229"/>
      <c r="K45" s="230"/>
      <c r="L45" s="231">
        <f t="shared" si="25"/>
        <v>0.30854999999999999</v>
      </c>
      <c r="M45" s="171"/>
      <c r="N45" s="231">
        <f t="shared" si="26"/>
        <v>0.30854999999999999</v>
      </c>
      <c r="O45" s="193">
        <f t="shared" si="24"/>
        <v>2124.6752999999999</v>
      </c>
      <c r="P45" s="232">
        <f t="shared" si="27"/>
        <v>1026.2373</v>
      </c>
      <c r="Q45" s="193">
        <f t="shared" si="28"/>
        <v>1098.4379999999999</v>
      </c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77"/>
      <c r="AE45" s="77"/>
      <c r="AF45" s="77"/>
      <c r="AG45" s="77"/>
    </row>
    <row r="46" spans="1:33" x14ac:dyDescent="0.25">
      <c r="A46" s="180" t="s">
        <v>229</v>
      </c>
      <c r="B46" s="179"/>
      <c r="C46" s="229">
        <v>0.27573999999999999</v>
      </c>
      <c r="D46" s="229">
        <v>-5.0130000000000001E-2</v>
      </c>
      <c r="E46" s="229">
        <v>0</v>
      </c>
      <c r="F46" s="229">
        <v>6.9100000000000003E-3</v>
      </c>
      <c r="G46" s="229">
        <v>0</v>
      </c>
      <c r="H46" s="229">
        <v>1.2760000000000001E-2</v>
      </c>
      <c r="I46" s="229">
        <v>1.499E-2</v>
      </c>
      <c r="J46" s="229"/>
      <c r="K46" s="230"/>
      <c r="L46" s="231">
        <f t="shared" si="25"/>
        <v>0.26026999999999995</v>
      </c>
      <c r="M46" s="171"/>
      <c r="N46" s="231">
        <f t="shared" si="26"/>
        <v>0.26026999999999995</v>
      </c>
      <c r="O46" s="193">
        <f t="shared" si="24"/>
        <v>22901.938109999996</v>
      </c>
      <c r="P46" s="232">
        <f t="shared" si="27"/>
        <v>16749.415579999997</v>
      </c>
      <c r="Q46" s="193">
        <f t="shared" si="28"/>
        <v>6152.5225299999984</v>
      </c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77"/>
      <c r="AE46" s="77"/>
      <c r="AF46" s="77"/>
      <c r="AG46" s="77"/>
    </row>
    <row r="47" spans="1:33" x14ac:dyDescent="0.25">
      <c r="A47" s="180" t="s">
        <v>231</v>
      </c>
      <c r="B47" s="179"/>
      <c r="C47" s="229">
        <v>0.27573999999999999</v>
      </c>
      <c r="D47" s="229">
        <v>0</v>
      </c>
      <c r="E47" s="229">
        <v>0</v>
      </c>
      <c r="F47" s="229">
        <v>0</v>
      </c>
      <c r="G47" s="229">
        <v>0</v>
      </c>
      <c r="H47" s="229">
        <v>1.2760000000000001E-2</v>
      </c>
      <c r="I47" s="229">
        <v>1.499E-2</v>
      </c>
      <c r="J47" s="229"/>
      <c r="K47" s="230"/>
      <c r="L47" s="231">
        <f t="shared" si="25"/>
        <v>0.30348999999999998</v>
      </c>
      <c r="M47" s="171"/>
      <c r="N47" s="231">
        <f t="shared" si="26"/>
        <v>0.30348999999999998</v>
      </c>
      <c r="O47" s="193">
        <f t="shared" si="24"/>
        <v>7630.0420899999999</v>
      </c>
      <c r="P47" s="232">
        <f t="shared" si="27"/>
        <v>4468.2832699999999</v>
      </c>
      <c r="Q47" s="193">
        <f t="shared" si="28"/>
        <v>3161.75882</v>
      </c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77"/>
      <c r="AE47" s="77"/>
      <c r="AF47" s="77"/>
      <c r="AG47" s="77"/>
    </row>
    <row r="48" spans="1:33" x14ac:dyDescent="0.25">
      <c r="A48" s="180" t="s">
        <v>232</v>
      </c>
      <c r="B48" s="179"/>
      <c r="C48" s="229">
        <v>0.24138999999999999</v>
      </c>
      <c r="D48" s="229">
        <v>0</v>
      </c>
      <c r="E48" s="229">
        <v>0</v>
      </c>
      <c r="F48" s="229">
        <v>0</v>
      </c>
      <c r="G48" s="229">
        <v>0</v>
      </c>
      <c r="H48" s="229">
        <v>1.132E-2</v>
      </c>
      <c r="I48" s="229">
        <v>1.44E-2</v>
      </c>
      <c r="J48" s="229"/>
      <c r="K48" s="230"/>
      <c r="L48" s="231">
        <f t="shared" si="25"/>
        <v>0.26711000000000001</v>
      </c>
      <c r="M48" s="171"/>
      <c r="N48" s="231">
        <f t="shared" si="26"/>
        <v>0.26711000000000001</v>
      </c>
      <c r="O48" s="193">
        <f t="shared" si="24"/>
        <v>0</v>
      </c>
      <c r="P48" s="232">
        <f t="shared" si="27"/>
        <v>0</v>
      </c>
      <c r="Q48" s="193">
        <f t="shared" si="28"/>
        <v>0</v>
      </c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77"/>
      <c r="AE48" s="77"/>
      <c r="AF48" s="77"/>
      <c r="AG48" s="77"/>
    </row>
    <row r="49" spans="1:33" x14ac:dyDescent="0.25">
      <c r="A49" s="180" t="s">
        <v>234</v>
      </c>
      <c r="B49" s="179"/>
      <c r="C49" s="229">
        <v>5.5999999999999995E-4</v>
      </c>
      <c r="D49" s="229">
        <v>0</v>
      </c>
      <c r="E49" s="229">
        <v>0</v>
      </c>
      <c r="F49" s="229">
        <v>0</v>
      </c>
      <c r="G49" s="229">
        <v>0</v>
      </c>
      <c r="H49" s="229">
        <v>0</v>
      </c>
      <c r="I49" s="229">
        <v>7.3999999999999999E-4</v>
      </c>
      <c r="J49" s="229"/>
      <c r="K49" s="230"/>
      <c r="L49" s="231">
        <f t="shared" si="25"/>
        <v>1.2999999999999999E-3</v>
      </c>
      <c r="M49" s="171"/>
      <c r="N49" s="231">
        <f t="shared" si="26"/>
        <v>1.2999999999999999E-3</v>
      </c>
      <c r="O49" s="193">
        <f t="shared" si="24"/>
        <v>3336.0625999999997</v>
      </c>
      <c r="P49" s="232">
        <f t="shared" si="27"/>
        <v>3023.2552999999998</v>
      </c>
      <c r="Q49" s="193">
        <f t="shared" si="28"/>
        <v>312.80729999999994</v>
      </c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77"/>
      <c r="AE49" s="77"/>
      <c r="AF49" s="77"/>
      <c r="AG49" s="77"/>
    </row>
    <row r="50" spans="1:33" x14ac:dyDescent="0.25">
      <c r="A50" s="180" t="s">
        <v>235</v>
      </c>
      <c r="B50" s="179"/>
      <c r="C50" s="229">
        <v>0</v>
      </c>
      <c r="D50" s="229">
        <v>0</v>
      </c>
      <c r="E50" s="229">
        <v>0</v>
      </c>
      <c r="F50" s="229">
        <v>0</v>
      </c>
      <c r="G50" s="229">
        <v>0</v>
      </c>
      <c r="H50" s="229">
        <v>0</v>
      </c>
      <c r="I50" s="229">
        <v>0</v>
      </c>
      <c r="J50" s="229"/>
      <c r="K50" s="230"/>
      <c r="L50" s="231">
        <f t="shared" si="25"/>
        <v>0</v>
      </c>
      <c r="M50" s="171"/>
      <c r="N50" s="231">
        <f t="shared" si="26"/>
        <v>0</v>
      </c>
      <c r="O50" s="193">
        <f t="shared" si="24"/>
        <v>0</v>
      </c>
      <c r="P50" s="232">
        <f t="shared" si="27"/>
        <v>0</v>
      </c>
      <c r="Q50" s="193">
        <f t="shared" si="28"/>
        <v>0</v>
      </c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77"/>
      <c r="AE50" s="77"/>
      <c r="AF50" s="77"/>
      <c r="AG50" s="77"/>
    </row>
    <row r="51" spans="1:33" x14ac:dyDescent="0.25">
      <c r="A51" s="180" t="s">
        <v>236</v>
      </c>
      <c r="B51" s="179"/>
      <c r="C51" s="229">
        <v>0</v>
      </c>
      <c r="D51" s="229">
        <v>0</v>
      </c>
      <c r="E51" s="229">
        <v>0</v>
      </c>
      <c r="F51" s="229">
        <v>0</v>
      </c>
      <c r="G51" s="229">
        <v>0</v>
      </c>
      <c r="H51" s="229">
        <v>0</v>
      </c>
      <c r="I51" s="229">
        <v>0</v>
      </c>
      <c r="J51" s="229"/>
      <c r="K51" s="230"/>
      <c r="L51" s="231">
        <f t="shared" si="25"/>
        <v>0</v>
      </c>
      <c r="M51" s="171"/>
      <c r="N51" s="231">
        <f t="shared" si="26"/>
        <v>0</v>
      </c>
      <c r="O51" s="193">
        <f t="shared" si="24"/>
        <v>0</v>
      </c>
      <c r="P51" s="232">
        <f t="shared" si="27"/>
        <v>0</v>
      </c>
      <c r="Q51" s="193">
        <f t="shared" si="28"/>
        <v>0</v>
      </c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77"/>
      <c r="AE51" s="77"/>
      <c r="AF51" s="77"/>
      <c r="AG51" s="77"/>
    </row>
    <row r="52" spans="1:33" x14ac:dyDescent="0.25">
      <c r="A52" s="180"/>
      <c r="B52" s="179"/>
      <c r="C52" s="229"/>
      <c r="D52" s="229"/>
      <c r="E52" s="229"/>
      <c r="F52" s="229"/>
      <c r="G52" s="229"/>
      <c r="H52" s="229"/>
      <c r="I52" s="229"/>
      <c r="J52" s="229"/>
      <c r="K52" s="229"/>
      <c r="L52" s="230"/>
      <c r="M52" s="171"/>
      <c r="O52" s="233">
        <f>SUM(O42:O51)</f>
        <v>988843.92085999995</v>
      </c>
      <c r="P52" s="233">
        <f>SUM(P42:P51)</f>
        <v>512984.49590000004</v>
      </c>
      <c r="Q52" s="233">
        <f>SUM(Q42:Q51)</f>
        <v>475859.42496000009</v>
      </c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77"/>
      <c r="AF52" s="77"/>
      <c r="AG52" s="77"/>
    </row>
    <row r="53" spans="1:33" ht="39" x14ac:dyDescent="0.25">
      <c r="A53" s="226" t="s">
        <v>267</v>
      </c>
      <c r="B53" s="175"/>
      <c r="C53" s="212" t="s">
        <v>268</v>
      </c>
      <c r="D53" s="212" t="s">
        <v>269</v>
      </c>
      <c r="E53" s="212" t="s">
        <v>259</v>
      </c>
      <c r="F53" s="212" t="s">
        <v>260</v>
      </c>
      <c r="G53" s="212" t="s">
        <v>270</v>
      </c>
      <c r="H53" s="212" t="s">
        <v>271</v>
      </c>
      <c r="I53" s="212" t="s">
        <v>272</v>
      </c>
      <c r="J53" s="212" t="s">
        <v>273</v>
      </c>
      <c r="K53" s="171"/>
      <c r="L53" s="171"/>
      <c r="M53" s="171"/>
      <c r="N53" s="171"/>
      <c r="O53" s="171"/>
      <c r="P53" s="193">
        <f>'08.2019 Base Rate Revenue'!O52</f>
        <v>512984.49590000004</v>
      </c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77"/>
      <c r="AF53" s="77"/>
      <c r="AG53" s="77"/>
    </row>
    <row r="54" spans="1:33" x14ac:dyDescent="0.25">
      <c r="A54" s="180" t="s">
        <v>221</v>
      </c>
      <c r="B54" s="171"/>
      <c r="C54" s="188">
        <f>C42*$H4</f>
        <v>351608.23607000004</v>
      </c>
      <c r="D54" s="188">
        <f t="shared" ref="D54:I54" si="29">D42*$H4</f>
        <v>-118029.47142999999</v>
      </c>
      <c r="E54" s="188">
        <f>E42*$H4</f>
        <v>0</v>
      </c>
      <c r="F54" s="188">
        <f t="shared" si="29"/>
        <v>-33396.459199999998</v>
      </c>
      <c r="G54" s="188">
        <f t="shared" si="29"/>
        <v>0</v>
      </c>
      <c r="H54" s="188">
        <f t="shared" si="29"/>
        <v>37178.117080000004</v>
      </c>
      <c r="I54" s="188">
        <f t="shared" si="29"/>
        <v>24052.817490000001</v>
      </c>
      <c r="J54" s="188">
        <f>SUM(C54:I54)</f>
        <v>261413.24001000007</v>
      </c>
      <c r="K54" s="171"/>
      <c r="L54" s="171"/>
      <c r="M54" s="171"/>
      <c r="N54" s="193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77"/>
      <c r="AF54" s="77"/>
      <c r="AG54" s="77"/>
    </row>
    <row r="55" spans="1:33" x14ac:dyDescent="0.25">
      <c r="A55" s="180" t="s">
        <v>223</v>
      </c>
      <c r="B55" s="171"/>
      <c r="C55" s="188">
        <f t="shared" ref="C55:I63" si="30">C43*$H5</f>
        <v>341.63941</v>
      </c>
      <c r="D55" s="188">
        <f t="shared" si="30"/>
        <v>-114.68308999999999</v>
      </c>
      <c r="E55" s="188">
        <f t="shared" si="30"/>
        <v>0</v>
      </c>
      <c r="F55" s="188">
        <f t="shared" si="30"/>
        <v>-32.449599999999997</v>
      </c>
      <c r="G55" s="188">
        <f t="shared" si="30"/>
        <v>-485.10958999999997</v>
      </c>
      <c r="H55" s="188">
        <f t="shared" si="30"/>
        <v>36.124040000000001</v>
      </c>
      <c r="I55" s="188">
        <f t="shared" si="30"/>
        <v>23.37087</v>
      </c>
      <c r="J55" s="188">
        <f t="shared" ref="J55:J63" si="31">SUM(C55:I55)</f>
        <v>-231.10795999999993</v>
      </c>
      <c r="K55" s="171"/>
      <c r="L55" s="171"/>
      <c r="M55" s="171"/>
      <c r="N55" s="193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77"/>
      <c r="AF55" s="77"/>
      <c r="AG55" s="77"/>
    </row>
    <row r="56" spans="1:33" x14ac:dyDescent="0.25">
      <c r="A56" s="180" t="s">
        <v>225</v>
      </c>
      <c r="B56" s="171"/>
      <c r="C56" s="188">
        <f t="shared" si="30"/>
        <v>238932.49512000001</v>
      </c>
      <c r="D56" s="188">
        <f t="shared" si="30"/>
        <v>-69259.937779999993</v>
      </c>
      <c r="E56" s="188">
        <f t="shared" si="30"/>
        <v>0</v>
      </c>
      <c r="F56" s="188">
        <f t="shared" si="30"/>
        <v>5984.5713400000004</v>
      </c>
      <c r="G56" s="188">
        <f t="shared" si="30"/>
        <v>0</v>
      </c>
      <c r="H56" s="188">
        <f t="shared" si="30"/>
        <v>14082.363240000001</v>
      </c>
      <c r="I56" s="188">
        <f t="shared" si="30"/>
        <v>14212.27434</v>
      </c>
      <c r="J56" s="188">
        <f t="shared" si="31"/>
        <v>203951.76626</v>
      </c>
      <c r="K56" s="171"/>
      <c r="L56" s="171"/>
      <c r="M56" s="171"/>
      <c r="N56" s="193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77"/>
      <c r="AF56" s="77"/>
      <c r="AG56" s="77"/>
    </row>
    <row r="57" spans="1:33" x14ac:dyDescent="0.25">
      <c r="A57" s="180" t="s">
        <v>227</v>
      </c>
      <c r="B57" s="171"/>
      <c r="C57" s="188">
        <f t="shared" si="30"/>
        <v>982.13280000000009</v>
      </c>
      <c r="D57" s="188">
        <f t="shared" si="30"/>
        <v>0</v>
      </c>
      <c r="E57" s="188">
        <f t="shared" si="30"/>
        <v>0</v>
      </c>
      <c r="F57" s="188">
        <f t="shared" si="30"/>
        <v>0</v>
      </c>
      <c r="G57" s="188">
        <f t="shared" si="30"/>
        <v>0</v>
      </c>
      <c r="H57" s="188">
        <f t="shared" si="30"/>
        <v>57.885600000000004</v>
      </c>
      <c r="I57" s="188">
        <f t="shared" si="30"/>
        <v>58.419600000000003</v>
      </c>
      <c r="J57" s="188">
        <f t="shared" si="31"/>
        <v>1098.4380000000001</v>
      </c>
      <c r="K57" s="171"/>
      <c r="L57" s="171"/>
      <c r="M57" s="171"/>
      <c r="N57" s="193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77"/>
      <c r="AF57" s="77"/>
      <c r="AG57" s="77"/>
    </row>
    <row r="58" spans="1:33" x14ac:dyDescent="0.25">
      <c r="A58" s="180" t="s">
        <v>229</v>
      </c>
      <c r="B58" s="171"/>
      <c r="C58" s="188">
        <f t="shared" si="30"/>
        <v>6518.2178599999997</v>
      </c>
      <c r="D58" s="188">
        <f t="shared" si="30"/>
        <v>-1185.02307</v>
      </c>
      <c r="E58" s="188">
        <f t="shared" si="30"/>
        <v>0</v>
      </c>
      <c r="F58" s="188">
        <f t="shared" si="30"/>
        <v>163.34549000000001</v>
      </c>
      <c r="G58" s="188">
        <f t="shared" si="30"/>
        <v>0</v>
      </c>
      <c r="H58" s="188">
        <f t="shared" si="30"/>
        <v>301.63364000000001</v>
      </c>
      <c r="I58" s="188">
        <f t="shared" si="30"/>
        <v>354.34861000000001</v>
      </c>
      <c r="J58" s="188">
        <f t="shared" si="31"/>
        <v>6152.5225299999993</v>
      </c>
      <c r="K58" s="171"/>
      <c r="L58" s="171"/>
      <c r="M58" s="171"/>
      <c r="N58" s="193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77"/>
      <c r="AF58" s="77"/>
      <c r="AG58" s="77"/>
    </row>
    <row r="59" spans="1:33" x14ac:dyDescent="0.25">
      <c r="A59" s="180" t="s">
        <v>231</v>
      </c>
      <c r="B59" s="171"/>
      <c r="C59" s="188">
        <f t="shared" si="30"/>
        <v>2872.6593199999998</v>
      </c>
      <c r="D59" s="188">
        <f t="shared" si="30"/>
        <v>0</v>
      </c>
      <c r="E59" s="188">
        <f t="shared" si="30"/>
        <v>0</v>
      </c>
      <c r="F59" s="188">
        <f t="shared" si="30"/>
        <v>0</v>
      </c>
      <c r="G59" s="188">
        <f t="shared" si="30"/>
        <v>0</v>
      </c>
      <c r="H59" s="188">
        <f t="shared" si="30"/>
        <v>132.93368000000001</v>
      </c>
      <c r="I59" s="188">
        <f t="shared" si="30"/>
        <v>156.16582</v>
      </c>
      <c r="J59" s="188">
        <f t="shared" si="31"/>
        <v>3161.75882</v>
      </c>
      <c r="K59" s="171"/>
      <c r="L59" s="171"/>
      <c r="M59" s="171"/>
      <c r="N59" s="193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77"/>
      <c r="AF59" s="77"/>
      <c r="AG59" s="77"/>
    </row>
    <row r="60" spans="1:33" x14ac:dyDescent="0.25">
      <c r="A60" s="180" t="s">
        <v>232</v>
      </c>
      <c r="B60" s="171"/>
      <c r="C60" s="188">
        <f t="shared" si="30"/>
        <v>0</v>
      </c>
      <c r="D60" s="188">
        <f t="shared" si="30"/>
        <v>0</v>
      </c>
      <c r="E60" s="188">
        <f t="shared" si="30"/>
        <v>0</v>
      </c>
      <c r="F60" s="188">
        <f t="shared" si="30"/>
        <v>0</v>
      </c>
      <c r="G60" s="188">
        <f t="shared" si="30"/>
        <v>0</v>
      </c>
      <c r="H60" s="188">
        <f t="shared" si="30"/>
        <v>0</v>
      </c>
      <c r="I60" s="188">
        <f t="shared" si="30"/>
        <v>0</v>
      </c>
      <c r="J60" s="188">
        <f t="shared" si="31"/>
        <v>0</v>
      </c>
      <c r="K60" s="171"/>
      <c r="L60" s="171"/>
      <c r="M60" s="171"/>
      <c r="N60" s="193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77"/>
      <c r="AF60" s="77"/>
      <c r="AG60" s="77"/>
    </row>
    <row r="61" spans="1:33" x14ac:dyDescent="0.25">
      <c r="A61" s="180" t="s">
        <v>234</v>
      </c>
      <c r="B61" s="171"/>
      <c r="C61" s="188">
        <f t="shared" si="30"/>
        <v>134.74776</v>
      </c>
      <c r="D61" s="188">
        <f t="shared" si="30"/>
        <v>0</v>
      </c>
      <c r="E61" s="188">
        <f t="shared" si="30"/>
        <v>0</v>
      </c>
      <c r="F61" s="188">
        <f t="shared" si="30"/>
        <v>0</v>
      </c>
      <c r="G61" s="188">
        <f t="shared" si="30"/>
        <v>0</v>
      </c>
      <c r="H61" s="188">
        <f t="shared" si="30"/>
        <v>0</v>
      </c>
      <c r="I61" s="188">
        <f t="shared" si="30"/>
        <v>178.05954</v>
      </c>
      <c r="J61" s="188">
        <f t="shared" si="31"/>
        <v>312.8073</v>
      </c>
      <c r="K61" s="171"/>
      <c r="L61" s="171"/>
      <c r="M61" s="171"/>
      <c r="N61" s="193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77"/>
      <c r="AF61" s="77"/>
      <c r="AG61" s="77"/>
    </row>
    <row r="62" spans="1:33" x14ac:dyDescent="0.25">
      <c r="A62" s="180" t="s">
        <v>235</v>
      </c>
      <c r="B62" s="171"/>
      <c r="C62" s="188">
        <f t="shared" si="30"/>
        <v>0</v>
      </c>
      <c r="D62" s="188">
        <f t="shared" si="30"/>
        <v>0</v>
      </c>
      <c r="E62" s="188">
        <f t="shared" si="30"/>
        <v>0</v>
      </c>
      <c r="F62" s="188">
        <f t="shared" si="30"/>
        <v>0</v>
      </c>
      <c r="G62" s="188">
        <f t="shared" si="30"/>
        <v>0</v>
      </c>
      <c r="H62" s="188">
        <f t="shared" si="30"/>
        <v>0</v>
      </c>
      <c r="I62" s="188">
        <f t="shared" si="30"/>
        <v>0</v>
      </c>
      <c r="J62" s="188">
        <f t="shared" si="31"/>
        <v>0</v>
      </c>
      <c r="K62" s="171"/>
      <c r="L62" s="171"/>
      <c r="M62" s="171"/>
      <c r="N62" s="193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77"/>
      <c r="AF62" s="77"/>
      <c r="AG62" s="77"/>
    </row>
    <row r="63" spans="1:33" x14ac:dyDescent="0.25">
      <c r="A63" s="180" t="s">
        <v>236</v>
      </c>
      <c r="B63" s="171"/>
      <c r="C63" s="188">
        <f t="shared" si="30"/>
        <v>0</v>
      </c>
      <c r="D63" s="188">
        <f t="shared" si="30"/>
        <v>0</v>
      </c>
      <c r="E63" s="188">
        <f t="shared" si="30"/>
        <v>0</v>
      </c>
      <c r="F63" s="188">
        <f t="shared" si="30"/>
        <v>0</v>
      </c>
      <c r="G63" s="188">
        <f t="shared" si="30"/>
        <v>0</v>
      </c>
      <c r="H63" s="188">
        <f t="shared" si="30"/>
        <v>0</v>
      </c>
      <c r="I63" s="188">
        <f t="shared" si="30"/>
        <v>0</v>
      </c>
      <c r="J63" s="188">
        <f t="shared" si="31"/>
        <v>0</v>
      </c>
      <c r="K63" s="171"/>
      <c r="L63" s="171"/>
      <c r="M63" s="171"/>
      <c r="N63" s="234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77"/>
      <c r="AF63" s="77"/>
      <c r="AG63" s="77"/>
    </row>
    <row r="64" spans="1:33" x14ac:dyDescent="0.25">
      <c r="A64" s="171"/>
      <c r="B64" s="171"/>
      <c r="C64" s="196">
        <f>SUM(C54:C63)</f>
        <v>601390.12834000005</v>
      </c>
      <c r="D64" s="196">
        <f t="shared" ref="D64:I64" si="32">SUM(D54:D63)</f>
        <v>-188589.11536999998</v>
      </c>
      <c r="E64" s="196">
        <f t="shared" si="32"/>
        <v>0</v>
      </c>
      <c r="F64" s="196">
        <f t="shared" si="32"/>
        <v>-27280.991969999995</v>
      </c>
      <c r="G64" s="196">
        <f t="shared" si="32"/>
        <v>-485.10958999999997</v>
      </c>
      <c r="H64" s="196">
        <f t="shared" si="32"/>
        <v>51789.057280000008</v>
      </c>
      <c r="I64" s="196">
        <f t="shared" si="32"/>
        <v>39035.45627000001</v>
      </c>
      <c r="J64" s="196">
        <f>SUM(J54:J63)</f>
        <v>475859.42496000009</v>
      </c>
      <c r="K64" s="171"/>
      <c r="L64" s="171"/>
      <c r="M64" s="171"/>
      <c r="N64" s="234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77"/>
      <c r="AF64" s="77"/>
      <c r="AG64" s="77"/>
    </row>
    <row r="65" spans="1:33" x14ac:dyDescent="0.25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88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77"/>
      <c r="AF65" s="77"/>
      <c r="AG65" s="77"/>
    </row>
    <row r="66" spans="1:33" x14ac:dyDescent="0.25">
      <c r="A66" s="179" t="s">
        <v>28</v>
      </c>
      <c r="B66" s="179"/>
      <c r="C66" s="188">
        <f>C54+C55</f>
        <v>351949.87548000005</v>
      </c>
      <c r="D66" s="188">
        <f>D54+D55</f>
        <v>-118144.15452</v>
      </c>
      <c r="E66" s="188">
        <f t="shared" ref="E66:I66" si="33">E54+E55</f>
        <v>0</v>
      </c>
      <c r="F66" s="188">
        <f t="shared" si="33"/>
        <v>-33428.908799999997</v>
      </c>
      <c r="G66" s="188">
        <f t="shared" si="33"/>
        <v>-485.10958999999997</v>
      </c>
      <c r="H66" s="188">
        <f t="shared" si="33"/>
        <v>37214.241120000006</v>
      </c>
      <c r="I66" s="188">
        <f t="shared" si="33"/>
        <v>24076.18836</v>
      </c>
      <c r="J66" s="188">
        <f>J54+J55</f>
        <v>261182.13205000007</v>
      </c>
      <c r="K66" s="171"/>
      <c r="L66" s="171"/>
      <c r="M66" s="171"/>
      <c r="N66" s="188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77"/>
      <c r="AF66" s="77"/>
      <c r="AG66" s="77"/>
    </row>
    <row r="67" spans="1:33" x14ac:dyDescent="0.25">
      <c r="A67" s="179"/>
      <c r="B67" s="179"/>
      <c r="C67" s="188"/>
      <c r="D67" s="188"/>
      <c r="E67" s="188"/>
      <c r="F67" s="188"/>
      <c r="G67" s="188"/>
      <c r="H67" s="188"/>
      <c r="I67" s="188"/>
      <c r="J67" s="188"/>
      <c r="K67" s="171"/>
      <c r="L67" s="171"/>
      <c r="M67" s="171"/>
      <c r="N67" s="179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77"/>
      <c r="AF67" s="77"/>
      <c r="AG67" s="77"/>
    </row>
    <row r="68" spans="1:33" x14ac:dyDescent="0.25">
      <c r="A68" s="179" t="s">
        <v>244</v>
      </c>
      <c r="B68" s="179"/>
      <c r="C68" s="222">
        <f>C56+C58</f>
        <v>245450.71298000001</v>
      </c>
      <c r="D68" s="222">
        <f>D56+D58</f>
        <v>-70444.960849999989</v>
      </c>
      <c r="E68" s="222">
        <f t="shared" ref="E68:I68" si="34">E56+E58</f>
        <v>0</v>
      </c>
      <c r="F68" s="222">
        <f t="shared" si="34"/>
        <v>6147.9168300000001</v>
      </c>
      <c r="G68" s="222">
        <f t="shared" si="34"/>
        <v>0</v>
      </c>
      <c r="H68" s="222">
        <f t="shared" si="34"/>
        <v>14383.996880000001</v>
      </c>
      <c r="I68" s="222">
        <f t="shared" si="34"/>
        <v>14566.622950000001</v>
      </c>
      <c r="J68" s="222">
        <f>J56+J58</f>
        <v>210104.28878999999</v>
      </c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77"/>
      <c r="AF68" s="77"/>
      <c r="AG68" s="77"/>
    </row>
    <row r="69" spans="1:33" x14ac:dyDescent="0.25">
      <c r="A69" s="171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77"/>
      <c r="AF69" s="77"/>
      <c r="AG69" s="77"/>
    </row>
    <row r="70" spans="1:33" x14ac:dyDescent="0.25">
      <c r="A70" s="171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77"/>
      <c r="AF70" s="77"/>
      <c r="AG70" s="77"/>
    </row>
    <row r="71" spans="1:33" x14ac:dyDescent="0.25">
      <c r="A71" s="171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77"/>
      <c r="AF71" s="77"/>
      <c r="AG71" s="77"/>
    </row>
    <row r="72" spans="1:33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77"/>
      <c r="AF72" s="77"/>
      <c r="AG72" s="77"/>
    </row>
    <row r="73" spans="1:33" x14ac:dyDescent="0.25">
      <c r="A73" s="171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77"/>
      <c r="AF73" s="77"/>
      <c r="AG73" s="77"/>
    </row>
  </sheetData>
  <mergeCells count="6">
    <mergeCell ref="A1:I1"/>
    <mergeCell ref="O40:O41"/>
    <mergeCell ref="P40:P41"/>
    <mergeCell ref="Q40:Q41"/>
    <mergeCell ref="K41:L41"/>
    <mergeCell ref="M41:N41"/>
  </mergeCells>
  <printOptions horizontalCentered="1"/>
  <pageMargins left="0.45" right="0.45" top="0.5" bottom="0.5" header="0.3" footer="0.3"/>
  <pageSetup scale="80" orientation="landscape" r:id="rId1"/>
  <headerFooter scaleWithDoc="0">
    <oddFooter>&amp;L&amp;F / &amp;A&amp;RPage 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G73"/>
  <sheetViews>
    <sheetView topLeftCell="A24" zoomScaleNormal="100" workbookViewId="0">
      <selection sqref="A1:XFD1048576"/>
    </sheetView>
  </sheetViews>
  <sheetFormatPr defaultRowHeight="15" x14ac:dyDescent="0.25"/>
  <cols>
    <col min="1" max="1" width="19" customWidth="1"/>
    <col min="2" max="2" width="5.85546875" customWidth="1"/>
    <col min="3" max="3" width="17.42578125" customWidth="1"/>
    <col min="4" max="4" width="16.42578125" customWidth="1"/>
    <col min="5" max="5" width="15.28515625" customWidth="1"/>
    <col min="6" max="6" width="15" customWidth="1"/>
    <col min="7" max="7" width="15.7109375" customWidth="1"/>
    <col min="8" max="8" width="14.7109375" customWidth="1"/>
    <col min="9" max="9" width="18.28515625" customWidth="1"/>
    <col min="10" max="10" width="15.7109375" customWidth="1"/>
    <col min="11" max="11" width="10" customWidth="1"/>
    <col min="12" max="12" width="12.28515625" bestFit="1" customWidth="1"/>
    <col min="13" max="13" width="2.28515625" customWidth="1"/>
    <col min="14" max="14" width="17.5703125" customWidth="1"/>
    <col min="15" max="15" width="14.5703125" customWidth="1"/>
    <col min="16" max="16" width="12.85546875" customWidth="1"/>
    <col min="17" max="17" width="12.7109375" customWidth="1"/>
    <col min="18" max="18" width="15.42578125" customWidth="1"/>
    <col min="19" max="19" width="15.28515625" customWidth="1"/>
    <col min="20" max="20" width="11.140625" customWidth="1"/>
    <col min="21" max="21" width="15.5703125" customWidth="1"/>
    <col min="22" max="22" width="2.28515625" customWidth="1"/>
    <col min="23" max="23" width="16.7109375" customWidth="1"/>
    <col min="24" max="24" width="2.42578125" customWidth="1"/>
    <col min="25" max="25" width="14.28515625" customWidth="1"/>
    <col min="26" max="26" width="13.42578125" customWidth="1"/>
    <col min="27" max="27" width="13.85546875" customWidth="1"/>
    <col min="28" max="28" width="14.28515625" customWidth="1"/>
    <col min="29" max="29" width="16.140625" customWidth="1"/>
    <col min="30" max="30" width="10.5703125" customWidth="1"/>
  </cols>
  <sheetData>
    <row r="1" spans="1:33" x14ac:dyDescent="0.25">
      <c r="A1" s="319" t="s">
        <v>207</v>
      </c>
      <c r="B1" s="319"/>
      <c r="C1" s="319"/>
      <c r="D1" s="319"/>
      <c r="E1" s="319"/>
      <c r="F1" s="319"/>
      <c r="G1" s="319"/>
      <c r="H1" s="319"/>
      <c r="I1" s="319"/>
      <c r="J1" s="171"/>
      <c r="K1" s="171"/>
      <c r="L1" s="171" t="s">
        <v>208</v>
      </c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2" t="s">
        <v>209</v>
      </c>
      <c r="AA1" s="173" t="s">
        <v>330</v>
      </c>
      <c r="AB1" s="171"/>
      <c r="AC1" s="172" t="s">
        <v>211</v>
      </c>
      <c r="AD1" s="173" t="s">
        <v>325</v>
      </c>
      <c r="AE1" s="77"/>
      <c r="AF1" s="77"/>
      <c r="AG1" s="77"/>
    </row>
    <row r="2" spans="1:33" ht="51.75" x14ac:dyDescent="0.25">
      <c r="A2" s="174"/>
      <c r="B2" s="175"/>
      <c r="C2" s="176" t="s">
        <v>212</v>
      </c>
      <c r="D2" s="175"/>
      <c r="E2" s="176" t="s">
        <v>213</v>
      </c>
      <c r="F2" s="177" t="s">
        <v>214</v>
      </c>
      <c r="G2" s="177" t="s">
        <v>215</v>
      </c>
      <c r="H2" s="177" t="s">
        <v>115</v>
      </c>
      <c r="I2" s="177" t="s">
        <v>216</v>
      </c>
      <c r="J2" s="171"/>
      <c r="K2" s="171"/>
      <c r="L2" s="171"/>
      <c r="M2" s="171"/>
      <c r="N2" s="288" t="str">
        <f>AA1&amp;" Billed Schedule 175 Revenue"</f>
        <v>August Billed Schedule 175 Revenue</v>
      </c>
      <c r="O2" s="288" t="str">
        <f>AA1&amp;" Billed Therms"</f>
        <v>August Billed Therms</v>
      </c>
      <c r="P2" s="288" t="str">
        <f>AA1&amp;" Unbilled Therms"</f>
        <v>August Unbilled Therms</v>
      </c>
      <c r="Q2" s="288" t="s">
        <v>217</v>
      </c>
      <c r="R2" s="288" t="s">
        <v>218</v>
      </c>
      <c r="S2" s="288" t="str">
        <f>AD1&amp;" Unbilled Therms reversal"</f>
        <v>July Unbilled Therms reversal</v>
      </c>
      <c r="T2" s="288" t="s">
        <v>217</v>
      </c>
      <c r="U2" s="288" t="str">
        <f>AD1&amp;" Schedule 175 Unbilled Reversal"</f>
        <v>July Schedule 175 Unbilled Reversal</v>
      </c>
      <c r="V2" s="171"/>
      <c r="W2" s="288" t="str">
        <f>"Total "&amp;AA1&amp;" Schedule 175 Revenue"</f>
        <v>Total August Schedule 175 Revenue</v>
      </c>
      <c r="X2" s="171"/>
      <c r="Y2" s="288" t="str">
        <f>"Calendar "&amp;AA1&amp;" Usage"</f>
        <v>Calendar August Usage</v>
      </c>
      <c r="Z2" s="288" t="str">
        <f>Q2</f>
        <v>11/1/2018 rate</v>
      </c>
      <c r="AA2" s="288" t="s">
        <v>219</v>
      </c>
      <c r="AB2" s="288" t="s">
        <v>220</v>
      </c>
      <c r="AC2" s="288" t="str">
        <f>"implied "&amp;AD1&amp;" unbilled/Cancel-Rebill True-up therms"</f>
        <v>implied July unbilled/Cancel-Rebill True-up therms</v>
      </c>
      <c r="AD2" s="171"/>
      <c r="AE2" s="77"/>
      <c r="AF2" s="77"/>
      <c r="AG2" s="77"/>
    </row>
    <row r="3" spans="1:33" x14ac:dyDescent="0.25">
      <c r="A3" s="179"/>
      <c r="B3" s="179"/>
      <c r="C3" s="179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288"/>
      <c r="O3" s="288"/>
      <c r="P3" s="288"/>
      <c r="Q3" s="288"/>
      <c r="R3" s="288"/>
      <c r="S3" s="288"/>
      <c r="T3" s="288"/>
      <c r="U3" s="288"/>
      <c r="V3" s="171"/>
      <c r="W3" s="288"/>
      <c r="X3" s="171"/>
      <c r="Y3" s="288"/>
      <c r="Z3" s="288"/>
      <c r="AA3" s="288"/>
      <c r="AB3" s="288"/>
      <c r="AC3" s="288"/>
      <c r="AD3" s="171"/>
      <c r="AE3" s="77"/>
      <c r="AF3" s="77"/>
      <c r="AG3" s="77"/>
    </row>
    <row r="4" spans="1:33" x14ac:dyDescent="0.25">
      <c r="A4" s="180" t="s">
        <v>221</v>
      </c>
      <c r="B4" s="179"/>
      <c r="C4" s="181">
        <v>165534</v>
      </c>
      <c r="D4" s="179"/>
      <c r="E4" s="182">
        <v>2140681.8077699998</v>
      </c>
      <c r="F4" s="182">
        <v>-1179607</v>
      </c>
      <c r="G4" s="182">
        <f>1257274-G5</f>
        <v>1256175</v>
      </c>
      <c r="H4" s="183">
        <f>F4+G4</f>
        <v>76568</v>
      </c>
      <c r="I4" s="184">
        <f t="shared" ref="I4:I13" si="0">SUM(E4:G4)</f>
        <v>2217249.8077699998</v>
      </c>
      <c r="J4" s="171"/>
      <c r="K4" s="171"/>
      <c r="L4" s="171" t="s">
        <v>222</v>
      </c>
      <c r="M4" s="171"/>
      <c r="N4" s="185">
        <v>-58517.35</v>
      </c>
      <c r="O4" s="186">
        <f>E4</f>
        <v>2140681.8077699998</v>
      </c>
      <c r="P4" s="186">
        <f t="shared" ref="P4:P9" si="1">G4</f>
        <v>1256175</v>
      </c>
      <c r="Q4" s="187">
        <v>-2.7199999999999998E-2</v>
      </c>
      <c r="R4" s="188">
        <f>P4*Q4</f>
        <v>-34167.96</v>
      </c>
      <c r="S4" s="186">
        <f t="shared" ref="S4:S9" si="2">F4</f>
        <v>-1179607</v>
      </c>
      <c r="T4" s="187">
        <f>Q4</f>
        <v>-2.7199999999999998E-2</v>
      </c>
      <c r="U4" s="189">
        <f>S4*T4</f>
        <v>32085.310399999998</v>
      </c>
      <c r="V4" s="171"/>
      <c r="W4" s="190">
        <f>N4+R4+U4</f>
        <v>-60599.999599999996</v>
      </c>
      <c r="X4" s="171"/>
      <c r="Y4" s="191">
        <f>O4+P4+S4</f>
        <v>2217249.8077699998</v>
      </c>
      <c r="Z4" s="192">
        <f>Q4</f>
        <v>-2.7199999999999998E-2</v>
      </c>
      <c r="AA4" s="193">
        <f>Y4*Z4</f>
        <v>-60309.194771343995</v>
      </c>
      <c r="AB4" s="190">
        <f>W4-AA4</f>
        <v>-290.80482865600061</v>
      </c>
      <c r="AC4" s="191">
        <f>AB4/T4</f>
        <v>10691.353994705905</v>
      </c>
      <c r="AD4" s="194">
        <f t="shared" ref="AD4:AD11" si="3">AB4/W4</f>
        <v>4.7987595804538687E-3</v>
      </c>
      <c r="AE4" s="77"/>
      <c r="AF4" s="77"/>
      <c r="AG4" s="77"/>
    </row>
    <row r="5" spans="1:33" x14ac:dyDescent="0.25">
      <c r="A5" s="180" t="s">
        <v>223</v>
      </c>
      <c r="B5" s="179"/>
      <c r="C5" s="181">
        <v>159</v>
      </c>
      <c r="D5" s="179"/>
      <c r="E5" s="182">
        <v>1872.3195599999999</v>
      </c>
      <c r="F5" s="182">
        <v>-1028</v>
      </c>
      <c r="G5" s="182">
        <v>1099</v>
      </c>
      <c r="H5" s="183">
        <f>F5+G5</f>
        <v>71</v>
      </c>
      <c r="I5" s="184">
        <f t="shared" si="0"/>
        <v>1943.3195599999999</v>
      </c>
      <c r="J5" s="171"/>
      <c r="K5" s="171"/>
      <c r="L5" s="171" t="s">
        <v>224</v>
      </c>
      <c r="M5" s="171"/>
      <c r="N5" s="185">
        <v>-50.93</v>
      </c>
      <c r="O5" s="186">
        <f t="shared" ref="O5:O7" si="4">E5</f>
        <v>1872.3195599999999</v>
      </c>
      <c r="P5" s="186">
        <f t="shared" si="1"/>
        <v>1099</v>
      </c>
      <c r="Q5" s="187">
        <v>-2.7199999999999998E-2</v>
      </c>
      <c r="R5" s="188">
        <f t="shared" ref="R5:R10" si="5">P5*Q5</f>
        <v>-29.892799999999998</v>
      </c>
      <c r="S5" s="186">
        <f t="shared" si="2"/>
        <v>-1028</v>
      </c>
      <c r="T5" s="187">
        <f t="shared" ref="T5:T10" si="6">Q5</f>
        <v>-2.7199999999999998E-2</v>
      </c>
      <c r="U5" s="189">
        <f t="shared" ref="U5:U10" si="7">S5*T5</f>
        <v>27.961599999999997</v>
      </c>
      <c r="V5" s="171"/>
      <c r="W5" s="190">
        <f t="shared" ref="W5:W10" si="8">N5+R5+U5</f>
        <v>-52.861200000000004</v>
      </c>
      <c r="X5" s="171"/>
      <c r="Y5" s="191">
        <f t="shared" ref="Y5:Y10" si="9">O5+P5+S5</f>
        <v>1943.3195599999999</v>
      </c>
      <c r="Z5" s="192">
        <f t="shared" ref="Z5:Z10" si="10">Q5</f>
        <v>-2.7199999999999998E-2</v>
      </c>
      <c r="AA5" s="193">
        <f t="shared" ref="AA5:AA10" si="11">Y5*Z5</f>
        <v>-52.858292031999994</v>
      </c>
      <c r="AB5" s="190">
        <f t="shared" ref="AB5:AB10" si="12">W5-AA5</f>
        <v>-2.9079680000094754E-3</v>
      </c>
      <c r="AC5" s="191">
        <f t="shared" ref="AC5:AC10" si="13">AB5/T5</f>
        <v>0.10691058823564248</v>
      </c>
      <c r="AD5" s="194">
        <f t="shared" si="3"/>
        <v>5.5011388315238308E-5</v>
      </c>
      <c r="AE5" s="77"/>
      <c r="AF5" s="77"/>
      <c r="AG5" s="77"/>
    </row>
    <row r="6" spans="1:33" x14ac:dyDescent="0.25">
      <c r="A6" s="180" t="s">
        <v>225</v>
      </c>
      <c r="B6" s="179"/>
      <c r="C6" s="181">
        <v>3101</v>
      </c>
      <c r="D6" s="179"/>
      <c r="E6" s="182">
        <v>1726388.3343100001</v>
      </c>
      <c r="F6" s="182">
        <v>-835623</v>
      </c>
      <c r="G6" s="182">
        <v>936252</v>
      </c>
      <c r="H6" s="183">
        <f t="shared" ref="H6:H13" si="14">F6+G6</f>
        <v>100629</v>
      </c>
      <c r="I6" s="184">
        <f>SUM(E6:G6)</f>
        <v>1827017.3343100001</v>
      </c>
      <c r="J6" s="171"/>
      <c r="K6" s="171"/>
      <c r="L6" s="171" t="s">
        <v>226</v>
      </c>
      <c r="M6" s="171"/>
      <c r="N6" s="185">
        <v>11929.22</v>
      </c>
      <c r="O6" s="186">
        <f t="shared" si="4"/>
        <v>1726388.3343100001</v>
      </c>
      <c r="P6" s="186">
        <f t="shared" si="1"/>
        <v>936252</v>
      </c>
      <c r="Q6" s="195">
        <v>6.9100000000000003E-3</v>
      </c>
      <c r="R6" s="188">
        <f t="shared" si="5"/>
        <v>6469.5013200000003</v>
      </c>
      <c r="S6" s="186">
        <f t="shared" si="2"/>
        <v>-835623</v>
      </c>
      <c r="T6" s="187">
        <f t="shared" si="6"/>
        <v>6.9100000000000003E-3</v>
      </c>
      <c r="U6" s="189">
        <f t="shared" si="7"/>
        <v>-5774.1549300000006</v>
      </c>
      <c r="V6" s="171"/>
      <c r="W6" s="190">
        <f t="shared" si="8"/>
        <v>12624.56639</v>
      </c>
      <c r="X6" s="171"/>
      <c r="Y6" s="191">
        <f t="shared" si="9"/>
        <v>1827017.3343099998</v>
      </c>
      <c r="Z6" s="179">
        <f t="shared" si="10"/>
        <v>6.9100000000000003E-3</v>
      </c>
      <c r="AA6" s="193">
        <f t="shared" si="11"/>
        <v>12624.689780082099</v>
      </c>
      <c r="AB6" s="190">
        <f t="shared" si="12"/>
        <v>-0.12339008209892199</v>
      </c>
      <c r="AC6" s="191">
        <f t="shared" si="13"/>
        <v>-17.856741258888857</v>
      </c>
      <c r="AD6" s="194">
        <f t="shared" si="3"/>
        <v>-9.7738075342262907E-6</v>
      </c>
      <c r="AE6" s="77"/>
      <c r="AF6" s="77"/>
      <c r="AG6" s="77"/>
    </row>
    <row r="7" spans="1:33" x14ac:dyDescent="0.25">
      <c r="A7" s="180" t="s">
        <v>227</v>
      </c>
      <c r="B7" s="179"/>
      <c r="C7" s="181">
        <v>1</v>
      </c>
      <c r="D7" s="179"/>
      <c r="E7" s="182">
        <v>5665.0860000000002</v>
      </c>
      <c r="F7" s="182">
        <v>-2586</v>
      </c>
      <c r="G7" s="182">
        <v>3326</v>
      </c>
      <c r="H7" s="183">
        <f>F7+G7</f>
        <v>740</v>
      </c>
      <c r="I7" s="184">
        <f>SUM(E7:G7)</f>
        <v>6405.0860000000002</v>
      </c>
      <c r="J7" s="171"/>
      <c r="K7" s="171"/>
      <c r="L7" s="171" t="s">
        <v>228</v>
      </c>
      <c r="M7" s="171"/>
      <c r="N7" s="185">
        <v>0</v>
      </c>
      <c r="O7" s="186">
        <f t="shared" si="4"/>
        <v>5665.0860000000002</v>
      </c>
      <c r="P7" s="186">
        <f t="shared" si="1"/>
        <v>3326</v>
      </c>
      <c r="Q7" s="187">
        <v>0</v>
      </c>
      <c r="R7" s="188">
        <f t="shared" si="5"/>
        <v>0</v>
      </c>
      <c r="S7" s="186">
        <f t="shared" si="2"/>
        <v>-2586</v>
      </c>
      <c r="T7" s="187">
        <f t="shared" si="6"/>
        <v>0</v>
      </c>
      <c r="U7" s="189">
        <f t="shared" si="7"/>
        <v>0</v>
      </c>
      <c r="V7" s="171"/>
      <c r="W7" s="190">
        <f t="shared" si="8"/>
        <v>0</v>
      </c>
      <c r="X7" s="171"/>
      <c r="Y7" s="191">
        <f t="shared" si="9"/>
        <v>6405.0859999999993</v>
      </c>
      <c r="Z7" s="192">
        <f t="shared" si="10"/>
        <v>0</v>
      </c>
      <c r="AA7" s="193">
        <f t="shared" si="11"/>
        <v>0</v>
      </c>
      <c r="AB7" s="190">
        <f t="shared" si="12"/>
        <v>0</v>
      </c>
      <c r="AC7" s="191"/>
      <c r="AD7" s="194"/>
      <c r="AE7" s="77"/>
      <c r="AF7" s="77"/>
      <c r="AG7" s="77"/>
    </row>
    <row r="8" spans="1:33" x14ac:dyDescent="0.25">
      <c r="A8" s="180" t="s">
        <v>229</v>
      </c>
      <c r="B8" s="179"/>
      <c r="C8" s="181">
        <v>4</v>
      </c>
      <c r="D8" s="287"/>
      <c r="E8" s="182">
        <v>109627.87699999999</v>
      </c>
      <c r="F8" s="182">
        <v>-36777</v>
      </c>
      <c r="G8" s="182">
        <v>64354</v>
      </c>
      <c r="H8" s="183">
        <f t="shared" si="14"/>
        <v>27577</v>
      </c>
      <c r="I8" s="184">
        <f t="shared" si="0"/>
        <v>137204.87699999998</v>
      </c>
      <c r="J8" s="171"/>
      <c r="K8" s="171"/>
      <c r="L8" s="171" t="s">
        <v>230</v>
      </c>
      <c r="M8" s="171"/>
      <c r="N8" s="185">
        <v>757.52</v>
      </c>
      <c r="O8" s="186">
        <f>E8</f>
        <v>109627.87699999999</v>
      </c>
      <c r="P8" s="186">
        <f t="shared" si="1"/>
        <v>64354</v>
      </c>
      <c r="Q8" s="195">
        <v>6.9100000000000003E-3</v>
      </c>
      <c r="R8" s="188">
        <f t="shared" si="5"/>
        <v>444.68614000000002</v>
      </c>
      <c r="S8" s="186">
        <f t="shared" si="2"/>
        <v>-36777</v>
      </c>
      <c r="T8" s="187">
        <f t="shared" si="6"/>
        <v>6.9100000000000003E-3</v>
      </c>
      <c r="U8" s="189">
        <f t="shared" si="7"/>
        <v>-254.12907000000001</v>
      </c>
      <c r="V8" s="171"/>
      <c r="W8" s="190">
        <f>N8+R8+U8</f>
        <v>948.07707000000005</v>
      </c>
      <c r="X8" s="171"/>
      <c r="Y8" s="191">
        <f t="shared" si="9"/>
        <v>137204.87699999998</v>
      </c>
      <c r="Z8" s="179">
        <f t="shared" si="10"/>
        <v>6.9100000000000003E-3</v>
      </c>
      <c r="AA8" s="193">
        <f t="shared" si="11"/>
        <v>948.08570006999992</v>
      </c>
      <c r="AB8" s="190">
        <f t="shared" si="12"/>
        <v>-8.6300699998673736E-3</v>
      </c>
      <c r="AC8" s="191">
        <f t="shared" si="13"/>
        <v>-1.248924746724656</v>
      </c>
      <c r="AD8" s="194">
        <f>AB8/W8</f>
        <v>-9.1027093397242202E-6</v>
      </c>
      <c r="AE8" s="77"/>
      <c r="AF8" s="77"/>
      <c r="AG8" s="77"/>
    </row>
    <row r="9" spans="1:33" x14ac:dyDescent="0.25">
      <c r="A9" s="180" t="s">
        <v>231</v>
      </c>
      <c r="B9" s="179"/>
      <c r="C9" s="181">
        <v>1</v>
      </c>
      <c r="D9" s="287"/>
      <c r="E9" s="182">
        <v>25080.812999999998</v>
      </c>
      <c r="F9" s="182">
        <v>-13607</v>
      </c>
      <c r="G9" s="182">
        <v>14723</v>
      </c>
      <c r="H9" s="183">
        <f t="shared" si="14"/>
        <v>1116</v>
      </c>
      <c r="I9" s="184">
        <f t="shared" si="0"/>
        <v>26196.812999999998</v>
      </c>
      <c r="J9" s="171"/>
      <c r="K9" s="171"/>
      <c r="L9" s="171" t="s">
        <v>137</v>
      </c>
      <c r="M9" s="171"/>
      <c r="N9" s="185">
        <v>0</v>
      </c>
      <c r="O9" s="186">
        <f>E9</f>
        <v>25080.812999999998</v>
      </c>
      <c r="P9" s="186">
        <f t="shared" si="1"/>
        <v>14723</v>
      </c>
      <c r="Q9" s="187">
        <v>0</v>
      </c>
      <c r="R9" s="188">
        <f t="shared" si="5"/>
        <v>0</v>
      </c>
      <c r="S9" s="186">
        <f t="shared" si="2"/>
        <v>-13607</v>
      </c>
      <c r="T9" s="187">
        <f t="shared" si="6"/>
        <v>0</v>
      </c>
      <c r="U9" s="189">
        <f t="shared" si="7"/>
        <v>0</v>
      </c>
      <c r="V9" s="171"/>
      <c r="W9" s="190">
        <f>N9+R9+U9</f>
        <v>0</v>
      </c>
      <c r="X9" s="171"/>
      <c r="Y9" s="191">
        <f t="shared" si="9"/>
        <v>26196.812999999995</v>
      </c>
      <c r="Z9" s="192">
        <f t="shared" si="10"/>
        <v>0</v>
      </c>
      <c r="AA9" s="193">
        <f t="shared" si="11"/>
        <v>0</v>
      </c>
      <c r="AB9" s="190">
        <f t="shared" si="12"/>
        <v>0</v>
      </c>
      <c r="AC9" s="191"/>
      <c r="AD9" s="194"/>
      <c r="AE9" s="77"/>
      <c r="AF9" s="77"/>
      <c r="AG9" s="77"/>
    </row>
    <row r="10" spans="1:33" x14ac:dyDescent="0.25">
      <c r="A10" s="180" t="s">
        <v>232</v>
      </c>
      <c r="B10" s="179"/>
      <c r="C10" s="181">
        <v>2</v>
      </c>
      <c r="D10" s="179"/>
      <c r="E10" s="182">
        <v>36912.334999999999</v>
      </c>
      <c r="F10" s="182"/>
      <c r="G10" s="182"/>
      <c r="H10" s="183">
        <f t="shared" si="14"/>
        <v>0</v>
      </c>
      <c r="I10" s="184">
        <f t="shared" si="0"/>
        <v>36912.334999999999</v>
      </c>
      <c r="J10" s="171"/>
      <c r="K10" s="171"/>
      <c r="L10" s="171" t="s">
        <v>233</v>
      </c>
      <c r="M10" s="171"/>
      <c r="N10" s="185">
        <v>0</v>
      </c>
      <c r="O10" s="186">
        <v>0</v>
      </c>
      <c r="P10" s="186">
        <v>0</v>
      </c>
      <c r="Q10" s="195">
        <v>6.9100000000000003E-3</v>
      </c>
      <c r="R10" s="188">
        <f t="shared" si="5"/>
        <v>0</v>
      </c>
      <c r="S10" s="186">
        <v>0</v>
      </c>
      <c r="T10" s="187">
        <f t="shared" si="6"/>
        <v>6.9100000000000003E-3</v>
      </c>
      <c r="U10" s="189">
        <f t="shared" si="7"/>
        <v>0</v>
      </c>
      <c r="V10" s="171"/>
      <c r="W10" s="190">
        <f t="shared" si="8"/>
        <v>0</v>
      </c>
      <c r="X10" s="171"/>
      <c r="Y10" s="191">
        <f t="shared" si="9"/>
        <v>0</v>
      </c>
      <c r="Z10" s="179">
        <f t="shared" si="10"/>
        <v>6.9100000000000003E-3</v>
      </c>
      <c r="AA10" s="193">
        <f t="shared" si="11"/>
        <v>0</v>
      </c>
      <c r="AB10" s="190">
        <f t="shared" si="12"/>
        <v>0</v>
      </c>
      <c r="AC10" s="191">
        <f t="shared" si="13"/>
        <v>0</v>
      </c>
      <c r="AD10" s="194"/>
      <c r="AE10" s="77"/>
      <c r="AF10" s="77"/>
      <c r="AG10" s="77"/>
    </row>
    <row r="11" spans="1:33" x14ac:dyDescent="0.25">
      <c r="A11" s="180" t="s">
        <v>234</v>
      </c>
      <c r="B11" s="179"/>
      <c r="C11" s="181">
        <v>39</v>
      </c>
      <c r="D11" s="179"/>
      <c r="E11" s="182">
        <v>2424503</v>
      </c>
      <c r="F11" s="182">
        <v>-2422964</v>
      </c>
      <c r="G11" s="182">
        <v>2325581</v>
      </c>
      <c r="H11" s="183">
        <f t="shared" si="14"/>
        <v>-97383</v>
      </c>
      <c r="I11" s="184">
        <f t="shared" si="0"/>
        <v>2327120</v>
      </c>
      <c r="J11" s="171"/>
      <c r="K11" s="171"/>
      <c r="L11" s="171"/>
      <c r="M11" s="171"/>
      <c r="N11" s="196">
        <f>SUM(N4:N10)</f>
        <v>-45881.54</v>
      </c>
      <c r="O11" s="197">
        <f>SUM(O4:O10)</f>
        <v>4009316.2376400004</v>
      </c>
      <c r="P11" s="197">
        <f>SUM(P4:P10)</f>
        <v>2275929</v>
      </c>
      <c r="Q11" s="171"/>
      <c r="R11" s="196">
        <f>SUM(R4:R10)</f>
        <v>-27283.66534</v>
      </c>
      <c r="S11" s="197">
        <f>SUM(S4:S10)</f>
        <v>-2069228</v>
      </c>
      <c r="T11" s="198"/>
      <c r="U11" s="196">
        <f>SUM(U4:U10)</f>
        <v>26084.987999999998</v>
      </c>
      <c r="V11" s="171"/>
      <c r="W11" s="196">
        <f>SUM(W4:W10)</f>
        <v>-47080.217339999996</v>
      </c>
      <c r="X11" s="171"/>
      <c r="Y11" s="199">
        <f>SUM(Y4:Y10)</f>
        <v>4216017.2376399999</v>
      </c>
      <c r="Z11" s="171"/>
      <c r="AA11" s="199">
        <f>SUM(AA4:AA10)</f>
        <v>-46789.277583223891</v>
      </c>
      <c r="AB11" s="196">
        <f>SUM(AB4:AB10)</f>
        <v>-290.93975677609939</v>
      </c>
      <c r="AC11" s="199">
        <f>SUM(AC4:AC10)</f>
        <v>10672.355239288529</v>
      </c>
      <c r="AD11" s="194">
        <f t="shared" si="3"/>
        <v>6.1796604436851867E-3</v>
      </c>
      <c r="AE11" s="77"/>
      <c r="AF11" s="77"/>
      <c r="AG11" s="77"/>
    </row>
    <row r="12" spans="1:33" x14ac:dyDescent="0.25">
      <c r="A12" s="180" t="s">
        <v>235</v>
      </c>
      <c r="B12" s="179"/>
      <c r="C12" s="181">
        <v>3</v>
      </c>
      <c r="D12" s="179"/>
      <c r="E12" s="182">
        <v>649887</v>
      </c>
      <c r="F12" s="182"/>
      <c r="G12" s="182"/>
      <c r="H12" s="183">
        <f t="shared" si="14"/>
        <v>0</v>
      </c>
      <c r="I12" s="184">
        <f t="shared" si="0"/>
        <v>649887</v>
      </c>
      <c r="J12" s="171"/>
      <c r="K12" s="171"/>
      <c r="L12" s="171"/>
      <c r="M12" s="171"/>
      <c r="N12" s="171"/>
      <c r="O12" s="200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77"/>
      <c r="AF12" s="77"/>
      <c r="AG12" s="77"/>
    </row>
    <row r="13" spans="1:33" x14ac:dyDescent="0.25">
      <c r="A13" s="180" t="s">
        <v>236</v>
      </c>
      <c r="B13" s="179"/>
      <c r="C13" s="181">
        <v>5</v>
      </c>
      <c r="D13" s="201"/>
      <c r="E13" s="182">
        <v>3507047</v>
      </c>
      <c r="F13" s="182">
        <v>-3507079</v>
      </c>
      <c r="G13" s="182">
        <v>3514085</v>
      </c>
      <c r="H13" s="183">
        <f t="shared" si="14"/>
        <v>7006</v>
      </c>
      <c r="I13" s="184">
        <f t="shared" si="0"/>
        <v>3514053</v>
      </c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2" t="s">
        <v>237</v>
      </c>
      <c r="U13" s="171" t="s">
        <v>238</v>
      </c>
      <c r="V13" s="171"/>
      <c r="W13" s="202">
        <v>0.95466099999999998</v>
      </c>
      <c r="X13" s="171"/>
      <c r="Y13" s="171"/>
      <c r="Z13" s="171" t="s">
        <v>239</v>
      </c>
      <c r="AA13" s="171" t="s">
        <v>240</v>
      </c>
      <c r="AB13" s="171"/>
      <c r="AC13" s="171" t="s">
        <v>241</v>
      </c>
      <c r="AD13" s="171"/>
      <c r="AE13" s="77"/>
      <c r="AF13" s="77"/>
      <c r="AG13" s="77"/>
    </row>
    <row r="14" spans="1:33" x14ac:dyDescent="0.25">
      <c r="A14" s="179"/>
      <c r="B14" s="179"/>
      <c r="C14" s="203">
        <f>SUM(C4:C13)</f>
        <v>168849</v>
      </c>
      <c r="D14" s="171"/>
      <c r="E14" s="203">
        <f>SUM(E4:E13)</f>
        <v>10627665.57264</v>
      </c>
      <c r="F14" s="203">
        <f>SUM(F4:F13)</f>
        <v>-7999271</v>
      </c>
      <c r="G14" s="203">
        <f>SUM(G4:G13)</f>
        <v>8115595</v>
      </c>
      <c r="H14" s="203">
        <f>SUM(H4:H13)</f>
        <v>116324</v>
      </c>
      <c r="I14" s="203">
        <f t="shared" ref="I14" si="15">SUM(I4:I13)</f>
        <v>10743989.57264</v>
      </c>
      <c r="J14" s="171"/>
      <c r="K14" s="171"/>
      <c r="L14" s="171"/>
      <c r="M14" s="171"/>
      <c r="N14" s="171"/>
      <c r="O14" s="171"/>
      <c r="P14" s="171"/>
      <c r="Q14" s="171"/>
      <c r="R14" s="171"/>
      <c r="S14" s="171" t="s">
        <v>184</v>
      </c>
      <c r="T14" s="171" t="s">
        <v>242</v>
      </c>
      <c r="U14" s="171"/>
      <c r="V14" s="171"/>
      <c r="W14" s="204">
        <f>(W4+W5)*W13</f>
        <v>-57902.920744188792</v>
      </c>
      <c r="X14" s="171"/>
      <c r="Y14" s="171" t="s">
        <v>28</v>
      </c>
      <c r="Z14" s="183">
        <f>O4+O5+P4+P5+S4+S5</f>
        <v>2219193.12733</v>
      </c>
      <c r="AA14" s="179">
        <v>-2.597E-2</v>
      </c>
      <c r="AB14" s="190">
        <f>Z14*AA14</f>
        <v>-57632.445516760105</v>
      </c>
      <c r="AC14" s="190">
        <f>W14-AB14</f>
        <v>-270.4752274286875</v>
      </c>
      <c r="AD14" s="194">
        <f>AC14/W14</f>
        <v>4.6711845266602155E-3</v>
      </c>
      <c r="AE14" s="77"/>
      <c r="AF14" s="77"/>
      <c r="AG14" s="77"/>
    </row>
    <row r="15" spans="1:33" ht="15.75" thickBot="1" x14ac:dyDescent="0.3">
      <c r="A15" s="179"/>
      <c r="B15" s="179"/>
      <c r="C15" s="179"/>
      <c r="D15" s="171"/>
      <c r="E15" s="179"/>
      <c r="F15" s="179"/>
      <c r="G15" s="179"/>
      <c r="H15" s="179"/>
      <c r="I15" s="179"/>
      <c r="J15" s="171"/>
      <c r="K15" s="171"/>
      <c r="L15" s="171"/>
      <c r="M15" s="171"/>
      <c r="N15" s="171"/>
      <c r="O15" s="171"/>
      <c r="P15" s="171"/>
      <c r="Q15" s="171"/>
      <c r="R15" s="171"/>
      <c r="S15" s="171" t="s">
        <v>184</v>
      </c>
      <c r="T15" s="171" t="s">
        <v>243</v>
      </c>
      <c r="U15" s="171"/>
      <c r="V15" s="171"/>
      <c r="W15" s="204">
        <f>SUM(W6:W10)*W13</f>
        <v>12957.273378167059</v>
      </c>
      <c r="X15" s="171"/>
      <c r="Y15" s="171" t="s">
        <v>244</v>
      </c>
      <c r="Z15" s="183">
        <f>SUM(O6:P10,S6:S10)</f>
        <v>1996824.1103099999</v>
      </c>
      <c r="AA15" s="192">
        <v>6.6E-3</v>
      </c>
      <c r="AB15" s="190">
        <f>(Z15-Y9-Y7)*AA15</f>
        <v>12963.866594645999</v>
      </c>
      <c r="AC15" s="190">
        <f>W15-AB15</f>
        <v>-6.5932164789392118</v>
      </c>
      <c r="AD15" s="194">
        <f>AC15/W15</f>
        <v>-5.0884289360204036E-4</v>
      </c>
      <c r="AE15" s="77"/>
      <c r="AF15" s="77"/>
      <c r="AG15" s="77"/>
    </row>
    <row r="16" spans="1:33" x14ac:dyDescent="0.25">
      <c r="A16" s="179" t="s">
        <v>28</v>
      </c>
      <c r="B16" s="179"/>
      <c r="C16" s="205">
        <f>C4+C5</f>
        <v>165693</v>
      </c>
      <c r="D16" s="171"/>
      <c r="E16" s="206">
        <f>E4+E5</f>
        <v>2142554.12733</v>
      </c>
      <c r="F16" s="206">
        <f t="shared" ref="F16:H16" si="16">F4+F5</f>
        <v>-1180635</v>
      </c>
      <c r="G16" s="206">
        <f t="shared" si="16"/>
        <v>1257274</v>
      </c>
      <c r="H16" s="206">
        <f t="shared" si="16"/>
        <v>76639</v>
      </c>
      <c r="I16" s="205">
        <f>I4+I5</f>
        <v>2219193.12733</v>
      </c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77"/>
      <c r="AF16" s="77"/>
      <c r="AG16" s="77"/>
    </row>
    <row r="17" spans="1:33" x14ac:dyDescent="0.25">
      <c r="A17" s="179"/>
      <c r="B17" s="179"/>
      <c r="C17" s="207"/>
      <c r="D17" s="171"/>
      <c r="E17" s="179"/>
      <c r="F17" s="179"/>
      <c r="G17" s="179"/>
      <c r="H17" s="179"/>
      <c r="I17" s="208"/>
      <c r="J17" s="171"/>
      <c r="K17" s="171"/>
      <c r="L17" s="171"/>
      <c r="M17" s="171"/>
      <c r="N17" s="171"/>
      <c r="O17" s="171"/>
      <c r="P17" s="171"/>
      <c r="Q17" s="171"/>
      <c r="R17" s="190">
        <f>R11+U11</f>
        <v>-1198.677340000002</v>
      </c>
      <c r="S17" s="171" t="s">
        <v>320</v>
      </c>
      <c r="T17" s="171"/>
      <c r="U17" s="171"/>
      <c r="V17" s="171"/>
      <c r="W17" s="171"/>
      <c r="X17" s="171"/>
      <c r="Y17" s="171" t="s">
        <v>245</v>
      </c>
      <c r="Z17" s="171"/>
      <c r="AA17" s="171"/>
      <c r="AB17" s="171"/>
      <c r="AC17" s="171"/>
      <c r="AD17" s="171"/>
      <c r="AE17" s="77"/>
      <c r="AF17" s="77"/>
      <c r="AG17" s="77"/>
    </row>
    <row r="18" spans="1:33" ht="15.75" thickBot="1" x14ac:dyDescent="0.3">
      <c r="A18" s="179" t="s">
        <v>244</v>
      </c>
      <c r="B18" s="179"/>
      <c r="C18" s="209">
        <f>SUM(C6:C9)</f>
        <v>3107</v>
      </c>
      <c r="D18" s="171"/>
      <c r="E18" s="210">
        <f>SUM(E6:E9)</f>
        <v>1866762.1103100001</v>
      </c>
      <c r="F18" s="210">
        <f t="shared" ref="F18:H18" si="17">SUM(F6:F9)</f>
        <v>-888593</v>
      </c>
      <c r="G18" s="210">
        <f t="shared" si="17"/>
        <v>1018655</v>
      </c>
      <c r="H18" s="210">
        <f t="shared" si="17"/>
        <v>130062</v>
      </c>
      <c r="I18" s="209">
        <f>SUM(I6:I9)</f>
        <v>1996824.1103099999</v>
      </c>
      <c r="J18" s="171"/>
      <c r="K18" s="171"/>
      <c r="L18" s="171"/>
      <c r="M18" s="171"/>
      <c r="N18" s="171"/>
      <c r="O18" s="171"/>
      <c r="P18" s="171"/>
      <c r="Q18" s="171"/>
      <c r="R18" s="190">
        <f>F64</f>
        <v>-1198.6773399999995</v>
      </c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77"/>
      <c r="AF18" s="77"/>
      <c r="AG18" s="77"/>
    </row>
    <row r="19" spans="1:33" x14ac:dyDescent="0.25">
      <c r="A19" s="179"/>
      <c r="B19" s="179"/>
      <c r="C19" s="179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77"/>
      <c r="AF19" s="77"/>
      <c r="AG19" s="77"/>
    </row>
    <row r="20" spans="1:33" ht="51.75" x14ac:dyDescent="0.25">
      <c r="A20" s="174"/>
      <c r="B20" s="211"/>
      <c r="C20" s="177" t="s">
        <v>246</v>
      </c>
      <c r="D20" s="212" t="s">
        <v>247</v>
      </c>
      <c r="E20" s="177" t="s">
        <v>248</v>
      </c>
      <c r="F20" s="177" t="s">
        <v>249</v>
      </c>
      <c r="G20" s="177" t="s">
        <v>250</v>
      </c>
      <c r="H20" s="177" t="s">
        <v>251</v>
      </c>
      <c r="I20" s="177" t="s">
        <v>252</v>
      </c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77"/>
      <c r="AF20" s="77"/>
      <c r="AG20" s="77"/>
    </row>
    <row r="21" spans="1:33" x14ac:dyDescent="0.25">
      <c r="A21" s="179"/>
      <c r="B21" s="179"/>
      <c r="C21" s="179"/>
      <c r="D21" s="179"/>
      <c r="E21" s="179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77"/>
      <c r="AF21" s="77"/>
      <c r="AG21" s="77"/>
    </row>
    <row r="22" spans="1:33" x14ac:dyDescent="0.25">
      <c r="A22" s="180" t="s">
        <v>221</v>
      </c>
      <c r="B22" s="179"/>
      <c r="C22" s="213">
        <v>1603647.5</v>
      </c>
      <c r="D22" s="213">
        <v>2407023.59</v>
      </c>
      <c r="E22" s="213">
        <v>-1441754.9341144899</v>
      </c>
      <c r="F22" s="213">
        <f>1563668-F23</f>
        <v>1563465.517983522</v>
      </c>
      <c r="G22" s="214">
        <f>SUM(D22:F22)</f>
        <v>2528734.1738690319</v>
      </c>
      <c r="H22" s="190">
        <f>-J54</f>
        <v>-16302.09288</v>
      </c>
      <c r="I22" s="190">
        <f t="shared" ref="I22:I31" si="18">G22+H22</f>
        <v>2512432.0809890321</v>
      </c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77"/>
      <c r="AF22" s="77"/>
      <c r="AG22" s="77"/>
    </row>
    <row r="23" spans="1:33" x14ac:dyDescent="0.25">
      <c r="A23" s="180" t="s">
        <v>223</v>
      </c>
      <c r="B23" s="179"/>
      <c r="C23" s="213">
        <v>1539</v>
      </c>
      <c r="D23" s="213">
        <v>2246.63</v>
      </c>
      <c r="E23" s="213">
        <v>-178.06588550521701</v>
      </c>
      <c r="F23" s="213">
        <f>G5*(K23-C23)/E5</f>
        <v>202.48201647799911</v>
      </c>
      <c r="G23" s="214">
        <f>SUM(D23:F23)</f>
        <v>2271.0461309727821</v>
      </c>
      <c r="H23" s="190">
        <f>-J55</f>
        <v>13.754119999999995</v>
      </c>
      <c r="I23" s="190">
        <f t="shared" si="18"/>
        <v>2284.8002509727821</v>
      </c>
      <c r="J23" s="171"/>
      <c r="K23" s="179">
        <v>1883.96</v>
      </c>
      <c r="L23" s="171" t="s">
        <v>277</v>
      </c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77"/>
      <c r="AF23" s="77"/>
      <c r="AG23" s="77"/>
    </row>
    <row r="24" spans="1:33" x14ac:dyDescent="0.25">
      <c r="A24" s="180" t="s">
        <v>225</v>
      </c>
      <c r="B24" s="179"/>
      <c r="C24" s="213">
        <v>301946.96000000002</v>
      </c>
      <c r="D24" s="213">
        <v>689030.64</v>
      </c>
      <c r="E24" s="213">
        <v>-409230</v>
      </c>
      <c r="F24" s="213">
        <v>458511</v>
      </c>
      <c r="G24" s="214">
        <f>SUM(D24:F24)</f>
        <v>738311.64</v>
      </c>
      <c r="H24" s="190">
        <f>-J56</f>
        <v>-23697.123209999998</v>
      </c>
      <c r="I24" s="190">
        <f t="shared" si="18"/>
        <v>714614.51679000002</v>
      </c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77"/>
      <c r="AF24" s="77"/>
      <c r="AG24" s="77"/>
    </row>
    <row r="25" spans="1:33" x14ac:dyDescent="0.25">
      <c r="A25" s="180" t="s">
        <v>227</v>
      </c>
      <c r="B25" s="179"/>
      <c r="C25" s="213">
        <v>97.26</v>
      </c>
      <c r="D25" s="213">
        <v>1550.14</v>
      </c>
      <c r="E25" s="213">
        <v>-1456</v>
      </c>
      <c r="F25" s="213">
        <v>1872</v>
      </c>
      <c r="G25" s="214">
        <f>SUM(D25:F25)</f>
        <v>1966.14</v>
      </c>
      <c r="H25" s="190">
        <f>-J57</f>
        <v>-228.32700000000003</v>
      </c>
      <c r="I25" s="190">
        <f>G25+H25</f>
        <v>1737.8130000000001</v>
      </c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77"/>
      <c r="AF25" s="77"/>
      <c r="AG25" s="77"/>
    </row>
    <row r="26" spans="1:33" x14ac:dyDescent="0.25">
      <c r="A26" s="180" t="s">
        <v>229</v>
      </c>
      <c r="B26" s="179"/>
      <c r="C26" s="213">
        <v>921.72</v>
      </c>
      <c r="D26" s="213">
        <v>23414.84</v>
      </c>
      <c r="E26" s="213">
        <v>-14074</v>
      </c>
      <c r="F26" s="213">
        <v>24628</v>
      </c>
      <c r="G26" s="214">
        <f t="shared" ref="G26:G31" si="19">SUM(D26:F26)</f>
        <v>33968.839999999997</v>
      </c>
      <c r="H26" s="190">
        <f t="shared" ref="H26:H31" si="20">-J58</f>
        <v>-7177.4657900000002</v>
      </c>
      <c r="I26" s="190">
        <f t="shared" si="18"/>
        <v>26791.374209999994</v>
      </c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77"/>
      <c r="AF26" s="77"/>
      <c r="AG26" s="77"/>
    </row>
    <row r="27" spans="1:33" x14ac:dyDescent="0.25">
      <c r="A27" s="180" t="s">
        <v>231</v>
      </c>
      <c r="B27" s="179"/>
      <c r="C27" s="213">
        <v>240.45</v>
      </c>
      <c r="D27" s="213">
        <v>6089.16</v>
      </c>
      <c r="E27" s="213">
        <v>-5207</v>
      </c>
      <c r="F27" s="213">
        <v>5634</v>
      </c>
      <c r="G27" s="214">
        <f t="shared" si="19"/>
        <v>6516.16</v>
      </c>
      <c r="H27" s="190">
        <f t="shared" si="20"/>
        <v>-338.69484</v>
      </c>
      <c r="I27" s="190">
        <f t="shared" si="18"/>
        <v>6177.4651599999997</v>
      </c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77"/>
      <c r="AF27" s="77"/>
      <c r="AG27" s="77"/>
    </row>
    <row r="28" spans="1:33" x14ac:dyDescent="0.25">
      <c r="A28" s="180" t="s">
        <v>232</v>
      </c>
      <c r="B28" s="179"/>
      <c r="C28" s="213">
        <v>0</v>
      </c>
      <c r="D28" s="213">
        <v>8278.2800000000007</v>
      </c>
      <c r="E28" s="213"/>
      <c r="F28" s="213"/>
      <c r="G28" s="214">
        <f t="shared" si="19"/>
        <v>8278.2800000000007</v>
      </c>
      <c r="H28" s="190">
        <f t="shared" si="20"/>
        <v>0</v>
      </c>
      <c r="I28" s="190">
        <f t="shared" si="18"/>
        <v>8278.2800000000007</v>
      </c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77"/>
      <c r="AF28" s="77"/>
      <c r="AG28" s="77"/>
    </row>
    <row r="29" spans="1:33" x14ac:dyDescent="0.25">
      <c r="A29" s="180" t="s">
        <v>234</v>
      </c>
      <c r="B29" s="179"/>
      <c r="C29" s="213">
        <v>21450</v>
      </c>
      <c r="D29" s="213">
        <v>220395.84</v>
      </c>
      <c r="E29" s="213">
        <v>-134063</v>
      </c>
      <c r="F29" s="213">
        <v>128674</v>
      </c>
      <c r="G29" s="214">
        <f t="shared" si="19"/>
        <v>215006.84</v>
      </c>
      <c r="H29" s="190">
        <f t="shared" si="20"/>
        <v>126.59789999999998</v>
      </c>
      <c r="I29" s="190">
        <f t="shared" si="18"/>
        <v>215133.43789999999</v>
      </c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77"/>
      <c r="AF29" s="77"/>
      <c r="AG29" s="77"/>
    </row>
    <row r="30" spans="1:33" x14ac:dyDescent="0.25">
      <c r="A30" s="180" t="s">
        <v>235</v>
      </c>
      <c r="B30" s="179"/>
      <c r="C30" s="213">
        <v>0</v>
      </c>
      <c r="D30" s="213">
        <v>13589.14</v>
      </c>
      <c r="E30" s="213"/>
      <c r="F30" s="213"/>
      <c r="G30" s="214">
        <f t="shared" si="19"/>
        <v>13589.14</v>
      </c>
      <c r="H30" s="190">
        <f t="shared" si="20"/>
        <v>0</v>
      </c>
      <c r="I30" s="190">
        <f t="shared" si="18"/>
        <v>13589.14</v>
      </c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77"/>
      <c r="AF30" s="77"/>
      <c r="AG30" s="77"/>
    </row>
    <row r="31" spans="1:33" x14ac:dyDescent="0.25">
      <c r="A31" s="180" t="s">
        <v>236</v>
      </c>
      <c r="B31" s="179"/>
      <c r="C31" s="213">
        <v>1000</v>
      </c>
      <c r="D31" s="213">
        <v>98917.93</v>
      </c>
      <c r="E31" s="213">
        <v>-73333</v>
      </c>
      <c r="F31" s="213">
        <v>73480</v>
      </c>
      <c r="G31" s="214">
        <f t="shared" si="19"/>
        <v>99064.93</v>
      </c>
      <c r="H31" s="190">
        <f t="shared" si="20"/>
        <v>0</v>
      </c>
      <c r="I31" s="190">
        <f t="shared" si="18"/>
        <v>99064.93</v>
      </c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77"/>
      <c r="AF31" s="77"/>
      <c r="AG31" s="77"/>
    </row>
    <row r="32" spans="1:33" x14ac:dyDescent="0.25">
      <c r="A32" s="180" t="s">
        <v>253</v>
      </c>
      <c r="B32" s="179"/>
      <c r="C32" s="213"/>
      <c r="D32" s="213">
        <v>912131.05</v>
      </c>
      <c r="E32" s="213"/>
      <c r="F32" s="213"/>
      <c r="G32" s="214"/>
      <c r="H32" s="190"/>
      <c r="I32" s="190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77"/>
      <c r="AF32" s="77"/>
      <c r="AG32" s="77"/>
    </row>
    <row r="33" spans="1:33" x14ac:dyDescent="0.25">
      <c r="A33" s="180" t="s">
        <v>254</v>
      </c>
      <c r="B33" s="179"/>
      <c r="C33" s="215"/>
      <c r="D33" s="213">
        <v>151744.82999999999</v>
      </c>
      <c r="E33" s="213"/>
      <c r="F33" s="213"/>
      <c r="G33" s="214"/>
      <c r="H33" s="190"/>
      <c r="I33" s="190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77"/>
      <c r="AF33" s="77"/>
      <c r="AG33" s="77"/>
    </row>
    <row r="34" spans="1:33" x14ac:dyDescent="0.25">
      <c r="A34" s="179"/>
      <c r="B34" s="179"/>
      <c r="C34" s="196">
        <f>SUM(C22:C31)</f>
        <v>1930842.89</v>
      </c>
      <c r="D34" s="216">
        <f>SUM(D22:D33)</f>
        <v>4534412.07</v>
      </c>
      <c r="E34" s="216">
        <f>SUM(E22:E33)</f>
        <v>-2079295.9999999951</v>
      </c>
      <c r="F34" s="216">
        <f>SUM(F22:F33)</f>
        <v>2256467</v>
      </c>
      <c r="G34" s="216">
        <f t="shared" ref="G34:I34" si="21">SUM(G22:G33)</f>
        <v>3647707.1900000051</v>
      </c>
      <c r="H34" s="216">
        <f t="shared" si="21"/>
        <v>-47603.351699999992</v>
      </c>
      <c r="I34" s="216">
        <f t="shared" si="21"/>
        <v>3600103.8383000046</v>
      </c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77"/>
      <c r="AF34" s="77"/>
      <c r="AG34" s="77"/>
    </row>
    <row r="35" spans="1:33" ht="15.75" thickBot="1" x14ac:dyDescent="0.3">
      <c r="A35" s="179"/>
      <c r="B35" s="179"/>
      <c r="C35" s="171"/>
      <c r="D35" s="217"/>
      <c r="E35" s="179"/>
      <c r="F35" s="179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77"/>
      <c r="AF35" s="77"/>
      <c r="AG35" s="77"/>
    </row>
    <row r="36" spans="1:33" x14ac:dyDescent="0.25">
      <c r="A36" s="179" t="s">
        <v>28</v>
      </c>
      <c r="B36" s="179"/>
      <c r="C36" s="218">
        <f>C22+C23</f>
        <v>1605186.5</v>
      </c>
      <c r="D36" s="188">
        <f>D22+D23</f>
        <v>2409270.2199999997</v>
      </c>
      <c r="E36" s="188">
        <f t="shared" ref="E36:H36" si="22">E22+E23</f>
        <v>-1441932.9999999951</v>
      </c>
      <c r="F36" s="188">
        <f t="shared" si="22"/>
        <v>1563668</v>
      </c>
      <c r="G36" s="188">
        <f t="shared" si="22"/>
        <v>2531005.2200000049</v>
      </c>
      <c r="H36" s="188">
        <f t="shared" si="22"/>
        <v>-16288.338760000001</v>
      </c>
      <c r="I36" s="218">
        <f>I22+I23</f>
        <v>2514716.8812400047</v>
      </c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77"/>
      <c r="AF36" s="77"/>
      <c r="AG36" s="77"/>
    </row>
    <row r="37" spans="1:33" x14ac:dyDescent="0.25">
      <c r="A37" s="179"/>
      <c r="B37" s="179"/>
      <c r="C37" s="219"/>
      <c r="D37" s="188"/>
      <c r="E37" s="179"/>
      <c r="F37" s="179"/>
      <c r="G37" s="171"/>
      <c r="H37" s="171"/>
      <c r="I37" s="220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77"/>
      <c r="AF37" s="77"/>
      <c r="AG37" s="77"/>
    </row>
    <row r="38" spans="1:33" ht="15.75" thickBot="1" x14ac:dyDescent="0.3">
      <c r="A38" s="179" t="s">
        <v>244</v>
      </c>
      <c r="B38" s="179"/>
      <c r="C38" s="221">
        <f>SUM(C24:C27)</f>
        <v>303206.39</v>
      </c>
      <c r="D38" s="222">
        <f>SUM(D24:D27)</f>
        <v>720084.78</v>
      </c>
      <c r="E38" s="222">
        <f t="shared" ref="E38:H38" si="23">SUM(E24:E27)</f>
        <v>-429967</v>
      </c>
      <c r="F38" s="222">
        <f t="shared" si="23"/>
        <v>490645</v>
      </c>
      <c r="G38" s="222">
        <f t="shared" si="23"/>
        <v>780762.78</v>
      </c>
      <c r="H38" s="222">
        <f t="shared" si="23"/>
        <v>-31441.610839999998</v>
      </c>
      <c r="I38" s="221">
        <f>SUM(I24:I27)</f>
        <v>749321.16916000005</v>
      </c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77"/>
      <c r="AF38" s="77"/>
      <c r="AG38" s="77"/>
    </row>
    <row r="39" spans="1:33" x14ac:dyDescent="0.25">
      <c r="A39" s="179"/>
      <c r="B39" s="179"/>
      <c r="C39" s="223"/>
      <c r="D39" s="222"/>
      <c r="E39" s="222"/>
      <c r="F39" s="222"/>
      <c r="G39" s="222"/>
      <c r="H39" s="222"/>
      <c r="I39" s="223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77"/>
      <c r="AF39" s="77"/>
      <c r="AG39" s="77"/>
    </row>
    <row r="40" spans="1:33" ht="76.150000000000006" customHeight="1" x14ac:dyDescent="0.25">
      <c r="A40" s="179" t="s">
        <v>255</v>
      </c>
      <c r="B40" s="171"/>
      <c r="C40" s="224">
        <v>43405</v>
      </c>
      <c r="D40" s="224">
        <v>43405</v>
      </c>
      <c r="E40" s="224">
        <v>43617</v>
      </c>
      <c r="F40" s="224">
        <v>43405</v>
      </c>
      <c r="G40" s="224">
        <v>42278</v>
      </c>
      <c r="H40" s="224">
        <v>43344</v>
      </c>
      <c r="I40" s="224">
        <v>43374</v>
      </c>
      <c r="J40" s="225"/>
      <c r="K40" s="225"/>
      <c r="L40" s="171" t="s">
        <v>276</v>
      </c>
      <c r="M40" s="171"/>
      <c r="N40" s="171"/>
      <c r="O40" s="317" t="s">
        <v>265</v>
      </c>
      <c r="P40" s="317" t="s">
        <v>266</v>
      </c>
      <c r="Q40" s="317" t="s">
        <v>267</v>
      </c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77"/>
      <c r="AE40" s="77"/>
      <c r="AF40" s="77"/>
      <c r="AG40" s="77"/>
    </row>
    <row r="41" spans="1:33" ht="26.25" x14ac:dyDescent="0.25">
      <c r="A41" s="226" t="s">
        <v>256</v>
      </c>
      <c r="B41" s="175"/>
      <c r="C41" s="227" t="s">
        <v>257</v>
      </c>
      <c r="D41" s="227" t="s">
        <v>258</v>
      </c>
      <c r="E41" s="227" t="s">
        <v>259</v>
      </c>
      <c r="F41" s="227" t="s">
        <v>260</v>
      </c>
      <c r="G41" s="227" t="s">
        <v>261</v>
      </c>
      <c r="H41" s="227" t="s">
        <v>262</v>
      </c>
      <c r="I41" s="227" t="s">
        <v>263</v>
      </c>
      <c r="J41" s="289"/>
      <c r="K41" s="317" t="s">
        <v>264</v>
      </c>
      <c r="L41" s="317"/>
      <c r="M41" s="317" t="s">
        <v>275</v>
      </c>
      <c r="N41" s="317"/>
      <c r="O41" s="317"/>
      <c r="P41" s="317"/>
      <c r="Q41" s="317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77"/>
      <c r="AE41" s="77"/>
      <c r="AF41" s="77"/>
      <c r="AG41" s="77"/>
    </row>
    <row r="42" spans="1:33" x14ac:dyDescent="0.25">
      <c r="A42" s="180" t="s">
        <v>221</v>
      </c>
      <c r="B42" s="179"/>
      <c r="C42" s="229">
        <v>0.28637000000000001</v>
      </c>
      <c r="D42" s="229">
        <v>-9.6129999999999993E-2</v>
      </c>
      <c r="E42" s="229">
        <v>0</v>
      </c>
      <c r="F42" s="229">
        <v>-2.7199999999999998E-2</v>
      </c>
      <c r="G42" s="229">
        <v>0</v>
      </c>
      <c r="H42" s="229">
        <v>3.0280000000000001E-2</v>
      </c>
      <c r="I42" s="229">
        <v>1.959E-2</v>
      </c>
      <c r="J42" s="229"/>
      <c r="K42" s="230"/>
      <c r="L42" s="231">
        <f>SUM(C42:I42)</f>
        <v>0.21291000000000002</v>
      </c>
      <c r="M42" s="171"/>
      <c r="N42" s="231">
        <f>SUM(C42:I42)</f>
        <v>0.21291000000000002</v>
      </c>
      <c r="O42" s="193">
        <f t="shared" ref="O42:O51" si="24">L42*G4</f>
        <v>267452.21925000002</v>
      </c>
      <c r="P42" s="232">
        <f>-F4*N42</f>
        <v>251150.12637000001</v>
      </c>
      <c r="Q42" s="193">
        <f>O42-P42</f>
        <v>16302.092880000011</v>
      </c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77"/>
      <c r="AE42" s="77"/>
      <c r="AF42" s="77"/>
      <c r="AG42" s="77"/>
    </row>
    <row r="43" spans="1:33" x14ac:dyDescent="0.25">
      <c r="A43" s="180" t="s">
        <v>223</v>
      </c>
      <c r="B43" s="179"/>
      <c r="C43" s="229">
        <v>0.28637000000000001</v>
      </c>
      <c r="D43" s="229">
        <v>-9.6129999999999993E-2</v>
      </c>
      <c r="E43" s="229">
        <v>0</v>
      </c>
      <c r="F43" s="229">
        <v>-2.7199999999999998E-2</v>
      </c>
      <c r="G43" s="229">
        <v>-0.40662999999999999</v>
      </c>
      <c r="H43" s="229">
        <v>3.0280000000000001E-2</v>
      </c>
      <c r="I43" s="229">
        <v>1.959E-2</v>
      </c>
      <c r="J43" s="229"/>
      <c r="K43" s="230"/>
      <c r="L43" s="231">
        <f t="shared" ref="L43:L51" si="25">SUM(C43:I43)</f>
        <v>-0.19371999999999998</v>
      </c>
      <c r="M43" s="171"/>
      <c r="N43" s="231">
        <f t="shared" ref="N43:N51" si="26">SUM(C43:I43)</f>
        <v>-0.19371999999999998</v>
      </c>
      <c r="O43" s="193">
        <f t="shared" si="24"/>
        <v>-212.89827999999997</v>
      </c>
      <c r="P43" s="232">
        <f t="shared" ref="P43:P51" si="27">-F5*N43</f>
        <v>-199.14415999999997</v>
      </c>
      <c r="Q43" s="193">
        <f t="shared" ref="Q43:Q51" si="28">O43-P43</f>
        <v>-13.75412</v>
      </c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77"/>
      <c r="AE43" s="77"/>
      <c r="AF43" s="77"/>
      <c r="AG43" s="77"/>
    </row>
    <row r="44" spans="1:33" x14ac:dyDescent="0.25">
      <c r="A44" s="180" t="s">
        <v>225</v>
      </c>
      <c r="B44" s="179"/>
      <c r="C44" s="229">
        <v>0.27588000000000001</v>
      </c>
      <c r="D44" s="229">
        <v>-7.9969999999999999E-2</v>
      </c>
      <c r="E44" s="229">
        <v>0</v>
      </c>
      <c r="F44" s="229">
        <v>6.9100000000000003E-3</v>
      </c>
      <c r="G44" s="229">
        <v>0</v>
      </c>
      <c r="H44" s="229">
        <v>1.626E-2</v>
      </c>
      <c r="I44" s="229">
        <v>1.6410000000000001E-2</v>
      </c>
      <c r="J44" s="229"/>
      <c r="K44" s="230"/>
      <c r="L44" s="231">
        <f t="shared" si="25"/>
        <v>0.23549000000000003</v>
      </c>
      <c r="M44" s="171"/>
      <c r="N44" s="231">
        <f t="shared" si="26"/>
        <v>0.23549000000000003</v>
      </c>
      <c r="O44" s="193">
        <f t="shared" si="24"/>
        <v>220477.98348000002</v>
      </c>
      <c r="P44" s="232">
        <f t="shared" si="27"/>
        <v>196780.86027000003</v>
      </c>
      <c r="Q44" s="193">
        <f t="shared" si="28"/>
        <v>23697.123209999991</v>
      </c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77"/>
      <c r="AE44" s="77"/>
      <c r="AF44" s="77"/>
      <c r="AG44" s="77"/>
    </row>
    <row r="45" spans="1:33" x14ac:dyDescent="0.25">
      <c r="A45" s="180" t="s">
        <v>227</v>
      </c>
      <c r="B45" s="179"/>
      <c r="C45" s="229">
        <v>0.27588000000000001</v>
      </c>
      <c r="D45" s="229">
        <v>0</v>
      </c>
      <c r="E45" s="229">
        <v>0</v>
      </c>
      <c r="F45" s="229">
        <v>0</v>
      </c>
      <c r="G45" s="229">
        <v>0</v>
      </c>
      <c r="H45" s="229">
        <v>1.626E-2</v>
      </c>
      <c r="I45" s="229">
        <v>1.6410000000000001E-2</v>
      </c>
      <c r="J45" s="229"/>
      <c r="K45" s="230"/>
      <c r="L45" s="231">
        <f t="shared" si="25"/>
        <v>0.30854999999999999</v>
      </c>
      <c r="M45" s="171"/>
      <c r="N45" s="231">
        <f t="shared" si="26"/>
        <v>0.30854999999999999</v>
      </c>
      <c r="O45" s="193">
        <f t="shared" si="24"/>
        <v>1026.2373</v>
      </c>
      <c r="P45" s="232">
        <f t="shared" si="27"/>
        <v>797.91030000000001</v>
      </c>
      <c r="Q45" s="193">
        <f t="shared" si="28"/>
        <v>228.327</v>
      </c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77"/>
      <c r="AE45" s="77"/>
      <c r="AF45" s="77"/>
      <c r="AG45" s="77"/>
    </row>
    <row r="46" spans="1:33" x14ac:dyDescent="0.25">
      <c r="A46" s="180" t="s">
        <v>229</v>
      </c>
      <c r="B46" s="179"/>
      <c r="C46" s="229">
        <v>0.27573999999999999</v>
      </c>
      <c r="D46" s="229">
        <v>-5.0130000000000001E-2</v>
      </c>
      <c r="E46" s="229">
        <v>0</v>
      </c>
      <c r="F46" s="229">
        <v>6.9100000000000003E-3</v>
      </c>
      <c r="G46" s="229">
        <v>0</v>
      </c>
      <c r="H46" s="229">
        <v>1.2760000000000001E-2</v>
      </c>
      <c r="I46" s="229">
        <v>1.499E-2</v>
      </c>
      <c r="J46" s="229"/>
      <c r="K46" s="230"/>
      <c r="L46" s="231">
        <f t="shared" si="25"/>
        <v>0.26026999999999995</v>
      </c>
      <c r="M46" s="171"/>
      <c r="N46" s="231">
        <f t="shared" si="26"/>
        <v>0.26026999999999995</v>
      </c>
      <c r="O46" s="193">
        <f t="shared" si="24"/>
        <v>16749.415579999997</v>
      </c>
      <c r="P46" s="232">
        <f t="shared" si="27"/>
        <v>9571.9497899999988</v>
      </c>
      <c r="Q46" s="193">
        <f t="shared" si="28"/>
        <v>7177.4657899999984</v>
      </c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77"/>
      <c r="AE46" s="77"/>
      <c r="AF46" s="77"/>
      <c r="AG46" s="77"/>
    </row>
    <row r="47" spans="1:33" x14ac:dyDescent="0.25">
      <c r="A47" s="180" t="s">
        <v>231</v>
      </c>
      <c r="B47" s="179"/>
      <c r="C47" s="229">
        <v>0.27573999999999999</v>
      </c>
      <c r="D47" s="229">
        <v>0</v>
      </c>
      <c r="E47" s="229">
        <v>0</v>
      </c>
      <c r="F47" s="229">
        <v>0</v>
      </c>
      <c r="G47" s="229">
        <v>0</v>
      </c>
      <c r="H47" s="229">
        <v>1.2760000000000001E-2</v>
      </c>
      <c r="I47" s="229">
        <v>1.499E-2</v>
      </c>
      <c r="J47" s="229"/>
      <c r="K47" s="230"/>
      <c r="L47" s="231">
        <f t="shared" si="25"/>
        <v>0.30348999999999998</v>
      </c>
      <c r="M47" s="171"/>
      <c r="N47" s="231">
        <f t="shared" si="26"/>
        <v>0.30348999999999998</v>
      </c>
      <c r="O47" s="193">
        <f t="shared" si="24"/>
        <v>4468.2832699999999</v>
      </c>
      <c r="P47" s="232">
        <f t="shared" si="27"/>
        <v>4129.5884299999998</v>
      </c>
      <c r="Q47" s="193">
        <f t="shared" si="28"/>
        <v>338.69484000000011</v>
      </c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77"/>
      <c r="AE47" s="77"/>
      <c r="AF47" s="77"/>
      <c r="AG47" s="77"/>
    </row>
    <row r="48" spans="1:33" x14ac:dyDescent="0.25">
      <c r="A48" s="180" t="s">
        <v>232</v>
      </c>
      <c r="B48" s="179"/>
      <c r="C48" s="229">
        <v>0.24138999999999999</v>
      </c>
      <c r="D48" s="229">
        <v>0</v>
      </c>
      <c r="E48" s="229">
        <v>0</v>
      </c>
      <c r="F48" s="229">
        <v>0</v>
      </c>
      <c r="G48" s="229">
        <v>0</v>
      </c>
      <c r="H48" s="229">
        <v>1.132E-2</v>
      </c>
      <c r="I48" s="229">
        <v>1.44E-2</v>
      </c>
      <c r="J48" s="229"/>
      <c r="K48" s="230"/>
      <c r="L48" s="231">
        <f t="shared" si="25"/>
        <v>0.26711000000000001</v>
      </c>
      <c r="M48" s="171"/>
      <c r="N48" s="231">
        <f t="shared" si="26"/>
        <v>0.26711000000000001</v>
      </c>
      <c r="O48" s="193">
        <f t="shared" si="24"/>
        <v>0</v>
      </c>
      <c r="P48" s="232">
        <f t="shared" si="27"/>
        <v>0</v>
      </c>
      <c r="Q48" s="193">
        <f t="shared" si="28"/>
        <v>0</v>
      </c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77"/>
      <c r="AE48" s="77"/>
      <c r="AF48" s="77"/>
      <c r="AG48" s="77"/>
    </row>
    <row r="49" spans="1:33" x14ac:dyDescent="0.25">
      <c r="A49" s="180" t="s">
        <v>234</v>
      </c>
      <c r="B49" s="179"/>
      <c r="C49" s="229">
        <v>5.5999999999999995E-4</v>
      </c>
      <c r="D49" s="229">
        <v>0</v>
      </c>
      <c r="E49" s="229">
        <v>0</v>
      </c>
      <c r="F49" s="229">
        <v>0</v>
      </c>
      <c r="G49" s="229">
        <v>0</v>
      </c>
      <c r="H49" s="229">
        <v>0</v>
      </c>
      <c r="I49" s="229">
        <v>7.3999999999999999E-4</v>
      </c>
      <c r="J49" s="229"/>
      <c r="K49" s="230"/>
      <c r="L49" s="231">
        <f t="shared" si="25"/>
        <v>1.2999999999999999E-3</v>
      </c>
      <c r="M49" s="171"/>
      <c r="N49" s="231">
        <f t="shared" si="26"/>
        <v>1.2999999999999999E-3</v>
      </c>
      <c r="O49" s="193">
        <f t="shared" si="24"/>
        <v>3023.2552999999998</v>
      </c>
      <c r="P49" s="232">
        <f t="shared" si="27"/>
        <v>3149.8532</v>
      </c>
      <c r="Q49" s="193">
        <f t="shared" si="28"/>
        <v>-126.59790000000021</v>
      </c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77"/>
      <c r="AE49" s="77"/>
      <c r="AF49" s="77"/>
      <c r="AG49" s="77"/>
    </row>
    <row r="50" spans="1:33" x14ac:dyDescent="0.25">
      <c r="A50" s="180" t="s">
        <v>235</v>
      </c>
      <c r="B50" s="179"/>
      <c r="C50" s="229">
        <v>0</v>
      </c>
      <c r="D50" s="229">
        <v>0</v>
      </c>
      <c r="E50" s="229">
        <v>0</v>
      </c>
      <c r="F50" s="229">
        <v>0</v>
      </c>
      <c r="G50" s="229">
        <v>0</v>
      </c>
      <c r="H50" s="229">
        <v>0</v>
      </c>
      <c r="I50" s="229">
        <v>0</v>
      </c>
      <c r="J50" s="229"/>
      <c r="K50" s="230"/>
      <c r="L50" s="231">
        <f t="shared" si="25"/>
        <v>0</v>
      </c>
      <c r="M50" s="171"/>
      <c r="N50" s="231">
        <f t="shared" si="26"/>
        <v>0</v>
      </c>
      <c r="O50" s="193">
        <f t="shared" si="24"/>
        <v>0</v>
      </c>
      <c r="P50" s="232">
        <f t="shared" si="27"/>
        <v>0</v>
      </c>
      <c r="Q50" s="193">
        <f t="shared" si="28"/>
        <v>0</v>
      </c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77"/>
      <c r="AE50" s="77"/>
      <c r="AF50" s="77"/>
      <c r="AG50" s="77"/>
    </row>
    <row r="51" spans="1:33" x14ac:dyDescent="0.25">
      <c r="A51" s="180" t="s">
        <v>236</v>
      </c>
      <c r="B51" s="179"/>
      <c r="C51" s="229">
        <v>0</v>
      </c>
      <c r="D51" s="229">
        <v>0</v>
      </c>
      <c r="E51" s="229">
        <v>0</v>
      </c>
      <c r="F51" s="229">
        <v>0</v>
      </c>
      <c r="G51" s="229">
        <v>0</v>
      </c>
      <c r="H51" s="229">
        <v>0</v>
      </c>
      <c r="I51" s="229">
        <v>0</v>
      </c>
      <c r="J51" s="229"/>
      <c r="K51" s="230"/>
      <c r="L51" s="231">
        <f t="shared" si="25"/>
        <v>0</v>
      </c>
      <c r="M51" s="171"/>
      <c r="N51" s="231">
        <f t="shared" si="26"/>
        <v>0</v>
      </c>
      <c r="O51" s="193">
        <f t="shared" si="24"/>
        <v>0</v>
      </c>
      <c r="P51" s="232">
        <f t="shared" si="27"/>
        <v>0</v>
      </c>
      <c r="Q51" s="193">
        <f t="shared" si="28"/>
        <v>0</v>
      </c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77"/>
      <c r="AE51" s="77"/>
      <c r="AF51" s="77"/>
      <c r="AG51" s="77"/>
    </row>
    <row r="52" spans="1:33" x14ac:dyDescent="0.25">
      <c r="A52" s="180"/>
      <c r="B52" s="179"/>
      <c r="C52" s="229"/>
      <c r="D52" s="229"/>
      <c r="E52" s="229"/>
      <c r="F52" s="229"/>
      <c r="G52" s="229"/>
      <c r="H52" s="229"/>
      <c r="I52" s="229"/>
      <c r="J52" s="229"/>
      <c r="K52" s="229"/>
      <c r="L52" s="230"/>
      <c r="M52" s="171"/>
      <c r="O52" s="233">
        <f>SUM(O42:O51)</f>
        <v>512984.49590000004</v>
      </c>
      <c r="P52" s="233">
        <f>SUM(P42:P51)</f>
        <v>465381.14420000004</v>
      </c>
      <c r="Q52" s="233">
        <f>SUM(Q42:Q51)</f>
        <v>47603.351699999992</v>
      </c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77"/>
      <c r="AF52" s="77"/>
      <c r="AG52" s="77"/>
    </row>
    <row r="53" spans="1:33" ht="39" x14ac:dyDescent="0.25">
      <c r="A53" s="226" t="s">
        <v>267</v>
      </c>
      <c r="B53" s="175"/>
      <c r="C53" s="212" t="s">
        <v>268</v>
      </c>
      <c r="D53" s="212" t="s">
        <v>269</v>
      </c>
      <c r="E53" s="212" t="s">
        <v>259</v>
      </c>
      <c r="F53" s="212" t="s">
        <v>260</v>
      </c>
      <c r="G53" s="212" t="s">
        <v>270</v>
      </c>
      <c r="H53" s="212" t="s">
        <v>271</v>
      </c>
      <c r="I53" s="212" t="s">
        <v>272</v>
      </c>
      <c r="J53" s="212" t="s">
        <v>273</v>
      </c>
      <c r="K53" s="171"/>
      <c r="L53" s="171"/>
      <c r="M53" s="171"/>
      <c r="N53" s="171"/>
      <c r="O53" s="171"/>
      <c r="P53" s="193">
        <f>'07.2019 Base Rate Revenue'!O52</f>
        <v>465381.14420000004</v>
      </c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77"/>
      <c r="AF53" s="77"/>
      <c r="AG53" s="77"/>
    </row>
    <row r="54" spans="1:33" x14ac:dyDescent="0.25">
      <c r="A54" s="180" t="s">
        <v>221</v>
      </c>
      <c r="B54" s="171"/>
      <c r="C54" s="188">
        <f>C42*$H4</f>
        <v>21926.778160000002</v>
      </c>
      <c r="D54" s="188">
        <f t="shared" ref="D54:I54" si="29">D42*$H4</f>
        <v>-7360.4818399999995</v>
      </c>
      <c r="E54" s="188">
        <f>E42*$H4</f>
        <v>0</v>
      </c>
      <c r="F54" s="188">
        <f t="shared" si="29"/>
        <v>-2082.6495999999997</v>
      </c>
      <c r="G54" s="188">
        <f t="shared" si="29"/>
        <v>0</v>
      </c>
      <c r="H54" s="188">
        <f t="shared" si="29"/>
        <v>2318.4790400000002</v>
      </c>
      <c r="I54" s="188">
        <f t="shared" si="29"/>
        <v>1499.96712</v>
      </c>
      <c r="J54" s="188">
        <f>SUM(C54:I54)</f>
        <v>16302.09288</v>
      </c>
      <c r="K54" s="171"/>
      <c r="L54" s="171"/>
      <c r="M54" s="171"/>
      <c r="N54" s="193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77"/>
      <c r="AF54" s="77"/>
      <c r="AG54" s="77"/>
    </row>
    <row r="55" spans="1:33" x14ac:dyDescent="0.25">
      <c r="A55" s="180" t="s">
        <v>223</v>
      </c>
      <c r="B55" s="171"/>
      <c r="C55" s="188">
        <f t="shared" ref="C55:I63" si="30">C43*$H5</f>
        <v>20.332270000000001</v>
      </c>
      <c r="D55" s="188">
        <f t="shared" si="30"/>
        <v>-6.8252299999999995</v>
      </c>
      <c r="E55" s="188">
        <f t="shared" si="30"/>
        <v>0</v>
      </c>
      <c r="F55" s="188">
        <f t="shared" si="30"/>
        <v>-1.9311999999999998</v>
      </c>
      <c r="G55" s="188">
        <f t="shared" si="30"/>
        <v>-28.870729999999998</v>
      </c>
      <c r="H55" s="188">
        <f t="shared" si="30"/>
        <v>2.14988</v>
      </c>
      <c r="I55" s="188">
        <f t="shared" si="30"/>
        <v>1.39089</v>
      </c>
      <c r="J55" s="188">
        <f t="shared" ref="J55:J63" si="31">SUM(C55:I55)</f>
        <v>-13.754119999999995</v>
      </c>
      <c r="K55" s="171"/>
      <c r="L55" s="171"/>
      <c r="M55" s="171"/>
      <c r="N55" s="193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77"/>
      <c r="AF55" s="77"/>
      <c r="AG55" s="77"/>
    </row>
    <row r="56" spans="1:33" x14ac:dyDescent="0.25">
      <c r="A56" s="180" t="s">
        <v>225</v>
      </c>
      <c r="B56" s="171"/>
      <c r="C56" s="188">
        <f t="shared" si="30"/>
        <v>27761.52852</v>
      </c>
      <c r="D56" s="188">
        <f t="shared" si="30"/>
        <v>-8047.3011299999998</v>
      </c>
      <c r="E56" s="188">
        <f t="shared" si="30"/>
        <v>0</v>
      </c>
      <c r="F56" s="188">
        <f t="shared" si="30"/>
        <v>695.34639000000004</v>
      </c>
      <c r="G56" s="188">
        <f t="shared" si="30"/>
        <v>0</v>
      </c>
      <c r="H56" s="188">
        <f t="shared" si="30"/>
        <v>1636.2275400000001</v>
      </c>
      <c r="I56" s="188">
        <f t="shared" si="30"/>
        <v>1651.3218900000002</v>
      </c>
      <c r="J56" s="188">
        <f t="shared" si="31"/>
        <v>23697.123209999998</v>
      </c>
      <c r="K56" s="171"/>
      <c r="L56" s="171"/>
      <c r="M56" s="171"/>
      <c r="N56" s="193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77"/>
      <c r="AF56" s="77"/>
      <c r="AG56" s="77"/>
    </row>
    <row r="57" spans="1:33" x14ac:dyDescent="0.25">
      <c r="A57" s="180" t="s">
        <v>227</v>
      </c>
      <c r="B57" s="171"/>
      <c r="C57" s="188">
        <f t="shared" si="30"/>
        <v>204.15120000000002</v>
      </c>
      <c r="D57" s="188">
        <f t="shared" si="30"/>
        <v>0</v>
      </c>
      <c r="E57" s="188">
        <f t="shared" si="30"/>
        <v>0</v>
      </c>
      <c r="F57" s="188">
        <f t="shared" si="30"/>
        <v>0</v>
      </c>
      <c r="G57" s="188">
        <f t="shared" si="30"/>
        <v>0</v>
      </c>
      <c r="H57" s="188">
        <f t="shared" si="30"/>
        <v>12.032400000000001</v>
      </c>
      <c r="I57" s="188">
        <f t="shared" si="30"/>
        <v>12.143400000000002</v>
      </c>
      <c r="J57" s="188">
        <f t="shared" si="31"/>
        <v>228.32700000000003</v>
      </c>
      <c r="K57" s="171"/>
      <c r="L57" s="171"/>
      <c r="M57" s="171"/>
      <c r="N57" s="193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77"/>
      <c r="AF57" s="77"/>
      <c r="AG57" s="77"/>
    </row>
    <row r="58" spans="1:33" x14ac:dyDescent="0.25">
      <c r="A58" s="180" t="s">
        <v>229</v>
      </c>
      <c r="B58" s="171"/>
      <c r="C58" s="188">
        <f t="shared" si="30"/>
        <v>7604.0819799999999</v>
      </c>
      <c r="D58" s="188">
        <f t="shared" si="30"/>
        <v>-1382.4350099999999</v>
      </c>
      <c r="E58" s="188">
        <f t="shared" si="30"/>
        <v>0</v>
      </c>
      <c r="F58" s="188">
        <f t="shared" si="30"/>
        <v>190.55707000000001</v>
      </c>
      <c r="G58" s="188">
        <f t="shared" si="30"/>
        <v>0</v>
      </c>
      <c r="H58" s="188">
        <f t="shared" si="30"/>
        <v>351.88252</v>
      </c>
      <c r="I58" s="188">
        <f t="shared" si="30"/>
        <v>413.37923000000001</v>
      </c>
      <c r="J58" s="188">
        <f t="shared" si="31"/>
        <v>7177.4657900000002</v>
      </c>
      <c r="K58" s="171"/>
      <c r="L58" s="171"/>
      <c r="M58" s="171"/>
      <c r="N58" s="193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77"/>
      <c r="AF58" s="77"/>
      <c r="AG58" s="77"/>
    </row>
    <row r="59" spans="1:33" x14ac:dyDescent="0.25">
      <c r="A59" s="180" t="s">
        <v>231</v>
      </c>
      <c r="B59" s="171"/>
      <c r="C59" s="188">
        <f t="shared" si="30"/>
        <v>307.72584000000001</v>
      </c>
      <c r="D59" s="188">
        <f t="shared" si="30"/>
        <v>0</v>
      </c>
      <c r="E59" s="188">
        <f t="shared" si="30"/>
        <v>0</v>
      </c>
      <c r="F59" s="188">
        <f t="shared" si="30"/>
        <v>0</v>
      </c>
      <c r="G59" s="188">
        <f t="shared" si="30"/>
        <v>0</v>
      </c>
      <c r="H59" s="188">
        <f t="shared" si="30"/>
        <v>14.240160000000001</v>
      </c>
      <c r="I59" s="188">
        <f t="shared" si="30"/>
        <v>16.728839999999998</v>
      </c>
      <c r="J59" s="188">
        <f t="shared" si="31"/>
        <v>338.69484</v>
      </c>
      <c r="K59" s="171"/>
      <c r="L59" s="171"/>
      <c r="M59" s="171"/>
      <c r="N59" s="193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77"/>
      <c r="AF59" s="77"/>
      <c r="AG59" s="77"/>
    </row>
    <row r="60" spans="1:33" x14ac:dyDescent="0.25">
      <c r="A60" s="180" t="s">
        <v>232</v>
      </c>
      <c r="B60" s="171"/>
      <c r="C60" s="188">
        <f t="shared" si="30"/>
        <v>0</v>
      </c>
      <c r="D60" s="188">
        <f t="shared" si="30"/>
        <v>0</v>
      </c>
      <c r="E60" s="188">
        <f t="shared" si="30"/>
        <v>0</v>
      </c>
      <c r="F60" s="188">
        <f t="shared" si="30"/>
        <v>0</v>
      </c>
      <c r="G60" s="188">
        <f t="shared" si="30"/>
        <v>0</v>
      </c>
      <c r="H60" s="188">
        <f t="shared" si="30"/>
        <v>0</v>
      </c>
      <c r="I60" s="188">
        <f t="shared" si="30"/>
        <v>0</v>
      </c>
      <c r="J60" s="188">
        <f t="shared" si="31"/>
        <v>0</v>
      </c>
      <c r="K60" s="171"/>
      <c r="L60" s="171"/>
      <c r="M60" s="171"/>
      <c r="N60" s="193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77"/>
      <c r="AF60" s="77"/>
      <c r="AG60" s="77"/>
    </row>
    <row r="61" spans="1:33" x14ac:dyDescent="0.25">
      <c r="A61" s="180" t="s">
        <v>234</v>
      </c>
      <c r="B61" s="171"/>
      <c r="C61" s="188">
        <f t="shared" si="30"/>
        <v>-54.534479999999995</v>
      </c>
      <c r="D61" s="188">
        <f t="shared" si="30"/>
        <v>0</v>
      </c>
      <c r="E61" s="188">
        <f t="shared" si="30"/>
        <v>0</v>
      </c>
      <c r="F61" s="188">
        <f t="shared" si="30"/>
        <v>0</v>
      </c>
      <c r="G61" s="188">
        <f t="shared" si="30"/>
        <v>0</v>
      </c>
      <c r="H61" s="188">
        <f t="shared" si="30"/>
        <v>0</v>
      </c>
      <c r="I61" s="188">
        <f t="shared" si="30"/>
        <v>-72.063419999999994</v>
      </c>
      <c r="J61" s="188">
        <f t="shared" si="31"/>
        <v>-126.59789999999998</v>
      </c>
      <c r="K61" s="171"/>
      <c r="L61" s="171"/>
      <c r="M61" s="171"/>
      <c r="N61" s="193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77"/>
      <c r="AF61" s="77"/>
      <c r="AG61" s="77"/>
    </row>
    <row r="62" spans="1:33" x14ac:dyDescent="0.25">
      <c r="A62" s="180" t="s">
        <v>235</v>
      </c>
      <c r="B62" s="171"/>
      <c r="C62" s="188">
        <f t="shared" si="30"/>
        <v>0</v>
      </c>
      <c r="D62" s="188">
        <f t="shared" si="30"/>
        <v>0</v>
      </c>
      <c r="E62" s="188">
        <f t="shared" si="30"/>
        <v>0</v>
      </c>
      <c r="F62" s="188">
        <f t="shared" si="30"/>
        <v>0</v>
      </c>
      <c r="G62" s="188">
        <f t="shared" si="30"/>
        <v>0</v>
      </c>
      <c r="H62" s="188">
        <f t="shared" si="30"/>
        <v>0</v>
      </c>
      <c r="I62" s="188">
        <f t="shared" si="30"/>
        <v>0</v>
      </c>
      <c r="J62" s="188">
        <f t="shared" si="31"/>
        <v>0</v>
      </c>
      <c r="K62" s="171"/>
      <c r="L62" s="171"/>
      <c r="M62" s="171"/>
      <c r="N62" s="193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77"/>
      <c r="AF62" s="77"/>
      <c r="AG62" s="77"/>
    </row>
    <row r="63" spans="1:33" x14ac:dyDescent="0.25">
      <c r="A63" s="180" t="s">
        <v>236</v>
      </c>
      <c r="B63" s="171"/>
      <c r="C63" s="188">
        <f t="shared" si="30"/>
        <v>0</v>
      </c>
      <c r="D63" s="188">
        <f t="shared" si="30"/>
        <v>0</v>
      </c>
      <c r="E63" s="188">
        <f t="shared" si="30"/>
        <v>0</v>
      </c>
      <c r="F63" s="188">
        <f t="shared" si="30"/>
        <v>0</v>
      </c>
      <c r="G63" s="188">
        <f t="shared" si="30"/>
        <v>0</v>
      </c>
      <c r="H63" s="188">
        <f t="shared" si="30"/>
        <v>0</v>
      </c>
      <c r="I63" s="188">
        <f t="shared" si="30"/>
        <v>0</v>
      </c>
      <c r="J63" s="188">
        <f t="shared" si="31"/>
        <v>0</v>
      </c>
      <c r="K63" s="171"/>
      <c r="L63" s="171"/>
      <c r="M63" s="171"/>
      <c r="N63" s="234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77"/>
      <c r="AF63" s="77"/>
      <c r="AG63" s="77"/>
    </row>
    <row r="64" spans="1:33" x14ac:dyDescent="0.25">
      <c r="A64" s="171"/>
      <c r="B64" s="171"/>
      <c r="C64" s="196">
        <f>SUM(C54:C63)</f>
        <v>57770.06349</v>
      </c>
      <c r="D64" s="196">
        <f t="shared" ref="D64:I64" si="32">SUM(D54:D63)</f>
        <v>-16797.04321</v>
      </c>
      <c r="E64" s="196">
        <f t="shared" si="32"/>
        <v>0</v>
      </c>
      <c r="F64" s="196">
        <f t="shared" si="32"/>
        <v>-1198.6773399999995</v>
      </c>
      <c r="G64" s="196">
        <f t="shared" si="32"/>
        <v>-28.870729999999998</v>
      </c>
      <c r="H64" s="196">
        <f t="shared" si="32"/>
        <v>4335.0115400000004</v>
      </c>
      <c r="I64" s="196">
        <f t="shared" si="32"/>
        <v>3522.8679500000003</v>
      </c>
      <c r="J64" s="196">
        <f>SUM(J54:J63)</f>
        <v>47603.351699999992</v>
      </c>
      <c r="K64" s="171"/>
      <c r="L64" s="171"/>
      <c r="M64" s="171"/>
      <c r="N64" s="234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77"/>
      <c r="AF64" s="77"/>
      <c r="AG64" s="77"/>
    </row>
    <row r="65" spans="1:33" x14ac:dyDescent="0.25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88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77"/>
      <c r="AF65" s="77"/>
      <c r="AG65" s="77"/>
    </row>
    <row r="66" spans="1:33" x14ac:dyDescent="0.25">
      <c r="A66" s="179" t="s">
        <v>28</v>
      </c>
      <c r="B66" s="179"/>
      <c r="C66" s="188">
        <f>C54+C55</f>
        <v>21947.110430000001</v>
      </c>
      <c r="D66" s="188">
        <f>D54+D55</f>
        <v>-7367.3070699999998</v>
      </c>
      <c r="E66" s="188">
        <f t="shared" ref="E66:I66" si="33">E54+E55</f>
        <v>0</v>
      </c>
      <c r="F66" s="188">
        <f t="shared" si="33"/>
        <v>-2084.5807999999997</v>
      </c>
      <c r="G66" s="188">
        <f t="shared" si="33"/>
        <v>-28.870729999999998</v>
      </c>
      <c r="H66" s="188">
        <f t="shared" si="33"/>
        <v>2320.6289200000001</v>
      </c>
      <c r="I66" s="188">
        <f t="shared" si="33"/>
        <v>1501.3580099999999</v>
      </c>
      <c r="J66" s="188">
        <f>J54+J55</f>
        <v>16288.338760000001</v>
      </c>
      <c r="K66" s="171"/>
      <c r="L66" s="171"/>
      <c r="M66" s="171"/>
      <c r="N66" s="188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77"/>
      <c r="AF66" s="77"/>
      <c r="AG66" s="77"/>
    </row>
    <row r="67" spans="1:33" x14ac:dyDescent="0.25">
      <c r="A67" s="179"/>
      <c r="B67" s="179"/>
      <c r="C67" s="188"/>
      <c r="D67" s="188"/>
      <c r="E67" s="188"/>
      <c r="F67" s="188"/>
      <c r="G67" s="188"/>
      <c r="H67" s="188"/>
      <c r="I67" s="188"/>
      <c r="J67" s="188"/>
      <c r="K67" s="171"/>
      <c r="L67" s="171"/>
      <c r="M67" s="171"/>
      <c r="N67" s="179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77"/>
      <c r="AF67" s="77"/>
      <c r="AG67" s="77"/>
    </row>
    <row r="68" spans="1:33" x14ac:dyDescent="0.25">
      <c r="A68" s="179" t="s">
        <v>244</v>
      </c>
      <c r="B68" s="179"/>
      <c r="C68" s="222">
        <f>C56+C58</f>
        <v>35365.610500000003</v>
      </c>
      <c r="D68" s="222">
        <f>D56+D58</f>
        <v>-9429.7361399999991</v>
      </c>
      <c r="E68" s="222">
        <f t="shared" ref="E68:I68" si="34">E56+E58</f>
        <v>0</v>
      </c>
      <c r="F68" s="222">
        <f t="shared" si="34"/>
        <v>885.90346</v>
      </c>
      <c r="G68" s="222">
        <f t="shared" si="34"/>
        <v>0</v>
      </c>
      <c r="H68" s="222">
        <f t="shared" si="34"/>
        <v>1988.11006</v>
      </c>
      <c r="I68" s="222">
        <f t="shared" si="34"/>
        <v>2064.7011200000002</v>
      </c>
      <c r="J68" s="222">
        <f>J56+J58</f>
        <v>30874.589</v>
      </c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77"/>
      <c r="AF68" s="77"/>
      <c r="AG68" s="77"/>
    </row>
    <row r="69" spans="1:33" x14ac:dyDescent="0.25">
      <c r="A69" s="171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77"/>
      <c r="AF69" s="77"/>
      <c r="AG69" s="77"/>
    </row>
    <row r="70" spans="1:33" x14ac:dyDescent="0.25">
      <c r="A70" s="171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77"/>
      <c r="AF70" s="77"/>
      <c r="AG70" s="77"/>
    </row>
    <row r="71" spans="1:33" x14ac:dyDescent="0.25">
      <c r="A71" s="171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77"/>
      <c r="AF71" s="77"/>
      <c r="AG71" s="77"/>
    </row>
    <row r="72" spans="1:33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77"/>
      <c r="AF72" s="77"/>
      <c r="AG72" s="77"/>
    </row>
    <row r="73" spans="1:33" x14ac:dyDescent="0.25">
      <c r="A73" s="171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77"/>
      <c r="AF73" s="77"/>
      <c r="AG73" s="77"/>
    </row>
  </sheetData>
  <mergeCells count="6">
    <mergeCell ref="A1:I1"/>
    <mergeCell ref="O40:O41"/>
    <mergeCell ref="P40:P41"/>
    <mergeCell ref="Q40:Q41"/>
    <mergeCell ref="K41:L41"/>
    <mergeCell ref="M41:N41"/>
  </mergeCells>
  <printOptions horizontalCentered="1"/>
  <pageMargins left="0.45" right="0.45" top="0.5" bottom="0.5" header="0.3" footer="0.3"/>
  <pageSetup scale="80" orientation="landscape" r:id="rId1"/>
  <headerFooter scaleWithDoc="0">
    <oddFooter>&amp;L&amp;F / &amp;A&amp;RPage 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77AC59BC3751B44A2A0F4C1055639CF" ma:contentTypeVersion="52" ma:contentTypeDescription="" ma:contentTypeScope="" ma:versionID="91b2533b8213f9566a7887867a13e11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2020-06-01T07:00:00+00:00</OpenedDate>
    <SignificantOrder xmlns="dc463f71-b30c-4ab2-9473-d307f9d35888">false</SignificantOrder>
    <Date1 xmlns="dc463f71-b30c-4ab2-9473-d307f9d35888">2020-05-29T07:00:00+00:00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200499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2BD2937-F4C4-4E3D-B57C-8D6C4FE31E80}"/>
</file>

<file path=customXml/itemProps2.xml><?xml version="1.0" encoding="utf-8"?>
<ds:datastoreItem xmlns:ds="http://schemas.openxmlformats.org/officeDocument/2006/customXml" ds:itemID="{A9C8BCB2-4E2F-4C7E-9F37-71132A91107D}"/>
</file>

<file path=customXml/itemProps3.xml><?xml version="1.0" encoding="utf-8"?>
<ds:datastoreItem xmlns:ds="http://schemas.openxmlformats.org/officeDocument/2006/customXml" ds:itemID="{E0F78F70-B68D-43C9-829C-54B20EAA6460}"/>
</file>

<file path=customXml/itemProps4.xml><?xml version="1.0" encoding="utf-8"?>
<ds:datastoreItem xmlns:ds="http://schemas.openxmlformats.org/officeDocument/2006/customXml" ds:itemID="{C8E0E358-8811-4796-BF81-9DD8101B58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UG-170486 Auth Base</vt:lpstr>
      <vt:lpstr>GDWA 3% test</vt:lpstr>
      <vt:lpstr>Deferral Calc</vt:lpstr>
      <vt:lpstr>12.2019 Base Rate Revenue</vt:lpstr>
      <vt:lpstr>11.2019 Base Rate Revenue</vt:lpstr>
      <vt:lpstr>10.2019 Base Rate Revenue</vt:lpstr>
      <vt:lpstr>09.2019 Base Rate Revenue</vt:lpstr>
      <vt:lpstr>08.2019 Base Rate Revenue</vt:lpstr>
      <vt:lpstr>07.2019 Base Rate Revenue</vt:lpstr>
      <vt:lpstr>06.2019 Base Rate Revenue</vt:lpstr>
      <vt:lpstr>05.2019 Base Rate Revenue</vt:lpstr>
      <vt:lpstr>04.2019 Base Rate Revenue</vt:lpstr>
      <vt:lpstr>03.2019 Base Rate Revenue</vt:lpstr>
      <vt:lpstr>02.2019 Base Rate Revenue</vt:lpstr>
      <vt:lpstr>01.2019 Base Rate Revenue</vt:lpstr>
      <vt:lpstr>'01.2019 Base Rate Revenue'!Print_Area</vt:lpstr>
      <vt:lpstr>'02.2019 Base Rate Revenue'!Print_Area</vt:lpstr>
      <vt:lpstr>'03.2019 Base Rate Revenue'!Print_Area</vt:lpstr>
      <vt:lpstr>'04.2019 Base Rate Revenue'!Print_Area</vt:lpstr>
      <vt:lpstr>'05.2019 Base Rate Revenue'!Print_Area</vt:lpstr>
      <vt:lpstr>'06.2019 Base Rate Revenue'!Print_Area</vt:lpstr>
      <vt:lpstr>'07.2019 Base Rate Revenue'!Print_Area</vt:lpstr>
      <vt:lpstr>'08.2019 Base Rate Revenue'!Print_Area</vt:lpstr>
      <vt:lpstr>'09.2019 Base Rate Revenue'!Print_Area</vt:lpstr>
      <vt:lpstr>'10.2019 Base Rate Revenue'!Print_Area</vt:lpstr>
      <vt:lpstr>'11.2019 Base Rate Revenue'!Print_Area</vt:lpstr>
      <vt:lpstr>'12.2019 Base Rate Revenue'!Print_Area</vt:lpstr>
      <vt:lpstr>'GDWA 3% test'!Print_Area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2020-01-03T21:03:44Z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0x0101006E56B4D1795A2E4DB2F0B01679ED314A00677AC59BC3751B44A2A0F4C1055639CF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