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0" yWindow="105" windowWidth="14805" windowHeight="8010" firstSheet="1" activeTab="3"/>
  </bookViews>
  <sheets>
    <sheet name="WA Sch 25" sheetId="7" r:id="rId1"/>
    <sheet name="Prior Period Sch Shifting" sheetId="8" r:id="rId2"/>
    <sheet name="WA Nat Gas" sheetId="4" r:id="rId3"/>
    <sheet name="6 12 19 Forecast Usage by Sched" sheetId="9" r:id="rId4"/>
  </sheets>
  <externalReferences>
    <externalReference r:id="rId5"/>
    <externalReference r:id="rId6"/>
    <externalReference r:id="rId7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Area" localSheetId="1">'Prior Period Sch Shifting'!$A$1:$W$38</definedName>
    <definedName name="_xlnm.Print_Area" localSheetId="0">'WA Sch 25'!$A$1:$T$112</definedName>
    <definedName name="_xlnm.Print_Titles" localSheetId="2">'WA Nat Gas'!$A:$B,'WA Nat Gas'!$2:$2</definedName>
    <definedName name="Recover">[3]Macro1!$A$162</definedName>
    <definedName name="Sch25_Annual_excess_kva" localSheetId="0">'WA Sch 25'!$R$68:$R$92</definedName>
    <definedName name="Sch25_Annual_excess_kva">#REF!</definedName>
    <definedName name="Sch25_Annual_kva" localSheetId="0">'WA Sch 25'!$R$41:$R$65</definedName>
    <definedName name="Sch25_Annual_kva">#REF!</definedName>
    <definedName name="Sch25_Annual_kW" localSheetId="0">'WA Sch 25'!$R$68:$R$92</definedName>
    <definedName name="Sch25_Annual_kW">#REF!</definedName>
    <definedName name="Sch25_Annual_kWh" localSheetId="0">'WA Sch 25'!$R$4:$R$37</definedName>
    <definedName name="Sch25_Annual_kWh">#REF!</definedName>
    <definedName name="Sch25_kWh" localSheetId="0">'WA Sch 25'!$F$4:$Q$37</definedName>
    <definedName name="Sch25_kWh">#REF!</definedName>
    <definedName name="Sch25_n" localSheetId="0">'WA Sch 25'!$A$4:$A$37</definedName>
    <definedName name="Sch25_n">#REF!</definedName>
    <definedName name="Sch25_nD" localSheetId="0">'WA Sch 25'!$A$68:$A$92</definedName>
    <definedName name="Sch25_nD">#REF!</definedName>
    <definedName name="SL_RateIncr">'[1]St Lts'!$AD$1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N22" i="9" l="1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M10" i="9"/>
  <c r="N9" i="9"/>
  <c r="M9" i="9"/>
  <c r="N8" i="9"/>
  <c r="M8" i="9"/>
  <c r="N7" i="9"/>
  <c r="M7" i="9"/>
  <c r="N6" i="9"/>
  <c r="M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N5" i="9"/>
  <c r="M5" i="9"/>
  <c r="R44" i="4" l="1"/>
  <c r="R43" i="4"/>
  <c r="R42" i="4"/>
  <c r="R41" i="4"/>
  <c r="R40" i="4"/>
  <c r="R38" i="4"/>
  <c r="R37" i="4"/>
  <c r="R36" i="4"/>
  <c r="R35" i="4"/>
  <c r="R33" i="4"/>
  <c r="R32" i="4"/>
  <c r="R31" i="4"/>
  <c r="R30" i="4"/>
  <c r="R28" i="4"/>
  <c r="R27" i="4"/>
  <c r="R26" i="4"/>
  <c r="R25" i="4"/>
  <c r="R24" i="4"/>
  <c r="R22" i="4"/>
  <c r="R21" i="4"/>
  <c r="R20" i="4"/>
  <c r="R19" i="4"/>
  <c r="R18" i="4"/>
  <c r="R16" i="4"/>
  <c r="R15" i="4"/>
  <c r="R14" i="4"/>
  <c r="R12" i="4"/>
  <c r="R11" i="4"/>
  <c r="R10" i="4"/>
  <c r="R8" i="4"/>
  <c r="R7" i="4"/>
  <c r="R5" i="4"/>
  <c r="R4" i="4"/>
  <c r="O59" i="4" l="1"/>
  <c r="O53" i="4"/>
  <c r="O22" i="4"/>
  <c r="O21" i="4"/>
  <c r="O20" i="4"/>
  <c r="O19" i="4"/>
  <c r="O18" i="4"/>
  <c r="O17" i="4"/>
  <c r="O12" i="4"/>
  <c r="O11" i="4"/>
  <c r="O10" i="4"/>
  <c r="O9" i="4"/>
  <c r="P46" i="8"/>
  <c r="P45" i="8"/>
  <c r="P42" i="8"/>
  <c r="P41" i="8"/>
  <c r="P36" i="8"/>
  <c r="T35" i="8"/>
  <c r="O33" i="8"/>
  <c r="N33" i="8"/>
  <c r="M33" i="8"/>
  <c r="L33" i="8"/>
  <c r="K33" i="8"/>
  <c r="J33" i="8"/>
  <c r="I33" i="8"/>
  <c r="H33" i="8"/>
  <c r="G33" i="8"/>
  <c r="F33" i="8"/>
  <c r="E33" i="8"/>
  <c r="D33" i="8"/>
  <c r="R32" i="8"/>
  <c r="P32" i="8"/>
  <c r="S31" i="8"/>
  <c r="R31" i="8"/>
  <c r="P31" i="8"/>
  <c r="R30" i="8"/>
  <c r="R33" i="8" s="1"/>
  <c r="P30" i="8"/>
  <c r="V27" i="8"/>
  <c r="U27" i="8"/>
  <c r="T27" i="8"/>
  <c r="S27" i="8"/>
  <c r="S26" i="8"/>
  <c r="R26" i="8"/>
  <c r="O25" i="8"/>
  <c r="O35" i="8" s="1"/>
  <c r="O37" i="8" s="1"/>
  <c r="N25" i="8"/>
  <c r="M25" i="8"/>
  <c r="M35" i="8" s="1"/>
  <c r="M37" i="8" s="1"/>
  <c r="L25" i="8"/>
  <c r="L35" i="8" s="1"/>
  <c r="L37" i="8" s="1"/>
  <c r="K25" i="8"/>
  <c r="K35" i="8" s="1"/>
  <c r="K37" i="8" s="1"/>
  <c r="J25" i="8"/>
  <c r="I25" i="8"/>
  <c r="I35" i="8" s="1"/>
  <c r="I37" i="8" s="1"/>
  <c r="H25" i="8"/>
  <c r="H35" i="8" s="1"/>
  <c r="H37" i="8" s="1"/>
  <c r="G25" i="8"/>
  <c r="G35" i="8" s="1"/>
  <c r="G37" i="8" s="1"/>
  <c r="F25" i="8"/>
  <c r="E25" i="8"/>
  <c r="E35" i="8" s="1"/>
  <c r="E37" i="8" s="1"/>
  <c r="D25" i="8"/>
  <c r="D35" i="8" s="1"/>
  <c r="R24" i="8"/>
  <c r="P24" i="8"/>
  <c r="R23" i="8"/>
  <c r="P23" i="8"/>
  <c r="R22" i="8"/>
  <c r="P22" i="8"/>
  <c r="R21" i="8"/>
  <c r="P21" i="8"/>
  <c r="R20" i="8"/>
  <c r="P20" i="8"/>
  <c r="R19" i="8"/>
  <c r="P19" i="8"/>
  <c r="R18" i="8"/>
  <c r="P18" i="8"/>
  <c r="R17" i="8"/>
  <c r="P17" i="8"/>
  <c r="R16" i="8"/>
  <c r="P16" i="8"/>
  <c r="R15" i="8"/>
  <c r="P15" i="8"/>
  <c r="R14" i="8"/>
  <c r="P14" i="8"/>
  <c r="R13" i="8"/>
  <c r="P13" i="8"/>
  <c r="R12" i="8"/>
  <c r="P12" i="8"/>
  <c r="R11" i="8"/>
  <c r="P11" i="8"/>
  <c r="R10" i="8"/>
  <c r="P10" i="8"/>
  <c r="R9" i="8"/>
  <c r="P9" i="8"/>
  <c r="R8" i="8"/>
  <c r="P8" i="8"/>
  <c r="R7" i="8"/>
  <c r="P7" i="8"/>
  <c r="R6" i="8"/>
  <c r="P6" i="8"/>
  <c r="R5" i="8"/>
  <c r="P5" i="8"/>
  <c r="T1" i="8"/>
  <c r="S1" i="8"/>
  <c r="Q130" i="7"/>
  <c r="P130" i="7"/>
  <c r="O130" i="7"/>
  <c r="N130" i="7"/>
  <c r="M130" i="7"/>
  <c r="L130" i="7"/>
  <c r="K130" i="7"/>
  <c r="J130" i="7"/>
  <c r="I130" i="7"/>
  <c r="H130" i="7"/>
  <c r="G130" i="7"/>
  <c r="F130" i="7"/>
  <c r="R130" i="7" s="1"/>
  <c r="Q129" i="7"/>
  <c r="P129" i="7"/>
  <c r="O129" i="7"/>
  <c r="N129" i="7"/>
  <c r="M129" i="7"/>
  <c r="L129" i="7"/>
  <c r="K129" i="7"/>
  <c r="J129" i="7"/>
  <c r="I129" i="7"/>
  <c r="H129" i="7"/>
  <c r="G129" i="7"/>
  <c r="F129" i="7"/>
  <c r="R129" i="7" s="1"/>
  <c r="Q128" i="7"/>
  <c r="M128" i="7"/>
  <c r="I128" i="7"/>
  <c r="N126" i="7"/>
  <c r="K126" i="7"/>
  <c r="J126" i="7"/>
  <c r="F126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M123" i="7"/>
  <c r="Q122" i="7"/>
  <c r="P122" i="7"/>
  <c r="O122" i="7"/>
  <c r="O123" i="7" s="1"/>
  <c r="N122" i="7"/>
  <c r="N123" i="7" s="1"/>
  <c r="M122" i="7"/>
  <c r="L122" i="7"/>
  <c r="K122" i="7"/>
  <c r="K123" i="7" s="1"/>
  <c r="J122" i="7"/>
  <c r="J123" i="7" s="1"/>
  <c r="I122" i="7"/>
  <c r="H122" i="7"/>
  <c r="G122" i="7"/>
  <c r="G123" i="7" s="1"/>
  <c r="F122" i="7"/>
  <c r="F123" i="7" s="1"/>
  <c r="B122" i="7"/>
  <c r="Q121" i="7"/>
  <c r="Q123" i="7" s="1"/>
  <c r="P121" i="7"/>
  <c r="P123" i="7" s="1"/>
  <c r="O121" i="7"/>
  <c r="N121" i="7"/>
  <c r="M121" i="7"/>
  <c r="L121" i="7"/>
  <c r="L123" i="7" s="1"/>
  <c r="K121" i="7"/>
  <c r="J121" i="7"/>
  <c r="I121" i="7"/>
  <c r="I123" i="7" s="1"/>
  <c r="H121" i="7"/>
  <c r="H123" i="7" s="1"/>
  <c r="G121" i="7"/>
  <c r="F121" i="7"/>
  <c r="B121" i="7"/>
  <c r="R119" i="7"/>
  <c r="Q116" i="7"/>
  <c r="P116" i="7"/>
  <c r="O116" i="7"/>
  <c r="N116" i="7"/>
  <c r="M116" i="7"/>
  <c r="L116" i="7"/>
  <c r="K116" i="7"/>
  <c r="J116" i="7"/>
  <c r="I116" i="7"/>
  <c r="I117" i="7" s="1"/>
  <c r="H116" i="7"/>
  <c r="G116" i="7"/>
  <c r="F116" i="7"/>
  <c r="R116" i="7" s="1"/>
  <c r="N115" i="7"/>
  <c r="M115" i="7"/>
  <c r="I115" i="7"/>
  <c r="G115" i="7"/>
  <c r="E115" i="7"/>
  <c r="Q114" i="7"/>
  <c r="P114" i="7"/>
  <c r="M114" i="7"/>
  <c r="L114" i="7"/>
  <c r="K114" i="7"/>
  <c r="I114" i="7"/>
  <c r="Q111" i="7"/>
  <c r="P111" i="7"/>
  <c r="O111" i="7"/>
  <c r="N111" i="7"/>
  <c r="M111" i="7"/>
  <c r="L111" i="7"/>
  <c r="K111" i="7"/>
  <c r="J111" i="7"/>
  <c r="R111" i="7" s="1"/>
  <c r="I111" i="7"/>
  <c r="P110" i="7"/>
  <c r="O110" i="7"/>
  <c r="L110" i="7"/>
  <c r="K110" i="7"/>
  <c r="J110" i="7"/>
  <c r="G110" i="7"/>
  <c r="R108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R106" i="7" s="1"/>
  <c r="Q105" i="7"/>
  <c r="P105" i="7"/>
  <c r="O105" i="7"/>
  <c r="N105" i="7"/>
  <c r="M105" i="7"/>
  <c r="L105" i="7"/>
  <c r="K105" i="7"/>
  <c r="J105" i="7"/>
  <c r="I105" i="7"/>
  <c r="H105" i="7"/>
  <c r="G105" i="7"/>
  <c r="F105" i="7"/>
  <c r="R104" i="7"/>
  <c r="R105" i="7" s="1"/>
  <c r="R103" i="7"/>
  <c r="R102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R100" i="7" s="1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R98" i="7"/>
  <c r="R97" i="7"/>
  <c r="R96" i="7"/>
  <c r="F95" i="7"/>
  <c r="R94" i="7"/>
  <c r="Q90" i="7"/>
  <c r="P90" i="7"/>
  <c r="O90" i="7"/>
  <c r="N90" i="7"/>
  <c r="M90" i="7"/>
  <c r="L90" i="7"/>
  <c r="K90" i="7"/>
  <c r="J90" i="7"/>
  <c r="I90" i="7"/>
  <c r="H90" i="7"/>
  <c r="G90" i="7"/>
  <c r="F90" i="7"/>
  <c r="R90" i="7" s="1"/>
  <c r="E90" i="7"/>
  <c r="D90" i="7"/>
  <c r="C90" i="7"/>
  <c r="B90" i="7"/>
  <c r="Q89" i="7"/>
  <c r="P89" i="7"/>
  <c r="O89" i="7"/>
  <c r="N89" i="7"/>
  <c r="M89" i="7"/>
  <c r="L89" i="7"/>
  <c r="K89" i="7"/>
  <c r="J89" i="7"/>
  <c r="I89" i="7"/>
  <c r="H89" i="7"/>
  <c r="G89" i="7"/>
  <c r="F89" i="7"/>
  <c r="R89" i="7" s="1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R88" i="7" s="1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R87" i="7" s="1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R86" i="7" s="1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R85" i="7" s="1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R84" i="7" s="1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R82" i="7" s="1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R81" i="7" s="1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R80" i="7" s="1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Q110" i="7" s="1"/>
  <c r="P78" i="7"/>
  <c r="O78" i="7"/>
  <c r="N78" i="7"/>
  <c r="N110" i="7" s="1"/>
  <c r="M78" i="7"/>
  <c r="M110" i="7" s="1"/>
  <c r="L78" i="7"/>
  <c r="K78" i="7"/>
  <c r="J78" i="7"/>
  <c r="I78" i="7"/>
  <c r="I110" i="7" s="1"/>
  <c r="H78" i="7"/>
  <c r="H110" i="7" s="1"/>
  <c r="G78" i="7"/>
  <c r="F78" i="7"/>
  <c r="F110" i="7" s="1"/>
  <c r="R110" i="7" s="1"/>
  <c r="E78" i="7"/>
  <c r="D78" i="7"/>
  <c r="C78" i="7"/>
  <c r="B78" i="7"/>
  <c r="Q77" i="7"/>
  <c r="P77" i="7"/>
  <c r="O77" i="7"/>
  <c r="N77" i="7"/>
  <c r="M77" i="7"/>
  <c r="L77" i="7"/>
  <c r="K77" i="7"/>
  <c r="J77" i="7"/>
  <c r="I77" i="7"/>
  <c r="H77" i="7"/>
  <c r="G77" i="7"/>
  <c r="F77" i="7"/>
  <c r="R77" i="7" s="1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R76" i="7" s="1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H91" i="7" s="1"/>
  <c r="G74" i="7"/>
  <c r="F74" i="7"/>
  <c r="R74" i="7" s="1"/>
  <c r="E74" i="7"/>
  <c r="D74" i="7"/>
  <c r="C74" i="7"/>
  <c r="B74" i="7"/>
  <c r="Q73" i="7"/>
  <c r="P73" i="7"/>
  <c r="O73" i="7"/>
  <c r="N73" i="7"/>
  <c r="M73" i="7"/>
  <c r="M91" i="7" s="1"/>
  <c r="L73" i="7"/>
  <c r="K73" i="7"/>
  <c r="J73" i="7"/>
  <c r="I73" i="7"/>
  <c r="I91" i="7" s="1"/>
  <c r="H73" i="7"/>
  <c r="G73" i="7"/>
  <c r="F73" i="7"/>
  <c r="R73" i="7" s="1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C72" i="7"/>
  <c r="B72" i="7"/>
  <c r="Q71" i="7"/>
  <c r="P71" i="7"/>
  <c r="O71" i="7"/>
  <c r="O91" i="7" s="1"/>
  <c r="N71" i="7"/>
  <c r="M71" i="7"/>
  <c r="L71" i="7"/>
  <c r="K71" i="7"/>
  <c r="K91" i="7" s="1"/>
  <c r="J71" i="7"/>
  <c r="I71" i="7"/>
  <c r="H71" i="7"/>
  <c r="G71" i="7"/>
  <c r="G91" i="7" s="1"/>
  <c r="F71" i="7"/>
  <c r="R71" i="7" s="1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F70" i="7"/>
  <c r="R70" i="7" s="1"/>
  <c r="E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C69" i="7"/>
  <c r="B69" i="7"/>
  <c r="Q68" i="7"/>
  <c r="Q91" i="7" s="1"/>
  <c r="P68" i="7"/>
  <c r="P91" i="7" s="1"/>
  <c r="O68" i="7"/>
  <c r="N68" i="7"/>
  <c r="M68" i="7"/>
  <c r="L68" i="7"/>
  <c r="L91" i="7" s="1"/>
  <c r="K68" i="7"/>
  <c r="J68" i="7"/>
  <c r="I68" i="7"/>
  <c r="H68" i="7"/>
  <c r="G68" i="7"/>
  <c r="F68" i="7"/>
  <c r="E68" i="7"/>
  <c r="D68" i="7"/>
  <c r="C68" i="7"/>
  <c r="B68" i="7"/>
  <c r="F67" i="7"/>
  <c r="R66" i="7"/>
  <c r="Q64" i="7"/>
  <c r="P64" i="7"/>
  <c r="P128" i="7" s="1"/>
  <c r="O64" i="7"/>
  <c r="O128" i="7" s="1"/>
  <c r="N64" i="7"/>
  <c r="M64" i="7"/>
  <c r="L64" i="7"/>
  <c r="L128" i="7" s="1"/>
  <c r="K64" i="7"/>
  <c r="K128" i="7" s="1"/>
  <c r="J64" i="7"/>
  <c r="I64" i="7"/>
  <c r="H64" i="7"/>
  <c r="H128" i="7" s="1"/>
  <c r="G64" i="7"/>
  <c r="G128" i="7" s="1"/>
  <c r="F64" i="7"/>
  <c r="S63" i="7"/>
  <c r="R63" i="7"/>
  <c r="D63" i="7"/>
  <c r="C63" i="7"/>
  <c r="B63" i="7"/>
  <c r="S62" i="7"/>
  <c r="R62" i="7"/>
  <c r="D62" i="7"/>
  <c r="C62" i="7"/>
  <c r="B62" i="7"/>
  <c r="S61" i="7"/>
  <c r="R61" i="7"/>
  <c r="D61" i="7"/>
  <c r="C61" i="7"/>
  <c r="B61" i="7"/>
  <c r="S60" i="7"/>
  <c r="R60" i="7"/>
  <c r="D60" i="7"/>
  <c r="C60" i="7"/>
  <c r="B60" i="7"/>
  <c r="S59" i="7"/>
  <c r="R59" i="7"/>
  <c r="D59" i="7"/>
  <c r="C59" i="7"/>
  <c r="B59" i="7"/>
  <c r="S58" i="7"/>
  <c r="R58" i="7"/>
  <c r="D58" i="7"/>
  <c r="C58" i="7"/>
  <c r="B58" i="7"/>
  <c r="S57" i="7"/>
  <c r="R57" i="7"/>
  <c r="D57" i="7"/>
  <c r="C57" i="7"/>
  <c r="B57" i="7"/>
  <c r="S56" i="7"/>
  <c r="R56" i="7"/>
  <c r="D56" i="7"/>
  <c r="C56" i="7"/>
  <c r="B56" i="7"/>
  <c r="S55" i="7"/>
  <c r="R55" i="7"/>
  <c r="D55" i="7"/>
  <c r="C55" i="7"/>
  <c r="B55" i="7"/>
  <c r="S54" i="7"/>
  <c r="R54" i="7"/>
  <c r="D54" i="7"/>
  <c r="C54" i="7"/>
  <c r="B54" i="7"/>
  <c r="S53" i="7"/>
  <c r="R53" i="7"/>
  <c r="D53" i="7"/>
  <c r="C53" i="7"/>
  <c r="B53" i="7"/>
  <c r="S52" i="7"/>
  <c r="R52" i="7"/>
  <c r="D52" i="7"/>
  <c r="C52" i="7"/>
  <c r="B52" i="7"/>
  <c r="S51" i="7"/>
  <c r="R51" i="7"/>
  <c r="D51" i="7"/>
  <c r="C51" i="7"/>
  <c r="B51" i="7"/>
  <c r="S50" i="7"/>
  <c r="R50" i="7"/>
  <c r="D50" i="7"/>
  <c r="C50" i="7"/>
  <c r="B50" i="7"/>
  <c r="S49" i="7"/>
  <c r="R49" i="7"/>
  <c r="D49" i="7"/>
  <c r="C49" i="7"/>
  <c r="B49" i="7"/>
  <c r="S48" i="7"/>
  <c r="R48" i="7"/>
  <c r="D48" i="7"/>
  <c r="C48" i="7"/>
  <c r="B48" i="7"/>
  <c r="S47" i="7"/>
  <c r="R47" i="7"/>
  <c r="D47" i="7"/>
  <c r="C47" i="7"/>
  <c r="B47" i="7"/>
  <c r="S46" i="7"/>
  <c r="R46" i="7"/>
  <c r="D46" i="7"/>
  <c r="C46" i="7"/>
  <c r="B46" i="7"/>
  <c r="S45" i="7"/>
  <c r="R45" i="7"/>
  <c r="D45" i="7"/>
  <c r="C45" i="7"/>
  <c r="B45" i="7"/>
  <c r="S44" i="7"/>
  <c r="R44" i="7"/>
  <c r="D44" i="7"/>
  <c r="C44" i="7"/>
  <c r="B44" i="7"/>
  <c r="S43" i="7"/>
  <c r="R43" i="7"/>
  <c r="R64" i="7" s="1"/>
  <c r="D43" i="7"/>
  <c r="C43" i="7"/>
  <c r="B43" i="7"/>
  <c r="S42" i="7"/>
  <c r="R42" i="7"/>
  <c r="D42" i="7"/>
  <c r="C42" i="7"/>
  <c r="B42" i="7"/>
  <c r="S41" i="7"/>
  <c r="R41" i="7"/>
  <c r="D41" i="7"/>
  <c r="C41" i="7"/>
  <c r="B41" i="7"/>
  <c r="F40" i="7"/>
  <c r="M37" i="7"/>
  <c r="P36" i="7"/>
  <c r="O36" i="7"/>
  <c r="O37" i="7" s="1"/>
  <c r="L36" i="7"/>
  <c r="K36" i="7"/>
  <c r="K37" i="7" s="1"/>
  <c r="J36" i="7"/>
  <c r="J37" i="7" s="1"/>
  <c r="H36" i="7"/>
  <c r="F36" i="7"/>
  <c r="F37" i="7" s="1"/>
  <c r="R35" i="7"/>
  <c r="R34" i="7"/>
  <c r="Q33" i="7"/>
  <c r="Q36" i="7" s="1"/>
  <c r="Q37" i="7" s="1"/>
  <c r="P33" i="7"/>
  <c r="O33" i="7"/>
  <c r="N33" i="7"/>
  <c r="N36" i="7" s="1"/>
  <c r="N37" i="7" s="1"/>
  <c r="M33" i="7"/>
  <c r="M36" i="7" s="1"/>
  <c r="L33" i="7"/>
  <c r="K33" i="7"/>
  <c r="J33" i="7"/>
  <c r="I33" i="7"/>
  <c r="H33" i="7"/>
  <c r="G33" i="7"/>
  <c r="G36" i="7" s="1"/>
  <c r="G37" i="7" s="1"/>
  <c r="R32" i="7"/>
  <c r="R31" i="7"/>
  <c r="J31" i="7"/>
  <c r="I30" i="7"/>
  <c r="R29" i="7"/>
  <c r="S27" i="7"/>
  <c r="Q27" i="7"/>
  <c r="Q126" i="7" s="1"/>
  <c r="Q124" i="7" s="1"/>
  <c r="P27" i="7"/>
  <c r="P126" i="7" s="1"/>
  <c r="P124" i="7" s="1"/>
  <c r="O27" i="7"/>
  <c r="O126" i="7" s="1"/>
  <c r="O124" i="7" s="1"/>
  <c r="N27" i="7"/>
  <c r="M27" i="7"/>
  <c r="M126" i="7" s="1"/>
  <c r="M124" i="7" s="1"/>
  <c r="L27" i="7"/>
  <c r="L126" i="7" s="1"/>
  <c r="L124" i="7" s="1"/>
  <c r="K27" i="7"/>
  <c r="J27" i="7"/>
  <c r="I27" i="7"/>
  <c r="I126" i="7" s="1"/>
  <c r="I124" i="7" s="1"/>
  <c r="H27" i="7"/>
  <c r="H126" i="7" s="1"/>
  <c r="H124" i="7" s="1"/>
  <c r="G27" i="7"/>
  <c r="G126" i="7" s="1"/>
  <c r="G124" i="7" s="1"/>
  <c r="F27" i="7"/>
  <c r="T26" i="7"/>
  <c r="U26" i="7" s="1"/>
  <c r="S26" i="7"/>
  <c r="R26" i="7"/>
  <c r="T25" i="7"/>
  <c r="U25" i="7" s="1"/>
  <c r="S25" i="7"/>
  <c r="R25" i="7"/>
  <c r="T24" i="7"/>
  <c r="U24" i="7" s="1"/>
  <c r="S24" i="7"/>
  <c r="R24" i="7"/>
  <c r="T23" i="7"/>
  <c r="U23" i="7" s="1"/>
  <c r="S23" i="7"/>
  <c r="R23" i="7"/>
  <c r="T22" i="7"/>
  <c r="U22" i="7" s="1"/>
  <c r="S22" i="7"/>
  <c r="R22" i="7"/>
  <c r="T21" i="7"/>
  <c r="U21" i="7" s="1"/>
  <c r="S21" i="7"/>
  <c r="R21" i="7"/>
  <c r="T20" i="7"/>
  <c r="U20" i="7" s="1"/>
  <c r="S20" i="7"/>
  <c r="R20" i="7"/>
  <c r="T19" i="7"/>
  <c r="U19" i="7" s="1"/>
  <c r="S19" i="7"/>
  <c r="R19" i="7"/>
  <c r="T18" i="7"/>
  <c r="U18" i="7" s="1"/>
  <c r="S18" i="7"/>
  <c r="R18" i="7"/>
  <c r="T17" i="7"/>
  <c r="U17" i="7" s="1"/>
  <c r="S17" i="7"/>
  <c r="R17" i="7"/>
  <c r="T16" i="7"/>
  <c r="U16" i="7" s="1"/>
  <c r="S16" i="7"/>
  <c r="R16" i="7"/>
  <c r="T15" i="7"/>
  <c r="U15" i="7" s="1"/>
  <c r="S15" i="7"/>
  <c r="R15" i="7"/>
  <c r="T14" i="7"/>
  <c r="U14" i="7" s="1"/>
  <c r="S14" i="7"/>
  <c r="R14" i="7"/>
  <c r="T13" i="7"/>
  <c r="U13" i="7" s="1"/>
  <c r="S13" i="7"/>
  <c r="R13" i="7"/>
  <c r="T12" i="7"/>
  <c r="U12" i="7" s="1"/>
  <c r="S12" i="7"/>
  <c r="R12" i="7"/>
  <c r="T11" i="7"/>
  <c r="U11" i="7" s="1"/>
  <c r="S11" i="7"/>
  <c r="R11" i="7"/>
  <c r="T10" i="7"/>
  <c r="U10" i="7" s="1"/>
  <c r="S10" i="7"/>
  <c r="R10" i="7"/>
  <c r="T9" i="7"/>
  <c r="U9" i="7" s="1"/>
  <c r="S9" i="7"/>
  <c r="R9" i="7"/>
  <c r="T8" i="7"/>
  <c r="U8" i="7" s="1"/>
  <c r="S8" i="7"/>
  <c r="R8" i="7"/>
  <c r="T7" i="7"/>
  <c r="U7" i="7" s="1"/>
  <c r="S7" i="7"/>
  <c r="R7" i="7"/>
  <c r="T6" i="7"/>
  <c r="U6" i="7" s="1"/>
  <c r="S6" i="7"/>
  <c r="R6" i="7"/>
  <c r="T5" i="7"/>
  <c r="U5" i="7" s="1"/>
  <c r="S5" i="7"/>
  <c r="R5" i="7"/>
  <c r="T4" i="7"/>
  <c r="S4" i="7"/>
  <c r="R4" i="7"/>
  <c r="G3" i="7"/>
  <c r="U1" i="7"/>
  <c r="T1" i="7"/>
  <c r="R33" i="7" l="1"/>
  <c r="T10" i="8"/>
  <c r="T12" i="8"/>
  <c r="T18" i="8"/>
  <c r="T20" i="8"/>
  <c r="T32" i="8"/>
  <c r="D37" i="8"/>
  <c r="P25" i="8"/>
  <c r="T11" i="8"/>
  <c r="T19" i="8"/>
  <c r="T31" i="8"/>
  <c r="U31" i="8" s="1"/>
  <c r="P33" i="8"/>
  <c r="F35" i="8"/>
  <c r="F37" i="8" s="1"/>
  <c r="J35" i="8"/>
  <c r="J37" i="8" s="1"/>
  <c r="N35" i="8"/>
  <c r="N37" i="8" s="1"/>
  <c r="R25" i="8"/>
  <c r="S5" i="8"/>
  <c r="S6" i="8"/>
  <c r="T6" i="8" s="1"/>
  <c r="S7" i="8"/>
  <c r="T7" i="8" s="1"/>
  <c r="S8" i="8"/>
  <c r="T8" i="8" s="1"/>
  <c r="S9" i="8"/>
  <c r="T9" i="8" s="1"/>
  <c r="S10" i="8"/>
  <c r="S11" i="8"/>
  <c r="S12" i="8"/>
  <c r="S13" i="8"/>
  <c r="T13" i="8" s="1"/>
  <c r="S14" i="8"/>
  <c r="T14" i="8" s="1"/>
  <c r="S15" i="8"/>
  <c r="T15" i="8" s="1"/>
  <c r="S16" i="8"/>
  <c r="T16" i="8" s="1"/>
  <c r="S17" i="8"/>
  <c r="T17" i="8" s="1"/>
  <c r="S18" i="8"/>
  <c r="S19" i="8"/>
  <c r="S20" i="8"/>
  <c r="S21" i="8"/>
  <c r="T21" i="8" s="1"/>
  <c r="S22" i="8"/>
  <c r="T22" i="8" s="1"/>
  <c r="S23" i="8"/>
  <c r="T23" i="8" s="1"/>
  <c r="S24" i="8"/>
  <c r="T24" i="8" s="1"/>
  <c r="S30" i="8"/>
  <c r="S32" i="8"/>
  <c r="J114" i="7"/>
  <c r="J128" i="7"/>
  <c r="P117" i="7"/>
  <c r="R123" i="7"/>
  <c r="F114" i="7"/>
  <c r="F128" i="7"/>
  <c r="N114" i="7"/>
  <c r="N117" i="7" s="1"/>
  <c r="N128" i="7"/>
  <c r="T27" i="7"/>
  <c r="U4" i="7"/>
  <c r="U27" i="7" s="1"/>
  <c r="U28" i="7" s="1"/>
  <c r="R122" i="7"/>
  <c r="J124" i="7"/>
  <c r="G67" i="7"/>
  <c r="G40" i="7"/>
  <c r="T58" i="7" s="1"/>
  <c r="P37" i="7"/>
  <c r="T43" i="7"/>
  <c r="T59" i="7"/>
  <c r="R78" i="7"/>
  <c r="R83" i="7"/>
  <c r="G114" i="7"/>
  <c r="G117" i="7" s="1"/>
  <c r="K124" i="7"/>
  <c r="H3" i="7"/>
  <c r="R27" i="7"/>
  <c r="R126" i="7" s="1"/>
  <c r="I36" i="7"/>
  <c r="I37" i="7" s="1"/>
  <c r="L37" i="7"/>
  <c r="R79" i="7"/>
  <c r="G95" i="7"/>
  <c r="H114" i="7"/>
  <c r="M117" i="7"/>
  <c r="P115" i="7"/>
  <c r="L115" i="7"/>
  <c r="L117" i="7" s="1"/>
  <c r="H115" i="7"/>
  <c r="J115" i="7"/>
  <c r="O115" i="7"/>
  <c r="R125" i="7"/>
  <c r="F124" i="7"/>
  <c r="N124" i="7"/>
  <c r="R30" i="7"/>
  <c r="R36" i="7" s="1"/>
  <c r="R37" i="7" s="1"/>
  <c r="H37" i="7"/>
  <c r="F91" i="7"/>
  <c r="J91" i="7"/>
  <c r="N91" i="7"/>
  <c r="R68" i="7"/>
  <c r="R75" i="7"/>
  <c r="O114" i="7"/>
  <c r="F115" i="7"/>
  <c r="K115" i="7"/>
  <c r="K117" i="7" s="1"/>
  <c r="Q115" i="7"/>
  <c r="Q117" i="7" s="1"/>
  <c r="R121" i="7"/>
  <c r="S33" i="8" l="1"/>
  <c r="S25" i="8"/>
  <c r="T5" i="8"/>
  <c r="T25" i="8" s="1"/>
  <c r="V31" i="8"/>
  <c r="T30" i="8"/>
  <c r="T33" i="8" s="1"/>
  <c r="U32" i="8"/>
  <c r="V32" i="8" s="1"/>
  <c r="P35" i="8"/>
  <c r="P37" i="8" s="1"/>
  <c r="P26" i="8" s="1"/>
  <c r="T26" i="8" s="1"/>
  <c r="R91" i="7"/>
  <c r="H95" i="7"/>
  <c r="H67" i="7"/>
  <c r="I3" i="7"/>
  <c r="H40" i="7"/>
  <c r="T51" i="7" s="1"/>
  <c r="R115" i="7"/>
  <c r="O117" i="7"/>
  <c r="R124" i="7"/>
  <c r="H117" i="7"/>
  <c r="F117" i="7"/>
  <c r="R114" i="7"/>
  <c r="R117" i="7" s="1"/>
  <c r="R128" i="7"/>
  <c r="T44" i="7"/>
  <c r="J117" i="7"/>
  <c r="T45" i="7"/>
  <c r="D91" i="4"/>
  <c r="U30" i="8" l="1"/>
  <c r="J3" i="7"/>
  <c r="I95" i="7"/>
  <c r="I40" i="7"/>
  <c r="I67" i="7"/>
  <c r="U33" i="8" l="1"/>
  <c r="V30" i="8"/>
  <c r="V33" i="8" s="1"/>
  <c r="T42" i="7"/>
  <c r="T41" i="7"/>
  <c r="J67" i="7"/>
  <c r="J95" i="7"/>
  <c r="K3" i="7"/>
  <c r="J40" i="7"/>
  <c r="T53" i="7" s="1"/>
  <c r="D82" i="4"/>
  <c r="D81" i="4"/>
  <c r="D79" i="4"/>
  <c r="D78" i="4"/>
  <c r="D77" i="4"/>
  <c r="E79" i="4"/>
  <c r="F79" i="4"/>
  <c r="G79" i="4"/>
  <c r="H79" i="4"/>
  <c r="I79" i="4"/>
  <c r="J79" i="4"/>
  <c r="K79" i="4"/>
  <c r="L79" i="4"/>
  <c r="M79" i="4"/>
  <c r="N79" i="4"/>
  <c r="K67" i="7" l="1"/>
  <c r="K40" i="7"/>
  <c r="K95" i="7"/>
  <c r="L3" i="7"/>
  <c r="E71" i="4"/>
  <c r="F71" i="4"/>
  <c r="G71" i="4"/>
  <c r="H71" i="4"/>
  <c r="I71" i="4"/>
  <c r="J71" i="4"/>
  <c r="K71" i="4"/>
  <c r="L71" i="4"/>
  <c r="M71" i="4"/>
  <c r="N71" i="4"/>
  <c r="D71" i="4"/>
  <c r="P63" i="4"/>
  <c r="P62" i="4"/>
  <c r="E64" i="4"/>
  <c r="F64" i="4"/>
  <c r="G64" i="4"/>
  <c r="H64" i="4"/>
  <c r="I64" i="4"/>
  <c r="J64" i="4"/>
  <c r="K64" i="4"/>
  <c r="L64" i="4"/>
  <c r="M64" i="4"/>
  <c r="N64" i="4"/>
  <c r="O64" i="4"/>
  <c r="D64" i="4"/>
  <c r="L95" i="7" l="1"/>
  <c r="L67" i="7"/>
  <c r="M3" i="7"/>
  <c r="L40" i="7"/>
  <c r="P64" i="4"/>
  <c r="N3" i="7" l="1"/>
  <c r="M67" i="7"/>
  <c r="M95" i="7"/>
  <c r="M40" i="7"/>
  <c r="T50" i="7"/>
  <c r="T49" i="7"/>
  <c r="T47" i="7"/>
  <c r="T57" i="7"/>
  <c r="T63" i="7" l="1"/>
  <c r="T60" i="7"/>
  <c r="T55" i="7"/>
  <c r="T48" i="7"/>
  <c r="T54" i="7"/>
  <c r="T46" i="7"/>
  <c r="N95" i="7"/>
  <c r="N40" i="7"/>
  <c r="T52" i="7" s="1"/>
  <c r="O3" i="7"/>
  <c r="N67" i="7"/>
  <c r="O67" i="7" l="1"/>
  <c r="O40" i="7"/>
  <c r="T56" i="7" s="1"/>
  <c r="O95" i="7"/>
  <c r="P3" i="7"/>
  <c r="P95" i="7" l="1"/>
  <c r="P67" i="7"/>
  <c r="Q3" i="7"/>
  <c r="P40" i="7"/>
  <c r="Q67" i="7" l="1"/>
  <c r="Q95" i="7"/>
  <c r="Q40" i="7"/>
  <c r="T61" i="7" l="1"/>
  <c r="T62" i="7"/>
  <c r="L58" i="4" l="1"/>
  <c r="K58" i="4"/>
  <c r="J58" i="4"/>
  <c r="I58" i="4"/>
  <c r="H58" i="4"/>
  <c r="G58" i="4"/>
  <c r="F58" i="4"/>
  <c r="E58" i="4"/>
  <c r="D58" i="4"/>
  <c r="M58" i="4"/>
  <c r="P56" i="4"/>
  <c r="P57" i="4"/>
  <c r="O58" i="4"/>
  <c r="N58" i="4"/>
  <c r="P58" i="4" l="1"/>
  <c r="H91" i="4" l="1"/>
  <c r="E80" i="4"/>
  <c r="E91" i="4" s="1"/>
  <c r="F80" i="4"/>
  <c r="F91" i="4" s="1"/>
  <c r="G80" i="4"/>
  <c r="G91" i="4" s="1"/>
  <c r="H80" i="4"/>
  <c r="I80" i="4"/>
  <c r="I91" i="4" s="1"/>
  <c r="J80" i="4"/>
  <c r="J91" i="4" s="1"/>
  <c r="K80" i="4"/>
  <c r="K91" i="4" s="1"/>
  <c r="L80" i="4"/>
  <c r="L91" i="4" s="1"/>
  <c r="M80" i="4"/>
  <c r="M91" i="4" s="1"/>
  <c r="N80" i="4"/>
  <c r="N91" i="4" s="1"/>
  <c r="O80" i="4"/>
  <c r="O91" i="4" s="1"/>
  <c r="D80" i="4"/>
  <c r="T68" i="4" l="1"/>
  <c r="U69" i="4" s="1"/>
  <c r="U68" i="4"/>
  <c r="V69" i="4" s="1"/>
  <c r="V68" i="4"/>
  <c r="W69" i="4" s="1"/>
  <c r="W68" i="4"/>
  <c r="X69" i="4" s="1"/>
  <c r="X68" i="4"/>
  <c r="Y69" i="4" s="1"/>
  <c r="Y68" i="4"/>
  <c r="Z69" i="4" s="1"/>
  <c r="Z68" i="4"/>
  <c r="AA69" i="4" s="1"/>
  <c r="AA68" i="4"/>
  <c r="AB69" i="4" s="1"/>
  <c r="AB68" i="4"/>
  <c r="AC69" i="4" s="1"/>
  <c r="AC68" i="4"/>
  <c r="AD69" i="4" s="1"/>
  <c r="AD68" i="4"/>
  <c r="S69" i="4"/>
  <c r="S68" i="4"/>
  <c r="T69" i="4" s="1"/>
  <c r="AC45" i="4"/>
  <c r="AD45" i="4"/>
  <c r="AC46" i="4"/>
  <c r="AD46" i="4"/>
  <c r="AC47" i="4"/>
  <c r="AD47" i="4"/>
  <c r="T45" i="4"/>
  <c r="U45" i="4"/>
  <c r="V45" i="4"/>
  <c r="W45" i="4"/>
  <c r="X45" i="4"/>
  <c r="Y45" i="4"/>
  <c r="Z45" i="4"/>
  <c r="AA45" i="4"/>
  <c r="AB45" i="4"/>
  <c r="T46" i="4"/>
  <c r="U46" i="4"/>
  <c r="V46" i="4"/>
  <c r="W46" i="4"/>
  <c r="X46" i="4"/>
  <c r="Y46" i="4"/>
  <c r="Z46" i="4"/>
  <c r="AA46" i="4"/>
  <c r="AB46" i="4"/>
  <c r="T47" i="4"/>
  <c r="U47" i="4"/>
  <c r="V47" i="4"/>
  <c r="W47" i="4"/>
  <c r="X47" i="4"/>
  <c r="Y47" i="4"/>
  <c r="Z47" i="4"/>
  <c r="AA47" i="4"/>
  <c r="AB47" i="4"/>
  <c r="S47" i="4"/>
  <c r="S45" i="4"/>
  <c r="S46" i="4"/>
  <c r="P46" i="4"/>
  <c r="P47" i="4"/>
  <c r="AE46" i="4" l="1"/>
  <c r="AE47" i="4"/>
  <c r="S43" i="4" l="1"/>
  <c r="T43" i="4"/>
  <c r="U43" i="4"/>
  <c r="V43" i="4"/>
  <c r="W43" i="4"/>
  <c r="X43" i="4"/>
  <c r="Y43" i="4"/>
  <c r="Z43" i="4"/>
  <c r="AA43" i="4"/>
  <c r="AB43" i="4"/>
  <c r="AC43" i="4"/>
  <c r="AD43" i="4"/>
  <c r="P43" i="4"/>
  <c r="P36" i="4"/>
  <c r="P37" i="4"/>
  <c r="S44" i="4"/>
  <c r="T44" i="4"/>
  <c r="U44" i="4"/>
  <c r="V44" i="4"/>
  <c r="W44" i="4"/>
  <c r="X44" i="4"/>
  <c r="Y44" i="4"/>
  <c r="Z44" i="4"/>
  <c r="AA44" i="4"/>
  <c r="AB44" i="4"/>
  <c r="AC44" i="4"/>
  <c r="AD44" i="4"/>
  <c r="S33" i="4"/>
  <c r="T33" i="4"/>
  <c r="U33" i="4"/>
  <c r="V33" i="4"/>
  <c r="W33" i="4"/>
  <c r="X33" i="4"/>
  <c r="Y33" i="4"/>
  <c r="Z33" i="4"/>
  <c r="AA33" i="4"/>
  <c r="AB33" i="4"/>
  <c r="AC33" i="4"/>
  <c r="AD33" i="4"/>
  <c r="S34" i="4"/>
  <c r="T34" i="4"/>
  <c r="U34" i="4"/>
  <c r="V34" i="4"/>
  <c r="W34" i="4"/>
  <c r="X34" i="4"/>
  <c r="Y34" i="4"/>
  <c r="Z34" i="4"/>
  <c r="AA34" i="4"/>
  <c r="AB34" i="4"/>
  <c r="AC34" i="4"/>
  <c r="AD34" i="4"/>
  <c r="S35" i="4"/>
  <c r="T35" i="4"/>
  <c r="U35" i="4"/>
  <c r="V35" i="4"/>
  <c r="W35" i="4"/>
  <c r="X35" i="4"/>
  <c r="Y35" i="4"/>
  <c r="Z35" i="4"/>
  <c r="AA35" i="4"/>
  <c r="AB35" i="4"/>
  <c r="AC35" i="4"/>
  <c r="AD35" i="4"/>
  <c r="S36" i="4"/>
  <c r="T36" i="4"/>
  <c r="U36" i="4"/>
  <c r="V36" i="4"/>
  <c r="W36" i="4"/>
  <c r="X36" i="4"/>
  <c r="Y36" i="4"/>
  <c r="Z36" i="4"/>
  <c r="AA36" i="4"/>
  <c r="AB36" i="4"/>
  <c r="AC36" i="4"/>
  <c r="AD36" i="4"/>
  <c r="S37" i="4"/>
  <c r="T37" i="4"/>
  <c r="U37" i="4"/>
  <c r="V37" i="4"/>
  <c r="W37" i="4"/>
  <c r="X37" i="4"/>
  <c r="Y37" i="4"/>
  <c r="Z37" i="4"/>
  <c r="AA37" i="4"/>
  <c r="AB37" i="4"/>
  <c r="AC37" i="4"/>
  <c r="AD37" i="4"/>
  <c r="S38" i="4"/>
  <c r="T38" i="4"/>
  <c r="U38" i="4"/>
  <c r="V38" i="4"/>
  <c r="W38" i="4"/>
  <c r="X38" i="4"/>
  <c r="Y38" i="4"/>
  <c r="Z38" i="4"/>
  <c r="AA38" i="4"/>
  <c r="AB38" i="4"/>
  <c r="AC38" i="4"/>
  <c r="AD38" i="4"/>
  <c r="S26" i="4"/>
  <c r="T26" i="4"/>
  <c r="U26" i="4"/>
  <c r="V26" i="4"/>
  <c r="W26" i="4"/>
  <c r="X26" i="4"/>
  <c r="Y26" i="4"/>
  <c r="Z26" i="4"/>
  <c r="AA26" i="4"/>
  <c r="AB26" i="4"/>
  <c r="AC26" i="4"/>
  <c r="AD26" i="4"/>
  <c r="S27" i="4"/>
  <c r="T27" i="4"/>
  <c r="U27" i="4"/>
  <c r="V27" i="4"/>
  <c r="W27" i="4"/>
  <c r="X27" i="4"/>
  <c r="Y27" i="4"/>
  <c r="Z27" i="4"/>
  <c r="AA27" i="4"/>
  <c r="AB27" i="4"/>
  <c r="AC27" i="4"/>
  <c r="AD27" i="4"/>
  <c r="S28" i="4"/>
  <c r="T28" i="4"/>
  <c r="U28" i="4"/>
  <c r="V28" i="4"/>
  <c r="W28" i="4"/>
  <c r="X28" i="4"/>
  <c r="Y28" i="4"/>
  <c r="Z28" i="4"/>
  <c r="AA28" i="4"/>
  <c r="AB28" i="4"/>
  <c r="AC28" i="4"/>
  <c r="AD28" i="4"/>
  <c r="S20" i="4"/>
  <c r="T20" i="4"/>
  <c r="U20" i="4"/>
  <c r="V20" i="4"/>
  <c r="W20" i="4"/>
  <c r="X20" i="4"/>
  <c r="Y20" i="4"/>
  <c r="Z20" i="4"/>
  <c r="AA20" i="4"/>
  <c r="AB20" i="4"/>
  <c r="AC20" i="4"/>
  <c r="AD20" i="4"/>
  <c r="S21" i="4"/>
  <c r="T21" i="4"/>
  <c r="U21" i="4"/>
  <c r="V21" i="4"/>
  <c r="W21" i="4"/>
  <c r="X21" i="4"/>
  <c r="Y21" i="4"/>
  <c r="Z21" i="4"/>
  <c r="AA21" i="4"/>
  <c r="AB21" i="4"/>
  <c r="AC21" i="4"/>
  <c r="AD21" i="4"/>
  <c r="S22" i="4"/>
  <c r="T22" i="4"/>
  <c r="U22" i="4"/>
  <c r="V22" i="4"/>
  <c r="W22" i="4"/>
  <c r="X22" i="4"/>
  <c r="Y22" i="4"/>
  <c r="Z22" i="4"/>
  <c r="AA22" i="4"/>
  <c r="AB22" i="4"/>
  <c r="AC22" i="4"/>
  <c r="AD22" i="4"/>
  <c r="S16" i="4"/>
  <c r="T16" i="4"/>
  <c r="U16" i="4"/>
  <c r="V16" i="4"/>
  <c r="W16" i="4"/>
  <c r="X16" i="4"/>
  <c r="Y16" i="4"/>
  <c r="Z16" i="4"/>
  <c r="AA16" i="4"/>
  <c r="AB16" i="4"/>
  <c r="AC16" i="4"/>
  <c r="AD16" i="4"/>
  <c r="AC12" i="4"/>
  <c r="AD12" i="4"/>
  <c r="T12" i="4"/>
  <c r="U12" i="4"/>
  <c r="V12" i="4"/>
  <c r="W12" i="4"/>
  <c r="X12" i="4"/>
  <c r="Y12" i="4"/>
  <c r="Z12" i="4"/>
  <c r="AA12" i="4"/>
  <c r="AB12" i="4"/>
  <c r="S12" i="4"/>
  <c r="P74" i="4"/>
  <c r="P73" i="4"/>
  <c r="P72" i="4"/>
  <c r="O70" i="4"/>
  <c r="O82" i="4" s="1"/>
  <c r="O93" i="4" s="1"/>
  <c r="N70" i="4"/>
  <c r="N82" i="4" s="1"/>
  <c r="N93" i="4" s="1"/>
  <c r="M70" i="4"/>
  <c r="M82" i="4" s="1"/>
  <c r="M93" i="4" s="1"/>
  <c r="L70" i="4"/>
  <c r="L82" i="4" s="1"/>
  <c r="L93" i="4" s="1"/>
  <c r="K70" i="4"/>
  <c r="K82" i="4" s="1"/>
  <c r="K93" i="4" s="1"/>
  <c r="J70" i="4"/>
  <c r="J82" i="4" s="1"/>
  <c r="J93" i="4" s="1"/>
  <c r="I70" i="4"/>
  <c r="I82" i="4" s="1"/>
  <c r="I93" i="4" s="1"/>
  <c r="H70" i="4"/>
  <c r="H82" i="4" s="1"/>
  <c r="H93" i="4" s="1"/>
  <c r="G70" i="4"/>
  <c r="G82" i="4" s="1"/>
  <c r="G93" i="4" s="1"/>
  <c r="F70" i="4"/>
  <c r="F82" i="4" s="1"/>
  <c r="F93" i="4" s="1"/>
  <c r="E70" i="4"/>
  <c r="E82" i="4" s="1"/>
  <c r="E93" i="4" s="1"/>
  <c r="D70" i="4"/>
  <c r="D93" i="4" s="1"/>
  <c r="P69" i="4"/>
  <c r="P68" i="4"/>
  <c r="O67" i="4"/>
  <c r="O81" i="4" s="1"/>
  <c r="O92" i="4" s="1"/>
  <c r="N67" i="4"/>
  <c r="N81" i="4" s="1"/>
  <c r="N92" i="4" s="1"/>
  <c r="M67" i="4"/>
  <c r="M81" i="4" s="1"/>
  <c r="M92" i="4" s="1"/>
  <c r="L67" i="4"/>
  <c r="L81" i="4" s="1"/>
  <c r="L92" i="4" s="1"/>
  <c r="K67" i="4"/>
  <c r="K81" i="4" s="1"/>
  <c r="K92" i="4" s="1"/>
  <c r="J67" i="4"/>
  <c r="J81" i="4" s="1"/>
  <c r="J92" i="4" s="1"/>
  <c r="I67" i="4"/>
  <c r="I81" i="4" s="1"/>
  <c r="I92" i="4" s="1"/>
  <c r="H67" i="4"/>
  <c r="H81" i="4" s="1"/>
  <c r="H92" i="4" s="1"/>
  <c r="G67" i="4"/>
  <c r="G81" i="4" s="1"/>
  <c r="G92" i="4" s="1"/>
  <c r="F67" i="4"/>
  <c r="F81" i="4" s="1"/>
  <c r="F92" i="4" s="1"/>
  <c r="E67" i="4"/>
  <c r="E81" i="4" s="1"/>
  <c r="E92" i="4" s="1"/>
  <c r="D67" i="4"/>
  <c r="D92" i="4" s="1"/>
  <c r="P66" i="4"/>
  <c r="P65" i="4"/>
  <c r="O61" i="4"/>
  <c r="N61" i="4"/>
  <c r="N90" i="4" s="1"/>
  <c r="M61" i="4"/>
  <c r="M90" i="4" s="1"/>
  <c r="L61" i="4"/>
  <c r="L90" i="4" s="1"/>
  <c r="K61" i="4"/>
  <c r="K90" i="4" s="1"/>
  <c r="J61" i="4"/>
  <c r="J90" i="4" s="1"/>
  <c r="I61" i="4"/>
  <c r="I90" i="4" s="1"/>
  <c r="H61" i="4"/>
  <c r="H90" i="4" s="1"/>
  <c r="G61" i="4"/>
  <c r="G90" i="4" s="1"/>
  <c r="F61" i="4"/>
  <c r="F90" i="4" s="1"/>
  <c r="E61" i="4"/>
  <c r="E90" i="4" s="1"/>
  <c r="D61" i="4"/>
  <c r="D90" i="4" s="1"/>
  <c r="P60" i="4"/>
  <c r="P59" i="4"/>
  <c r="O55" i="4"/>
  <c r="O71" i="4" s="1"/>
  <c r="P71" i="4" s="1"/>
  <c r="N55" i="4"/>
  <c r="M55" i="4"/>
  <c r="M78" i="4" s="1"/>
  <c r="M89" i="4" s="1"/>
  <c r="L55" i="4"/>
  <c r="L78" i="4" s="1"/>
  <c r="L89" i="4" s="1"/>
  <c r="K55" i="4"/>
  <c r="K78" i="4" s="1"/>
  <c r="K89" i="4" s="1"/>
  <c r="J55" i="4"/>
  <c r="J78" i="4" s="1"/>
  <c r="J89" i="4" s="1"/>
  <c r="I55" i="4"/>
  <c r="I78" i="4" s="1"/>
  <c r="I89" i="4" s="1"/>
  <c r="H55" i="4"/>
  <c r="H78" i="4" s="1"/>
  <c r="H89" i="4" s="1"/>
  <c r="G55" i="4"/>
  <c r="G78" i="4" s="1"/>
  <c r="G89" i="4" s="1"/>
  <c r="F55" i="4"/>
  <c r="F78" i="4" s="1"/>
  <c r="F89" i="4" s="1"/>
  <c r="E55" i="4"/>
  <c r="E78" i="4" s="1"/>
  <c r="E89" i="4" s="1"/>
  <c r="D55" i="4"/>
  <c r="D89" i="4" s="1"/>
  <c r="P54" i="4"/>
  <c r="P53" i="4"/>
  <c r="O52" i="4"/>
  <c r="O77" i="4" s="1"/>
  <c r="O88" i="4" s="1"/>
  <c r="N52" i="4"/>
  <c r="N77" i="4" s="1"/>
  <c r="N88" i="4" s="1"/>
  <c r="M52" i="4"/>
  <c r="M77" i="4" s="1"/>
  <c r="M88" i="4" s="1"/>
  <c r="L52" i="4"/>
  <c r="L77" i="4" s="1"/>
  <c r="L88" i="4" s="1"/>
  <c r="K52" i="4"/>
  <c r="K77" i="4" s="1"/>
  <c r="K88" i="4" s="1"/>
  <c r="J52" i="4"/>
  <c r="J77" i="4" s="1"/>
  <c r="J88" i="4" s="1"/>
  <c r="I52" i="4"/>
  <c r="I77" i="4" s="1"/>
  <c r="I88" i="4" s="1"/>
  <c r="H52" i="4"/>
  <c r="H77" i="4" s="1"/>
  <c r="H88" i="4" s="1"/>
  <c r="G52" i="4"/>
  <c r="G77" i="4" s="1"/>
  <c r="G88" i="4" s="1"/>
  <c r="F52" i="4"/>
  <c r="F77" i="4" s="1"/>
  <c r="F88" i="4" s="1"/>
  <c r="E52" i="4"/>
  <c r="E77" i="4" s="1"/>
  <c r="E88" i="4" s="1"/>
  <c r="D52" i="4"/>
  <c r="D88" i="4" s="1"/>
  <c r="P51" i="4"/>
  <c r="P50" i="4"/>
  <c r="P48" i="4"/>
  <c r="P45" i="4"/>
  <c r="AD42" i="4"/>
  <c r="AC42" i="4"/>
  <c r="AB42" i="4"/>
  <c r="AA42" i="4"/>
  <c r="Z42" i="4"/>
  <c r="Y42" i="4"/>
  <c r="X42" i="4"/>
  <c r="W42" i="4"/>
  <c r="V42" i="4"/>
  <c r="U42" i="4"/>
  <c r="T42" i="4"/>
  <c r="S42" i="4"/>
  <c r="P42" i="4"/>
  <c r="AD41" i="4"/>
  <c r="AC41" i="4"/>
  <c r="AB41" i="4"/>
  <c r="AA41" i="4"/>
  <c r="Z41" i="4"/>
  <c r="Y41" i="4"/>
  <c r="X41" i="4"/>
  <c r="W41" i="4"/>
  <c r="V41" i="4"/>
  <c r="U41" i="4"/>
  <c r="T41" i="4"/>
  <c r="S41" i="4"/>
  <c r="P41" i="4"/>
  <c r="AD40" i="4"/>
  <c r="AC40" i="4"/>
  <c r="AB40" i="4"/>
  <c r="AA40" i="4"/>
  <c r="Z40" i="4"/>
  <c r="Y40" i="4"/>
  <c r="X40" i="4"/>
  <c r="W40" i="4"/>
  <c r="V40" i="4"/>
  <c r="U40" i="4"/>
  <c r="T40" i="4"/>
  <c r="S40" i="4"/>
  <c r="P40" i="4"/>
  <c r="AD39" i="4"/>
  <c r="AC39" i="4"/>
  <c r="AB39" i="4"/>
  <c r="AA39" i="4"/>
  <c r="Z39" i="4"/>
  <c r="Y39" i="4"/>
  <c r="X39" i="4"/>
  <c r="W39" i="4"/>
  <c r="V39" i="4"/>
  <c r="U39" i="4"/>
  <c r="T39" i="4"/>
  <c r="S39" i="4"/>
  <c r="P39" i="4"/>
  <c r="P35" i="4"/>
  <c r="P34" i="4"/>
  <c r="AD32" i="4"/>
  <c r="AC32" i="4"/>
  <c r="AB32" i="4"/>
  <c r="AA32" i="4"/>
  <c r="Z32" i="4"/>
  <c r="Y32" i="4"/>
  <c r="X32" i="4"/>
  <c r="W32" i="4"/>
  <c r="V32" i="4"/>
  <c r="U32" i="4"/>
  <c r="T32" i="4"/>
  <c r="S32" i="4"/>
  <c r="P32" i="4"/>
  <c r="AD31" i="4"/>
  <c r="AC31" i="4"/>
  <c r="AB31" i="4"/>
  <c r="AA31" i="4"/>
  <c r="Z31" i="4"/>
  <c r="Y31" i="4"/>
  <c r="X31" i="4"/>
  <c r="W31" i="4"/>
  <c r="V31" i="4"/>
  <c r="U31" i="4"/>
  <c r="T31" i="4"/>
  <c r="S31" i="4"/>
  <c r="P31" i="4"/>
  <c r="AD30" i="4"/>
  <c r="AC30" i="4"/>
  <c r="AB30" i="4"/>
  <c r="AA30" i="4"/>
  <c r="Z30" i="4"/>
  <c r="Y30" i="4"/>
  <c r="X30" i="4"/>
  <c r="W30" i="4"/>
  <c r="V30" i="4"/>
  <c r="U30" i="4"/>
  <c r="T30" i="4"/>
  <c r="S30" i="4"/>
  <c r="P30" i="4"/>
  <c r="AD29" i="4"/>
  <c r="AC29" i="4"/>
  <c r="AB29" i="4"/>
  <c r="AA29" i="4"/>
  <c r="Z29" i="4"/>
  <c r="Y29" i="4"/>
  <c r="X29" i="4"/>
  <c r="W29" i="4"/>
  <c r="V29" i="4"/>
  <c r="U29" i="4"/>
  <c r="T29" i="4"/>
  <c r="S29" i="4"/>
  <c r="P29" i="4"/>
  <c r="AD25" i="4"/>
  <c r="AC25" i="4"/>
  <c r="AB25" i="4"/>
  <c r="AA25" i="4"/>
  <c r="Z25" i="4"/>
  <c r="Y25" i="4"/>
  <c r="X25" i="4"/>
  <c r="W25" i="4"/>
  <c r="V25" i="4"/>
  <c r="U25" i="4"/>
  <c r="T25" i="4"/>
  <c r="S25" i="4"/>
  <c r="P25" i="4"/>
  <c r="AD24" i="4"/>
  <c r="AD62" i="4" s="1"/>
  <c r="AC24" i="4"/>
  <c r="AB24" i="4"/>
  <c r="AA24" i="4"/>
  <c r="Z24" i="4"/>
  <c r="Z62" i="4" s="1"/>
  <c r="AA63" i="4" s="1"/>
  <c r="Y24" i="4"/>
  <c r="X24" i="4"/>
  <c r="W24" i="4"/>
  <c r="V24" i="4"/>
  <c r="V62" i="4" s="1"/>
  <c r="W63" i="4" s="1"/>
  <c r="U24" i="4"/>
  <c r="T24" i="4"/>
  <c r="S24" i="4"/>
  <c r="P24" i="4"/>
  <c r="AD23" i="4"/>
  <c r="AC23" i="4"/>
  <c r="AB23" i="4"/>
  <c r="AA23" i="4"/>
  <c r="Z23" i="4"/>
  <c r="Y23" i="4"/>
  <c r="X23" i="4"/>
  <c r="W23" i="4"/>
  <c r="V23" i="4"/>
  <c r="U23" i="4"/>
  <c r="T23" i="4"/>
  <c r="S23" i="4"/>
  <c r="P23" i="4"/>
  <c r="AD19" i="4"/>
  <c r="AC19" i="4"/>
  <c r="AB19" i="4"/>
  <c r="AA19" i="4"/>
  <c r="Z19" i="4"/>
  <c r="Y19" i="4"/>
  <c r="X19" i="4"/>
  <c r="W19" i="4"/>
  <c r="V19" i="4"/>
  <c r="U19" i="4"/>
  <c r="T19" i="4"/>
  <c r="S19" i="4"/>
  <c r="P19" i="4"/>
  <c r="AD18" i="4"/>
  <c r="AC18" i="4"/>
  <c r="AB18" i="4"/>
  <c r="AA18" i="4"/>
  <c r="Z18" i="4"/>
  <c r="Y18" i="4"/>
  <c r="X18" i="4"/>
  <c r="W18" i="4"/>
  <c r="V18" i="4"/>
  <c r="U18" i="4"/>
  <c r="T18" i="4"/>
  <c r="S18" i="4"/>
  <c r="P18" i="4"/>
  <c r="AD17" i="4"/>
  <c r="AC17" i="4"/>
  <c r="AB17" i="4"/>
  <c r="AA17" i="4"/>
  <c r="Z17" i="4"/>
  <c r="Y17" i="4"/>
  <c r="X17" i="4"/>
  <c r="W17" i="4"/>
  <c r="V17" i="4"/>
  <c r="U17" i="4"/>
  <c r="T17" i="4"/>
  <c r="S17" i="4"/>
  <c r="P17" i="4"/>
  <c r="AD15" i="4"/>
  <c r="AC15" i="4"/>
  <c r="AB15" i="4"/>
  <c r="AA15" i="4"/>
  <c r="Z15" i="4"/>
  <c r="Y15" i="4"/>
  <c r="X15" i="4"/>
  <c r="W15" i="4"/>
  <c r="V15" i="4"/>
  <c r="U15" i="4"/>
  <c r="T15" i="4"/>
  <c r="S15" i="4"/>
  <c r="P15" i="4"/>
  <c r="AD14" i="4"/>
  <c r="AC14" i="4"/>
  <c r="AB14" i="4"/>
  <c r="AA14" i="4"/>
  <c r="Z14" i="4"/>
  <c r="Y14" i="4"/>
  <c r="X14" i="4"/>
  <c r="W14" i="4"/>
  <c r="V14" i="4"/>
  <c r="U14" i="4"/>
  <c r="T14" i="4"/>
  <c r="S14" i="4"/>
  <c r="P14" i="4"/>
  <c r="AD13" i="4"/>
  <c r="AC13" i="4"/>
  <c r="AB13" i="4"/>
  <c r="AA13" i="4"/>
  <c r="Z13" i="4"/>
  <c r="Y13" i="4"/>
  <c r="X13" i="4"/>
  <c r="W13" i="4"/>
  <c r="V13" i="4"/>
  <c r="U13" i="4"/>
  <c r="T13" i="4"/>
  <c r="S13" i="4"/>
  <c r="P13" i="4"/>
  <c r="AD11" i="4"/>
  <c r="AC11" i="4"/>
  <c r="AB11" i="4"/>
  <c r="AA11" i="4"/>
  <c r="Z11" i="4"/>
  <c r="Y11" i="4"/>
  <c r="X11" i="4"/>
  <c r="W11" i="4"/>
  <c r="V11" i="4"/>
  <c r="U11" i="4"/>
  <c r="T11" i="4"/>
  <c r="S11" i="4"/>
  <c r="P11" i="4"/>
  <c r="AD10" i="4"/>
  <c r="AC10" i="4"/>
  <c r="AC53" i="4" s="1"/>
  <c r="AD54" i="4" s="1"/>
  <c r="AB10" i="4"/>
  <c r="AA10" i="4"/>
  <c r="AA53" i="4" s="1"/>
  <c r="AB54" i="4" s="1"/>
  <c r="Z10" i="4"/>
  <c r="Y10" i="4"/>
  <c r="Y53" i="4" s="1"/>
  <c r="Z54" i="4" s="1"/>
  <c r="X10" i="4"/>
  <c r="W10" i="4"/>
  <c r="W53" i="4" s="1"/>
  <c r="X54" i="4" s="1"/>
  <c r="V10" i="4"/>
  <c r="U10" i="4"/>
  <c r="U53" i="4" s="1"/>
  <c r="V54" i="4" s="1"/>
  <c r="T10" i="4"/>
  <c r="S10" i="4"/>
  <c r="P10" i="4"/>
  <c r="AD9" i="4"/>
  <c r="AC9" i="4"/>
  <c r="AB9" i="4"/>
  <c r="AA9" i="4"/>
  <c r="Z9" i="4"/>
  <c r="Y9" i="4"/>
  <c r="X9" i="4"/>
  <c r="W9" i="4"/>
  <c r="V9" i="4"/>
  <c r="U9" i="4"/>
  <c r="T9" i="4"/>
  <c r="S9" i="4"/>
  <c r="P9" i="4"/>
  <c r="AD8" i="4"/>
  <c r="AC8" i="4"/>
  <c r="AB8" i="4"/>
  <c r="AA8" i="4"/>
  <c r="Z8" i="4"/>
  <c r="Y8" i="4"/>
  <c r="X8" i="4"/>
  <c r="W8" i="4"/>
  <c r="V8" i="4"/>
  <c r="U8" i="4"/>
  <c r="T8" i="4"/>
  <c r="S8" i="4"/>
  <c r="P8" i="4"/>
  <c r="AD7" i="4"/>
  <c r="AC7" i="4"/>
  <c r="AB7" i="4"/>
  <c r="AA7" i="4"/>
  <c r="Z7" i="4"/>
  <c r="Y7" i="4"/>
  <c r="X7" i="4"/>
  <c r="W7" i="4"/>
  <c r="V7" i="4"/>
  <c r="U7" i="4"/>
  <c r="T7" i="4"/>
  <c r="S7" i="4"/>
  <c r="P7" i="4"/>
  <c r="AD6" i="4"/>
  <c r="AC6" i="4"/>
  <c r="AB6" i="4"/>
  <c r="AA6" i="4"/>
  <c r="Z6" i="4"/>
  <c r="Y6" i="4"/>
  <c r="X6" i="4"/>
  <c r="W6" i="4"/>
  <c r="V6" i="4"/>
  <c r="U6" i="4"/>
  <c r="T6" i="4"/>
  <c r="S6" i="4"/>
  <c r="P6" i="4"/>
  <c r="AD5" i="4"/>
  <c r="AC5" i="4"/>
  <c r="AB5" i="4"/>
  <c r="AA5" i="4"/>
  <c r="Z5" i="4"/>
  <c r="Y5" i="4"/>
  <c r="X5" i="4"/>
  <c r="W5" i="4"/>
  <c r="V5" i="4"/>
  <c r="U5" i="4"/>
  <c r="T5" i="4"/>
  <c r="S5" i="4"/>
  <c r="P5" i="4"/>
  <c r="AD4" i="4"/>
  <c r="AC4" i="4"/>
  <c r="AB4" i="4"/>
  <c r="AA4" i="4"/>
  <c r="Z4" i="4"/>
  <c r="Y4" i="4"/>
  <c r="X4" i="4"/>
  <c r="W4" i="4"/>
  <c r="V4" i="4"/>
  <c r="U4" i="4"/>
  <c r="T4" i="4"/>
  <c r="S4" i="4"/>
  <c r="P4" i="4"/>
  <c r="AD3" i="4"/>
  <c r="AC3" i="4"/>
  <c r="AB3" i="4"/>
  <c r="AA3" i="4"/>
  <c r="Z3" i="4"/>
  <c r="Y3" i="4"/>
  <c r="X3" i="4"/>
  <c r="W3" i="4"/>
  <c r="V3" i="4"/>
  <c r="U3" i="4"/>
  <c r="T3" i="4"/>
  <c r="S3" i="4"/>
  <c r="P3" i="4"/>
  <c r="V65" i="4" l="1"/>
  <c r="W66" i="4" s="1"/>
  <c r="Z65" i="4"/>
  <c r="AA66" i="4" s="1"/>
  <c r="AD65" i="4"/>
  <c r="X62" i="4"/>
  <c r="Y63" i="4" s="1"/>
  <c r="T62" i="4"/>
  <c r="U63" i="4" s="1"/>
  <c r="W62" i="4"/>
  <c r="X63" i="4" s="1"/>
  <c r="AA62" i="4"/>
  <c r="AB63" i="4" s="1"/>
  <c r="T56" i="4"/>
  <c r="U57" i="4" s="1"/>
  <c r="X56" i="4"/>
  <c r="Y57" i="4" s="1"/>
  <c r="AB56" i="4"/>
  <c r="AC57" i="4" s="1"/>
  <c r="V56" i="4"/>
  <c r="W57" i="4" s="1"/>
  <c r="Z56" i="4"/>
  <c r="AA57" i="4" s="1"/>
  <c r="AD56" i="4"/>
  <c r="O79" i="4"/>
  <c r="O90" i="4" s="1"/>
  <c r="U65" i="4"/>
  <c r="V66" i="4" s="1"/>
  <c r="Y65" i="4"/>
  <c r="Z66" i="4" s="1"/>
  <c r="AC65" i="4"/>
  <c r="AD66" i="4" s="1"/>
  <c r="W65" i="4"/>
  <c r="X66" i="4" s="1"/>
  <c r="AA65" i="4"/>
  <c r="AB66" i="4" s="1"/>
  <c r="T65" i="4"/>
  <c r="U66" i="4" s="1"/>
  <c r="X65" i="4"/>
  <c r="Y66" i="4" s="1"/>
  <c r="AB65" i="4"/>
  <c r="AC66" i="4" s="1"/>
  <c r="S65" i="4"/>
  <c r="S66" i="4"/>
  <c r="AB62" i="4"/>
  <c r="AC63" i="4" s="1"/>
  <c r="U62" i="4"/>
  <c r="V63" i="4" s="1"/>
  <c r="Y62" i="4"/>
  <c r="Z63" i="4" s="1"/>
  <c r="AC62" i="4"/>
  <c r="AD63" i="4" s="1"/>
  <c r="S63" i="4"/>
  <c r="S62" i="4"/>
  <c r="S60" i="4"/>
  <c r="S59" i="4"/>
  <c r="T60" i="4" s="1"/>
  <c r="N78" i="4"/>
  <c r="N89" i="4" s="1"/>
  <c r="O78" i="4"/>
  <c r="O89" i="4" s="1"/>
  <c r="S53" i="4"/>
  <c r="S54" i="4"/>
  <c r="T53" i="4"/>
  <c r="U54" i="4" s="1"/>
  <c r="X53" i="4"/>
  <c r="Y54" i="4" s="1"/>
  <c r="AB53" i="4"/>
  <c r="AC54" i="4" s="1"/>
  <c r="U56" i="4"/>
  <c r="V57" i="4" s="1"/>
  <c r="Y56" i="4"/>
  <c r="Z57" i="4" s="1"/>
  <c r="AC56" i="4"/>
  <c r="AD57" i="4" s="1"/>
  <c r="S57" i="4"/>
  <c r="Q11" i="4"/>
  <c r="V53" i="4"/>
  <c r="W54" i="4" s="1"/>
  <c r="Z53" i="4"/>
  <c r="AA54" i="4" s="1"/>
  <c r="AD53" i="4"/>
  <c r="S56" i="4"/>
  <c r="W56" i="4"/>
  <c r="X57" i="4" s="1"/>
  <c r="AA56" i="4"/>
  <c r="AB57" i="4" s="1"/>
  <c r="V80" i="4"/>
  <c r="V91" i="4" s="1"/>
  <c r="Z80" i="4"/>
  <c r="Z91" i="4" s="1"/>
  <c r="T80" i="4"/>
  <c r="T91" i="4" s="1"/>
  <c r="X80" i="4"/>
  <c r="X91" i="4" s="1"/>
  <c r="AB80" i="4"/>
  <c r="AB91" i="4" s="1"/>
  <c r="U80" i="4"/>
  <c r="U91" i="4" s="1"/>
  <c r="Y80" i="4"/>
  <c r="Y91" i="4" s="1"/>
  <c r="S80" i="4"/>
  <c r="S91" i="4" s="1"/>
  <c r="W80" i="4"/>
  <c r="W91" i="4" s="1"/>
  <c r="AA80" i="4"/>
  <c r="AA91" i="4" s="1"/>
  <c r="Q5" i="4"/>
  <c r="AC80" i="4"/>
  <c r="AC91" i="4" s="1"/>
  <c r="AD80" i="4"/>
  <c r="AD91" i="4" s="1"/>
  <c r="Q19" i="4"/>
  <c r="AE43" i="4"/>
  <c r="AE37" i="4"/>
  <c r="AE36" i="4"/>
  <c r="AE44" i="4"/>
  <c r="AE38" i="4"/>
  <c r="AE33" i="4"/>
  <c r="AE27" i="4"/>
  <c r="AB59" i="4"/>
  <c r="AC60" i="4" s="1"/>
  <c r="AE26" i="4"/>
  <c r="AE28" i="4"/>
  <c r="AE20" i="4"/>
  <c r="AE22" i="4"/>
  <c r="AE21" i="4"/>
  <c r="AE16" i="4"/>
  <c r="S50" i="4"/>
  <c r="T51" i="4" s="1"/>
  <c r="W50" i="4"/>
  <c r="X51" i="4" s="1"/>
  <c r="AA50" i="4"/>
  <c r="AB51" i="4" s="1"/>
  <c r="U50" i="4"/>
  <c r="V51" i="4" s="1"/>
  <c r="V59" i="4"/>
  <c r="W60" i="4" s="1"/>
  <c r="Z59" i="4"/>
  <c r="AA60" i="4" s="1"/>
  <c r="AD59" i="4"/>
  <c r="W59" i="4"/>
  <c r="X60" i="4" s="1"/>
  <c r="P20" i="4"/>
  <c r="P44" i="4"/>
  <c r="Q18" i="4"/>
  <c r="AB50" i="4"/>
  <c r="AC51" i="4" s="1"/>
  <c r="AE15" i="4"/>
  <c r="AC59" i="4"/>
  <c r="AD60" i="4" s="1"/>
  <c r="P26" i="4"/>
  <c r="AE29" i="4"/>
  <c r="P16" i="4"/>
  <c r="U59" i="4"/>
  <c r="V60" i="4" s="1"/>
  <c r="Y59" i="4"/>
  <c r="Z60" i="4" s="1"/>
  <c r="P22" i="4"/>
  <c r="Q22" i="4" s="1"/>
  <c r="P70" i="4"/>
  <c r="AE45" i="4"/>
  <c r="AE41" i="4"/>
  <c r="AE42" i="4"/>
  <c r="AE39" i="4"/>
  <c r="AE34" i="4"/>
  <c r="AE31" i="4"/>
  <c r="AE32" i="4"/>
  <c r="AE23" i="4"/>
  <c r="AE25" i="4"/>
  <c r="AA59" i="4"/>
  <c r="AB60" i="4" s="1"/>
  <c r="T59" i="4"/>
  <c r="U60" i="4" s="1"/>
  <c r="X59" i="4"/>
  <c r="Y60" i="4" s="1"/>
  <c r="AE13" i="4"/>
  <c r="AE5" i="4"/>
  <c r="Y50" i="4"/>
  <c r="Z51" i="4" s="1"/>
  <c r="AE3" i="4"/>
  <c r="V50" i="4"/>
  <c r="W51" i="4" s="1"/>
  <c r="Z50" i="4"/>
  <c r="AA51" i="4" s="1"/>
  <c r="AD50" i="4"/>
  <c r="AE6" i="4"/>
  <c r="AE9" i="4"/>
  <c r="Q10" i="4"/>
  <c r="Q4" i="4"/>
  <c r="AE11" i="4"/>
  <c r="AE18" i="4"/>
  <c r="AE48" i="4"/>
  <c r="R70" i="4" s="1"/>
  <c r="P55" i="4"/>
  <c r="AE4" i="4"/>
  <c r="AC50" i="4"/>
  <c r="AD51" i="4" s="1"/>
  <c r="AE8" i="4"/>
  <c r="AE14" i="4"/>
  <c r="AE19" i="4"/>
  <c r="AE24" i="4"/>
  <c r="AE30" i="4"/>
  <c r="P33" i="4"/>
  <c r="AE35" i="4"/>
  <c r="S51" i="4"/>
  <c r="T50" i="4"/>
  <c r="U51" i="4" s="1"/>
  <c r="X50" i="4"/>
  <c r="Y51" i="4" s="1"/>
  <c r="AE17" i="4"/>
  <c r="P28" i="4"/>
  <c r="AE7" i="4"/>
  <c r="P27" i="4"/>
  <c r="P61" i="4"/>
  <c r="P67" i="4"/>
  <c r="P82" i="4"/>
  <c r="P93" i="4" s="1"/>
  <c r="AE10" i="4"/>
  <c r="P21" i="4"/>
  <c r="P38" i="4"/>
  <c r="AE40" i="4"/>
  <c r="P52" i="4"/>
  <c r="R64" i="4" l="1"/>
  <c r="W64" i="4" s="1"/>
  <c r="AE62" i="4"/>
  <c r="T63" i="4"/>
  <c r="AE63" i="4" s="1"/>
  <c r="R58" i="4"/>
  <c r="T57" i="4"/>
  <c r="AE57" i="4" s="1"/>
  <c r="AE56" i="4"/>
  <c r="Q21" i="4"/>
  <c r="R72" i="4"/>
  <c r="R67" i="4"/>
  <c r="Z67" i="4" s="1"/>
  <c r="Z81" i="4" s="1"/>
  <c r="Z92" i="4" s="1"/>
  <c r="Q20" i="4"/>
  <c r="R61" i="4"/>
  <c r="U70" i="4"/>
  <c r="U82" i="4" s="1"/>
  <c r="U93" i="4" s="1"/>
  <c r="Y70" i="4"/>
  <c r="Y82" i="4" s="1"/>
  <c r="Y93" i="4" s="1"/>
  <c r="AC70" i="4"/>
  <c r="AC82" i="4" s="1"/>
  <c r="AC93" i="4" s="1"/>
  <c r="V70" i="4"/>
  <c r="V82" i="4" s="1"/>
  <c r="V93" i="4" s="1"/>
  <c r="Z70" i="4"/>
  <c r="Z82" i="4" s="1"/>
  <c r="Z93" i="4" s="1"/>
  <c r="AD70" i="4"/>
  <c r="AD82" i="4" s="1"/>
  <c r="AD93" i="4" s="1"/>
  <c r="W70" i="4"/>
  <c r="W82" i="4" s="1"/>
  <c r="W93" i="4" s="1"/>
  <c r="AA70" i="4"/>
  <c r="AA82" i="4" s="1"/>
  <c r="AA93" i="4" s="1"/>
  <c r="T70" i="4"/>
  <c r="T82" i="4" s="1"/>
  <c r="T93" i="4" s="1"/>
  <c r="X70" i="4"/>
  <c r="X82" i="4" s="1"/>
  <c r="X93" i="4" s="1"/>
  <c r="AB70" i="4"/>
  <c r="AB82" i="4" s="1"/>
  <c r="AB93" i="4" s="1"/>
  <c r="AE65" i="4"/>
  <c r="AE60" i="4"/>
  <c r="AE59" i="4"/>
  <c r="E83" i="4"/>
  <c r="P77" i="4"/>
  <c r="P88" i="4" s="1"/>
  <c r="D83" i="4"/>
  <c r="P80" i="4"/>
  <c r="P91" i="4" s="1"/>
  <c r="T66" i="4"/>
  <c r="AE66" i="4" s="1"/>
  <c r="O83" i="4"/>
  <c r="M83" i="4"/>
  <c r="P81" i="4"/>
  <c r="P92" i="4" s="1"/>
  <c r="G83" i="4"/>
  <c r="K83" i="4"/>
  <c r="J83" i="4"/>
  <c r="L83" i="4"/>
  <c r="H83" i="4"/>
  <c r="AE68" i="4"/>
  <c r="P78" i="4"/>
  <c r="P89" i="4" s="1"/>
  <c r="N83" i="4"/>
  <c r="T54" i="4"/>
  <c r="AE54" i="4" s="1"/>
  <c r="AE53" i="4"/>
  <c r="I83" i="4"/>
  <c r="AE51" i="4"/>
  <c r="R52" i="4"/>
  <c r="P79" i="4"/>
  <c r="P90" i="4" s="1"/>
  <c r="F83" i="4"/>
  <c r="AE69" i="4"/>
  <c r="AE50" i="4"/>
  <c r="S64" i="4" l="1"/>
  <c r="V64" i="4"/>
  <c r="X64" i="4"/>
  <c r="AC64" i="4"/>
  <c r="T64" i="4"/>
  <c r="AB64" i="4"/>
  <c r="AD64" i="4"/>
  <c r="Y64" i="4"/>
  <c r="AA64" i="4"/>
  <c r="Z64" i="4"/>
  <c r="U64" i="4"/>
  <c r="X58" i="4"/>
  <c r="AB58" i="4"/>
  <c r="U58" i="4"/>
  <c r="U85" i="4" s="1"/>
  <c r="Y58" i="4"/>
  <c r="AC58" i="4"/>
  <c r="S58" i="4"/>
  <c r="S85" i="4" s="1"/>
  <c r="V58" i="4"/>
  <c r="V85" i="4" s="1"/>
  <c r="Z58" i="4"/>
  <c r="AD58" i="4"/>
  <c r="T58" i="4"/>
  <c r="W58" i="4"/>
  <c r="W85" i="4" s="1"/>
  <c r="AA58" i="4"/>
  <c r="R74" i="4"/>
  <c r="AD74" i="4" s="1"/>
  <c r="S70" i="4"/>
  <c r="S82" i="4" s="1"/>
  <c r="U67" i="4"/>
  <c r="U81" i="4" s="1"/>
  <c r="U92" i="4" s="1"/>
  <c r="S67" i="4"/>
  <c r="S81" i="4" s="1"/>
  <c r="S92" i="4" s="1"/>
  <c r="AA67" i="4"/>
  <c r="AA81" i="4" s="1"/>
  <c r="AA92" i="4" s="1"/>
  <c r="X67" i="4"/>
  <c r="X81" i="4" s="1"/>
  <c r="X92" i="4" s="1"/>
  <c r="AD67" i="4"/>
  <c r="AD81" i="4" s="1"/>
  <c r="AD92" i="4" s="1"/>
  <c r="T67" i="4"/>
  <c r="T81" i="4" s="1"/>
  <c r="T92" i="4" s="1"/>
  <c r="W67" i="4"/>
  <c r="W81" i="4" s="1"/>
  <c r="W92" i="4" s="1"/>
  <c r="AC67" i="4"/>
  <c r="AC81" i="4" s="1"/>
  <c r="AC92" i="4" s="1"/>
  <c r="Y67" i="4"/>
  <c r="Y81" i="4" s="1"/>
  <c r="Y92" i="4" s="1"/>
  <c r="AB67" i="4"/>
  <c r="AB81" i="4" s="1"/>
  <c r="AB92" i="4" s="1"/>
  <c r="V67" i="4"/>
  <c r="V81" i="4" s="1"/>
  <c r="V92" i="4" s="1"/>
  <c r="AC52" i="4"/>
  <c r="Y52" i="4"/>
  <c r="U52" i="4"/>
  <c r="AB52" i="4"/>
  <c r="W52" i="4"/>
  <c r="AA52" i="4"/>
  <c r="V52" i="4"/>
  <c r="AD52" i="4"/>
  <c r="S52" i="4"/>
  <c r="Z52" i="4"/>
  <c r="X52" i="4"/>
  <c r="T52" i="4"/>
  <c r="AA72" i="4"/>
  <c r="W72" i="4"/>
  <c r="S72" i="4"/>
  <c r="AB72" i="4"/>
  <c r="V72" i="4"/>
  <c r="Y72" i="4"/>
  <c r="AD72" i="4"/>
  <c r="X72" i="4"/>
  <c r="AC72" i="4"/>
  <c r="AC77" i="4" s="1"/>
  <c r="AC88" i="4" s="1"/>
  <c r="U72" i="4"/>
  <c r="Z72" i="4"/>
  <c r="T72" i="4"/>
  <c r="AC61" i="4"/>
  <c r="Y61" i="4"/>
  <c r="U61" i="4"/>
  <c r="AD61" i="4"/>
  <c r="X61" i="4"/>
  <c r="S61" i="4"/>
  <c r="AB61" i="4"/>
  <c r="W61" i="4"/>
  <c r="AA61" i="4"/>
  <c r="V61" i="4"/>
  <c r="Z61" i="4"/>
  <c r="T61" i="4"/>
  <c r="P83" i="4"/>
  <c r="AD85" i="4" l="1"/>
  <c r="X85" i="4"/>
  <c r="Y85" i="4"/>
  <c r="AC85" i="4"/>
  <c r="Z85" i="4"/>
  <c r="AE64" i="4"/>
  <c r="AB85" i="4"/>
  <c r="AA85" i="4"/>
  <c r="T85" i="4"/>
  <c r="AD79" i="4"/>
  <c r="AD90" i="4" s="1"/>
  <c r="H84" i="4"/>
  <c r="E84" i="4"/>
  <c r="I84" i="4"/>
  <c r="M84" i="4"/>
  <c r="F84" i="4"/>
  <c r="J84" i="4"/>
  <c r="N84" i="4"/>
  <c r="G84" i="4"/>
  <c r="K84" i="4"/>
  <c r="O84" i="4"/>
  <c r="L84" i="4"/>
  <c r="D84" i="4"/>
  <c r="Z74" i="4"/>
  <c r="Y74" i="4"/>
  <c r="Y79" i="4" s="1"/>
  <c r="S74" i="4"/>
  <c r="S79" i="4" s="1"/>
  <c r="W74" i="4"/>
  <c r="W79" i="4" s="1"/>
  <c r="T74" i="4"/>
  <c r="T79" i="4" s="1"/>
  <c r="X74" i="4"/>
  <c r="U74" i="4"/>
  <c r="AC74" i="4"/>
  <c r="V74" i="4"/>
  <c r="V79" i="4" s="1"/>
  <c r="V90" i="4" s="1"/>
  <c r="AB74" i="4"/>
  <c r="AE58" i="4"/>
  <c r="AA74" i="4"/>
  <c r="AA79" i="4" s="1"/>
  <c r="V77" i="4"/>
  <c r="V88" i="4" s="1"/>
  <c r="U77" i="4"/>
  <c r="U88" i="4" s="1"/>
  <c r="AA77" i="4"/>
  <c r="AA88" i="4" s="1"/>
  <c r="T77" i="4"/>
  <c r="T88" i="4" s="1"/>
  <c r="AB77" i="4"/>
  <c r="AB88" i="4" s="1"/>
  <c r="AD77" i="4"/>
  <c r="AD88" i="4" s="1"/>
  <c r="X77" i="4"/>
  <c r="X88" i="4" s="1"/>
  <c r="Z77" i="4"/>
  <c r="Z88" i="4" s="1"/>
  <c r="Y77" i="4"/>
  <c r="Y88" i="4" s="1"/>
  <c r="S77" i="4"/>
  <c r="W77" i="4"/>
  <c r="W88" i="4" s="1"/>
  <c r="S93" i="4"/>
  <c r="AE82" i="4"/>
  <c r="AE93" i="4" s="1"/>
  <c r="AE70" i="4"/>
  <c r="AE67" i="4"/>
  <c r="AE80" i="4"/>
  <c r="AE91" i="4" s="1"/>
  <c r="AE61" i="4"/>
  <c r="AE72" i="4"/>
  <c r="AE52" i="4"/>
  <c r="AE85" i="4" l="1"/>
  <c r="P84" i="4"/>
  <c r="AB79" i="4"/>
  <c r="AB90" i="4" s="1"/>
  <c r="X79" i="4"/>
  <c r="X90" i="4" s="1"/>
  <c r="W90" i="4"/>
  <c r="AC79" i="4"/>
  <c r="AC90" i="4" s="1"/>
  <c r="U79" i="4"/>
  <c r="U90" i="4" s="1"/>
  <c r="AA90" i="4"/>
  <c r="T90" i="4"/>
  <c r="Y90" i="4"/>
  <c r="Z79" i="4"/>
  <c r="Z90" i="4" s="1"/>
  <c r="AE74" i="4"/>
  <c r="AE77" i="4"/>
  <c r="S88" i="4"/>
  <c r="AE81" i="4"/>
  <c r="AF81" i="4" s="1"/>
  <c r="S90" i="4"/>
  <c r="AE79" i="4" l="1"/>
  <c r="AE90" i="4" s="1"/>
  <c r="AE92" i="4"/>
  <c r="AE88" i="4"/>
  <c r="AF77" i="4"/>
  <c r="P12" i="4" l="1"/>
  <c r="Q12" i="4" s="1"/>
  <c r="R73" i="4" s="1"/>
  <c r="AE12" i="4"/>
  <c r="AC73" i="4" l="1"/>
  <c r="T73" i="4"/>
  <c r="Y73" i="4"/>
  <c r="AB73" i="4"/>
  <c r="S73" i="4"/>
  <c r="AD73" i="4"/>
  <c r="Z73" i="4"/>
  <c r="X73" i="4"/>
  <c r="AA73" i="4"/>
  <c r="V73" i="4"/>
  <c r="U73" i="4"/>
  <c r="W73" i="4"/>
  <c r="R55" i="4"/>
  <c r="Z55" i="4" l="1"/>
  <c r="Z78" i="4" s="1"/>
  <c r="AD55" i="4"/>
  <c r="AD78" i="4" s="1"/>
  <c r="AC55" i="4"/>
  <c r="AC78" i="4" s="1"/>
  <c r="X55" i="4"/>
  <c r="X78" i="4" s="1"/>
  <c r="AA55" i="4"/>
  <c r="AA78" i="4" s="1"/>
  <c r="U55" i="4"/>
  <c r="U78" i="4" s="1"/>
  <c r="T55" i="4"/>
  <c r="T78" i="4" s="1"/>
  <c r="V55" i="4"/>
  <c r="V78" i="4" s="1"/>
  <c r="Y55" i="4"/>
  <c r="Y78" i="4" s="1"/>
  <c r="AB55" i="4"/>
  <c r="AB78" i="4" s="1"/>
  <c r="S55" i="4"/>
  <c r="S78" i="4" s="1"/>
  <c r="W55" i="4"/>
  <c r="W78" i="4" s="1"/>
  <c r="AE73" i="4"/>
  <c r="AD89" i="4" l="1"/>
  <c r="AD83" i="4"/>
  <c r="AC89" i="4"/>
  <c r="AC83" i="4"/>
  <c r="U89" i="4"/>
  <c r="U83" i="4"/>
  <c r="AA89" i="4"/>
  <c r="AA83" i="4"/>
  <c r="Z89" i="4"/>
  <c r="Z83" i="4"/>
  <c r="W89" i="4"/>
  <c r="W83" i="4"/>
  <c r="V89" i="4"/>
  <c r="V83" i="4"/>
  <c r="X89" i="4"/>
  <c r="X83" i="4"/>
  <c r="AE55" i="4"/>
  <c r="T89" i="4"/>
  <c r="T83" i="4"/>
  <c r="AB89" i="4"/>
  <c r="AB83" i="4"/>
  <c r="Y89" i="4"/>
  <c r="Y83" i="4"/>
  <c r="AE78" i="4" l="1"/>
  <c r="AF79" i="4" s="1"/>
  <c r="AF83" i="4" s="1"/>
  <c r="S83" i="4"/>
  <c r="S89" i="4"/>
  <c r="AE89" i="4" l="1"/>
  <c r="AE83" i="4"/>
</calcChain>
</file>

<file path=xl/comments1.xml><?xml version="1.0" encoding="utf-8"?>
<comments xmlns="http://schemas.openxmlformats.org/spreadsheetml/2006/main">
  <authors>
    <author>Author</author>
  </authors>
  <commentList>
    <comment ref="Q7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calc lines detail of bill in CCB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bill calc line detail of corrected bill CCB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calc lines detail of bill in CCB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bill calc line detail of corrected bill CCB</t>
        </r>
      </text>
    </comment>
  </commentList>
</comments>
</file>

<file path=xl/sharedStrings.xml><?xml version="1.0" encoding="utf-8"?>
<sst xmlns="http://schemas.openxmlformats.org/spreadsheetml/2006/main" count="351" uniqueCount="221">
  <si>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</si>
  <si>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</si>
  <si>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</si>
  <si>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</si>
  <si>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</si>
  <si>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</si>
  <si>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</si>
  <si>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</si>
  <si>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</si>
  <si>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</si>
  <si>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</si>
  <si>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</si>
  <si>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</si>
  <si>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</si>
  <si>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3 kWhs</t>
  </si>
  <si>
    <t>Charges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</si>
  <si>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</si>
  <si>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</si>
  <si>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</si>
  <si>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</si>
  <si>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</si>
  <si>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</si>
  <si>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</si>
  <si>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annual average rate calc</t>
  </si>
  <si>
    <t>Normalized Revenue</t>
  </si>
  <si>
    <t>Total Washington</t>
  </si>
  <si>
    <t>Customer Average</t>
  </si>
  <si>
    <t>Use per Customer</t>
  </si>
  <si>
    <t>Revenue per Customer</t>
  </si>
  <si>
    <t>WA Natural Gas Normalized Revenue Calculation</t>
  </si>
  <si>
    <t>Sch 101</t>
  </si>
  <si>
    <t>Sch 102</t>
  </si>
  <si>
    <t>Sch 111</t>
  </si>
  <si>
    <t>Sch 112</t>
  </si>
  <si>
    <t>Sch 121</t>
  </si>
  <si>
    <t>Sch 122</t>
  </si>
  <si>
    <t>Sch 131</t>
  </si>
  <si>
    <t>Sch 132</t>
  </si>
  <si>
    <t>Sch 146</t>
  </si>
  <si>
    <t>Sch 147</t>
  </si>
  <si>
    <t>Special Contracts</t>
  </si>
  <si>
    <t xml:space="preserve">Sch 121 </t>
  </si>
  <si>
    <t>Schedule 101/102</t>
  </si>
  <si>
    <t>Schedule 111/112</t>
  </si>
  <si>
    <t>Schedule 121/122</t>
  </si>
  <si>
    <t>Schedule 131/132</t>
  </si>
  <si>
    <t>Schedule 146</t>
  </si>
  <si>
    <t>Special Contracts (147/148)</t>
  </si>
  <si>
    <t>Therm Usage</t>
  </si>
  <si>
    <t>Block 1 Therms</t>
  </si>
  <si>
    <t>Block 2 Therms</t>
  </si>
  <si>
    <t>Block 3 Therms</t>
  </si>
  <si>
    <t>Block 4 Therms</t>
  </si>
  <si>
    <t>Block 5 Therms</t>
  </si>
  <si>
    <t>Therms</t>
  </si>
  <si>
    <t>varies by contract</t>
  </si>
  <si>
    <t>Sch 148</t>
  </si>
  <si>
    <t>Res</t>
  </si>
  <si>
    <t>Non-Res</t>
  </si>
  <si>
    <t>Excluded</t>
  </si>
  <si>
    <t>Schedule 112/122/132 Exclusion</t>
  </si>
  <si>
    <t>Washington Schedule 25 Billing Determinants</t>
  </si>
  <si>
    <t>1st</t>
  </si>
  <si>
    <t>12-mo Ended</t>
  </si>
  <si>
    <t>KWHs</t>
  </si>
  <si>
    <t>SA Account ID</t>
  </si>
  <si>
    <t>new SA</t>
  </si>
  <si>
    <t>old account</t>
  </si>
  <si>
    <t>kwhs/mo</t>
  </si>
  <si>
    <t>Goodrich - North 2311008572</t>
  </si>
  <si>
    <t>2317650000</t>
  </si>
  <si>
    <t>2311008572</t>
  </si>
  <si>
    <t>Goodrich - South 2311155858 (No PVD)</t>
  </si>
  <si>
    <t>new Sept 2017</t>
  </si>
  <si>
    <t>Boise Cascade LLC Inland Region</t>
  </si>
  <si>
    <t>7600430000</t>
  </si>
  <si>
    <t>transferred from schedule 21 Nov 2017</t>
  </si>
  <si>
    <t>Boise Cascade Plywood</t>
  </si>
  <si>
    <t>8927100000</t>
  </si>
  <si>
    <t>8920023327</t>
  </si>
  <si>
    <t>Boise Cascade Sawmill</t>
  </si>
  <si>
    <t>9927100000</t>
  </si>
  <si>
    <t>9920023116</t>
  </si>
  <si>
    <t>City of Spokane</t>
  </si>
  <si>
    <t>8972300000</t>
  </si>
  <si>
    <t>8970099313</t>
  </si>
  <si>
    <t>Empire Health Services</t>
  </si>
  <si>
    <t>0082300000</t>
  </si>
  <si>
    <t>0080095044</t>
  </si>
  <si>
    <t>Gonzaga University</t>
  </si>
  <si>
    <t>1423850000</t>
  </si>
  <si>
    <t>1420028876</t>
  </si>
  <si>
    <t>Honeywell Electronics</t>
  </si>
  <si>
    <t>0177400000</t>
  </si>
  <si>
    <t>0170122152</t>
  </si>
  <si>
    <t>Huntwood Industries</t>
  </si>
  <si>
    <t>8649170000</t>
  </si>
  <si>
    <t>8640841982</t>
  </si>
  <si>
    <t>Inland Empire Paper</t>
  </si>
  <si>
    <t>0166400000</t>
  </si>
  <si>
    <t>0160126924</t>
  </si>
  <si>
    <t>Simplot - Othello</t>
  </si>
  <si>
    <t>4258610000</t>
  </si>
  <si>
    <t>4250473907</t>
  </si>
  <si>
    <t>McCaine Foods Inc</t>
  </si>
  <si>
    <t>9066400000</t>
  </si>
  <si>
    <t>9060132009</t>
  </si>
  <si>
    <t>Sacred Heart Medical Center</t>
  </si>
  <si>
    <t>0037100000</t>
  </si>
  <si>
    <t>0030019644</t>
  </si>
  <si>
    <t>Spokane County Combined Master</t>
  </si>
  <si>
    <t>1082300000</t>
  </si>
  <si>
    <t>1080099801</t>
  </si>
  <si>
    <t>Spokane Industries</t>
  </si>
  <si>
    <t>0078160000</t>
  </si>
  <si>
    <t>0070121063</t>
  </si>
  <si>
    <t>Triumph Composite</t>
  </si>
  <si>
    <t>2261550000</t>
  </si>
  <si>
    <t>2260946595</t>
  </si>
  <si>
    <t>Vaagen Brothers Lumber</t>
  </si>
  <si>
    <t>2478200000</t>
  </si>
  <si>
    <t>2470070232</t>
  </si>
  <si>
    <t xml:space="preserve">WSU - MP-A South Campus Feeder </t>
  </si>
  <si>
    <t>3731710000</t>
  </si>
  <si>
    <t>3730460787</t>
  </si>
  <si>
    <t xml:space="preserve">WSU - MP-B East Campus EA </t>
  </si>
  <si>
    <t>6037100000</t>
  </si>
  <si>
    <t>6030021572</t>
  </si>
  <si>
    <t xml:space="preserve">WSU - MP-C East Campus EB </t>
  </si>
  <si>
    <t>6100220000</t>
  </si>
  <si>
    <t>6100609210</t>
  </si>
  <si>
    <t>WSU - MP -D Casp East (no PVD)</t>
  </si>
  <si>
    <t>5037100000</t>
  </si>
  <si>
    <t>5030019646</t>
  </si>
  <si>
    <t>WSU - MP-E Casp West (no PVD)</t>
  </si>
  <si>
    <t>6365350762</t>
  </si>
  <si>
    <t>7030024549</t>
  </si>
  <si>
    <t>Schedule 25 Total</t>
  </si>
  <si>
    <t>7037100000</t>
  </si>
  <si>
    <t>MP-E changed account ID</t>
  </si>
  <si>
    <t>Revenue Run Total</t>
  </si>
  <si>
    <t>Gross Booked Unbilled</t>
  </si>
  <si>
    <t>Booked Unbilled Reversal</t>
  </si>
  <si>
    <t>Gross Unbilled True-up</t>
  </si>
  <si>
    <t>Unbilled Reversal True-up</t>
  </si>
  <si>
    <t>Adj Revenue Runs, Sch 25</t>
  </si>
  <si>
    <t>KVA</t>
  </si>
  <si>
    <t>Peak</t>
  </si>
  <si>
    <t>Month</t>
  </si>
  <si>
    <t>KVA in excess of 3,000</t>
  </si>
  <si>
    <t>9 KWHs</t>
  </si>
  <si>
    <t>60kV</t>
  </si>
  <si>
    <t>60 kV</t>
  </si>
  <si>
    <t>4.16kV</t>
  </si>
  <si>
    <t>4.16 kV</t>
  </si>
  <si>
    <t>115kV</t>
  </si>
  <si>
    <t>115 kV</t>
  </si>
  <si>
    <t>9 Total</t>
  </si>
  <si>
    <t>9 KVA</t>
  </si>
  <si>
    <t>*9</t>
  </si>
  <si>
    <t>Class Peak</t>
  </si>
  <si>
    <t>Calc Revenue for 9</t>
  </si>
  <si>
    <t>Revenue for 9 per Handbill Report</t>
  </si>
  <si>
    <t>Primary Voltage Discount</t>
  </si>
  <si>
    <t>&gt;11 and &lt;60</t>
  </si>
  <si>
    <t>&gt;60 and &lt;115</t>
  </si>
  <si>
    <t>&gt;115</t>
  </si>
  <si>
    <t>Total Block 3 kWhs</t>
  </si>
  <si>
    <t>Total Block 2 kWhs</t>
  </si>
  <si>
    <t>Total Block 1 kWhs</t>
  </si>
  <si>
    <t>Total kWhs</t>
  </si>
  <si>
    <t>Primary Voltage Discount 11kV</t>
  </si>
  <si>
    <t>kVA</t>
  </si>
  <si>
    <t>Primary Voltage Discount 60kV</t>
  </si>
  <si>
    <t>Primary Voltage Discount 115kV</t>
  </si>
  <si>
    <t>Determine 2018 Pro Forma Schedule 121 and Restated 111 customers and volumes.</t>
  </si>
  <si>
    <t>Name</t>
  </si>
  <si>
    <t>Account ID</t>
  </si>
  <si>
    <t>Current Schedule</t>
  </si>
  <si>
    <t>2018 Total</t>
  </si>
  <si>
    <t>Sch 121/111 Cancel/ Rebill usage</t>
  </si>
  <si>
    <t>Block 1
1st 200 therms</t>
  </si>
  <si>
    <t>Block 2
201 - 1,000 therms</t>
  </si>
  <si>
    <t>Block 3
over 1,000 therms</t>
  </si>
  <si>
    <t>Current Year Rebills</t>
  </si>
  <si>
    <t>Current Yearr Rebills</t>
  </si>
  <si>
    <t>Prior Years Rebills</t>
  </si>
  <si>
    <t>Schedule 121 not Rebilled</t>
  </si>
  <si>
    <t>Block 1
1st 500 therms</t>
  </si>
  <si>
    <t>Block 2
501 - 1,000 therms</t>
  </si>
  <si>
    <t>Block 3
1,001 - 10,000 therms</t>
  </si>
  <si>
    <t>Block 4
10,001 - 25,000 therms</t>
  </si>
  <si>
    <t>Block 5
over 25,000 therms</t>
  </si>
  <si>
    <t xml:space="preserve">Closed Account 9/2018 </t>
  </si>
  <si>
    <t xml:space="preserve">Total Former and Present </t>
  </si>
  <si>
    <t>Schedule 121</t>
  </si>
  <si>
    <t>Total Current Year Bills</t>
  </si>
  <si>
    <t>Prior period bills rebilled on Sch 111</t>
  </si>
  <si>
    <t>Revenue Report (Billed)</t>
  </si>
  <si>
    <t xml:space="preserve">2018 bills rebilled on Sch 111 </t>
  </si>
  <si>
    <t>Canceled and Rebilled usage</t>
  </si>
  <si>
    <t>bills cancelled</t>
  </si>
  <si>
    <t>Schedule 122</t>
  </si>
  <si>
    <t>Schedule 112</t>
  </si>
  <si>
    <t>Saint Lukes Rehab Institute</t>
  </si>
  <si>
    <t>Airway Heights Correction Center</t>
  </si>
  <si>
    <t>highlighted cells include adj for prior period sch shifting</t>
  </si>
  <si>
    <t>6/1/2019 Billing Rates</t>
  </si>
  <si>
    <t>GSFM June MidMonth_(6 12 19 pricing).xlsm</t>
  </si>
  <si>
    <t>Bill Determinants Tab</t>
  </si>
  <si>
    <t>Total Loads by Rate Sched:</t>
  </si>
  <si>
    <t>Washington Natural Gas</t>
  </si>
  <si>
    <t>WA101</t>
  </si>
  <si>
    <t>WA111</t>
  </si>
  <si>
    <t>WA112</t>
  </si>
  <si>
    <t>WA121</t>
  </si>
  <si>
    <t>WA132</t>
  </si>
  <si>
    <t>WA146</t>
  </si>
  <si>
    <t>WA148</t>
  </si>
  <si>
    <t>RES</t>
  </si>
  <si>
    <t>Non-RES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</si>
</sst>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  <numFmt numFmtId="168" formatCode="&quot;Over&quot;"/>
    <numFmt numFmtId="169" formatCode="mmm\ yy"/>
    <numFmt numFmtId="170" formatCode="#,##0;;"/>
    <numFmt numFmtId="171" formatCode="#,##0;\-#,##0;"/>
    <numFmt numFmtId="172" formatCode="[$-409]mmm/yy;@"/>
    <numFmt numFmtId="173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19D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>
      <alignment readingOrder="1"/>
    </xf>
    <xf numFmtId="0" fontId="1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Alignment="1">
      <alignment vertical="top" wrapText="1"/>
    </xf>
    <xf numFmtId="166" fontId="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167" fontId="0" fillId="0" borderId="0" xfId="0" applyNumberFormat="1" applyFill="1"/>
    <xf numFmtId="167" fontId="0" fillId="0" borderId="1" xfId="0" applyNumberFormat="1" applyFill="1" applyBorder="1"/>
    <xf numFmtId="43" fontId="0" fillId="0" borderId="0" xfId="1" applyNumberFormat="1" applyFont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Border="1"/>
    <xf numFmtId="166" fontId="0" fillId="0" borderId="0" xfId="1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166" fontId="2" fillId="2" borderId="0" xfId="1" applyNumberFormat="1" applyFont="1" applyFill="1"/>
    <xf numFmtId="10" fontId="0" fillId="0" borderId="0" xfId="2" applyNumberFormat="1" applyFont="1" applyBorder="1"/>
    <xf numFmtId="0" fontId="6" fillId="0" borderId="0" xfId="3" applyFont="1"/>
    <xf numFmtId="0" fontId="5" fillId="0" borderId="0" xfId="3"/>
    <xf numFmtId="0" fontId="7" fillId="0" borderId="0" xfId="3" applyFont="1" applyAlignment="1">
      <alignment horizontal="center"/>
    </xf>
    <xf numFmtId="3" fontId="7" fillId="0" borderId="0" xfId="3" applyNumberFormat="1" applyFont="1" applyAlignment="1">
      <alignment horizontal="center"/>
    </xf>
    <xf numFmtId="0" fontId="5" fillId="0" borderId="0" xfId="3" applyAlignment="1">
      <alignment horizontal="center"/>
    </xf>
    <xf numFmtId="3" fontId="8" fillId="0" borderId="0" xfId="3" applyNumberFormat="1" applyFont="1" applyAlignment="1">
      <alignment horizontal="center"/>
    </xf>
    <xf numFmtId="168" fontId="8" fillId="0" borderId="0" xfId="3" applyNumberFormat="1" applyFont="1" applyAlignment="1">
      <alignment horizontal="center"/>
    </xf>
    <xf numFmtId="0" fontId="7" fillId="0" borderId="0" xfId="3" applyFont="1"/>
    <xf numFmtId="0" fontId="9" fillId="0" borderId="0" xfId="3" applyFont="1"/>
    <xf numFmtId="0" fontId="5" fillId="0" borderId="0" xfId="3" applyFont="1"/>
    <xf numFmtId="169" fontId="5" fillId="0" borderId="0" xfId="3" applyNumberFormat="1" applyAlignment="1">
      <alignment horizontal="center"/>
    </xf>
    <xf numFmtId="169" fontId="5" fillId="0" borderId="0" xfId="3" applyNumberFormat="1" applyBorder="1" applyAlignment="1">
      <alignment horizontal="center"/>
    </xf>
    <xf numFmtId="3" fontId="10" fillId="0" borderId="0" xfId="3" applyNumberFormat="1" applyFont="1" applyAlignment="1">
      <alignment horizontal="center"/>
    </xf>
    <xf numFmtId="0" fontId="11" fillId="0" borderId="0" xfId="3" applyFont="1" applyAlignment="1">
      <alignment horizontal="left"/>
    </xf>
    <xf numFmtId="0" fontId="11" fillId="0" borderId="0" xfId="3" quotePrefix="1" applyFont="1" applyAlignment="1">
      <alignment horizontal="left"/>
    </xf>
    <xf numFmtId="0" fontId="5" fillId="0" borderId="0" xfId="3" applyFont="1" applyAlignment="1">
      <alignment horizontal="left"/>
    </xf>
    <xf numFmtId="166" fontId="12" fillId="0" borderId="0" xfId="4" applyNumberFormat="1" applyFont="1" applyFill="1"/>
    <xf numFmtId="166" fontId="12" fillId="0" borderId="0" xfId="4" applyNumberFormat="1" applyFont="1"/>
    <xf numFmtId="166" fontId="11" fillId="0" borderId="0" xfId="5" applyNumberFormat="1" applyFont="1" applyBorder="1"/>
    <xf numFmtId="166" fontId="11" fillId="0" borderId="2" xfId="5" applyNumberFormat="1" applyFont="1" applyBorder="1"/>
    <xf numFmtId="166" fontId="5" fillId="0" borderId="0" xfId="5" applyNumberFormat="1"/>
    <xf numFmtId="170" fontId="5" fillId="0" borderId="0" xfId="3" applyNumberFormat="1"/>
    <xf numFmtId="166" fontId="12" fillId="2" borderId="0" xfId="4" applyNumberFormat="1" applyFont="1" applyFill="1"/>
    <xf numFmtId="166" fontId="11" fillId="2" borderId="0" xfId="5" applyNumberFormat="1" applyFont="1" applyFill="1" applyBorder="1"/>
    <xf numFmtId="166" fontId="11" fillId="2" borderId="2" xfId="5" applyNumberFormat="1" applyFont="1" applyFill="1" applyBorder="1"/>
    <xf numFmtId="166" fontId="5" fillId="2" borderId="0" xfId="5" applyNumberFormat="1" applyFill="1"/>
    <xf numFmtId="166" fontId="11" fillId="0" borderId="2" xfId="5" applyNumberFormat="1" applyFont="1" applyFill="1" applyBorder="1"/>
    <xf numFmtId="166" fontId="11" fillId="0" borderId="0" xfId="5" applyNumberFormat="1" applyFont="1" applyFill="1" applyBorder="1"/>
    <xf numFmtId="166" fontId="12" fillId="0" borderId="0" xfId="5" applyNumberFormat="1" applyFont="1" applyFill="1" applyBorder="1"/>
    <xf numFmtId="166" fontId="12" fillId="0" borderId="2" xfId="5" applyNumberFormat="1" applyFont="1" applyFill="1" applyBorder="1"/>
    <xf numFmtId="0" fontId="5" fillId="0" borderId="0" xfId="3" applyFill="1"/>
    <xf numFmtId="0" fontId="11" fillId="0" borderId="0" xfId="3" applyFont="1" applyFill="1" applyAlignment="1">
      <alignment horizontal="left"/>
    </xf>
    <xf numFmtId="0" fontId="11" fillId="0" borderId="0" xfId="3" quotePrefix="1" applyFont="1" applyFill="1" applyAlignment="1">
      <alignment horizontal="left"/>
    </xf>
    <xf numFmtId="0" fontId="5" fillId="0" borderId="0" xfId="3" applyFont="1" applyFill="1" applyAlignment="1">
      <alignment horizontal="left"/>
    </xf>
    <xf numFmtId="166" fontId="5" fillId="0" borderId="0" xfId="5" applyNumberFormat="1" applyFill="1"/>
    <xf numFmtId="170" fontId="5" fillId="0" borderId="0" xfId="3" applyNumberFormat="1" applyFill="1"/>
    <xf numFmtId="166" fontId="12" fillId="3" borderId="0" xfId="4" applyNumberFormat="1" applyFont="1" applyFill="1"/>
    <xf numFmtId="166" fontId="11" fillId="3" borderId="0" xfId="5" applyNumberFormat="1" applyFont="1" applyFill="1" applyBorder="1"/>
    <xf numFmtId="166" fontId="11" fillId="3" borderId="2" xfId="5" applyNumberFormat="1" applyFont="1" applyFill="1" applyBorder="1"/>
    <xf numFmtId="166" fontId="5" fillId="3" borderId="0" xfId="5" applyNumberFormat="1" applyFill="1"/>
    <xf numFmtId="166" fontId="11" fillId="3" borderId="0" xfId="4" applyNumberFormat="1" applyFont="1" applyFill="1" applyBorder="1"/>
    <xf numFmtId="166" fontId="11" fillId="3" borderId="2" xfId="4" applyNumberFormat="1" applyFont="1" applyFill="1" applyBorder="1"/>
    <xf numFmtId="0" fontId="11" fillId="2" borderId="0" xfId="3" quotePrefix="1" applyFont="1" applyFill="1" applyAlignment="1">
      <alignment horizontal="left"/>
    </xf>
    <xf numFmtId="166" fontId="5" fillId="0" borderId="1" xfId="5" applyNumberFormat="1" applyFont="1" applyFill="1" applyBorder="1"/>
    <xf numFmtId="166" fontId="5" fillId="0" borderId="3" xfId="5" applyNumberFormat="1" applyFont="1" applyFill="1" applyBorder="1"/>
    <xf numFmtId="166" fontId="5" fillId="0" borderId="4" xfId="5" applyNumberFormat="1" applyFont="1" applyFill="1" applyBorder="1"/>
    <xf numFmtId="3" fontId="5" fillId="0" borderId="1" xfId="5" applyNumberFormat="1" applyFont="1" applyFill="1" applyBorder="1"/>
    <xf numFmtId="0" fontId="5" fillId="0" borderId="0" xfId="3" applyBorder="1"/>
    <xf numFmtId="0" fontId="5" fillId="0" borderId="2" xfId="3" applyBorder="1"/>
    <xf numFmtId="43" fontId="5" fillId="0" borderId="0" xfId="3" applyNumberFormat="1"/>
    <xf numFmtId="3" fontId="5" fillId="0" borderId="0" xfId="3" applyNumberFormat="1"/>
    <xf numFmtId="166" fontId="11" fillId="0" borderId="0" xfId="4" applyNumberFormat="1" applyFont="1" applyFill="1" applyBorder="1"/>
    <xf numFmtId="166" fontId="11" fillId="0" borderId="2" xfId="4" applyNumberFormat="1" applyFont="1" applyFill="1" applyBorder="1"/>
    <xf numFmtId="166" fontId="2" fillId="0" borderId="0" xfId="1" applyNumberFormat="1" applyFont="1" applyBorder="1"/>
    <xf numFmtId="166" fontId="2" fillId="0" borderId="0" xfId="1" applyNumberFormat="1" applyFont="1" applyFill="1" applyBorder="1"/>
    <xf numFmtId="166" fontId="2" fillId="0" borderId="2" xfId="1" applyNumberFormat="1" applyFont="1" applyFill="1" applyBorder="1"/>
    <xf numFmtId="0" fontId="5" fillId="0" borderId="0" xfId="3" applyFont="1" applyAlignment="1"/>
    <xf numFmtId="166" fontId="12" fillId="0" borderId="0" xfId="5" applyNumberFormat="1" applyFont="1" applyFill="1"/>
    <xf numFmtId="0" fontId="5" fillId="0" borderId="0" xfId="3" applyAlignment="1"/>
    <xf numFmtId="0" fontId="5" fillId="0" borderId="0" xfId="3" applyAlignment="1">
      <alignment horizontal="left" indent="1"/>
    </xf>
    <xf numFmtId="166" fontId="5" fillId="0" borderId="4" xfId="5" applyNumberFormat="1" applyBorder="1"/>
    <xf numFmtId="171" fontId="5" fillId="0" borderId="0" xfId="3" applyNumberFormat="1" applyFill="1"/>
    <xf numFmtId="171" fontId="5" fillId="0" borderId="0" xfId="3" applyNumberFormat="1" applyBorder="1"/>
    <xf numFmtId="171" fontId="5" fillId="0" borderId="2" xfId="3" applyNumberFormat="1" applyBorder="1"/>
    <xf numFmtId="171" fontId="5" fillId="0" borderId="0" xfId="3" applyNumberFormat="1"/>
    <xf numFmtId="0" fontId="5" fillId="0" borderId="0" xfId="3" applyAlignment="1">
      <alignment vertical="justify"/>
    </xf>
    <xf numFmtId="0" fontId="5" fillId="0" borderId="0" xfId="3" applyFill="1" applyAlignment="1">
      <alignment vertical="justify"/>
    </xf>
    <xf numFmtId="0" fontId="5" fillId="0" borderId="0" xfId="3" applyBorder="1" applyAlignment="1">
      <alignment vertical="justify"/>
    </xf>
    <xf numFmtId="166" fontId="5" fillId="0" borderId="2" xfId="3" applyNumberFormat="1" applyBorder="1" applyAlignment="1">
      <alignment horizontal="centerContinuous" vertical="justify"/>
    </xf>
    <xf numFmtId="5" fontId="5" fillId="0" borderId="0" xfId="3" applyNumberFormat="1"/>
    <xf numFmtId="169" fontId="5" fillId="0" borderId="0" xfId="3" applyNumberFormat="1" applyFill="1" applyAlignment="1">
      <alignment horizontal="center"/>
    </xf>
    <xf numFmtId="169" fontId="5" fillId="0" borderId="2" xfId="3" applyNumberFormat="1" applyBorder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166" fontId="5" fillId="0" borderId="0" xfId="3" applyNumberFormat="1"/>
    <xf numFmtId="172" fontId="5" fillId="0" borderId="0" xfId="3" applyNumberFormat="1" applyAlignment="1">
      <alignment horizontal="center"/>
    </xf>
    <xf numFmtId="166" fontId="5" fillId="0" borderId="1" xfId="3" applyNumberFormat="1" applyFill="1" applyBorder="1"/>
    <xf numFmtId="166" fontId="5" fillId="0" borderId="1" xfId="3" applyNumberFormat="1" applyBorder="1"/>
    <xf numFmtId="166" fontId="5" fillId="0" borderId="3" xfId="3" applyNumberFormat="1" applyBorder="1"/>
    <xf numFmtId="166" fontId="5" fillId="0" borderId="0" xfId="3" applyNumberFormat="1" applyFill="1" applyBorder="1"/>
    <xf numFmtId="166" fontId="5" fillId="0" borderId="0" xfId="3" applyNumberFormat="1" applyBorder="1"/>
    <xf numFmtId="166" fontId="5" fillId="0" borderId="2" xfId="3" applyNumberFormat="1" applyBorder="1"/>
    <xf numFmtId="166" fontId="5" fillId="0" borderId="0" xfId="5" applyNumberFormat="1" applyFill="1" applyBorder="1"/>
    <xf numFmtId="166" fontId="5" fillId="0" borderId="2" xfId="5" applyNumberFormat="1" applyFill="1" applyBorder="1"/>
    <xf numFmtId="0" fontId="5" fillId="0" borderId="0" xfId="3" applyAlignment="1">
      <alignment horizontal="left"/>
    </xf>
    <xf numFmtId="166" fontId="5" fillId="0" borderId="1" xfId="5" applyNumberFormat="1" applyFill="1" applyBorder="1"/>
    <xf numFmtId="166" fontId="5" fillId="0" borderId="1" xfId="5" applyNumberFormat="1" applyBorder="1"/>
    <xf numFmtId="166" fontId="5" fillId="0" borderId="3" xfId="5" applyNumberFormat="1" applyBorder="1"/>
    <xf numFmtId="166" fontId="5" fillId="0" borderId="0" xfId="5" applyNumberFormat="1" applyBorder="1"/>
    <xf numFmtId="166" fontId="5" fillId="0" borderId="2" xfId="5" applyNumberFormat="1" applyBorder="1"/>
    <xf numFmtId="166" fontId="13" fillId="4" borderId="0" xfId="4" applyNumberFormat="1" applyFont="1" applyFill="1"/>
    <xf numFmtId="166" fontId="13" fillId="4" borderId="0" xfId="5" applyNumberFormat="1" applyFont="1" applyFill="1" applyBorder="1"/>
    <xf numFmtId="166" fontId="13" fillId="4" borderId="2" xfId="5" applyNumberFormat="1" applyFont="1" applyFill="1" applyBorder="1"/>
    <xf numFmtId="166" fontId="5" fillId="4" borderId="0" xfId="5" applyNumberFormat="1" applyFont="1" applyFill="1"/>
    <xf numFmtId="166" fontId="13" fillId="3" borderId="0" xfId="4" applyNumberFormat="1" applyFont="1" applyFill="1"/>
    <xf numFmtId="166" fontId="13" fillId="5" borderId="0" xfId="4" applyNumberFormat="1" applyFont="1" applyFill="1"/>
    <xf numFmtId="166" fontId="13" fillId="5" borderId="0" xfId="5" applyNumberFormat="1" applyFont="1" applyFill="1" applyBorder="1"/>
    <xf numFmtId="166" fontId="13" fillId="5" borderId="2" xfId="5" applyNumberFormat="1" applyFont="1" applyFill="1" applyBorder="1"/>
    <xf numFmtId="166" fontId="5" fillId="5" borderId="0" xfId="5" applyNumberFormat="1" applyFont="1" applyFill="1"/>
    <xf numFmtId="166" fontId="5" fillId="0" borderId="0" xfId="3" applyNumberFormat="1" applyFill="1"/>
    <xf numFmtId="166" fontId="11" fillId="4" borderId="0" xfId="5" applyNumberFormat="1" applyFont="1" applyFill="1" applyBorder="1"/>
    <xf numFmtId="166" fontId="11" fillId="4" borderId="2" xfId="5" applyNumberFormat="1" applyFont="1" applyFill="1" applyBorder="1"/>
    <xf numFmtId="166" fontId="14" fillId="5" borderId="0" xfId="5" applyNumberFormat="1" applyFont="1" applyFill="1" applyBorder="1"/>
    <xf numFmtId="166" fontId="14" fillId="5" borderId="2" xfId="5" applyNumberFormat="1" applyFont="1" applyFill="1" applyBorder="1"/>
    <xf numFmtId="166" fontId="5" fillId="0" borderId="0" xfId="5" applyNumberFormat="1" applyFont="1" applyFill="1" applyBorder="1"/>
    <xf numFmtId="166" fontId="5" fillId="0" borderId="2" xfId="5" applyNumberFormat="1" applyFont="1" applyFill="1" applyBorder="1"/>
    <xf numFmtId="0" fontId="5" fillId="0" borderId="0" xfId="6" applyFont="1"/>
    <xf numFmtId="166" fontId="5" fillId="2" borderId="0" xfId="5" applyNumberFormat="1" applyFont="1" applyFill="1" applyBorder="1"/>
    <xf numFmtId="166" fontId="5" fillId="2" borderId="2" xfId="5" applyNumberFormat="1" applyFont="1" applyFill="1" applyBorder="1"/>
    <xf numFmtId="173" fontId="5" fillId="0" borderId="0" xfId="7" applyNumberFormat="1" applyFont="1" applyFill="1"/>
    <xf numFmtId="173" fontId="5" fillId="0" borderId="0" xfId="8" applyNumberFormat="1" applyFont="1" applyFill="1"/>
    <xf numFmtId="173" fontId="5" fillId="0" borderId="0" xfId="8" applyNumberFormat="1" applyFont="1" applyFill="1" applyBorder="1"/>
    <xf numFmtId="173" fontId="5" fillId="0" borderId="2" xfId="8" applyNumberFormat="1" applyFont="1" applyFill="1" applyBorder="1"/>
    <xf numFmtId="173" fontId="5" fillId="0" borderId="0" xfId="8" applyNumberFormat="1"/>
    <xf numFmtId="166" fontId="13" fillId="0" borderId="0" xfId="9" applyNumberFormat="1" applyFont="1"/>
    <xf numFmtId="166" fontId="13" fillId="0" borderId="0" xfId="5" applyNumberFormat="1" applyFont="1" applyFill="1"/>
    <xf numFmtId="166" fontId="13" fillId="0" borderId="0" xfId="5" applyNumberFormat="1" applyFont="1" applyBorder="1"/>
    <xf numFmtId="166" fontId="13" fillId="0" borderId="2" xfId="5" applyNumberFormat="1" applyFont="1" applyBorder="1"/>
    <xf numFmtId="166" fontId="5" fillId="0" borderId="0" xfId="5" applyNumberFormat="1" applyFont="1" applyFill="1"/>
    <xf numFmtId="166" fontId="5" fillId="0" borderId="0" xfId="5" applyNumberFormat="1" applyFont="1" applyBorder="1"/>
    <xf numFmtId="166" fontId="5" fillId="0" borderId="2" xfId="5" applyNumberFormat="1" applyFont="1" applyBorder="1"/>
    <xf numFmtId="4" fontId="13" fillId="0" borderId="0" xfId="3" applyNumberFormat="1" applyFont="1"/>
    <xf numFmtId="43" fontId="5" fillId="0" borderId="0" xfId="5" applyFill="1"/>
    <xf numFmtId="43" fontId="5" fillId="0" borderId="0" xfId="5" applyFill="1" applyBorder="1"/>
    <xf numFmtId="43" fontId="5" fillId="0" borderId="2" xfId="5" applyFill="1" applyBorder="1"/>
    <xf numFmtId="43" fontId="5" fillId="0" borderId="0" xfId="5" applyFont="1"/>
    <xf numFmtId="4" fontId="13" fillId="0" borderId="0" xfId="3" applyNumberFormat="1" applyFont="1" applyFill="1"/>
    <xf numFmtId="43" fontId="5" fillId="0" borderId="0" xfId="5" applyBorder="1"/>
    <xf numFmtId="43" fontId="5" fillId="0" borderId="2" xfId="5" applyBorder="1"/>
    <xf numFmtId="43" fontId="5" fillId="0" borderId="1" xfId="3" applyNumberFormat="1" applyFill="1" applyBorder="1"/>
    <xf numFmtId="43" fontId="5" fillId="0" borderId="1" xfId="3" applyNumberFormat="1" applyBorder="1"/>
    <xf numFmtId="43" fontId="5" fillId="0" borderId="3" xfId="3" applyNumberFormat="1" applyBorder="1"/>
    <xf numFmtId="0" fontId="5" fillId="0" borderId="0" xfId="3" applyFill="1" applyBorder="1"/>
    <xf numFmtId="0" fontId="5" fillId="0" borderId="2" xfId="3" applyFill="1" applyBorder="1"/>
    <xf numFmtId="0" fontId="15" fillId="0" borderId="0" xfId="3" applyFont="1"/>
    <xf numFmtId="0" fontId="15" fillId="0" borderId="0" xfId="3" applyFont="1" applyAlignment="1">
      <alignment horizontal="left"/>
    </xf>
    <xf numFmtId="166" fontId="5" fillId="0" borderId="5" xfId="5" applyNumberFormat="1" applyBorder="1"/>
    <xf numFmtId="166" fontId="5" fillId="0" borderId="6" xfId="5" applyNumberFormat="1" applyFont="1" applyFill="1" applyBorder="1"/>
    <xf numFmtId="166" fontId="5" fillId="0" borderId="7" xfId="5" applyNumberFormat="1" applyBorder="1"/>
    <xf numFmtId="0" fontId="0" fillId="0" borderId="0" xfId="0" applyAlignment="1">
      <alignment horizontal="center" wrapText="1"/>
    </xf>
    <xf numFmtId="17" fontId="0" fillId="0" borderId="0" xfId="0" applyNumberFormat="1"/>
    <xf numFmtId="0" fontId="0" fillId="6" borderId="0" xfId="0" applyFill="1"/>
    <xf numFmtId="0" fontId="0" fillId="0" borderId="0" xfId="0" applyAlignment="1">
      <alignment horizontal="left"/>
    </xf>
    <xf numFmtId="170" fontId="0" fillId="0" borderId="0" xfId="0" applyNumberFormat="1"/>
    <xf numFmtId="0" fontId="0" fillId="7" borderId="0" xfId="0" applyFill="1"/>
    <xf numFmtId="0" fontId="0" fillId="0" borderId="0" xfId="0" quotePrefix="1"/>
    <xf numFmtId="0" fontId="0" fillId="8" borderId="0" xfId="0" applyFill="1"/>
    <xf numFmtId="164" fontId="0" fillId="8" borderId="0" xfId="0" applyNumberFormat="1" applyFill="1"/>
    <xf numFmtId="165" fontId="0" fillId="8" borderId="0" xfId="0" applyNumberFormat="1" applyFill="1"/>
    <xf numFmtId="165" fontId="0" fillId="8" borderId="0" xfId="0" applyNumberFormat="1" applyFill="1" applyAlignment="1">
      <alignment horizontal="right"/>
    </xf>
    <xf numFmtId="0" fontId="17" fillId="0" borderId="0" xfId="0" applyFont="1" applyFill="1" applyAlignment="1">
      <alignment horizontal="center" wrapText="1"/>
    </xf>
    <xf numFmtId="0" fontId="7" fillId="9" borderId="0" xfId="0" applyFont="1" applyFill="1"/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9" fontId="0" fillId="0" borderId="0" xfId="0" applyNumberFormat="1"/>
  </cellXfs>
  <cellStyles count="19">
    <cellStyle name="Comma" xfId="1" builtinId="3"/>
    <cellStyle name="Comma 10 2" xfId="9"/>
    <cellStyle name="Comma 2 10 2" xfId="4"/>
    <cellStyle name="Comma 2 2" xfId="5"/>
    <cellStyle name="Comma 3 10 7" xfId="15"/>
    <cellStyle name="Comma 3 31" xfId="13"/>
    <cellStyle name="Comma 3 32" xfId="16"/>
    <cellStyle name="Comma 3 33" xfId="14"/>
    <cellStyle name="Comma 3 36" xfId="18"/>
    <cellStyle name="Comma 3 37" xfId="17"/>
    <cellStyle name="Currency 2 10" xfId="7"/>
    <cellStyle name="Currency 3 3 11" xfId="8"/>
    <cellStyle name="Normal" xfId="0" builtinId="0"/>
    <cellStyle name="Normal 16 7" xfId="12"/>
    <cellStyle name="Normal 2" xfId="3"/>
    <cellStyle name="Normal 3 2 7" xfId="6"/>
    <cellStyle name="Normal 3 31" xfId="11"/>
    <cellStyle name="Normal 59 2" xfId="10"/>
    <cellStyle name="Percent" xfId="2" builtinId="5"/>
  </cellStyles>
  <dxfs count="3"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119" sqref="F119"/>
    </sheetView>
  </sheetViews>
  <sheetFormatPr defaultColWidth="8.85546875" defaultRowHeight="12.75" x14ac:dyDescent="0.2"/>
  <cols>
    <col min="1" max="1" width="4.5703125" style="29" customWidth="1"/>
    <col min="2" max="2" width="32.7109375" style="29" customWidth="1"/>
    <col min="3" max="3" width="10.7109375" style="29" customWidth="1"/>
    <col min="4" max="4" width="11.5703125" style="29" customWidth="1"/>
    <col min="5" max="5" width="12.5703125" style="29" hidden="1" customWidth="1"/>
    <col min="6" max="6" width="12.5703125" style="29" customWidth="1"/>
    <col min="7" max="7" width="12.7109375" style="29" customWidth="1"/>
    <col min="8" max="8" width="13.28515625" style="29" bestFit="1" customWidth="1"/>
    <col min="9" max="9" width="13.42578125" style="29" bestFit="1" customWidth="1"/>
    <col min="10" max="10" width="12.7109375" style="29" bestFit="1" customWidth="1"/>
    <col min="11" max="13" width="13.42578125" style="29" bestFit="1" customWidth="1"/>
    <col min="14" max="14" width="13.140625" style="29" bestFit="1" customWidth="1"/>
    <col min="15" max="15" width="12.7109375" style="29" bestFit="1" customWidth="1"/>
    <col min="16" max="16" width="13.140625" style="29" bestFit="1" customWidth="1"/>
    <col min="17" max="17" width="12.7109375" style="29" bestFit="1" customWidth="1"/>
    <col min="18" max="18" width="15.7109375" style="29" customWidth="1"/>
    <col min="19" max="19" width="13" style="29" bestFit="1" customWidth="1"/>
    <col min="20" max="20" width="12.7109375" style="29" bestFit="1" customWidth="1"/>
    <col min="21" max="21" width="13.85546875" style="29" customWidth="1"/>
    <col min="22" max="22" width="9.28515625" style="29" bestFit="1" customWidth="1"/>
    <col min="23" max="16384" width="8.85546875" style="29"/>
  </cols>
  <sheetData>
    <row r="1" spans="1:21" ht="15" x14ac:dyDescent="0.25">
      <c r="A1" s="28" t="s">
        <v>61</v>
      </c>
      <c r="S1" s="30" t="s">
        <v>62</v>
      </c>
      <c r="T1" s="31">
        <f>S2</f>
        <v>500000</v>
      </c>
      <c r="U1" s="31">
        <f>T2</f>
        <v>6000000</v>
      </c>
    </row>
    <row r="2" spans="1:21" x14ac:dyDescent="0.2">
      <c r="R2" s="32" t="s">
        <v>63</v>
      </c>
      <c r="S2" s="33">
        <v>500000</v>
      </c>
      <c r="T2" s="33">
        <v>6000000</v>
      </c>
      <c r="U2" s="34">
        <v>99999999</v>
      </c>
    </row>
    <row r="3" spans="1:21" x14ac:dyDescent="0.2">
      <c r="A3" s="35" t="s">
        <v>64</v>
      </c>
      <c r="B3" s="35"/>
      <c r="C3" s="36" t="s">
        <v>65</v>
      </c>
      <c r="D3" s="37" t="s">
        <v>66</v>
      </c>
      <c r="E3" s="37" t="s">
        <v>67</v>
      </c>
      <c r="F3" s="38">
        <v>43101</v>
      </c>
      <c r="G3" s="38">
        <f>F3+31</f>
        <v>43132</v>
      </c>
      <c r="H3" s="38">
        <f t="shared" ref="H3:M3" si="0">G3+31</f>
        <v>43163</v>
      </c>
      <c r="I3" s="38">
        <f t="shared" si="0"/>
        <v>43194</v>
      </c>
      <c r="J3" s="38">
        <f t="shared" si="0"/>
        <v>43225</v>
      </c>
      <c r="K3" s="38">
        <f t="shared" si="0"/>
        <v>43256</v>
      </c>
      <c r="L3" s="38">
        <f t="shared" si="0"/>
        <v>43287</v>
      </c>
      <c r="M3" s="38">
        <f t="shared" si="0"/>
        <v>43318</v>
      </c>
      <c r="N3" s="38">
        <f>M3+31</f>
        <v>43349</v>
      </c>
      <c r="O3" s="39">
        <f t="shared" ref="O3:Q3" si="1">N3+31</f>
        <v>43380</v>
      </c>
      <c r="P3" s="38">
        <f t="shared" si="1"/>
        <v>43411</v>
      </c>
      <c r="Q3" s="38">
        <f t="shared" si="1"/>
        <v>43442</v>
      </c>
      <c r="R3" s="32" t="s">
        <v>12</v>
      </c>
      <c r="S3" s="40" t="s">
        <v>68</v>
      </c>
      <c r="T3" s="40" t="s">
        <v>68</v>
      </c>
      <c r="U3" s="40" t="s">
        <v>68</v>
      </c>
    </row>
    <row r="4" spans="1:21" x14ac:dyDescent="0.2">
      <c r="A4" s="29">
        <v>1</v>
      </c>
      <c r="B4" s="41" t="s">
        <v>69</v>
      </c>
      <c r="C4" s="42" t="s">
        <v>70</v>
      </c>
      <c r="D4" s="42" t="s">
        <v>71</v>
      </c>
      <c r="E4" s="43">
        <v>770037736</v>
      </c>
      <c r="F4" s="44">
        <v>5417357.4000000004</v>
      </c>
      <c r="G4" s="44">
        <v>5209482.5999999996</v>
      </c>
      <c r="H4" s="44">
        <v>5598083.4000000004</v>
      </c>
      <c r="I4" s="44">
        <v>5938930.2000000002</v>
      </c>
      <c r="J4" s="44">
        <v>6179069.4000000004</v>
      </c>
      <c r="K4" s="44">
        <v>5771215.7999999998</v>
      </c>
      <c r="L4" s="45">
        <v>6205584</v>
      </c>
      <c r="M4" s="45">
        <v>6286131.5999999996</v>
      </c>
      <c r="N4" s="45">
        <v>5214997.2</v>
      </c>
      <c r="O4" s="46">
        <v>6027205.7999999998</v>
      </c>
      <c r="P4" s="46">
        <v>4774253.4000000004</v>
      </c>
      <c r="Q4" s="47">
        <v>6083616</v>
      </c>
      <c r="R4" s="48">
        <f t="shared" ref="R4:R26" si="2">SUM(F4:Q4)</f>
        <v>68705926.799999997</v>
      </c>
      <c r="S4" s="49">
        <f>S$2*12-SUMPRODUCT(--($F4:$Q4&lt;=S$2),S$2-$F4:$Q4)</f>
        <v>6000000</v>
      </c>
      <c r="T4" s="49">
        <f>T$2*12-SUM($S4:S4)-SUMPRODUCT(--($F4:$Q4&lt;=T$2),T$2-$F4:$Q4)</f>
        <v>61924320</v>
      </c>
      <c r="U4" s="49">
        <f>U$2*12-SUM($S4:T4)-SUMPRODUCT(--($F4:$Q4&lt;=U$2),U$2-$F4:$Q4)</f>
        <v>781606.79999995232</v>
      </c>
    </row>
    <row r="5" spans="1:21" x14ac:dyDescent="0.2">
      <c r="A5" s="29">
        <v>22</v>
      </c>
      <c r="B5" s="41" t="s">
        <v>72</v>
      </c>
      <c r="C5" s="42" t="s">
        <v>70</v>
      </c>
      <c r="D5" s="42">
        <v>2311155858</v>
      </c>
      <c r="E5" s="29" t="s">
        <v>73</v>
      </c>
      <c r="F5" s="50">
        <v>606597</v>
      </c>
      <c r="G5" s="50">
        <v>661977.19999999995</v>
      </c>
      <c r="H5" s="50">
        <v>727160</v>
      </c>
      <c r="I5" s="50">
        <v>697581</v>
      </c>
      <c r="J5" s="50">
        <v>691017.6</v>
      </c>
      <c r="K5" s="50">
        <v>762333.6</v>
      </c>
      <c r="L5" s="50">
        <v>723049.6</v>
      </c>
      <c r="M5" s="50">
        <v>817499.2</v>
      </c>
      <c r="N5" s="50">
        <v>511733.6</v>
      </c>
      <c r="O5" s="51">
        <v>638428</v>
      </c>
      <c r="P5" s="51">
        <v>649174.4</v>
      </c>
      <c r="Q5" s="52">
        <v>720994.4</v>
      </c>
      <c r="R5" s="53">
        <f t="shared" si="2"/>
        <v>8207545.6000000006</v>
      </c>
      <c r="S5" s="49">
        <f t="shared" ref="S5:S26" si="3">S$2*12-SUMPRODUCT(--($F5:$Q5&lt;=S$2),S$2-$F5:$Q5)</f>
        <v>6000000</v>
      </c>
      <c r="T5" s="49">
        <f>T$2*12-SUM($S5:S5)-SUMPRODUCT(--($F5:$Q5&lt;=T$2),T$2-$F5:$Q5)</f>
        <v>2207545.6000000015</v>
      </c>
      <c r="U5" s="49">
        <f>U$2*12-SUM($S5:T5)-SUMPRODUCT(--($F5:$Q5&lt;=U$2),U$2-$F5:$Q5)</f>
        <v>0</v>
      </c>
    </row>
    <row r="6" spans="1:21" x14ac:dyDescent="0.2">
      <c r="A6" s="29">
        <v>23</v>
      </c>
      <c r="B6" s="41" t="s">
        <v>74</v>
      </c>
      <c r="C6" s="42" t="s">
        <v>75</v>
      </c>
      <c r="D6" s="42">
        <v>7600951015</v>
      </c>
      <c r="E6" s="29" t="s">
        <v>76</v>
      </c>
      <c r="F6" s="44">
        <v>979473.6</v>
      </c>
      <c r="G6" s="44">
        <v>895377</v>
      </c>
      <c r="H6" s="44">
        <v>951957.3</v>
      </c>
      <c r="I6" s="44">
        <v>876397.2</v>
      </c>
      <c r="J6" s="44">
        <v>896023.8</v>
      </c>
      <c r="K6" s="44">
        <v>891303</v>
      </c>
      <c r="L6" s="45">
        <v>781783.8</v>
      </c>
      <c r="M6" s="45">
        <v>831364.8</v>
      </c>
      <c r="N6" s="45">
        <v>779045.4</v>
      </c>
      <c r="O6" s="46">
        <v>873927.6</v>
      </c>
      <c r="P6" s="46">
        <v>836098.2</v>
      </c>
      <c r="Q6" s="47">
        <v>812217</v>
      </c>
      <c r="R6" s="48">
        <f t="shared" si="2"/>
        <v>10404968.699999999</v>
      </c>
      <c r="S6" s="49">
        <f t="shared" si="3"/>
        <v>6000000</v>
      </c>
      <c r="T6" s="49">
        <f>T$2*12-SUM($S6:S6)-SUMPRODUCT(--($F6:$Q6&lt;=T$2),T$2-$F6:$Q6)</f>
        <v>4404968.6999999955</v>
      </c>
      <c r="U6" s="49">
        <f>U$2*12-SUM($S6:T6)-SUMPRODUCT(--($F6:$Q6&lt;=U$2),U$2-$F6:$Q6)</f>
        <v>0</v>
      </c>
    </row>
    <row r="7" spans="1:21" x14ac:dyDescent="0.2">
      <c r="A7" s="29">
        <v>2</v>
      </c>
      <c r="B7" s="41" t="s">
        <v>77</v>
      </c>
      <c r="C7" s="42" t="s">
        <v>78</v>
      </c>
      <c r="D7" s="42" t="s">
        <v>79</v>
      </c>
      <c r="E7" s="43">
        <v>500017</v>
      </c>
      <c r="F7" s="44">
        <v>3098709.6</v>
      </c>
      <c r="G7" s="44">
        <v>2900940</v>
      </c>
      <c r="H7" s="44">
        <v>3192966</v>
      </c>
      <c r="I7" s="44">
        <v>3000358.2</v>
      </c>
      <c r="J7" s="44">
        <v>2990820</v>
      </c>
      <c r="K7" s="44">
        <v>2914699.2</v>
      </c>
      <c r="L7" s="45">
        <v>2818183.2</v>
      </c>
      <c r="M7" s="45">
        <v>2977010.4</v>
      </c>
      <c r="N7" s="45">
        <v>2712145.8</v>
      </c>
      <c r="O7" s="46">
        <v>2877663.6</v>
      </c>
      <c r="P7" s="46">
        <v>2753625</v>
      </c>
      <c r="Q7" s="54">
        <v>1593639.598</v>
      </c>
      <c r="R7" s="48">
        <f t="shared" si="2"/>
        <v>33830760.597999997</v>
      </c>
      <c r="S7" s="49">
        <f t="shared" si="3"/>
        <v>6000000</v>
      </c>
      <c r="T7" s="49">
        <f>T$2*12-SUM($S7:S7)-SUMPRODUCT(--($F7:$Q7&lt;=T$2),T$2-$F7:$Q7)</f>
        <v>27830760.597999997</v>
      </c>
      <c r="U7" s="49">
        <f>U$2*12-SUM($S7:T7)-SUMPRODUCT(--($F7:$Q7&lt;=U$2),U$2-$F7:$Q7)</f>
        <v>0</v>
      </c>
    </row>
    <row r="8" spans="1:21" x14ac:dyDescent="0.2">
      <c r="A8" s="29">
        <v>3</v>
      </c>
      <c r="B8" s="41" t="s">
        <v>80</v>
      </c>
      <c r="C8" s="42" t="s">
        <v>81</v>
      </c>
      <c r="D8" s="42" t="s">
        <v>82</v>
      </c>
      <c r="E8" s="43">
        <v>500018</v>
      </c>
      <c r="F8" s="44">
        <v>1451406.6</v>
      </c>
      <c r="G8" s="44">
        <v>1330051.8</v>
      </c>
      <c r="H8" s="44">
        <v>1413395.2</v>
      </c>
      <c r="I8" s="44">
        <v>1259812.3999999999</v>
      </c>
      <c r="J8" s="44">
        <v>1296068.2</v>
      </c>
      <c r="K8" s="44">
        <v>1267047.6000000001</v>
      </c>
      <c r="L8" s="45">
        <v>1254391.6000000001</v>
      </c>
      <c r="M8" s="45">
        <v>1297139.2</v>
      </c>
      <c r="N8" s="45">
        <v>1191800.3999999999</v>
      </c>
      <c r="O8" s="46">
        <v>1372032.2</v>
      </c>
      <c r="P8" s="46">
        <v>1325175.6000000001</v>
      </c>
      <c r="Q8" s="47">
        <v>1396154.9</v>
      </c>
      <c r="R8" s="48">
        <f t="shared" si="2"/>
        <v>15854475.699999999</v>
      </c>
      <c r="S8" s="49">
        <f t="shared" si="3"/>
        <v>6000000</v>
      </c>
      <c r="T8" s="49">
        <f>T$2*12-SUM($S8:S8)-SUMPRODUCT(--($F8:$Q8&lt;=T$2),T$2-$F8:$Q8)</f>
        <v>9854475.700000003</v>
      </c>
      <c r="U8" s="49">
        <f>U$2*12-SUM($S8:T8)-SUMPRODUCT(--($F8:$Q8&lt;=U$2),U$2-$F8:$Q8)</f>
        <v>0</v>
      </c>
    </row>
    <row r="9" spans="1:21" x14ac:dyDescent="0.2">
      <c r="A9" s="29">
        <v>4</v>
      </c>
      <c r="B9" s="41" t="s">
        <v>83</v>
      </c>
      <c r="C9" s="42" t="s">
        <v>84</v>
      </c>
      <c r="D9" s="42" t="s">
        <v>85</v>
      </c>
      <c r="E9" s="43">
        <v>1900002</v>
      </c>
      <c r="F9" s="44">
        <v>1294328.7</v>
      </c>
      <c r="G9" s="44">
        <v>1157305.8</v>
      </c>
      <c r="H9" s="44">
        <v>1248464.7</v>
      </c>
      <c r="I9" s="44">
        <v>1205773.8</v>
      </c>
      <c r="J9" s="44">
        <v>1278664.8</v>
      </c>
      <c r="K9" s="44">
        <v>1238120.1000000001</v>
      </c>
      <c r="L9" s="45">
        <v>1324371.3</v>
      </c>
      <c r="M9" s="45">
        <v>1312516.8</v>
      </c>
      <c r="N9" s="44">
        <v>1250367.3</v>
      </c>
      <c r="O9" s="46">
        <v>1238766.8999999999</v>
      </c>
      <c r="P9" s="46">
        <v>1209572.7</v>
      </c>
      <c r="Q9" s="54">
        <v>1305220.344</v>
      </c>
      <c r="R9" s="48">
        <f t="shared" si="2"/>
        <v>15063473.244000003</v>
      </c>
      <c r="S9" s="49">
        <f t="shared" si="3"/>
        <v>6000000</v>
      </c>
      <c r="T9" s="49">
        <f>T$2*12-SUM($S9:S9)-SUMPRODUCT(--($F9:$Q9&lt;=T$2),T$2-$F9:$Q9)</f>
        <v>9063473.2440000027</v>
      </c>
      <c r="U9" s="49">
        <f>U$2*12-SUM($S9:T9)-SUMPRODUCT(--($F9:$Q9&lt;=U$2),U$2-$F9:$Q9)</f>
        <v>0</v>
      </c>
    </row>
    <row r="10" spans="1:21" x14ac:dyDescent="0.2">
      <c r="A10" s="29">
        <v>5</v>
      </c>
      <c r="B10" s="41" t="s">
        <v>86</v>
      </c>
      <c r="C10" s="42" t="s">
        <v>87</v>
      </c>
      <c r="D10" s="42" t="s">
        <v>88</v>
      </c>
      <c r="E10" s="43">
        <v>1900011</v>
      </c>
      <c r="F10" s="44">
        <v>1680174.3</v>
      </c>
      <c r="G10" s="44">
        <v>1550971.8</v>
      </c>
      <c r="H10" s="44">
        <v>1669355.1</v>
      </c>
      <c r="I10" s="44">
        <v>1622050.5</v>
      </c>
      <c r="J10" s="44">
        <v>1966864.2</v>
      </c>
      <c r="K10" s="44">
        <v>1912079.4</v>
      </c>
      <c r="L10" s="45">
        <v>2179709.7000000002</v>
      </c>
      <c r="M10" s="45">
        <v>2106808.2000000002</v>
      </c>
      <c r="N10" s="45">
        <v>1816311</v>
      </c>
      <c r="O10" s="46">
        <v>1649123.7</v>
      </c>
      <c r="P10" s="46">
        <v>1620303.3</v>
      </c>
      <c r="Q10" s="47">
        <v>1705474.05</v>
      </c>
      <c r="R10" s="48">
        <f t="shared" si="2"/>
        <v>21479225.25</v>
      </c>
      <c r="S10" s="49">
        <f t="shared" si="3"/>
        <v>6000000</v>
      </c>
      <c r="T10" s="49">
        <f>T$2*12-SUM($S10:S10)-SUMPRODUCT(--($F10:$Q10&lt;=T$2),T$2-$F10:$Q10)</f>
        <v>15479225.249999993</v>
      </c>
      <c r="U10" s="49">
        <f>U$2*12-SUM($S10:T10)-SUMPRODUCT(--($F10:$Q10&lt;=U$2),U$2-$F10:$Q10)</f>
        <v>0</v>
      </c>
    </row>
    <row r="11" spans="1:21" x14ac:dyDescent="0.2">
      <c r="A11" s="29">
        <v>6</v>
      </c>
      <c r="B11" s="41" t="s">
        <v>89</v>
      </c>
      <c r="C11" s="42" t="s">
        <v>90</v>
      </c>
      <c r="D11" s="42" t="s">
        <v>91</v>
      </c>
      <c r="E11" s="43">
        <v>622922</v>
      </c>
      <c r="F11" s="44">
        <v>2251093.6</v>
      </c>
      <c r="G11" s="44">
        <v>2295039.6</v>
      </c>
      <c r="H11" s="44">
        <v>2148288.7999999998</v>
      </c>
      <c r="I11" s="44">
        <v>2103292.7999999998</v>
      </c>
      <c r="J11" s="44">
        <v>1859382</v>
      </c>
      <c r="K11" s="44">
        <v>1633699.2</v>
      </c>
      <c r="L11" s="45">
        <v>1985695.6</v>
      </c>
      <c r="M11" s="45">
        <v>2040340.4</v>
      </c>
      <c r="N11" s="45">
        <v>2035250</v>
      </c>
      <c r="O11" s="46">
        <v>2111894.4</v>
      </c>
      <c r="P11" s="46">
        <v>2195715.2000000002</v>
      </c>
      <c r="Q11" s="47">
        <v>2199177.4</v>
      </c>
      <c r="R11" s="48">
        <f t="shared" si="2"/>
        <v>24858868.999999996</v>
      </c>
      <c r="S11" s="49">
        <f t="shared" si="3"/>
        <v>6000000</v>
      </c>
      <c r="T11" s="49">
        <f>T$2*12-SUM($S11:S11)-SUMPRODUCT(--($F11:$Q11&lt;=T$2),T$2-$F11:$Q11)</f>
        <v>18858869</v>
      </c>
      <c r="U11" s="49">
        <f>U$2*12-SUM($S11:T11)-SUMPRODUCT(--($F11:$Q11&lt;=U$2),U$2-$F11:$Q11)</f>
        <v>0</v>
      </c>
    </row>
    <row r="12" spans="1:21" x14ac:dyDescent="0.2">
      <c r="A12" s="29">
        <v>7</v>
      </c>
      <c r="B12" s="41" t="s">
        <v>92</v>
      </c>
      <c r="C12" s="42" t="s">
        <v>93</v>
      </c>
      <c r="D12" s="42" t="s">
        <v>94</v>
      </c>
      <c r="E12" s="43">
        <v>2304636</v>
      </c>
      <c r="F12" s="44">
        <v>1342430.6</v>
      </c>
      <c r="G12" s="44">
        <v>1273123.6000000001</v>
      </c>
      <c r="H12" s="44">
        <v>1374676.8</v>
      </c>
      <c r="I12" s="44">
        <v>1291710</v>
      </c>
      <c r="J12" s="44">
        <v>1411495.4</v>
      </c>
      <c r="K12" s="44">
        <v>1389838.8</v>
      </c>
      <c r="L12" s="45">
        <v>1540082.6</v>
      </c>
      <c r="M12" s="44">
        <v>1508025.4</v>
      </c>
      <c r="N12" s="45">
        <v>1332346.3999999999</v>
      </c>
      <c r="O12" s="46">
        <v>1340910.2</v>
      </c>
      <c r="P12" s="46">
        <v>1106404.6000000001</v>
      </c>
      <c r="Q12" s="47">
        <v>1156736.7</v>
      </c>
      <c r="R12" s="48">
        <f t="shared" si="2"/>
        <v>16067781.1</v>
      </c>
      <c r="S12" s="49">
        <f t="shared" si="3"/>
        <v>6000000</v>
      </c>
      <c r="T12" s="49">
        <f>T$2*12-SUM($S12:S12)-SUMPRODUCT(--($F12:$Q12&lt;=T$2),T$2-$F12:$Q12)</f>
        <v>10067781.100000001</v>
      </c>
      <c r="U12" s="49">
        <f>U$2*12-SUM($S12:T12)-SUMPRODUCT(--($F12:$Q12&lt;=U$2),U$2-$F12:$Q12)</f>
        <v>0</v>
      </c>
    </row>
    <row r="13" spans="1:21" x14ac:dyDescent="0.2">
      <c r="A13" s="29">
        <v>8</v>
      </c>
      <c r="B13" s="41" t="s">
        <v>95</v>
      </c>
      <c r="C13" s="42" t="s">
        <v>96</v>
      </c>
      <c r="D13" s="42" t="s">
        <v>97</v>
      </c>
      <c r="E13" s="43">
        <v>610074869</v>
      </c>
      <c r="F13" s="44">
        <v>1108779</v>
      </c>
      <c r="G13" s="44">
        <v>1009331.4</v>
      </c>
      <c r="H13" s="44">
        <v>1067136</v>
      </c>
      <c r="I13" s="44">
        <v>1043343</v>
      </c>
      <c r="J13" s="44">
        <v>1082596.2</v>
      </c>
      <c r="K13" s="44">
        <v>1052801.3999999999</v>
      </c>
      <c r="L13" s="44">
        <v>1056594</v>
      </c>
      <c r="M13" s="45">
        <v>1131643.8</v>
      </c>
      <c r="N13" s="45">
        <v>962224.2</v>
      </c>
      <c r="O13" s="55">
        <v>1076833.8</v>
      </c>
      <c r="P13" s="46">
        <v>959767.2</v>
      </c>
      <c r="Q13" s="47">
        <v>904652.7</v>
      </c>
      <c r="R13" s="48">
        <f t="shared" si="2"/>
        <v>12455702.699999999</v>
      </c>
      <c r="S13" s="49">
        <f t="shared" si="3"/>
        <v>6000000</v>
      </c>
      <c r="T13" s="49">
        <f>T$2*12-SUM($S13:S13)-SUMPRODUCT(--($F13:$Q13&lt;=T$2),T$2-$F13:$Q13)</f>
        <v>6455702.700000003</v>
      </c>
      <c r="U13" s="49">
        <f>U$2*12-SUM($S13:T13)-SUMPRODUCT(--($F13:$Q13&lt;=U$2),U$2-$F13:$Q13)</f>
        <v>0</v>
      </c>
    </row>
    <row r="14" spans="1:21" x14ac:dyDescent="0.2">
      <c r="A14" s="29">
        <v>9</v>
      </c>
      <c r="B14" s="41" t="s">
        <v>98</v>
      </c>
      <c r="C14" s="42" t="s">
        <v>99</v>
      </c>
      <c r="D14" s="42" t="s">
        <v>100</v>
      </c>
      <c r="E14" s="43">
        <v>2500004</v>
      </c>
      <c r="F14" s="44">
        <v>42113570</v>
      </c>
      <c r="G14" s="44">
        <v>38726690</v>
      </c>
      <c r="H14" s="44">
        <v>42012008</v>
      </c>
      <c r="I14" s="44">
        <v>40858220</v>
      </c>
      <c r="J14" s="44">
        <v>39613368</v>
      </c>
      <c r="K14" s="44">
        <v>39658628</v>
      </c>
      <c r="L14" s="45">
        <v>40571988</v>
      </c>
      <c r="M14" s="45">
        <v>41162272</v>
      </c>
      <c r="N14" s="45">
        <v>38387778</v>
      </c>
      <c r="O14" s="46">
        <v>41469272</v>
      </c>
      <c r="P14" s="46">
        <v>39553724</v>
      </c>
      <c r="Q14" s="47">
        <v>41299864</v>
      </c>
      <c r="R14" s="48">
        <f t="shared" si="2"/>
        <v>485427382</v>
      </c>
      <c r="S14" s="49">
        <f t="shared" si="3"/>
        <v>6000000</v>
      </c>
      <c r="T14" s="49">
        <f>T$2*12-SUM($S14:S14)-SUMPRODUCT(--($F14:$Q14&lt;=T$2),T$2-$F14:$Q14)</f>
        <v>66000000</v>
      </c>
      <c r="U14" s="49">
        <f>U$2*12-SUM($S14:T14)-SUMPRODUCT(--($F14:$Q14&lt;=U$2),U$2-$F14:$Q14)</f>
        <v>413427382</v>
      </c>
    </row>
    <row r="15" spans="1:21" x14ac:dyDescent="0.2">
      <c r="A15" s="29">
        <v>10</v>
      </c>
      <c r="B15" s="41" t="s">
        <v>101</v>
      </c>
      <c r="C15" s="42" t="s">
        <v>102</v>
      </c>
      <c r="D15" s="42" t="s">
        <v>103</v>
      </c>
      <c r="E15" s="43">
        <v>290048778</v>
      </c>
      <c r="F15" s="44">
        <v>5475880.2000000002</v>
      </c>
      <c r="G15" s="44">
        <v>3225600</v>
      </c>
      <c r="H15" s="44">
        <v>5302936.8</v>
      </c>
      <c r="I15" s="44">
        <v>5139876</v>
      </c>
      <c r="J15" s="44">
        <v>5546520</v>
      </c>
      <c r="K15" s="44">
        <v>4880064</v>
      </c>
      <c r="L15" s="45">
        <v>4436115.5999999996</v>
      </c>
      <c r="M15" s="45">
        <v>5475225</v>
      </c>
      <c r="N15" s="45">
        <v>4745651.4000000004</v>
      </c>
      <c r="O15" s="46">
        <v>5373593.4000000004</v>
      </c>
      <c r="P15" s="46">
        <v>4515264.5999999996</v>
      </c>
      <c r="Q15" s="54">
        <v>4882489.5</v>
      </c>
      <c r="R15" s="48">
        <f t="shared" si="2"/>
        <v>58999216.5</v>
      </c>
      <c r="S15" s="49">
        <f t="shared" si="3"/>
        <v>6000000</v>
      </c>
      <c r="T15" s="49">
        <f>T$2*12-SUM($S15:S15)-SUMPRODUCT(--($F15:$Q15&lt;=T$2),T$2-$F15:$Q15)</f>
        <v>52999216.5</v>
      </c>
      <c r="U15" s="49">
        <f>U$2*12-SUM($S15:T15)-SUMPRODUCT(--($F15:$Q15&lt;=U$2),U$2-$F15:$Q15)</f>
        <v>0</v>
      </c>
    </row>
    <row r="16" spans="1:21" x14ac:dyDescent="0.2">
      <c r="A16" s="29">
        <v>11</v>
      </c>
      <c r="B16" s="41" t="s">
        <v>104</v>
      </c>
      <c r="C16" s="42" t="s">
        <v>105</v>
      </c>
      <c r="D16" s="42" t="s">
        <v>106</v>
      </c>
      <c r="E16" s="43">
        <v>2500003</v>
      </c>
      <c r="F16" s="44">
        <v>2675148</v>
      </c>
      <c r="G16" s="44">
        <v>4832542.4000000004</v>
      </c>
      <c r="H16" s="44">
        <v>5366177.5999999996</v>
      </c>
      <c r="I16" s="44">
        <v>5075285.5999999996</v>
      </c>
      <c r="J16" s="44">
        <v>5759633.5999999996</v>
      </c>
      <c r="K16" s="44">
        <v>4983580</v>
      </c>
      <c r="L16" s="45">
        <v>4542300</v>
      </c>
      <c r="M16" s="45">
        <v>5232987.2</v>
      </c>
      <c r="N16" s="45">
        <v>5027002.4009999996</v>
      </c>
      <c r="O16" s="46">
        <v>5821580.7999999998</v>
      </c>
      <c r="P16" s="46">
        <v>5324020.8</v>
      </c>
      <c r="Q16" s="47">
        <v>5382109.5999999996</v>
      </c>
      <c r="R16" s="48">
        <f t="shared" si="2"/>
        <v>60022368.001000002</v>
      </c>
      <c r="S16" s="49">
        <f t="shared" si="3"/>
        <v>6000000</v>
      </c>
      <c r="T16" s="49">
        <f>T$2*12-SUM($S16:S16)-SUMPRODUCT(--($F16:$Q16&lt;=T$2),T$2-$F16:$Q16)</f>
        <v>54022368.001000002</v>
      </c>
      <c r="U16" s="49">
        <f>U$2*12-SUM($S16:T16)-SUMPRODUCT(--($F16:$Q16&lt;=U$2),U$2-$F16:$Q16)</f>
        <v>0</v>
      </c>
    </row>
    <row r="17" spans="1:21" x14ac:dyDescent="0.2">
      <c r="A17" s="29">
        <v>12</v>
      </c>
      <c r="B17" s="41" t="s">
        <v>107</v>
      </c>
      <c r="C17" s="42" t="s">
        <v>108</v>
      </c>
      <c r="D17" s="42" t="s">
        <v>109</v>
      </c>
      <c r="E17" s="43">
        <v>500020</v>
      </c>
      <c r="F17" s="44">
        <v>3200689.8</v>
      </c>
      <c r="G17" s="44">
        <v>2917420.8</v>
      </c>
      <c r="H17" s="44">
        <v>3190861.8</v>
      </c>
      <c r="I17" s="44">
        <v>3189855.9</v>
      </c>
      <c r="J17" s="44">
        <v>4044789</v>
      </c>
      <c r="K17" s="44">
        <v>3911493.6</v>
      </c>
      <c r="L17" s="44">
        <v>4551246</v>
      </c>
      <c r="M17" s="44">
        <v>4441298.4000000004</v>
      </c>
      <c r="N17" s="44">
        <v>3624860.4</v>
      </c>
      <c r="O17" s="56">
        <v>3239193.3</v>
      </c>
      <c r="P17" s="56">
        <v>3056115.3</v>
      </c>
      <c r="Q17" s="57">
        <v>3093191.85</v>
      </c>
      <c r="R17" s="48">
        <f t="shared" si="2"/>
        <v>42461016.149999991</v>
      </c>
      <c r="S17" s="49">
        <f t="shared" si="3"/>
        <v>6000000</v>
      </c>
      <c r="T17" s="49">
        <f>T$2*12-SUM($S17:S17)-SUMPRODUCT(--($F17:$Q17&lt;=T$2),T$2-$F17:$Q17)</f>
        <v>36461016.149999999</v>
      </c>
      <c r="U17" s="49">
        <f>U$2*12-SUM($S17:T17)-SUMPRODUCT(--($F17:$Q17&lt;=U$2),U$2-$F17:$Q17)</f>
        <v>0</v>
      </c>
    </row>
    <row r="18" spans="1:21" x14ac:dyDescent="0.2">
      <c r="A18" s="29">
        <v>13</v>
      </c>
      <c r="B18" s="41" t="s">
        <v>110</v>
      </c>
      <c r="C18" s="42" t="s">
        <v>111</v>
      </c>
      <c r="D18" s="42" t="s">
        <v>112</v>
      </c>
      <c r="E18" s="43">
        <v>1900012</v>
      </c>
      <c r="F18" s="44">
        <v>911570.1</v>
      </c>
      <c r="G18" s="44">
        <v>817296.9</v>
      </c>
      <c r="H18" s="44">
        <v>882348.6</v>
      </c>
      <c r="I18" s="44">
        <v>881155.8</v>
      </c>
      <c r="J18" s="44">
        <v>1073816.1000000001</v>
      </c>
      <c r="K18" s="44">
        <v>1046600.1</v>
      </c>
      <c r="L18" s="45">
        <v>1202604.8999999999</v>
      </c>
      <c r="M18" s="45">
        <v>1199814</v>
      </c>
      <c r="N18" s="45">
        <v>978219.9</v>
      </c>
      <c r="O18" s="46">
        <v>934644.9</v>
      </c>
      <c r="P18" s="46">
        <v>858442.2</v>
      </c>
      <c r="Q18" s="47">
        <v>887575.5</v>
      </c>
      <c r="R18" s="48">
        <f t="shared" si="2"/>
        <v>11674089</v>
      </c>
      <c r="S18" s="49">
        <f t="shared" si="3"/>
        <v>6000000</v>
      </c>
      <c r="T18" s="49">
        <f>T$2*12-SUM($S18:S18)-SUMPRODUCT(--($F18:$Q18&lt;=T$2),T$2-$F18:$Q18)</f>
        <v>5674089</v>
      </c>
      <c r="U18" s="49">
        <f>U$2*12-SUM($S18:T18)-SUMPRODUCT(--($F18:$Q18&lt;=U$2),U$2-$F18:$Q18)</f>
        <v>0</v>
      </c>
    </row>
    <row r="19" spans="1:21" s="58" customFormat="1" x14ac:dyDescent="0.2">
      <c r="A19" s="58">
        <v>14</v>
      </c>
      <c r="B19" s="59" t="s">
        <v>113</v>
      </c>
      <c r="C19" s="60" t="s">
        <v>114</v>
      </c>
      <c r="D19" s="60" t="s">
        <v>115</v>
      </c>
      <c r="E19" s="61">
        <v>2400169</v>
      </c>
      <c r="F19" s="44">
        <v>889757.4</v>
      </c>
      <c r="G19" s="44">
        <v>844967.4</v>
      </c>
      <c r="H19" s="44">
        <v>962325</v>
      </c>
      <c r="I19" s="44">
        <v>864949.2</v>
      </c>
      <c r="J19" s="44">
        <v>926184</v>
      </c>
      <c r="K19" s="44">
        <v>881078.4</v>
      </c>
      <c r="L19" s="45">
        <v>904692</v>
      </c>
      <c r="M19" s="45">
        <v>991965</v>
      </c>
      <c r="N19" s="45">
        <v>957684.6</v>
      </c>
      <c r="O19" s="55">
        <v>1042830.6</v>
      </c>
      <c r="P19" s="55">
        <v>790020.6</v>
      </c>
      <c r="Q19" s="54">
        <v>875425.8</v>
      </c>
      <c r="R19" s="62">
        <f t="shared" si="2"/>
        <v>10931880</v>
      </c>
      <c r="S19" s="63">
        <f t="shared" si="3"/>
        <v>6000000</v>
      </c>
      <c r="T19" s="63">
        <f>T$2*12-SUM($S19:S19)-SUMPRODUCT(--($F19:$Q19&lt;=T$2),T$2-$F19:$Q19)</f>
        <v>4931880</v>
      </c>
      <c r="U19" s="49">
        <f>U$2*12-SUM($S19:T19)-SUMPRODUCT(--($F19:$Q19&lt;=U$2),U$2-$F19:$Q19)</f>
        <v>0</v>
      </c>
    </row>
    <row r="20" spans="1:21" x14ac:dyDescent="0.2">
      <c r="A20" s="29">
        <v>15</v>
      </c>
      <c r="B20" s="41" t="s">
        <v>116</v>
      </c>
      <c r="C20" s="42" t="s">
        <v>117</v>
      </c>
      <c r="D20" s="42" t="s">
        <v>118</v>
      </c>
      <c r="E20" s="43">
        <v>690067830</v>
      </c>
      <c r="F20" s="44">
        <v>1270193.3999999999</v>
      </c>
      <c r="G20" s="44">
        <v>1112622</v>
      </c>
      <c r="H20" s="44">
        <v>1160409.6000000001</v>
      </c>
      <c r="I20" s="44">
        <v>1219999.2</v>
      </c>
      <c r="J20" s="44">
        <v>1452465</v>
      </c>
      <c r="K20" s="44">
        <v>1443086.4</v>
      </c>
      <c r="L20" s="45">
        <v>1530123</v>
      </c>
      <c r="M20" s="45">
        <v>1495053</v>
      </c>
      <c r="N20" s="45">
        <v>1277089.8</v>
      </c>
      <c r="O20" s="46">
        <v>1209801.6000000001</v>
      </c>
      <c r="P20" s="55">
        <v>1110093.6000000001</v>
      </c>
      <c r="Q20" s="47">
        <v>1091279.7009999999</v>
      </c>
      <c r="R20" s="48">
        <f t="shared" si="2"/>
        <v>15372216.300999999</v>
      </c>
      <c r="S20" s="49">
        <f t="shared" si="3"/>
        <v>6000000</v>
      </c>
      <c r="T20" s="49">
        <f>T$2*12-SUM($S20:S20)-SUMPRODUCT(--($F20:$Q20&lt;=T$2),T$2-$F20:$Q20)</f>
        <v>9372216.300999999</v>
      </c>
      <c r="U20" s="49">
        <f>U$2*12-SUM($S20:T20)-SUMPRODUCT(--($F20:$Q20&lt;=U$2),U$2-$F20:$Q20)</f>
        <v>0</v>
      </c>
    </row>
    <row r="21" spans="1:21" x14ac:dyDescent="0.2">
      <c r="A21" s="29">
        <v>16</v>
      </c>
      <c r="B21" s="41" t="s">
        <v>119</v>
      </c>
      <c r="C21" s="42" t="s">
        <v>120</v>
      </c>
      <c r="D21" s="42" t="s">
        <v>121</v>
      </c>
      <c r="E21" s="43">
        <v>1300001</v>
      </c>
      <c r="F21" s="44">
        <v>2358092.7999999998</v>
      </c>
      <c r="G21" s="44">
        <v>2190658.4</v>
      </c>
      <c r="H21" s="44">
        <v>2360405.6</v>
      </c>
      <c r="I21" s="44">
        <v>2160110.4</v>
      </c>
      <c r="J21" s="44">
        <v>1789183.2</v>
      </c>
      <c r="K21" s="44">
        <v>2045484</v>
      </c>
      <c r="L21" s="45">
        <v>1923790.4</v>
      </c>
      <c r="M21" s="45">
        <v>1989926.4</v>
      </c>
      <c r="N21" s="45">
        <v>1954489.6</v>
      </c>
      <c r="O21" s="46">
        <v>2159164</v>
      </c>
      <c r="P21" s="46">
        <v>2107380.7999999998</v>
      </c>
      <c r="Q21" s="47">
        <v>2255610</v>
      </c>
      <c r="R21" s="48">
        <f t="shared" si="2"/>
        <v>25294295.600000001</v>
      </c>
      <c r="S21" s="49">
        <f t="shared" si="3"/>
        <v>6000000</v>
      </c>
      <c r="T21" s="49">
        <f>T$2*12-SUM($S21:S21)-SUMPRODUCT(--($F21:$Q21&lt;=T$2),T$2-$F21:$Q21)</f>
        <v>19294295.599999994</v>
      </c>
      <c r="U21" s="49">
        <f>U$2*12-SUM($S21:T21)-SUMPRODUCT(--($F21:$Q21&lt;=U$2),U$2-$F21:$Q21)</f>
        <v>0</v>
      </c>
    </row>
    <row r="22" spans="1:21" x14ac:dyDescent="0.2">
      <c r="A22" s="29">
        <v>17</v>
      </c>
      <c r="B22" s="41" t="s">
        <v>122</v>
      </c>
      <c r="C22" s="42" t="s">
        <v>123</v>
      </c>
      <c r="D22" s="42" t="s">
        <v>124</v>
      </c>
      <c r="E22" s="43">
        <v>290081951</v>
      </c>
      <c r="F22" s="44">
        <v>2503933.6</v>
      </c>
      <c r="G22" s="44">
        <v>2509035.2000000002</v>
      </c>
      <c r="H22" s="44">
        <v>2568546.4</v>
      </c>
      <c r="I22" s="44">
        <v>2359705.6000000001</v>
      </c>
      <c r="J22" s="44">
        <v>2259538.4</v>
      </c>
      <c r="K22" s="44">
        <v>2136456</v>
      </c>
      <c r="L22" s="45">
        <v>2168320</v>
      </c>
      <c r="M22" s="45">
        <v>2295686.4</v>
      </c>
      <c r="N22" s="44">
        <v>2237127.2000000002</v>
      </c>
      <c r="O22" s="46">
        <v>2436683.2000000002</v>
      </c>
      <c r="P22" s="46">
        <v>2370692.7999999998</v>
      </c>
      <c r="Q22" s="54">
        <v>2555655.2000000002</v>
      </c>
      <c r="R22" s="48">
        <f t="shared" si="2"/>
        <v>28401380</v>
      </c>
      <c r="S22" s="49">
        <f t="shared" si="3"/>
        <v>6000000</v>
      </c>
      <c r="T22" s="49">
        <f>T$2*12-SUM($S22:S22)-SUMPRODUCT(--($F22:$Q22&lt;=T$2),T$2-$F22:$Q22)</f>
        <v>22401380</v>
      </c>
      <c r="U22" s="49">
        <f>U$2*12-SUM($S22:T22)-SUMPRODUCT(--($F22:$Q22&lt;=U$2),U$2-$F22:$Q22)</f>
        <v>0</v>
      </c>
    </row>
    <row r="23" spans="1:21" x14ac:dyDescent="0.2">
      <c r="A23" s="29">
        <v>18</v>
      </c>
      <c r="B23" s="41" t="s">
        <v>125</v>
      </c>
      <c r="C23" s="42" t="s">
        <v>126</v>
      </c>
      <c r="D23" s="42" t="s">
        <v>127</v>
      </c>
      <c r="E23" s="43">
        <v>500033</v>
      </c>
      <c r="F23" s="44">
        <v>4357473</v>
      </c>
      <c r="G23" s="44">
        <v>3896860</v>
      </c>
      <c r="H23" s="44">
        <v>3695622</v>
      </c>
      <c r="I23" s="44">
        <v>3595240</v>
      </c>
      <c r="J23" s="44">
        <v>4259323</v>
      </c>
      <c r="K23" s="44">
        <v>4201313</v>
      </c>
      <c r="L23" s="45">
        <v>5094661.29</v>
      </c>
      <c r="M23" s="45">
        <v>5131098.29</v>
      </c>
      <c r="N23" s="45">
        <v>4086204.3</v>
      </c>
      <c r="O23" s="46">
        <v>3815254.08</v>
      </c>
      <c r="P23" s="46">
        <v>3722507</v>
      </c>
      <c r="Q23" s="54">
        <v>3968524.87</v>
      </c>
      <c r="R23" s="48">
        <f t="shared" si="2"/>
        <v>49824080.829999991</v>
      </c>
      <c r="S23" s="49">
        <f t="shared" si="3"/>
        <v>6000000</v>
      </c>
      <c r="T23" s="49">
        <f>T$2*12-SUM($S23:S23)-SUMPRODUCT(--($F23:$Q23&lt;=T$2),T$2-$F23:$Q23)</f>
        <v>43824080.829999998</v>
      </c>
      <c r="U23" s="49">
        <f>U$2*12-SUM($S23:T23)-SUMPRODUCT(--($F23:$Q23&lt;=U$2),U$2-$F23:$Q23)</f>
        <v>0</v>
      </c>
    </row>
    <row r="24" spans="1:21" x14ac:dyDescent="0.2">
      <c r="A24" s="29">
        <v>19</v>
      </c>
      <c r="B24" s="41" t="s">
        <v>128</v>
      </c>
      <c r="C24" s="42" t="s">
        <v>129</v>
      </c>
      <c r="D24" s="42" t="s">
        <v>130</v>
      </c>
      <c r="E24" s="43">
        <v>410031282</v>
      </c>
      <c r="F24" s="44">
        <v>3294921</v>
      </c>
      <c r="G24" s="44">
        <v>2997090.6</v>
      </c>
      <c r="H24" s="44">
        <v>3210345.6</v>
      </c>
      <c r="I24" s="44">
        <v>3063408.6</v>
      </c>
      <c r="J24" s="44">
        <v>2906194.2</v>
      </c>
      <c r="K24" s="44">
        <v>2811337.2</v>
      </c>
      <c r="L24" s="45">
        <v>2954351.4</v>
      </c>
      <c r="M24" s="45">
        <v>2975448</v>
      </c>
      <c r="N24" s="45">
        <v>2907105.6</v>
      </c>
      <c r="O24" s="46">
        <v>3094039.2</v>
      </c>
      <c r="P24" s="46">
        <v>3162175.8</v>
      </c>
      <c r="Q24" s="47">
        <v>3309637.8</v>
      </c>
      <c r="R24" s="48">
        <f t="shared" si="2"/>
        <v>36686055</v>
      </c>
      <c r="S24" s="49">
        <f t="shared" si="3"/>
        <v>6000000</v>
      </c>
      <c r="T24" s="49">
        <f>T$2*12-SUM($S24:S24)-SUMPRODUCT(--($F24:$Q24&lt;=T$2),T$2-$F24:$Q24)</f>
        <v>30686055</v>
      </c>
      <c r="U24" s="49">
        <f>U$2*12-SUM($S24:T24)-SUMPRODUCT(--($F24:$Q24&lt;=U$2),U$2-$F24:$Q24)</f>
        <v>0</v>
      </c>
    </row>
    <row r="25" spans="1:21" x14ac:dyDescent="0.2">
      <c r="A25" s="29">
        <v>20</v>
      </c>
      <c r="B25" s="41" t="s">
        <v>131</v>
      </c>
      <c r="C25" s="42" t="s">
        <v>132</v>
      </c>
      <c r="D25" s="42" t="s">
        <v>133</v>
      </c>
      <c r="E25" s="43">
        <v>500032</v>
      </c>
      <c r="F25" s="64">
        <v>2586936</v>
      </c>
      <c r="G25" s="64">
        <v>2474712</v>
      </c>
      <c r="H25" s="64">
        <v>2788048</v>
      </c>
      <c r="I25" s="64">
        <v>2708744</v>
      </c>
      <c r="J25" s="64">
        <v>2555544</v>
      </c>
      <c r="K25" s="64">
        <v>2409704</v>
      </c>
      <c r="L25" s="64">
        <v>2499608</v>
      </c>
      <c r="M25" s="64">
        <v>2613272</v>
      </c>
      <c r="N25" s="64">
        <v>2564312</v>
      </c>
      <c r="O25" s="65">
        <v>2750072</v>
      </c>
      <c r="P25" s="65">
        <v>2713584</v>
      </c>
      <c r="Q25" s="66">
        <v>2854344.4240000001</v>
      </c>
      <c r="R25" s="67">
        <f t="shared" si="2"/>
        <v>31518880.423999999</v>
      </c>
      <c r="S25" s="49">
        <f t="shared" si="3"/>
        <v>6000000</v>
      </c>
      <c r="T25" s="49">
        <f>T$2*12-SUM($S25:S25)-SUMPRODUCT(--($F25:$Q25&lt;=T$2),T$2-$F25:$Q25)</f>
        <v>25518880.424000002</v>
      </c>
      <c r="U25" s="49">
        <f>U$2*12-SUM($S25:T25)-SUMPRODUCT(--($F25:$Q25&lt;=U$2),U$2-$F25:$Q25)</f>
        <v>0</v>
      </c>
    </row>
    <row r="26" spans="1:21" x14ac:dyDescent="0.2">
      <c r="A26" s="29">
        <v>21</v>
      </c>
      <c r="B26" s="41" t="s">
        <v>134</v>
      </c>
      <c r="C26" s="42" t="s">
        <v>135</v>
      </c>
      <c r="D26" s="42" t="s">
        <v>136</v>
      </c>
      <c r="E26" s="43">
        <v>500034</v>
      </c>
      <c r="F26" s="64">
        <v>2369852.7999999998</v>
      </c>
      <c r="G26" s="64">
        <v>2230491.2000000002</v>
      </c>
      <c r="H26" s="64">
        <v>2259040</v>
      </c>
      <c r="I26" s="64">
        <v>2340637.6</v>
      </c>
      <c r="J26" s="64">
        <v>2228816.7999999998</v>
      </c>
      <c r="K26" s="64">
        <v>2189023.2000000002</v>
      </c>
      <c r="L26" s="64">
        <v>3213347.2</v>
      </c>
      <c r="M26" s="64">
        <v>3415423.2</v>
      </c>
      <c r="N26" s="64">
        <v>2857607.2</v>
      </c>
      <c r="O26" s="68">
        <v>2567745.6</v>
      </c>
      <c r="P26" s="68">
        <v>2208488.7999999998</v>
      </c>
      <c r="Q26" s="69">
        <v>2141949.6</v>
      </c>
      <c r="R26" s="67">
        <f t="shared" si="2"/>
        <v>30022423.199999999</v>
      </c>
      <c r="S26" s="49">
        <f t="shared" si="3"/>
        <v>6000000</v>
      </c>
      <c r="T26" s="49">
        <f>T$2*12-SUM($S26:S26)-SUMPRODUCT(--($F26:$Q26&lt;=T$2),T$2-$F26:$Q26)</f>
        <v>24022423.199999996</v>
      </c>
      <c r="U26" s="49">
        <f>U$2*12-SUM($S26:T26)-SUMPRODUCT(--($F26:$Q26&lt;=U$2),U$2-$F26:$Q26)</f>
        <v>0</v>
      </c>
    </row>
    <row r="27" spans="1:21" ht="13.9" customHeight="1" thickBot="1" x14ac:dyDescent="0.25">
      <c r="A27" s="29" t="s">
        <v>137</v>
      </c>
      <c r="C27" s="70" t="s">
        <v>138</v>
      </c>
      <c r="E27" s="29" t="s">
        <v>139</v>
      </c>
      <c r="F27" s="71">
        <f t="shared" ref="F27:Q27" si="4">SUM(F4:F26)</f>
        <v>93238368.5</v>
      </c>
      <c r="G27" s="71">
        <f t="shared" si="4"/>
        <v>87059587.700000018</v>
      </c>
      <c r="H27" s="71">
        <f t="shared" si="4"/>
        <v>95150558.299999967</v>
      </c>
      <c r="I27" s="71">
        <f t="shared" si="4"/>
        <v>92496437</v>
      </c>
      <c r="J27" s="71">
        <f t="shared" si="4"/>
        <v>94067376.899999991</v>
      </c>
      <c r="K27" s="71">
        <f t="shared" si="4"/>
        <v>91430986</v>
      </c>
      <c r="L27" s="71">
        <f t="shared" si="4"/>
        <v>95462593.190000027</v>
      </c>
      <c r="M27" s="71">
        <f t="shared" si="4"/>
        <v>98727948.690000027</v>
      </c>
      <c r="N27" s="71">
        <f t="shared" si="4"/>
        <v>89411353.70099999</v>
      </c>
      <c r="O27" s="71">
        <f>SUM(O4:O26)</f>
        <v>95120660.879999995</v>
      </c>
      <c r="P27" s="71">
        <f t="shared" si="4"/>
        <v>88922599.899999976</v>
      </c>
      <c r="Q27" s="72">
        <f t="shared" si="4"/>
        <v>92475540.936999992</v>
      </c>
      <c r="R27" s="73">
        <f>IF(ROUND(SUM(R4:R26),0)&lt;&gt;ROUND(SUM(F27:Q27),0),#VALUE!,SUM(R4:R26))</f>
        <v>1113564011.698</v>
      </c>
      <c r="S27" s="74">
        <f>SUM(S4:S26)</f>
        <v>138000000</v>
      </c>
      <c r="T27" s="74">
        <f>SUM(T4:T26)</f>
        <v>561355022.898</v>
      </c>
      <c r="U27" s="74">
        <f>SUM(U4:U26)</f>
        <v>414208988.79999995</v>
      </c>
    </row>
    <row r="28" spans="1:21" ht="13.9" customHeight="1" thickTop="1" x14ac:dyDescent="0.2">
      <c r="F28" s="58"/>
      <c r="G28" s="58"/>
      <c r="H28" s="58"/>
      <c r="I28" s="58"/>
      <c r="J28" s="58"/>
      <c r="K28" s="58"/>
      <c r="L28" s="58"/>
      <c r="M28" s="58"/>
      <c r="N28" s="58"/>
      <c r="O28" s="75"/>
      <c r="P28" s="75"/>
      <c r="Q28" s="76"/>
      <c r="S28" s="77"/>
      <c r="T28" s="77"/>
      <c r="U28" s="78">
        <f>SUM(S27:U27)</f>
        <v>1113564011.698</v>
      </c>
    </row>
    <row r="29" spans="1:21" ht="12.75" customHeight="1" x14ac:dyDescent="0.2">
      <c r="A29" s="29" t="s">
        <v>140</v>
      </c>
      <c r="F29" s="44">
        <v>85895739.5</v>
      </c>
      <c r="G29" s="44">
        <v>82389792.700000003</v>
      </c>
      <c r="H29" s="44">
        <v>59452404.5</v>
      </c>
      <c r="I29" s="44">
        <v>91719050</v>
      </c>
      <c r="J29" s="44">
        <v>50375927.600000001</v>
      </c>
      <c r="K29" s="44">
        <v>94067376.900000006</v>
      </c>
      <c r="L29" s="44">
        <v>91430986</v>
      </c>
      <c r="M29" s="44">
        <v>95462593.189999998</v>
      </c>
      <c r="N29" s="44">
        <v>98727948.689999998</v>
      </c>
      <c r="O29" s="79">
        <v>89411353.701000005</v>
      </c>
      <c r="P29" s="79">
        <v>95120660.879999995</v>
      </c>
      <c r="Q29" s="80">
        <v>88922599.900000006</v>
      </c>
      <c r="R29" s="48">
        <f>SUM(F29:Q29)</f>
        <v>1022976433.5610001</v>
      </c>
    </row>
    <row r="30" spans="1:21" ht="12.75" customHeight="1" x14ac:dyDescent="0.25">
      <c r="A30" s="37" t="s">
        <v>141</v>
      </c>
      <c r="B30" s="37"/>
      <c r="C30" s="37"/>
      <c r="D30" s="37"/>
      <c r="F30" s="5">
        <v>11830759</v>
      </c>
      <c r="G30" s="5">
        <v>16075679</v>
      </c>
      <c r="H30" s="5">
        <v>45932134</v>
      </c>
      <c r="I30" s="5">
        <f>44453460+5446758</f>
        <v>49900218</v>
      </c>
      <c r="J30" s="5">
        <v>92404792</v>
      </c>
      <c r="K30" s="5">
        <v>94046228</v>
      </c>
      <c r="L30" s="5">
        <v>95141639</v>
      </c>
      <c r="M30" s="5">
        <v>98894442</v>
      </c>
      <c r="N30" s="5">
        <v>89933574</v>
      </c>
      <c r="O30" s="81">
        <v>95301943</v>
      </c>
      <c r="P30" s="82">
        <v>87801605</v>
      </c>
      <c r="Q30" s="83">
        <v>92515285</v>
      </c>
      <c r="R30" s="48">
        <f>SUM(F30:Q30)</f>
        <v>869778298</v>
      </c>
    </row>
    <row r="31" spans="1:21" ht="12.75" customHeight="1" x14ac:dyDescent="0.25">
      <c r="A31" s="37" t="s">
        <v>142</v>
      </c>
      <c r="B31" s="37"/>
      <c r="C31" s="37"/>
      <c r="D31" s="37"/>
      <c r="F31" s="5">
        <v>-2136242</v>
      </c>
      <c r="G31" s="5">
        <v>-11830759</v>
      </c>
      <c r="H31" s="5">
        <v>-16075679</v>
      </c>
      <c r="I31" s="5">
        <v>-45932134</v>
      </c>
      <c r="J31" s="5">
        <f>-44453460-5446758</f>
        <v>-49900218</v>
      </c>
      <c r="K31" s="5">
        <v>-92404792</v>
      </c>
      <c r="L31" s="5">
        <v>-94046228</v>
      </c>
      <c r="M31" s="5">
        <v>-95141639</v>
      </c>
      <c r="N31" s="5">
        <v>-98894442</v>
      </c>
      <c r="O31" s="81">
        <v>-89933574</v>
      </c>
      <c r="P31" s="82">
        <v>-95301943</v>
      </c>
      <c r="Q31" s="83">
        <v>-87801605</v>
      </c>
      <c r="R31" s="48">
        <f t="shared" ref="R31:R35" si="5">SUM(F31:Q31)</f>
        <v>-779399255</v>
      </c>
    </row>
    <row r="32" spans="1:21" ht="12.75" customHeight="1" x14ac:dyDescent="0.2">
      <c r="A32" s="84" t="s">
        <v>143</v>
      </c>
      <c r="B32" s="84"/>
      <c r="C32" s="84"/>
      <c r="D32" s="84"/>
      <c r="F32" s="44">
        <v>0</v>
      </c>
      <c r="G32" s="44">
        <v>424875</v>
      </c>
      <c r="H32" s="44">
        <v>6266574</v>
      </c>
      <c r="I32" s="44">
        <v>3075877</v>
      </c>
      <c r="J32" s="44">
        <v>4262752</v>
      </c>
      <c r="K32" s="44">
        <v>-15075</v>
      </c>
      <c r="L32" s="44">
        <v>2921121</v>
      </c>
      <c r="M32" s="44">
        <v>2433674</v>
      </c>
      <c r="N32" s="44">
        <v>2077947</v>
      </c>
      <c r="O32" s="55">
        <v>2418885</v>
      </c>
      <c r="P32" s="55">
        <v>3721162</v>
      </c>
      <c r="Q32" s="54">
        <v>2560423</v>
      </c>
      <c r="R32" s="48">
        <f t="shared" si="5"/>
        <v>30148215</v>
      </c>
    </row>
    <row r="33" spans="1:21" ht="12.75" customHeight="1" x14ac:dyDescent="0.2">
      <c r="A33" s="84" t="s">
        <v>144</v>
      </c>
      <c r="B33" s="84"/>
      <c r="C33" s="84"/>
      <c r="D33" s="84"/>
      <c r="F33" s="44">
        <v>-2351888</v>
      </c>
      <c r="G33" s="44">
        <f>-F32</f>
        <v>0</v>
      </c>
      <c r="H33" s="44">
        <f t="shared" ref="H33:Q33" si="6">-G32</f>
        <v>-424875</v>
      </c>
      <c r="I33" s="44">
        <f t="shared" si="6"/>
        <v>-6266574</v>
      </c>
      <c r="J33" s="44">
        <f t="shared" si="6"/>
        <v>-3075877</v>
      </c>
      <c r="K33" s="44">
        <f t="shared" si="6"/>
        <v>-4262752</v>
      </c>
      <c r="L33" s="44">
        <f t="shared" si="6"/>
        <v>15075</v>
      </c>
      <c r="M33" s="44">
        <f t="shared" si="6"/>
        <v>-2921121</v>
      </c>
      <c r="N33" s="44">
        <f t="shared" si="6"/>
        <v>-2433674</v>
      </c>
      <c r="O33" s="79">
        <f>-N32</f>
        <v>-2077947</v>
      </c>
      <c r="P33" s="79">
        <f t="shared" si="6"/>
        <v>-2418885</v>
      </c>
      <c r="Q33" s="80">
        <f t="shared" si="6"/>
        <v>-3721162</v>
      </c>
      <c r="R33" s="48">
        <f t="shared" si="5"/>
        <v>-29939680</v>
      </c>
    </row>
    <row r="34" spans="1:21" ht="12.75" customHeight="1" x14ac:dyDescent="0.2">
      <c r="A34" s="37"/>
      <c r="B34" s="84"/>
      <c r="C34" s="84"/>
      <c r="D34" s="84"/>
      <c r="F34" s="85"/>
      <c r="G34" s="85"/>
      <c r="H34" s="85"/>
      <c r="I34" s="85"/>
      <c r="J34" s="85"/>
      <c r="K34" s="85"/>
      <c r="L34" s="85"/>
      <c r="M34" s="85"/>
      <c r="N34" s="85"/>
      <c r="O34" s="56"/>
      <c r="P34" s="56"/>
      <c r="Q34" s="57"/>
      <c r="R34" s="48">
        <f t="shared" si="5"/>
        <v>0</v>
      </c>
    </row>
    <row r="35" spans="1:21" ht="12.75" customHeight="1" x14ac:dyDescent="0.2">
      <c r="A35" s="86"/>
      <c r="B35" s="86"/>
      <c r="C35" s="86"/>
      <c r="D35" s="86"/>
      <c r="F35" s="85"/>
      <c r="G35" s="85"/>
      <c r="H35" s="85"/>
      <c r="I35" s="85"/>
      <c r="J35" s="85"/>
      <c r="K35" s="85"/>
      <c r="L35" s="85"/>
      <c r="M35" s="85"/>
      <c r="N35" s="85"/>
      <c r="O35" s="56"/>
      <c r="P35" s="56"/>
      <c r="Q35" s="57"/>
      <c r="R35" s="48">
        <f t="shared" si="5"/>
        <v>0</v>
      </c>
    </row>
    <row r="36" spans="1:21" ht="12.75" customHeight="1" thickBot="1" x14ac:dyDescent="0.25">
      <c r="A36" s="87" t="s">
        <v>145</v>
      </c>
      <c r="B36" s="87"/>
      <c r="C36" s="87"/>
      <c r="D36" s="87"/>
      <c r="F36" s="71">
        <f>SUM(F29:F35)</f>
        <v>93238368.5</v>
      </c>
      <c r="G36" s="71">
        <f t="shared" ref="G36:L36" si="7">SUM(G29:G35)</f>
        <v>87059587.700000003</v>
      </c>
      <c r="H36" s="71">
        <f t="shared" si="7"/>
        <v>95150558.5</v>
      </c>
      <c r="I36" s="71">
        <f t="shared" si="7"/>
        <v>92496437</v>
      </c>
      <c r="J36" s="71">
        <f t="shared" si="7"/>
        <v>94067376.599999994</v>
      </c>
      <c r="K36" s="71">
        <f t="shared" si="7"/>
        <v>91430985.900000006</v>
      </c>
      <c r="L36" s="71">
        <f t="shared" si="7"/>
        <v>95462593</v>
      </c>
      <c r="M36" s="71">
        <f>SUM(M29:M35)</f>
        <v>98727949.189999998</v>
      </c>
      <c r="N36" s="71">
        <f>SUM(N29:N35)</f>
        <v>89411353.689999998</v>
      </c>
      <c r="O36" s="71">
        <f t="shared" ref="O36:Q36" si="8">SUM(O29:O35)</f>
        <v>95120660.701000005</v>
      </c>
      <c r="P36" s="71">
        <f t="shared" si="8"/>
        <v>88922599.879999995</v>
      </c>
      <c r="Q36" s="72">
        <f t="shared" si="8"/>
        <v>92475540.900000006</v>
      </c>
      <c r="R36" s="88">
        <f>IF(ROUND(SUM(R29:R35),0)&lt;&gt;ROUND(SUM(F36:Q36),0),#VALUE!,SUM(R29:R35))</f>
        <v>1113564011.5610001</v>
      </c>
    </row>
    <row r="37" spans="1:21" ht="12.75" customHeight="1" thickTop="1" x14ac:dyDescent="0.2">
      <c r="B37" s="87"/>
      <c r="C37" s="87"/>
      <c r="D37" s="87"/>
      <c r="F37" s="89">
        <f t="shared" ref="F37:I37" si="9">F36-F27</f>
        <v>0</v>
      </c>
      <c r="G37" s="89">
        <f t="shared" si="9"/>
        <v>0</v>
      </c>
      <c r="H37" s="89">
        <f t="shared" si="9"/>
        <v>0.20000003278255463</v>
      </c>
      <c r="I37" s="89">
        <f t="shared" si="9"/>
        <v>0</v>
      </c>
      <c r="J37" s="89">
        <f>J36-J27</f>
        <v>-0.29999999701976776</v>
      </c>
      <c r="K37" s="89">
        <f t="shared" ref="K37:Q37" si="10">K36-K27</f>
        <v>-9.9999994039535522E-2</v>
      </c>
      <c r="L37" s="89">
        <f t="shared" si="10"/>
        <v>-0.1900000274181366</v>
      </c>
      <c r="M37" s="89">
        <f t="shared" si="10"/>
        <v>0.49999997019767761</v>
      </c>
      <c r="N37" s="89">
        <f t="shared" si="10"/>
        <v>-1.0999992489814758E-2</v>
      </c>
      <c r="O37" s="90">
        <f t="shared" si="10"/>
        <v>-0.17899999022483826</v>
      </c>
      <c r="P37" s="90">
        <f t="shared" si="10"/>
        <v>-1.9999980926513672E-2</v>
      </c>
      <c r="Q37" s="91">
        <f t="shared" si="10"/>
        <v>-3.6999985575675964E-2</v>
      </c>
      <c r="R37" s="92">
        <f>R36-R27</f>
        <v>-0.13699984550476074</v>
      </c>
    </row>
    <row r="38" spans="1:21" ht="13.15" customHeight="1" x14ac:dyDescent="0.2">
      <c r="B38" s="93"/>
      <c r="C38" s="93"/>
      <c r="D38" s="93"/>
      <c r="E38" s="93"/>
      <c r="F38" s="94"/>
      <c r="G38" s="94"/>
      <c r="H38" s="94"/>
      <c r="I38" s="94"/>
      <c r="J38" s="94"/>
      <c r="K38" s="94"/>
      <c r="L38" s="94"/>
      <c r="M38" s="94"/>
      <c r="N38" s="94"/>
      <c r="O38" s="95"/>
      <c r="P38" s="95"/>
      <c r="Q38" s="96"/>
      <c r="R38" s="97"/>
    </row>
    <row r="39" spans="1:21" ht="13.15" customHeight="1" x14ac:dyDescent="0.2">
      <c r="B39" s="93"/>
      <c r="C39" s="93"/>
      <c r="D39" s="93"/>
      <c r="E39" s="93"/>
      <c r="F39" s="94"/>
      <c r="G39" s="94"/>
      <c r="H39" s="94"/>
      <c r="I39" s="94"/>
      <c r="J39" s="94"/>
      <c r="K39" s="94"/>
      <c r="L39" s="94"/>
      <c r="M39" s="94"/>
      <c r="N39" s="94"/>
      <c r="O39" s="95"/>
      <c r="P39" s="95"/>
      <c r="Q39" s="96"/>
    </row>
    <row r="40" spans="1:21" ht="13.15" customHeight="1" x14ac:dyDescent="0.2">
      <c r="A40" s="35" t="s">
        <v>146</v>
      </c>
      <c r="B40" s="35"/>
      <c r="C40" s="35"/>
      <c r="D40" s="35"/>
      <c r="F40" s="98">
        <f>F$3</f>
        <v>43101</v>
      </c>
      <c r="G40" s="98">
        <f t="shared" ref="G40:Q40" si="11">G$3</f>
        <v>43132</v>
      </c>
      <c r="H40" s="98">
        <f t="shared" si="11"/>
        <v>43163</v>
      </c>
      <c r="I40" s="98">
        <f t="shared" si="11"/>
        <v>43194</v>
      </c>
      <c r="J40" s="98">
        <f t="shared" si="11"/>
        <v>43225</v>
      </c>
      <c r="K40" s="98">
        <f t="shared" si="11"/>
        <v>43256</v>
      </c>
      <c r="L40" s="98">
        <f t="shared" si="11"/>
        <v>43287</v>
      </c>
      <c r="M40" s="98">
        <f t="shared" si="11"/>
        <v>43318</v>
      </c>
      <c r="N40" s="98">
        <f t="shared" si="11"/>
        <v>43349</v>
      </c>
      <c r="O40" s="39">
        <f t="shared" si="11"/>
        <v>43380</v>
      </c>
      <c r="P40" s="39">
        <f t="shared" si="11"/>
        <v>43411</v>
      </c>
      <c r="Q40" s="99">
        <f t="shared" si="11"/>
        <v>43442</v>
      </c>
      <c r="R40" s="32" t="s">
        <v>12</v>
      </c>
      <c r="S40" s="30" t="s">
        <v>147</v>
      </c>
      <c r="T40" s="30" t="s">
        <v>148</v>
      </c>
      <c r="U40" s="30"/>
    </row>
    <row r="41" spans="1:21" ht="13.15" customHeight="1" x14ac:dyDescent="0.2">
      <c r="A41" s="29">
        <v>1</v>
      </c>
      <c r="B41" s="100" t="str">
        <f>B4</f>
        <v>Goodrich - North 2311008572</v>
      </c>
      <c r="C41" s="101" t="str">
        <f>C4</f>
        <v>2317650000</v>
      </c>
      <c r="D41" s="101" t="str">
        <f>D4</f>
        <v>2311008572</v>
      </c>
      <c r="E41" s="41">
        <v>770037736</v>
      </c>
      <c r="F41" s="44">
        <v>9397.4339999999993</v>
      </c>
      <c r="G41" s="44">
        <v>10808.555</v>
      </c>
      <c r="H41" s="44">
        <v>10876.92</v>
      </c>
      <c r="I41" s="44">
        <v>12189.222</v>
      </c>
      <c r="J41" s="44">
        <v>10398.216</v>
      </c>
      <c r="K41" s="44">
        <v>11271.489</v>
      </c>
      <c r="L41" s="44">
        <v>10980.262000000001</v>
      </c>
      <c r="M41" s="44">
        <v>11527.986000000001</v>
      </c>
      <c r="N41" s="44">
        <v>10716.938</v>
      </c>
      <c r="O41" s="46">
        <v>11924.82</v>
      </c>
      <c r="P41" s="46">
        <v>10440.25</v>
      </c>
      <c r="Q41" s="47">
        <v>10616.861999999999</v>
      </c>
      <c r="R41" s="48">
        <f t="shared" ref="R41:R63" si="12">SUM(F41:Q41)</f>
        <v>131148.954</v>
      </c>
      <c r="S41" s="102">
        <f>MAX(F41:Q41)</f>
        <v>12189.222</v>
      </c>
      <c r="T41" s="103">
        <f>INDEX($F$40:$Q$40,MATCH(S41,$F41:$Q41,0))</f>
        <v>43194</v>
      </c>
      <c r="U41" s="32"/>
    </row>
    <row r="42" spans="1:21" ht="13.15" customHeight="1" x14ac:dyDescent="0.2">
      <c r="A42" s="29">
        <v>22</v>
      </c>
      <c r="B42" s="100" t="str">
        <f t="shared" ref="B42:D57" si="13">B5</f>
        <v>Goodrich - South 2311155858 (No PVD)</v>
      </c>
      <c r="C42" s="101" t="str">
        <f t="shared" si="13"/>
        <v>2317650000</v>
      </c>
      <c r="D42" s="101">
        <f t="shared" si="13"/>
        <v>2311155858</v>
      </c>
      <c r="E42" s="29" t="s">
        <v>73</v>
      </c>
      <c r="F42" s="50">
        <v>2039</v>
      </c>
      <c r="G42" s="50">
        <v>2084</v>
      </c>
      <c r="H42" s="50">
        <v>2418.837</v>
      </c>
      <c r="I42" s="50">
        <v>2431.6640000000002</v>
      </c>
      <c r="J42" s="50">
        <v>2296.9009999999998</v>
      </c>
      <c r="K42" s="50">
        <v>2265.1979999999999</v>
      </c>
      <c r="L42" s="50">
        <v>2143.4180000000001</v>
      </c>
      <c r="M42" s="50">
        <v>2308.64</v>
      </c>
      <c r="N42" s="50">
        <v>2129.444</v>
      </c>
      <c r="O42" s="51">
        <v>2274.5100000000002</v>
      </c>
      <c r="P42" s="51">
        <v>2130.739</v>
      </c>
      <c r="Q42" s="52">
        <v>2258.7649999999999</v>
      </c>
      <c r="R42" s="53">
        <f t="shared" ref="R42:R43" si="14">SUM(F42:Q42)</f>
        <v>26781.116000000002</v>
      </c>
      <c r="S42" s="102">
        <f t="shared" ref="S42:S63" si="15">MAX(F42:Q42)</f>
        <v>2431.6640000000002</v>
      </c>
      <c r="T42" s="103">
        <f t="shared" ref="T42:T63" si="16">INDEX($F$40:$Q$40,MATCH(S42,$F42:$Q42,0))</f>
        <v>43194</v>
      </c>
      <c r="U42" s="32"/>
    </row>
    <row r="43" spans="1:21" ht="13.15" customHeight="1" x14ac:dyDescent="0.2">
      <c r="A43" s="29">
        <v>23</v>
      </c>
      <c r="B43" s="100" t="str">
        <f t="shared" si="13"/>
        <v>Boise Cascade LLC Inland Region</v>
      </c>
      <c r="C43" s="101" t="str">
        <f t="shared" si="13"/>
        <v>7600430000</v>
      </c>
      <c r="D43" s="101">
        <f t="shared" si="13"/>
        <v>7600951015</v>
      </c>
      <c r="E43" s="29" t="s">
        <v>76</v>
      </c>
      <c r="F43" s="44">
        <v>4001.76</v>
      </c>
      <c r="G43" s="44">
        <v>3968.2510000000002</v>
      </c>
      <c r="H43" s="44">
        <v>3931.9270000000001</v>
      </c>
      <c r="I43" s="44">
        <v>3862.1370000000002</v>
      </c>
      <c r="J43" s="44">
        <v>3778.404</v>
      </c>
      <c r="K43" s="44">
        <v>3829.9029999999998</v>
      </c>
      <c r="L43" s="44">
        <v>3654.6179999999999</v>
      </c>
      <c r="M43" s="44">
        <v>3595.9949999999999</v>
      </c>
      <c r="N43" s="44">
        <v>3626.6219999999998</v>
      </c>
      <c r="O43" s="46">
        <v>3622.5039999999999</v>
      </c>
      <c r="P43" s="46">
        <v>3699.8539999999998</v>
      </c>
      <c r="Q43" s="47">
        <v>3744.723</v>
      </c>
      <c r="R43" s="48">
        <f t="shared" si="14"/>
        <v>45316.697999999997</v>
      </c>
      <c r="S43" s="102">
        <f t="shared" si="15"/>
        <v>4001.76</v>
      </c>
      <c r="T43" s="103">
        <f t="shared" si="16"/>
        <v>43101</v>
      </c>
      <c r="U43" s="32"/>
    </row>
    <row r="44" spans="1:21" ht="13.15" customHeight="1" x14ac:dyDescent="0.2">
      <c r="A44" s="29">
        <v>2</v>
      </c>
      <c r="B44" s="100" t="str">
        <f t="shared" si="13"/>
        <v>Boise Cascade Plywood</v>
      </c>
      <c r="C44" s="101" t="str">
        <f t="shared" si="13"/>
        <v>8927100000</v>
      </c>
      <c r="D44" s="101" t="str">
        <f t="shared" si="13"/>
        <v>8920023327</v>
      </c>
      <c r="E44" s="41">
        <v>500017</v>
      </c>
      <c r="F44" s="44">
        <v>5106.8680000000004</v>
      </c>
      <c r="G44" s="44">
        <v>5228.8360000000002</v>
      </c>
      <c r="H44" s="44">
        <v>5152.5969999999998</v>
      </c>
      <c r="I44" s="44">
        <v>5015.616</v>
      </c>
      <c r="J44" s="44">
        <v>4996.5810000000001</v>
      </c>
      <c r="K44" s="44">
        <v>4970.7349999999997</v>
      </c>
      <c r="L44" s="44">
        <v>4928.08</v>
      </c>
      <c r="M44" s="44">
        <v>5016.8540000000003</v>
      </c>
      <c r="N44" s="44">
        <v>5010.1260000000002</v>
      </c>
      <c r="O44" s="46">
        <v>5221.1120000000001</v>
      </c>
      <c r="P44" s="46">
        <v>5144.9229999999998</v>
      </c>
      <c r="Q44" s="54">
        <v>5190.3100000000004</v>
      </c>
      <c r="R44" s="48">
        <f>SUM(F44:Q44)</f>
        <v>60982.638000000006</v>
      </c>
      <c r="S44" s="102">
        <f t="shared" si="15"/>
        <v>5228.8360000000002</v>
      </c>
      <c r="T44" s="103">
        <f t="shared" si="16"/>
        <v>43132</v>
      </c>
      <c r="U44" s="32"/>
    </row>
    <row r="45" spans="1:21" ht="13.15" customHeight="1" x14ac:dyDescent="0.2">
      <c r="A45" s="29">
        <v>3</v>
      </c>
      <c r="B45" s="100" t="str">
        <f t="shared" si="13"/>
        <v>Boise Cascade Sawmill</v>
      </c>
      <c r="C45" s="101" t="str">
        <f t="shared" si="13"/>
        <v>9927100000</v>
      </c>
      <c r="D45" s="101" t="str">
        <f t="shared" si="13"/>
        <v>9920023116</v>
      </c>
      <c r="E45" s="41">
        <v>500018</v>
      </c>
      <c r="F45" s="44">
        <v>3044.835</v>
      </c>
      <c r="G45" s="44">
        <v>3165.7240000000002</v>
      </c>
      <c r="H45" s="44">
        <v>2936.1570000000002</v>
      </c>
      <c r="I45" s="44">
        <v>2832.7370000000001</v>
      </c>
      <c r="J45" s="44">
        <v>2790.268</v>
      </c>
      <c r="K45" s="44">
        <v>2642.027</v>
      </c>
      <c r="L45" s="44">
        <v>2697.375</v>
      </c>
      <c r="M45" s="44">
        <v>2738.0790000000002</v>
      </c>
      <c r="N45" s="44">
        <v>2684.6880000000001</v>
      </c>
      <c r="O45" s="46">
        <v>2751.567</v>
      </c>
      <c r="P45" s="46">
        <v>2958.556</v>
      </c>
      <c r="Q45" s="47">
        <v>3120.7350000000001</v>
      </c>
      <c r="R45" s="48">
        <f t="shared" si="12"/>
        <v>34362.748</v>
      </c>
      <c r="S45" s="102">
        <f t="shared" si="15"/>
        <v>3165.7240000000002</v>
      </c>
      <c r="T45" s="103">
        <f t="shared" si="16"/>
        <v>43132</v>
      </c>
      <c r="U45" s="32"/>
    </row>
    <row r="46" spans="1:21" ht="13.15" customHeight="1" x14ac:dyDescent="0.2">
      <c r="A46" s="29">
        <v>4</v>
      </c>
      <c r="B46" s="100" t="str">
        <f t="shared" si="13"/>
        <v>City of Spokane</v>
      </c>
      <c r="C46" s="101" t="str">
        <f t="shared" si="13"/>
        <v>8972300000</v>
      </c>
      <c r="D46" s="101" t="str">
        <f t="shared" si="13"/>
        <v>8970099313</v>
      </c>
      <c r="E46" s="41">
        <v>1900002</v>
      </c>
      <c r="F46" s="44">
        <v>2633.598</v>
      </c>
      <c r="G46" s="44">
        <v>2437.0320000000002</v>
      </c>
      <c r="H46" s="44">
        <v>2551.9549999999999</v>
      </c>
      <c r="I46" s="44">
        <v>2453.0300000000002</v>
      </c>
      <c r="J46" s="44">
        <v>2354.556</v>
      </c>
      <c r="K46" s="44">
        <v>2611.7449999999999</v>
      </c>
      <c r="L46" s="44">
        <v>2612.4029999999998</v>
      </c>
      <c r="M46" s="44">
        <v>2763.9859999999999</v>
      </c>
      <c r="N46" s="44">
        <v>2602.4960000000001</v>
      </c>
      <c r="O46" s="46">
        <v>2752.6959999999999</v>
      </c>
      <c r="P46" s="46">
        <v>2553.4960000000001</v>
      </c>
      <c r="Q46" s="54">
        <v>2503.2179999999998</v>
      </c>
      <c r="R46" s="48">
        <f t="shared" si="12"/>
        <v>30830.210999999999</v>
      </c>
      <c r="S46" s="102">
        <f t="shared" si="15"/>
        <v>2763.9859999999999</v>
      </c>
      <c r="T46" s="103">
        <f t="shared" si="16"/>
        <v>43318</v>
      </c>
      <c r="U46" s="32"/>
    </row>
    <row r="47" spans="1:21" ht="13.15" customHeight="1" x14ac:dyDescent="0.2">
      <c r="A47" s="29">
        <v>5</v>
      </c>
      <c r="B47" s="100" t="str">
        <f t="shared" si="13"/>
        <v>Empire Health Services</v>
      </c>
      <c r="C47" s="101" t="str">
        <f t="shared" si="13"/>
        <v>0082300000</v>
      </c>
      <c r="D47" s="101" t="str">
        <f t="shared" si="13"/>
        <v>0080095044</v>
      </c>
      <c r="E47" s="41">
        <v>1900011</v>
      </c>
      <c r="F47" s="44">
        <v>2779.067</v>
      </c>
      <c r="G47" s="44">
        <v>2869.538</v>
      </c>
      <c r="H47" s="44">
        <v>2721.9920000000002</v>
      </c>
      <c r="I47" s="44">
        <v>3450.44</v>
      </c>
      <c r="J47" s="44">
        <v>3858.0239999999999</v>
      </c>
      <c r="K47" s="44">
        <v>3693.93</v>
      </c>
      <c r="L47" s="44">
        <v>3911.6970000000001</v>
      </c>
      <c r="M47" s="44">
        <v>3885</v>
      </c>
      <c r="N47" s="44">
        <v>3581.145</v>
      </c>
      <c r="O47" s="46">
        <v>3055.4209999999998</v>
      </c>
      <c r="P47" s="46">
        <v>2832.3609999999999</v>
      </c>
      <c r="Q47" s="47">
        <v>2887.8719999999998</v>
      </c>
      <c r="R47" s="48">
        <f t="shared" si="12"/>
        <v>39526.487000000001</v>
      </c>
      <c r="S47" s="102">
        <f t="shared" si="15"/>
        <v>3911.6970000000001</v>
      </c>
      <c r="T47" s="103">
        <f t="shared" si="16"/>
        <v>43287</v>
      </c>
      <c r="U47" s="32"/>
    </row>
    <row r="48" spans="1:21" ht="13.15" customHeight="1" x14ac:dyDescent="0.2">
      <c r="A48" s="29">
        <v>6</v>
      </c>
      <c r="B48" s="100" t="str">
        <f t="shared" si="13"/>
        <v>Gonzaga University</v>
      </c>
      <c r="C48" s="101" t="str">
        <f t="shared" si="13"/>
        <v>1423850000</v>
      </c>
      <c r="D48" s="101" t="str">
        <f t="shared" si="13"/>
        <v>1420028876</v>
      </c>
      <c r="E48" s="41">
        <v>622922</v>
      </c>
      <c r="F48" s="44">
        <v>4475.3249999999998</v>
      </c>
      <c r="G48" s="44">
        <v>4880.0200000000004</v>
      </c>
      <c r="H48" s="44">
        <v>4434.5249999999996</v>
      </c>
      <c r="I48" s="44">
        <v>4814.7790000000005</v>
      </c>
      <c r="J48" s="44">
        <v>4723.3999999999996</v>
      </c>
      <c r="K48" s="44">
        <v>4119.1229999999996</v>
      </c>
      <c r="L48" s="44">
        <v>4821.9930000000004</v>
      </c>
      <c r="M48" s="44">
        <v>5334.5519999999997</v>
      </c>
      <c r="N48" s="44">
        <v>5154.96</v>
      </c>
      <c r="O48" s="46">
        <v>4196.4179999999997</v>
      </c>
      <c r="P48" s="46">
        <v>4699.3639999999996</v>
      </c>
      <c r="Q48" s="47">
        <v>4772.5309999999999</v>
      </c>
      <c r="R48" s="48">
        <f t="shared" si="12"/>
        <v>56426.990000000005</v>
      </c>
      <c r="S48" s="102">
        <f t="shared" si="15"/>
        <v>5334.5519999999997</v>
      </c>
      <c r="T48" s="103">
        <f t="shared" si="16"/>
        <v>43318</v>
      </c>
      <c r="U48" s="32"/>
    </row>
    <row r="49" spans="1:21" ht="13.15" customHeight="1" x14ac:dyDescent="0.2">
      <c r="A49" s="29">
        <v>7</v>
      </c>
      <c r="B49" s="100" t="str">
        <f t="shared" si="13"/>
        <v>Honeywell Electronics</v>
      </c>
      <c r="C49" s="101" t="str">
        <f t="shared" si="13"/>
        <v>0177400000</v>
      </c>
      <c r="D49" s="101" t="str">
        <f t="shared" si="13"/>
        <v>0170122152</v>
      </c>
      <c r="E49" s="41">
        <v>2304636</v>
      </c>
      <c r="F49" s="44">
        <v>3061.67</v>
      </c>
      <c r="G49" s="44">
        <v>3134.306</v>
      </c>
      <c r="H49" s="44">
        <v>3167.087</v>
      </c>
      <c r="I49" s="44">
        <v>3035.386</v>
      </c>
      <c r="J49" s="44">
        <v>3408.92</v>
      </c>
      <c r="K49" s="44">
        <v>3260.4760000000001</v>
      </c>
      <c r="L49" s="44">
        <v>3649.7249999999999</v>
      </c>
      <c r="M49" s="44">
        <v>3544.7089999999998</v>
      </c>
      <c r="N49" s="44">
        <v>3110.4180000000001</v>
      </c>
      <c r="O49" s="46">
        <v>3118.114</v>
      </c>
      <c r="P49" s="46">
        <v>3034.5920000000001</v>
      </c>
      <c r="Q49" s="47">
        <v>2905.0309999999999</v>
      </c>
      <c r="R49" s="48">
        <f t="shared" si="12"/>
        <v>38430.434000000001</v>
      </c>
      <c r="S49" s="102">
        <f t="shared" si="15"/>
        <v>3649.7249999999999</v>
      </c>
      <c r="T49" s="103">
        <f t="shared" si="16"/>
        <v>43287</v>
      </c>
      <c r="U49" s="32"/>
    </row>
    <row r="50" spans="1:21" ht="13.15" customHeight="1" x14ac:dyDescent="0.2">
      <c r="A50" s="29">
        <v>8</v>
      </c>
      <c r="B50" s="100" t="str">
        <f t="shared" si="13"/>
        <v>Huntwood Industries</v>
      </c>
      <c r="C50" s="101" t="str">
        <f t="shared" si="13"/>
        <v>8649170000</v>
      </c>
      <c r="D50" s="101" t="str">
        <f t="shared" si="13"/>
        <v>8640841982</v>
      </c>
      <c r="E50" s="41">
        <v>610074869</v>
      </c>
      <c r="F50" s="44">
        <v>4179.9939999999997</v>
      </c>
      <c r="G50" s="44">
        <v>4116.866</v>
      </c>
      <c r="H50" s="44">
        <v>4122.7659999999996</v>
      </c>
      <c r="I50" s="44">
        <v>4175.7380000000003</v>
      </c>
      <c r="J50" s="44">
        <v>4152.0309999999999</v>
      </c>
      <c r="K50" s="44">
        <v>4106.2939999999999</v>
      </c>
      <c r="L50" s="44">
        <v>4239.0709999999999</v>
      </c>
      <c r="M50" s="44">
        <v>4195.2430000000004</v>
      </c>
      <c r="N50" s="44">
        <v>4110.0389999999998</v>
      </c>
      <c r="O50" s="46">
        <v>4143.3459999999995</v>
      </c>
      <c r="P50" s="46">
        <v>4199.8739999999998</v>
      </c>
      <c r="Q50" s="54">
        <v>4103.4840000000004</v>
      </c>
      <c r="R50" s="48">
        <f t="shared" si="12"/>
        <v>49844.745999999985</v>
      </c>
      <c r="S50" s="102">
        <f t="shared" si="15"/>
        <v>4239.0709999999999</v>
      </c>
      <c r="T50" s="103">
        <f t="shared" si="16"/>
        <v>43287</v>
      </c>
      <c r="U50" s="32"/>
    </row>
    <row r="51" spans="1:21" ht="13.15" customHeight="1" x14ac:dyDescent="0.2">
      <c r="A51" s="29">
        <v>9</v>
      </c>
      <c r="B51" s="100" t="str">
        <f t="shared" si="13"/>
        <v>Inland Empire Paper</v>
      </c>
      <c r="C51" s="101" t="str">
        <f t="shared" si="13"/>
        <v>0166400000</v>
      </c>
      <c r="D51" s="101" t="str">
        <f t="shared" si="13"/>
        <v>0160126924</v>
      </c>
      <c r="E51" s="41">
        <v>2500004</v>
      </c>
      <c r="F51" s="44">
        <v>62256</v>
      </c>
      <c r="G51" s="44">
        <v>62379</v>
      </c>
      <c r="H51" s="44">
        <v>63189</v>
      </c>
      <c r="I51" s="44">
        <v>61994.13</v>
      </c>
      <c r="J51" s="44">
        <v>61517.53</v>
      </c>
      <c r="K51" s="44">
        <v>59396.53</v>
      </c>
      <c r="L51" s="44">
        <v>62813.1</v>
      </c>
      <c r="M51" s="44">
        <v>61040.2</v>
      </c>
      <c r="N51" s="44">
        <v>59942.23</v>
      </c>
      <c r="O51" s="46">
        <v>61096.84</v>
      </c>
      <c r="P51" s="46">
        <v>60588.02</v>
      </c>
      <c r="Q51" s="47">
        <v>60856.67</v>
      </c>
      <c r="R51" s="48">
        <f t="shared" si="12"/>
        <v>737069.25000000012</v>
      </c>
      <c r="S51" s="102">
        <f t="shared" si="15"/>
        <v>63189</v>
      </c>
      <c r="T51" s="103">
        <f t="shared" si="16"/>
        <v>43163</v>
      </c>
      <c r="U51" s="32"/>
    </row>
    <row r="52" spans="1:21" ht="13.15" customHeight="1" x14ac:dyDescent="0.2">
      <c r="A52" s="29">
        <v>10</v>
      </c>
      <c r="B52" s="100" t="str">
        <f t="shared" si="13"/>
        <v>Simplot - Othello</v>
      </c>
      <c r="C52" s="101" t="str">
        <f t="shared" si="13"/>
        <v>4258610000</v>
      </c>
      <c r="D52" s="101" t="str">
        <f t="shared" si="13"/>
        <v>4250473907</v>
      </c>
      <c r="E52" s="41">
        <v>290048778</v>
      </c>
      <c r="F52" s="44">
        <v>8442.4179999999997</v>
      </c>
      <c r="G52" s="44">
        <v>8358.5110000000004</v>
      </c>
      <c r="H52" s="44">
        <v>8105.56</v>
      </c>
      <c r="I52" s="44">
        <v>8224.9040000000005</v>
      </c>
      <c r="J52" s="44">
        <v>8483.3549999999996</v>
      </c>
      <c r="K52" s="44">
        <v>8479.8610000000008</v>
      </c>
      <c r="L52" s="44">
        <v>8624.3089999999993</v>
      </c>
      <c r="M52" s="44">
        <v>8557.473</v>
      </c>
      <c r="N52" s="44">
        <v>9557.9490000000005</v>
      </c>
      <c r="O52" s="46">
        <v>8207.0059999999994</v>
      </c>
      <c r="P52" s="46">
        <v>8147.16</v>
      </c>
      <c r="Q52" s="47">
        <v>8210.1049999999996</v>
      </c>
      <c r="R52" s="48">
        <f t="shared" si="12"/>
        <v>101398.61100000002</v>
      </c>
      <c r="S52" s="102">
        <f t="shared" si="15"/>
        <v>9557.9490000000005</v>
      </c>
      <c r="T52" s="103">
        <f t="shared" si="16"/>
        <v>43349</v>
      </c>
      <c r="U52" s="32"/>
    </row>
    <row r="53" spans="1:21" ht="13.15" customHeight="1" x14ac:dyDescent="0.2">
      <c r="A53" s="29">
        <v>11</v>
      </c>
      <c r="B53" s="100" t="str">
        <f t="shared" si="13"/>
        <v>McCaine Foods Inc</v>
      </c>
      <c r="C53" s="101" t="str">
        <f t="shared" si="13"/>
        <v>9066400000</v>
      </c>
      <c r="D53" s="101" t="str">
        <f t="shared" si="13"/>
        <v>9060132009</v>
      </c>
      <c r="E53" s="41">
        <v>2500003</v>
      </c>
      <c r="F53" s="44">
        <v>8657.7160000000003</v>
      </c>
      <c r="G53" s="44">
        <v>8652.44</v>
      </c>
      <c r="H53" s="44">
        <v>8902.7880000000005</v>
      </c>
      <c r="I53" s="44">
        <v>9184</v>
      </c>
      <c r="J53" s="44">
        <v>9377.5310000000009</v>
      </c>
      <c r="K53" s="44">
        <v>8867.607</v>
      </c>
      <c r="L53" s="44">
        <v>8953.0669999999991</v>
      </c>
      <c r="M53" s="44">
        <v>8889.2520000000004</v>
      </c>
      <c r="N53" s="44">
        <v>8913.0679999999993</v>
      </c>
      <c r="O53" s="55">
        <v>9166.2610000000004</v>
      </c>
      <c r="P53" s="46">
        <v>9181.9779999999992</v>
      </c>
      <c r="Q53" s="47">
        <v>9106.7780000000002</v>
      </c>
      <c r="R53" s="48">
        <f t="shared" si="12"/>
        <v>107852.48600000002</v>
      </c>
      <c r="S53" s="102">
        <f t="shared" si="15"/>
        <v>9377.5310000000009</v>
      </c>
      <c r="T53" s="103">
        <f t="shared" si="16"/>
        <v>43225</v>
      </c>
      <c r="U53" s="32"/>
    </row>
    <row r="54" spans="1:21" ht="13.15" customHeight="1" x14ac:dyDescent="0.2">
      <c r="A54" s="29">
        <v>12</v>
      </c>
      <c r="B54" s="100" t="str">
        <f t="shared" si="13"/>
        <v>Sacred Heart Medical Center</v>
      </c>
      <c r="C54" s="101" t="str">
        <f t="shared" si="13"/>
        <v>0037100000</v>
      </c>
      <c r="D54" s="101" t="str">
        <f t="shared" si="13"/>
        <v>0030019644</v>
      </c>
      <c r="E54" s="41">
        <v>500020</v>
      </c>
      <c r="F54" s="44">
        <v>5071.4459999999999</v>
      </c>
      <c r="G54" s="44">
        <v>5121.7960000000003</v>
      </c>
      <c r="H54" s="44">
        <v>5189.1419999999998</v>
      </c>
      <c r="I54" s="44">
        <v>7026.4409999999998</v>
      </c>
      <c r="J54" s="44">
        <v>7631.1180000000004</v>
      </c>
      <c r="K54" s="44">
        <v>7475.982</v>
      </c>
      <c r="L54" s="44">
        <v>8008.9009999999998</v>
      </c>
      <c r="M54" s="44">
        <v>8512.1190000000006</v>
      </c>
      <c r="N54" s="44">
        <v>7510.1090000000004</v>
      </c>
      <c r="O54" s="46">
        <v>6467.3239999999996</v>
      </c>
      <c r="P54" s="55">
        <v>5024.3389999999999</v>
      </c>
      <c r="Q54" s="47">
        <v>5040.6610000000001</v>
      </c>
      <c r="R54" s="48">
        <f t="shared" si="12"/>
        <v>78079.377999999997</v>
      </c>
      <c r="S54" s="102">
        <f t="shared" si="15"/>
        <v>8512.1190000000006</v>
      </c>
      <c r="T54" s="103">
        <f t="shared" si="16"/>
        <v>43318</v>
      </c>
      <c r="U54" s="32"/>
    </row>
    <row r="55" spans="1:21" ht="13.15" customHeight="1" x14ac:dyDescent="0.2">
      <c r="A55" s="29">
        <v>13</v>
      </c>
      <c r="B55" s="100" t="str">
        <f t="shared" si="13"/>
        <v>Spokane County Combined Master</v>
      </c>
      <c r="C55" s="101" t="str">
        <f t="shared" si="13"/>
        <v>1082300000</v>
      </c>
      <c r="D55" s="101" t="str">
        <f t="shared" si="13"/>
        <v>1080099801</v>
      </c>
      <c r="E55" s="41">
        <v>1900012</v>
      </c>
      <c r="F55" s="44">
        <v>1785.914</v>
      </c>
      <c r="G55" s="44">
        <v>1777.6469999999999</v>
      </c>
      <c r="H55" s="44">
        <v>1775.5619999999999</v>
      </c>
      <c r="I55" s="44">
        <v>2368.0140000000001</v>
      </c>
      <c r="J55" s="44">
        <v>2782.8029999999999</v>
      </c>
      <c r="K55" s="44">
        <v>2718.5</v>
      </c>
      <c r="L55" s="44">
        <v>2820.4270000000001</v>
      </c>
      <c r="M55" s="44">
        <v>2869.4879999999998</v>
      </c>
      <c r="N55" s="44">
        <v>2416.0839999999998</v>
      </c>
      <c r="O55" s="46">
        <v>2158.5300000000002</v>
      </c>
      <c r="P55" s="46">
        <v>2108.1869999999999</v>
      </c>
      <c r="Q55" s="54">
        <v>1774.4490000000001</v>
      </c>
      <c r="R55" s="48">
        <f t="shared" si="12"/>
        <v>27355.604999999996</v>
      </c>
      <c r="S55" s="102">
        <f t="shared" si="15"/>
        <v>2869.4879999999998</v>
      </c>
      <c r="T55" s="103">
        <f t="shared" si="16"/>
        <v>43318</v>
      </c>
      <c r="U55" s="32"/>
    </row>
    <row r="56" spans="1:21" ht="13.15" customHeight="1" x14ac:dyDescent="0.2">
      <c r="A56" s="29">
        <v>14</v>
      </c>
      <c r="B56" s="100" t="str">
        <f t="shared" si="13"/>
        <v>Spokane Industries</v>
      </c>
      <c r="C56" s="101" t="str">
        <f t="shared" si="13"/>
        <v>0078160000</v>
      </c>
      <c r="D56" s="101" t="str">
        <f t="shared" si="13"/>
        <v>0070121063</v>
      </c>
      <c r="E56" s="41">
        <v>2400169</v>
      </c>
      <c r="F56" s="44">
        <v>6008.5889999999999</v>
      </c>
      <c r="G56" s="44">
        <v>5809.049</v>
      </c>
      <c r="H56" s="44">
        <v>6148.5940000000001</v>
      </c>
      <c r="I56" s="44">
        <v>6208.0169999999998</v>
      </c>
      <c r="J56" s="44">
        <v>6002.5249999999996</v>
      </c>
      <c r="K56" s="44">
        <v>6222.2669999999998</v>
      </c>
      <c r="L56" s="44">
        <v>6246.7430000000004</v>
      </c>
      <c r="M56" s="44">
        <v>6290.1589999999997</v>
      </c>
      <c r="N56" s="44">
        <v>5921.3220000000001</v>
      </c>
      <c r="O56" s="46">
        <v>6413.4849999999997</v>
      </c>
      <c r="P56" s="46">
        <v>5857.6760000000004</v>
      </c>
      <c r="Q56" s="47">
        <v>6328.8339999999998</v>
      </c>
      <c r="R56" s="48">
        <f t="shared" si="12"/>
        <v>73457.260000000009</v>
      </c>
      <c r="S56" s="102">
        <f t="shared" si="15"/>
        <v>6413.4849999999997</v>
      </c>
      <c r="T56" s="103">
        <f t="shared" si="16"/>
        <v>43380</v>
      </c>
      <c r="U56" s="32"/>
    </row>
    <row r="57" spans="1:21" ht="13.15" customHeight="1" x14ac:dyDescent="0.2">
      <c r="A57" s="29">
        <v>15</v>
      </c>
      <c r="B57" s="100" t="str">
        <f t="shared" si="13"/>
        <v>Triumph Composite</v>
      </c>
      <c r="C57" s="101" t="str">
        <f t="shared" si="13"/>
        <v>2261550000</v>
      </c>
      <c r="D57" s="101" t="str">
        <f t="shared" si="13"/>
        <v>2260946595</v>
      </c>
      <c r="E57" s="41">
        <v>690067830</v>
      </c>
      <c r="F57" s="44">
        <v>3065.39</v>
      </c>
      <c r="G57" s="44">
        <v>2963.9740000000002</v>
      </c>
      <c r="H57" s="44">
        <v>2942.471</v>
      </c>
      <c r="I57" s="44">
        <v>3177.0439999999999</v>
      </c>
      <c r="J57" s="44">
        <v>3683.0909999999999</v>
      </c>
      <c r="K57" s="44">
        <v>3760.2930000000001</v>
      </c>
      <c r="L57" s="45">
        <v>3950.1979999999999</v>
      </c>
      <c r="M57" s="45">
        <v>3875.2510000000002</v>
      </c>
      <c r="N57" s="45">
        <v>3607.348</v>
      </c>
      <c r="O57" s="46">
        <v>3124.8110000000001</v>
      </c>
      <c r="P57" s="55">
        <v>2862.7240000000002</v>
      </c>
      <c r="Q57" s="47">
        <v>2867.9450000000002</v>
      </c>
      <c r="R57" s="48">
        <f t="shared" si="12"/>
        <v>39880.54</v>
      </c>
      <c r="S57" s="102">
        <f t="shared" si="15"/>
        <v>3950.1979999999999</v>
      </c>
      <c r="T57" s="103">
        <f t="shared" si="16"/>
        <v>43287</v>
      </c>
      <c r="U57" s="32"/>
    </row>
    <row r="58" spans="1:21" ht="13.15" customHeight="1" x14ac:dyDescent="0.2">
      <c r="A58" s="29">
        <v>16</v>
      </c>
      <c r="B58" s="100" t="str">
        <f t="shared" ref="B58:D63" si="17">B21</f>
        <v>Vaagen Brothers Lumber</v>
      </c>
      <c r="C58" s="101" t="str">
        <f t="shared" si="17"/>
        <v>2478200000</v>
      </c>
      <c r="D58" s="101" t="str">
        <f t="shared" si="17"/>
        <v>2470070232</v>
      </c>
      <c r="E58" s="41">
        <v>1300001</v>
      </c>
      <c r="F58" s="44">
        <v>4777.3739999999998</v>
      </c>
      <c r="G58" s="44">
        <v>4899.0110000000004</v>
      </c>
      <c r="H58" s="44">
        <v>4820.9589999999998</v>
      </c>
      <c r="I58" s="44">
        <v>4753.4470000000001</v>
      </c>
      <c r="J58" s="44">
        <v>4477.8860000000004</v>
      </c>
      <c r="K58" s="44">
        <v>4414.1220000000003</v>
      </c>
      <c r="L58" s="45">
        <v>4523.0389999999998</v>
      </c>
      <c r="M58" s="45">
        <v>4447.9089999999997</v>
      </c>
      <c r="N58" s="45">
        <v>4598.1149999999998</v>
      </c>
      <c r="O58" s="46">
        <v>4784.4449999999997</v>
      </c>
      <c r="P58" s="46">
        <v>4793.2470000000003</v>
      </c>
      <c r="Q58" s="47">
        <v>4869.4759999999997</v>
      </c>
      <c r="R58" s="48">
        <f t="shared" si="12"/>
        <v>56159.030000000006</v>
      </c>
      <c r="S58" s="102">
        <f t="shared" si="15"/>
        <v>4899.0110000000004</v>
      </c>
      <c r="T58" s="103">
        <f t="shared" si="16"/>
        <v>43132</v>
      </c>
      <c r="U58" s="32"/>
    </row>
    <row r="59" spans="1:21" ht="13.15" customHeight="1" x14ac:dyDescent="0.2">
      <c r="A59" s="29">
        <v>17</v>
      </c>
      <c r="B59" s="100" t="str">
        <f t="shared" si="17"/>
        <v xml:space="preserve">WSU - MP-A South Campus Feeder </v>
      </c>
      <c r="C59" s="101" t="str">
        <f t="shared" si="17"/>
        <v>3731710000</v>
      </c>
      <c r="D59" s="101" t="str">
        <f t="shared" si="17"/>
        <v>3730460787</v>
      </c>
      <c r="E59" s="41">
        <v>290081951</v>
      </c>
      <c r="F59" s="44">
        <v>4509.5410000000002</v>
      </c>
      <c r="G59" s="44">
        <v>4640.6400000000003</v>
      </c>
      <c r="H59" s="44">
        <v>4637.1379999999999</v>
      </c>
      <c r="I59" s="44">
        <v>4368.6319999999996</v>
      </c>
      <c r="J59" s="44">
        <v>3971.7069999999999</v>
      </c>
      <c r="K59" s="44">
        <v>3937.0030000000002</v>
      </c>
      <c r="L59" s="45">
        <v>3983.5650000000001</v>
      </c>
      <c r="M59" s="45">
        <v>4133.5439999999999</v>
      </c>
      <c r="N59" s="44">
        <v>4257.915</v>
      </c>
      <c r="O59" s="46">
        <v>4457.1499999999996</v>
      </c>
      <c r="P59" s="46">
        <v>4390.9139999999998</v>
      </c>
      <c r="Q59" s="54">
        <v>4512.5990000000002</v>
      </c>
      <c r="R59" s="48">
        <f t="shared" si="12"/>
        <v>51800.347999999998</v>
      </c>
      <c r="S59" s="102">
        <f t="shared" si="15"/>
        <v>4640.6400000000003</v>
      </c>
      <c r="T59" s="103">
        <f t="shared" si="16"/>
        <v>43132</v>
      </c>
      <c r="U59" s="32"/>
    </row>
    <row r="60" spans="1:21" ht="13.15" customHeight="1" x14ac:dyDescent="0.2">
      <c r="A60" s="29">
        <v>18</v>
      </c>
      <c r="B60" s="100" t="str">
        <f t="shared" si="17"/>
        <v xml:space="preserve">WSU - MP-B East Campus EA </v>
      </c>
      <c r="C60" s="101" t="str">
        <f t="shared" si="17"/>
        <v>6037100000</v>
      </c>
      <c r="D60" s="101" t="str">
        <f t="shared" si="17"/>
        <v>6030021572</v>
      </c>
      <c r="E60" s="41">
        <v>500033</v>
      </c>
      <c r="F60" s="44">
        <v>8308</v>
      </c>
      <c r="G60" s="44">
        <v>7585</v>
      </c>
      <c r="H60" s="44">
        <v>7410</v>
      </c>
      <c r="I60" s="44">
        <v>9091.2000000000007</v>
      </c>
      <c r="J60" s="44">
        <v>9326.83</v>
      </c>
      <c r="K60" s="44">
        <v>9601.17</v>
      </c>
      <c r="L60" s="45">
        <v>10739.17</v>
      </c>
      <c r="M60" s="45">
        <v>10982.51</v>
      </c>
      <c r="N60" s="45">
        <v>9616.0300000000007</v>
      </c>
      <c r="O60" s="55">
        <v>7396.07</v>
      </c>
      <c r="P60" s="55">
        <v>7264.42</v>
      </c>
      <c r="Q60" s="54">
        <v>7321.84</v>
      </c>
      <c r="R60" s="48">
        <f t="shared" si="12"/>
        <v>104642.23999999998</v>
      </c>
      <c r="S60" s="102">
        <f t="shared" si="15"/>
        <v>10982.51</v>
      </c>
      <c r="T60" s="103">
        <f t="shared" si="16"/>
        <v>43318</v>
      </c>
      <c r="U60" s="32"/>
    </row>
    <row r="61" spans="1:21" ht="13.15" customHeight="1" x14ac:dyDescent="0.2">
      <c r="A61" s="29">
        <v>19</v>
      </c>
      <c r="B61" s="100" t="str">
        <f t="shared" si="17"/>
        <v xml:space="preserve">WSU - MP-C East Campus EB </v>
      </c>
      <c r="C61" s="101" t="str">
        <f t="shared" si="17"/>
        <v>6100220000</v>
      </c>
      <c r="D61" s="101" t="str">
        <f t="shared" si="17"/>
        <v>6100609210</v>
      </c>
      <c r="E61" s="41">
        <v>410031282</v>
      </c>
      <c r="F61" s="44">
        <v>5683.2809999999999</v>
      </c>
      <c r="G61" s="44">
        <v>5615.9319999999998</v>
      </c>
      <c r="H61" s="44">
        <v>5617.817</v>
      </c>
      <c r="I61" s="44">
        <v>5574.0569999999998</v>
      </c>
      <c r="J61" s="44">
        <v>5024.5339999999997</v>
      </c>
      <c r="K61" s="44">
        <v>4956.9750000000004</v>
      </c>
      <c r="L61" s="45">
        <v>4832.4830000000002</v>
      </c>
      <c r="M61" s="45">
        <v>5151.4189999999999</v>
      </c>
      <c r="N61" s="45">
        <v>5185.6850000000004</v>
      </c>
      <c r="O61" s="46">
        <v>5362.3459999999995</v>
      </c>
      <c r="P61" s="46">
        <v>5780.5309999999999</v>
      </c>
      <c r="Q61" s="47">
        <v>5915.085</v>
      </c>
      <c r="R61" s="48">
        <f t="shared" si="12"/>
        <v>64700.144999999997</v>
      </c>
      <c r="S61" s="102">
        <f t="shared" si="15"/>
        <v>5915.085</v>
      </c>
      <c r="T61" s="103">
        <f t="shared" si="16"/>
        <v>43442</v>
      </c>
      <c r="U61" s="32"/>
    </row>
    <row r="62" spans="1:21" ht="13.15" customHeight="1" x14ac:dyDescent="0.2">
      <c r="A62" s="29">
        <v>20</v>
      </c>
      <c r="B62" s="100" t="str">
        <f t="shared" si="17"/>
        <v>WSU - MP -D Casp East (no PVD)</v>
      </c>
      <c r="C62" s="101" t="str">
        <f t="shared" si="17"/>
        <v>5037100000</v>
      </c>
      <c r="D62" s="101" t="str">
        <f t="shared" si="17"/>
        <v>5030019646</v>
      </c>
      <c r="E62" s="41">
        <v>500032</v>
      </c>
      <c r="F62" s="64">
        <v>4817.3819999999996</v>
      </c>
      <c r="G62" s="64">
        <v>5010.6570000000002</v>
      </c>
      <c r="H62" s="64">
        <v>5289.2520000000004</v>
      </c>
      <c r="I62" s="64">
        <v>5335.1059999999998</v>
      </c>
      <c r="J62" s="64">
        <v>4795.3310000000001</v>
      </c>
      <c r="K62" s="64">
        <v>4586.6450000000004</v>
      </c>
      <c r="L62" s="64">
        <v>4694.7389999999996</v>
      </c>
      <c r="M62" s="64">
        <v>5016.1980000000003</v>
      </c>
      <c r="N62" s="64">
        <v>4987.9470000000001</v>
      </c>
      <c r="O62" s="65">
        <v>5059.4920000000002</v>
      </c>
      <c r="P62" s="65">
        <v>5305.9480000000003</v>
      </c>
      <c r="Q62" s="66">
        <v>5437.4110000000001</v>
      </c>
      <c r="R62" s="67">
        <f t="shared" si="12"/>
        <v>60336.108</v>
      </c>
      <c r="S62" s="102">
        <f t="shared" si="15"/>
        <v>5437.4110000000001</v>
      </c>
      <c r="T62" s="103">
        <f t="shared" si="16"/>
        <v>43442</v>
      </c>
      <c r="U62" s="32"/>
    </row>
    <row r="63" spans="1:21" ht="13.15" customHeight="1" x14ac:dyDescent="0.2">
      <c r="A63" s="29">
        <v>21</v>
      </c>
      <c r="B63" s="100" t="str">
        <f t="shared" si="17"/>
        <v>WSU - MP-E Casp West (no PVD)</v>
      </c>
      <c r="C63" s="101" t="str">
        <f t="shared" si="17"/>
        <v>6365350762</v>
      </c>
      <c r="D63" s="101" t="str">
        <f t="shared" si="17"/>
        <v>7030024549</v>
      </c>
      <c r="E63" s="41">
        <v>500034</v>
      </c>
      <c r="F63" s="64">
        <v>4338.6229999999996</v>
      </c>
      <c r="G63" s="64">
        <v>4320.7179999999998</v>
      </c>
      <c r="H63" s="64">
        <v>4136.3190000000004</v>
      </c>
      <c r="I63" s="64">
        <v>5872.9449999999997</v>
      </c>
      <c r="J63" s="64">
        <v>5696.32</v>
      </c>
      <c r="K63" s="64">
        <v>5612.3180000000002</v>
      </c>
      <c r="L63" s="64">
        <v>6844.5559999999996</v>
      </c>
      <c r="M63" s="64">
        <v>7163.116</v>
      </c>
      <c r="N63" s="64">
        <v>6990.2089999999998</v>
      </c>
      <c r="O63" s="65">
        <v>5036.2150000000001</v>
      </c>
      <c r="P63" s="65">
        <v>4252.4620000000004</v>
      </c>
      <c r="Q63" s="66">
        <v>4379.93</v>
      </c>
      <c r="R63" s="67">
        <f t="shared" si="12"/>
        <v>64643.731000000007</v>
      </c>
      <c r="S63" s="102">
        <f t="shared" si="15"/>
        <v>7163.116</v>
      </c>
      <c r="T63" s="103">
        <f t="shared" si="16"/>
        <v>43318</v>
      </c>
      <c r="U63" s="32"/>
    </row>
    <row r="64" spans="1:21" ht="13.15" customHeight="1" x14ac:dyDescent="0.2">
      <c r="A64" s="29" t="s">
        <v>137</v>
      </c>
      <c r="F64" s="104">
        <f t="shared" ref="F64:Q64" si="18">SUM(F41:F63)</f>
        <v>168441.22500000001</v>
      </c>
      <c r="G64" s="104">
        <f t="shared" si="18"/>
        <v>169827.503</v>
      </c>
      <c r="H64" s="104">
        <f t="shared" si="18"/>
        <v>170479.36500000002</v>
      </c>
      <c r="I64" s="104">
        <f t="shared" si="18"/>
        <v>177438.68600000002</v>
      </c>
      <c r="J64" s="104">
        <f t="shared" si="18"/>
        <v>175527.86199999996</v>
      </c>
      <c r="K64" s="104">
        <f t="shared" si="18"/>
        <v>172800.19300000003</v>
      </c>
      <c r="L64" s="104">
        <f t="shared" si="18"/>
        <v>180672.93900000001</v>
      </c>
      <c r="M64" s="104">
        <f t="shared" si="18"/>
        <v>181839.68200000003</v>
      </c>
      <c r="N64" s="104">
        <f t="shared" si="18"/>
        <v>176230.88699999996</v>
      </c>
      <c r="O64" s="105">
        <f t="shared" si="18"/>
        <v>171790.48299999995</v>
      </c>
      <c r="P64" s="105">
        <f t="shared" si="18"/>
        <v>167251.61499999999</v>
      </c>
      <c r="Q64" s="106">
        <f t="shared" si="18"/>
        <v>168725.31399999995</v>
      </c>
      <c r="R64" s="105">
        <f>IF(ROUND(SUM(R41:R63),0)&lt;&gt;ROUND(SUM(F64:Q64),0),#VALUE!,SUM(R41:R63))</f>
        <v>2081025.7540000002</v>
      </c>
    </row>
    <row r="65" spans="1:18" ht="13.15" customHeight="1" x14ac:dyDescent="0.2"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108"/>
      <c r="Q65" s="109"/>
      <c r="R65" s="108"/>
    </row>
    <row r="66" spans="1:18" ht="13.15" customHeight="1" x14ac:dyDescent="0.2">
      <c r="F66" s="58"/>
      <c r="G66" s="58"/>
      <c r="H66" s="58"/>
      <c r="I66" s="58"/>
      <c r="J66" s="58"/>
      <c r="K66" s="58"/>
      <c r="L66" s="58"/>
      <c r="M66" s="58"/>
      <c r="N66" s="58"/>
      <c r="O66" s="75"/>
      <c r="P66" s="75"/>
      <c r="Q66" s="76"/>
      <c r="R66" s="32" t="str">
        <f>R$2</f>
        <v>12-mo Ended</v>
      </c>
    </row>
    <row r="67" spans="1:18" ht="13.15" customHeight="1" x14ac:dyDescent="0.2">
      <c r="A67" s="35" t="s">
        <v>149</v>
      </c>
      <c r="B67" s="35"/>
      <c r="C67" s="35"/>
      <c r="D67" s="35"/>
      <c r="F67" s="98">
        <f>F$3</f>
        <v>43101</v>
      </c>
      <c r="G67" s="98">
        <f t="shared" ref="G67:Q67" si="19">G$3</f>
        <v>43132</v>
      </c>
      <c r="H67" s="98">
        <f t="shared" si="19"/>
        <v>43163</v>
      </c>
      <c r="I67" s="98">
        <f t="shared" si="19"/>
        <v>43194</v>
      </c>
      <c r="J67" s="98">
        <f t="shared" si="19"/>
        <v>43225</v>
      </c>
      <c r="K67" s="98">
        <f t="shared" si="19"/>
        <v>43256</v>
      </c>
      <c r="L67" s="98">
        <f t="shared" si="19"/>
        <v>43287</v>
      </c>
      <c r="M67" s="98">
        <f t="shared" si="19"/>
        <v>43318</v>
      </c>
      <c r="N67" s="98">
        <f t="shared" si="19"/>
        <v>43349</v>
      </c>
      <c r="O67" s="39">
        <f t="shared" si="19"/>
        <v>43380</v>
      </c>
      <c r="P67" s="39">
        <f t="shared" si="19"/>
        <v>43411</v>
      </c>
      <c r="Q67" s="99">
        <f t="shared" si="19"/>
        <v>43442</v>
      </c>
      <c r="R67" s="32" t="s">
        <v>12</v>
      </c>
    </row>
    <row r="68" spans="1:18" ht="13.15" customHeight="1" x14ac:dyDescent="0.2">
      <c r="A68" s="29">
        <v>1</v>
      </c>
      <c r="B68" s="37" t="str">
        <f>B4</f>
        <v>Goodrich - North 2311008572</v>
      </c>
      <c r="C68" s="37" t="str">
        <f t="shared" ref="C68:E70" si="20">C4</f>
        <v>2317650000</v>
      </c>
      <c r="D68" s="37" t="str">
        <f t="shared" si="20"/>
        <v>2311008572</v>
      </c>
      <c r="E68" s="37">
        <f t="shared" si="20"/>
        <v>770037736</v>
      </c>
      <c r="F68" s="62">
        <f>IF(F41&gt;3000,F41-3000,0)</f>
        <v>6397.4339999999993</v>
      </c>
      <c r="G68" s="62">
        <f>IF(G41&gt;3000,G41-3000,0)</f>
        <v>7808.5550000000003</v>
      </c>
      <c r="H68" s="62">
        <f>IF(H41&gt;3000,H41-3000,0)</f>
        <v>7876.92</v>
      </c>
      <c r="I68" s="62">
        <f t="shared" ref="I68:Q83" si="21">MAX(0,I41-3000)</f>
        <v>9189.2219999999998</v>
      </c>
      <c r="J68" s="62">
        <f t="shared" si="21"/>
        <v>7398.2160000000003</v>
      </c>
      <c r="K68" s="62">
        <f t="shared" si="21"/>
        <v>8271.4889999999996</v>
      </c>
      <c r="L68" s="62">
        <f t="shared" si="21"/>
        <v>7980.2620000000006</v>
      </c>
      <c r="M68" s="62">
        <f t="shared" si="21"/>
        <v>8527.9860000000008</v>
      </c>
      <c r="N68" s="62">
        <f t="shared" si="21"/>
        <v>7716.9380000000001</v>
      </c>
      <c r="O68" s="110">
        <f t="shared" si="21"/>
        <v>8924.82</v>
      </c>
      <c r="P68" s="110">
        <f t="shared" si="21"/>
        <v>7440.25</v>
      </c>
      <c r="Q68" s="111">
        <f t="shared" si="21"/>
        <v>7616.8619999999992</v>
      </c>
      <c r="R68" s="48">
        <f t="shared" ref="R68:R90" si="22">SUM(F68:Q68)</f>
        <v>95148.953999999998</v>
      </c>
    </row>
    <row r="69" spans="1:18" ht="13.15" customHeight="1" x14ac:dyDescent="0.2">
      <c r="A69" s="29">
        <v>22</v>
      </c>
      <c r="B69" s="37" t="str">
        <f t="shared" ref="B69:E84" si="23">B5</f>
        <v>Goodrich - South 2311155858 (No PVD)</v>
      </c>
      <c r="C69" s="37" t="str">
        <f t="shared" si="23"/>
        <v>2317650000</v>
      </c>
      <c r="D69" s="37"/>
      <c r="E69" s="37" t="str">
        <f t="shared" si="20"/>
        <v>new Sept 2017</v>
      </c>
      <c r="F69" s="62">
        <f t="shared" ref="F69:H77" si="24">IF(F42&gt;3000,F42-3000,0)</f>
        <v>0</v>
      </c>
      <c r="G69" s="62">
        <f t="shared" si="24"/>
        <v>0</v>
      </c>
      <c r="H69" s="62">
        <f t="shared" si="24"/>
        <v>0</v>
      </c>
      <c r="I69" s="62">
        <f t="shared" si="21"/>
        <v>0</v>
      </c>
      <c r="J69" s="62">
        <f t="shared" si="21"/>
        <v>0</v>
      </c>
      <c r="K69" s="62">
        <f t="shared" si="21"/>
        <v>0</v>
      </c>
      <c r="L69" s="62">
        <f t="shared" si="21"/>
        <v>0</v>
      </c>
      <c r="M69" s="62">
        <f t="shared" si="21"/>
        <v>0</v>
      </c>
      <c r="N69" s="62">
        <f t="shared" si="21"/>
        <v>0</v>
      </c>
      <c r="O69" s="110">
        <f t="shared" si="21"/>
        <v>0</v>
      </c>
      <c r="P69" s="110">
        <f t="shared" si="21"/>
        <v>0</v>
      </c>
      <c r="Q69" s="111">
        <f t="shared" si="21"/>
        <v>0</v>
      </c>
      <c r="R69" s="48">
        <f t="shared" si="22"/>
        <v>0</v>
      </c>
    </row>
    <row r="70" spans="1:18" ht="13.15" customHeight="1" x14ac:dyDescent="0.2">
      <c r="A70" s="29">
        <v>23</v>
      </c>
      <c r="B70" s="37" t="str">
        <f t="shared" si="23"/>
        <v>Boise Cascade LLC Inland Region</v>
      </c>
      <c r="C70" s="37" t="str">
        <f t="shared" si="23"/>
        <v>7600430000</v>
      </c>
      <c r="D70" s="37"/>
      <c r="E70" s="37" t="str">
        <f t="shared" si="20"/>
        <v>transferred from schedule 21 Nov 2017</v>
      </c>
      <c r="F70" s="62">
        <f t="shared" si="24"/>
        <v>1001.7600000000002</v>
      </c>
      <c r="G70" s="62">
        <f t="shared" si="24"/>
        <v>968.2510000000002</v>
      </c>
      <c r="H70" s="62">
        <f t="shared" si="24"/>
        <v>931.92700000000013</v>
      </c>
      <c r="I70" s="62">
        <f t="shared" si="21"/>
        <v>862.13700000000017</v>
      </c>
      <c r="J70" s="62">
        <f t="shared" si="21"/>
        <v>778.404</v>
      </c>
      <c r="K70" s="62">
        <f t="shared" si="21"/>
        <v>829.90299999999979</v>
      </c>
      <c r="L70" s="62">
        <f t="shared" si="21"/>
        <v>654.61799999999994</v>
      </c>
      <c r="M70" s="62">
        <f t="shared" si="21"/>
        <v>595.99499999999989</v>
      </c>
      <c r="N70" s="62">
        <f t="shared" si="21"/>
        <v>626.62199999999984</v>
      </c>
      <c r="O70" s="110">
        <f t="shared" si="21"/>
        <v>622.50399999999991</v>
      </c>
      <c r="P70" s="110">
        <f t="shared" si="21"/>
        <v>699.85399999999981</v>
      </c>
      <c r="Q70" s="111">
        <f t="shared" si="21"/>
        <v>744.72299999999996</v>
      </c>
      <c r="R70" s="48">
        <f t="shared" si="22"/>
        <v>9316.6980000000021</v>
      </c>
    </row>
    <row r="71" spans="1:18" ht="13.15" customHeight="1" x14ac:dyDescent="0.2">
      <c r="A71" s="29">
        <v>2</v>
      </c>
      <c r="B71" s="37" t="str">
        <f t="shared" si="23"/>
        <v>Boise Cascade Plywood</v>
      </c>
      <c r="C71" s="37" t="str">
        <f t="shared" si="23"/>
        <v>8927100000</v>
      </c>
      <c r="D71" s="37" t="str">
        <f t="shared" si="23"/>
        <v>8920023327</v>
      </c>
      <c r="E71" s="37">
        <f t="shared" si="23"/>
        <v>500017</v>
      </c>
      <c r="F71" s="62">
        <f t="shared" si="24"/>
        <v>2106.8680000000004</v>
      </c>
      <c r="G71" s="62">
        <f t="shared" si="24"/>
        <v>2228.8360000000002</v>
      </c>
      <c r="H71" s="62">
        <f t="shared" si="24"/>
        <v>2152.5969999999998</v>
      </c>
      <c r="I71" s="62">
        <f t="shared" si="21"/>
        <v>2015.616</v>
      </c>
      <c r="J71" s="62">
        <f t="shared" si="21"/>
        <v>1996.5810000000001</v>
      </c>
      <c r="K71" s="62">
        <f t="shared" si="21"/>
        <v>1970.7349999999997</v>
      </c>
      <c r="L71" s="62">
        <f t="shared" si="21"/>
        <v>1928.08</v>
      </c>
      <c r="M71" s="62">
        <f t="shared" si="21"/>
        <v>2016.8540000000003</v>
      </c>
      <c r="N71" s="62">
        <f t="shared" si="21"/>
        <v>2010.1260000000002</v>
      </c>
      <c r="O71" s="110">
        <f t="shared" si="21"/>
        <v>2221.1120000000001</v>
      </c>
      <c r="P71" s="110">
        <f t="shared" si="21"/>
        <v>2144.9229999999998</v>
      </c>
      <c r="Q71" s="111">
        <f t="shared" si="21"/>
        <v>2190.3100000000004</v>
      </c>
      <c r="R71" s="48">
        <f t="shared" si="22"/>
        <v>24982.638000000003</v>
      </c>
    </row>
    <row r="72" spans="1:18" ht="13.15" customHeight="1" x14ac:dyDescent="0.2">
      <c r="A72" s="29">
        <v>3</v>
      </c>
      <c r="B72" s="37" t="str">
        <f t="shared" si="23"/>
        <v>Boise Cascade Sawmill</v>
      </c>
      <c r="C72" s="37" t="str">
        <f t="shared" si="23"/>
        <v>9927100000</v>
      </c>
      <c r="D72" s="37" t="str">
        <f t="shared" si="23"/>
        <v>9920023116</v>
      </c>
      <c r="E72" s="37">
        <f t="shared" si="23"/>
        <v>500018</v>
      </c>
      <c r="F72" s="62">
        <f t="shared" si="24"/>
        <v>44.835000000000036</v>
      </c>
      <c r="G72" s="62">
        <f t="shared" si="24"/>
        <v>165.72400000000016</v>
      </c>
      <c r="H72" s="62">
        <f t="shared" si="24"/>
        <v>0</v>
      </c>
      <c r="I72" s="62">
        <f t="shared" si="21"/>
        <v>0</v>
      </c>
      <c r="J72" s="62">
        <f t="shared" si="21"/>
        <v>0</v>
      </c>
      <c r="K72" s="62">
        <f t="shared" si="21"/>
        <v>0</v>
      </c>
      <c r="L72" s="62">
        <f t="shared" si="21"/>
        <v>0</v>
      </c>
      <c r="M72" s="62">
        <f t="shared" si="21"/>
        <v>0</v>
      </c>
      <c r="N72" s="62">
        <f t="shared" si="21"/>
        <v>0</v>
      </c>
      <c r="O72" s="110">
        <f t="shared" si="21"/>
        <v>0</v>
      </c>
      <c r="P72" s="110">
        <f t="shared" si="21"/>
        <v>0</v>
      </c>
      <c r="Q72" s="111">
        <f t="shared" si="21"/>
        <v>120.73500000000013</v>
      </c>
      <c r="R72" s="48">
        <f t="shared" si="22"/>
        <v>331.29400000000032</v>
      </c>
    </row>
    <row r="73" spans="1:18" ht="13.15" customHeight="1" x14ac:dyDescent="0.2">
      <c r="A73" s="29">
        <v>4</v>
      </c>
      <c r="B73" s="37" t="str">
        <f t="shared" si="23"/>
        <v>City of Spokane</v>
      </c>
      <c r="C73" s="37" t="str">
        <f t="shared" si="23"/>
        <v>8972300000</v>
      </c>
      <c r="D73" s="37" t="str">
        <f t="shared" si="23"/>
        <v>8970099313</v>
      </c>
      <c r="E73" s="37">
        <f t="shared" si="23"/>
        <v>1900002</v>
      </c>
      <c r="F73" s="62">
        <f t="shared" si="24"/>
        <v>0</v>
      </c>
      <c r="G73" s="62">
        <f t="shared" si="24"/>
        <v>0</v>
      </c>
      <c r="H73" s="62">
        <f t="shared" si="24"/>
        <v>0</v>
      </c>
      <c r="I73" s="62">
        <f t="shared" si="21"/>
        <v>0</v>
      </c>
      <c r="J73" s="62">
        <f t="shared" si="21"/>
        <v>0</v>
      </c>
      <c r="K73" s="62">
        <f t="shared" si="21"/>
        <v>0</v>
      </c>
      <c r="L73" s="62">
        <f t="shared" si="21"/>
        <v>0</v>
      </c>
      <c r="M73" s="62">
        <f t="shared" si="21"/>
        <v>0</v>
      </c>
      <c r="N73" s="62">
        <f t="shared" si="21"/>
        <v>0</v>
      </c>
      <c r="O73" s="110">
        <f t="shared" si="21"/>
        <v>0</v>
      </c>
      <c r="P73" s="110">
        <f t="shared" si="21"/>
        <v>0</v>
      </c>
      <c r="Q73" s="111">
        <f t="shared" si="21"/>
        <v>0</v>
      </c>
      <c r="R73" s="48">
        <f t="shared" si="22"/>
        <v>0</v>
      </c>
    </row>
    <row r="74" spans="1:18" ht="13.15" customHeight="1" x14ac:dyDescent="0.2">
      <c r="A74" s="29">
        <v>5</v>
      </c>
      <c r="B74" s="37" t="str">
        <f t="shared" si="23"/>
        <v>Empire Health Services</v>
      </c>
      <c r="C74" s="37" t="str">
        <f t="shared" si="23"/>
        <v>0082300000</v>
      </c>
      <c r="D74" s="37" t="str">
        <f t="shared" si="23"/>
        <v>0080095044</v>
      </c>
      <c r="E74" s="37">
        <f t="shared" si="23"/>
        <v>1900011</v>
      </c>
      <c r="F74" s="62">
        <f t="shared" si="24"/>
        <v>0</v>
      </c>
      <c r="G74" s="62">
        <f t="shared" si="24"/>
        <v>0</v>
      </c>
      <c r="H74" s="62">
        <f t="shared" si="24"/>
        <v>0</v>
      </c>
      <c r="I74" s="62">
        <f t="shared" si="21"/>
        <v>450.44000000000005</v>
      </c>
      <c r="J74" s="62">
        <f t="shared" si="21"/>
        <v>858.02399999999989</v>
      </c>
      <c r="K74" s="62">
        <f t="shared" si="21"/>
        <v>693.92999999999984</v>
      </c>
      <c r="L74" s="62">
        <f t="shared" si="21"/>
        <v>911.69700000000012</v>
      </c>
      <c r="M74" s="62">
        <f t="shared" si="21"/>
        <v>885</v>
      </c>
      <c r="N74" s="62">
        <f t="shared" si="21"/>
        <v>581.14499999999998</v>
      </c>
      <c r="O74" s="110">
        <f t="shared" si="21"/>
        <v>55.420999999999822</v>
      </c>
      <c r="P74" s="110">
        <f t="shared" si="21"/>
        <v>0</v>
      </c>
      <c r="Q74" s="111">
        <f t="shared" si="21"/>
        <v>0</v>
      </c>
      <c r="R74" s="48">
        <f t="shared" si="22"/>
        <v>4435.6569999999992</v>
      </c>
    </row>
    <row r="75" spans="1:18" ht="13.15" customHeight="1" x14ac:dyDescent="0.2">
      <c r="A75" s="29">
        <v>6</v>
      </c>
      <c r="B75" s="37" t="str">
        <f t="shared" si="23"/>
        <v>Gonzaga University</v>
      </c>
      <c r="C75" s="37" t="str">
        <f t="shared" si="23"/>
        <v>1423850000</v>
      </c>
      <c r="D75" s="37" t="str">
        <f t="shared" si="23"/>
        <v>1420028876</v>
      </c>
      <c r="E75" s="37">
        <f t="shared" si="23"/>
        <v>622922</v>
      </c>
      <c r="F75" s="62">
        <f t="shared" si="24"/>
        <v>1475.3249999999998</v>
      </c>
      <c r="G75" s="62">
        <f t="shared" si="24"/>
        <v>1880.0200000000004</v>
      </c>
      <c r="H75" s="62">
        <f t="shared" si="24"/>
        <v>1434.5249999999996</v>
      </c>
      <c r="I75" s="62">
        <f t="shared" si="21"/>
        <v>1814.7790000000005</v>
      </c>
      <c r="J75" s="62">
        <f t="shared" si="21"/>
        <v>1723.3999999999996</v>
      </c>
      <c r="K75" s="62">
        <f t="shared" si="21"/>
        <v>1119.1229999999996</v>
      </c>
      <c r="L75" s="62">
        <f t="shared" si="21"/>
        <v>1821.9930000000004</v>
      </c>
      <c r="M75" s="62">
        <f t="shared" si="21"/>
        <v>2334.5519999999997</v>
      </c>
      <c r="N75" s="62">
        <f t="shared" si="21"/>
        <v>2154.96</v>
      </c>
      <c r="O75" s="110">
        <f t="shared" si="21"/>
        <v>1196.4179999999997</v>
      </c>
      <c r="P75" s="110">
        <f t="shared" si="21"/>
        <v>1699.3639999999996</v>
      </c>
      <c r="Q75" s="111">
        <f t="shared" si="21"/>
        <v>1772.5309999999999</v>
      </c>
      <c r="R75" s="48">
        <f t="shared" si="22"/>
        <v>20426.990000000002</v>
      </c>
    </row>
    <row r="76" spans="1:18" ht="13.15" customHeight="1" x14ac:dyDescent="0.2">
      <c r="A76" s="29">
        <v>7</v>
      </c>
      <c r="B76" s="37" t="str">
        <f t="shared" si="23"/>
        <v>Honeywell Electronics</v>
      </c>
      <c r="C76" s="37" t="str">
        <f t="shared" si="23"/>
        <v>0177400000</v>
      </c>
      <c r="D76" s="37" t="str">
        <f t="shared" si="23"/>
        <v>0170122152</v>
      </c>
      <c r="E76" s="37">
        <f t="shared" si="23"/>
        <v>2304636</v>
      </c>
      <c r="F76" s="62">
        <f t="shared" si="24"/>
        <v>61.670000000000073</v>
      </c>
      <c r="G76" s="62">
        <f t="shared" si="24"/>
        <v>134.30600000000004</v>
      </c>
      <c r="H76" s="62">
        <f t="shared" si="24"/>
        <v>167.08699999999999</v>
      </c>
      <c r="I76" s="62">
        <f t="shared" si="21"/>
        <v>35.385999999999967</v>
      </c>
      <c r="J76" s="62">
        <f t="shared" si="21"/>
        <v>408.92000000000007</v>
      </c>
      <c r="K76" s="62">
        <f t="shared" si="21"/>
        <v>260.47600000000011</v>
      </c>
      <c r="L76" s="62">
        <f t="shared" si="21"/>
        <v>649.72499999999991</v>
      </c>
      <c r="M76" s="62">
        <f t="shared" si="21"/>
        <v>544.70899999999983</v>
      </c>
      <c r="N76" s="62">
        <f t="shared" si="21"/>
        <v>110.41800000000012</v>
      </c>
      <c r="O76" s="110">
        <f t="shared" si="21"/>
        <v>118.11400000000003</v>
      </c>
      <c r="P76" s="110">
        <f t="shared" si="21"/>
        <v>34.592000000000098</v>
      </c>
      <c r="Q76" s="111">
        <f t="shared" si="21"/>
        <v>0</v>
      </c>
      <c r="R76" s="48">
        <f t="shared" si="22"/>
        <v>2525.4030000000002</v>
      </c>
    </row>
    <row r="77" spans="1:18" ht="13.15" customHeight="1" x14ac:dyDescent="0.2">
      <c r="A77" s="29">
        <v>8</v>
      </c>
      <c r="B77" s="37" t="str">
        <f t="shared" si="23"/>
        <v>Huntwood Industries</v>
      </c>
      <c r="C77" s="37" t="str">
        <f t="shared" si="23"/>
        <v>8649170000</v>
      </c>
      <c r="D77" s="37" t="str">
        <f t="shared" si="23"/>
        <v>8640841982</v>
      </c>
      <c r="E77" s="37">
        <f t="shared" si="23"/>
        <v>610074869</v>
      </c>
      <c r="F77" s="62">
        <f t="shared" si="24"/>
        <v>1179.9939999999997</v>
      </c>
      <c r="G77" s="62">
        <f t="shared" si="24"/>
        <v>1116.866</v>
      </c>
      <c r="H77" s="62">
        <f t="shared" si="24"/>
        <v>1122.7659999999996</v>
      </c>
      <c r="I77" s="62">
        <f t="shared" si="21"/>
        <v>1175.7380000000003</v>
      </c>
      <c r="J77" s="62">
        <f t="shared" si="21"/>
        <v>1152.0309999999999</v>
      </c>
      <c r="K77" s="62">
        <f t="shared" si="21"/>
        <v>1106.2939999999999</v>
      </c>
      <c r="L77" s="62">
        <f t="shared" si="21"/>
        <v>1239.0709999999999</v>
      </c>
      <c r="M77" s="62">
        <f t="shared" si="21"/>
        <v>1195.2430000000004</v>
      </c>
      <c r="N77" s="62">
        <f t="shared" si="21"/>
        <v>1110.0389999999998</v>
      </c>
      <c r="O77" s="110">
        <f t="shared" si="21"/>
        <v>1143.3459999999995</v>
      </c>
      <c r="P77" s="110">
        <f t="shared" si="21"/>
        <v>1199.8739999999998</v>
      </c>
      <c r="Q77" s="111">
        <f t="shared" si="21"/>
        <v>1103.4840000000004</v>
      </c>
      <c r="R77" s="48">
        <f t="shared" si="22"/>
        <v>13844.746000000001</v>
      </c>
    </row>
    <row r="78" spans="1:18" ht="13.15" customHeight="1" x14ac:dyDescent="0.2">
      <c r="A78" s="29">
        <v>9</v>
      </c>
      <c r="B78" s="37" t="str">
        <f t="shared" si="23"/>
        <v>Inland Empire Paper</v>
      </c>
      <c r="C78" s="37" t="str">
        <f t="shared" si="23"/>
        <v>0166400000</v>
      </c>
      <c r="D78" s="37" t="str">
        <f t="shared" si="23"/>
        <v>0160126924</v>
      </c>
      <c r="E78" s="37">
        <f t="shared" si="23"/>
        <v>2500004</v>
      </c>
      <c r="F78" s="62">
        <f t="shared" ref="F78:H78" si="25">MAX(0,F51-3000)</f>
        <v>59256</v>
      </c>
      <c r="G78" s="62">
        <f t="shared" si="25"/>
        <v>59379</v>
      </c>
      <c r="H78" s="62">
        <f t="shared" si="25"/>
        <v>60189</v>
      </c>
      <c r="I78" s="62">
        <f t="shared" si="21"/>
        <v>58994.13</v>
      </c>
      <c r="J78" s="62">
        <f t="shared" si="21"/>
        <v>58517.53</v>
      </c>
      <c r="K78" s="62">
        <f t="shared" si="21"/>
        <v>56396.53</v>
      </c>
      <c r="L78" s="62">
        <f t="shared" si="21"/>
        <v>59813.1</v>
      </c>
      <c r="M78" s="62">
        <f t="shared" si="21"/>
        <v>58040.2</v>
      </c>
      <c r="N78" s="62">
        <f t="shared" si="21"/>
        <v>56942.23</v>
      </c>
      <c r="O78" s="110">
        <f t="shared" si="21"/>
        <v>58096.84</v>
      </c>
      <c r="P78" s="110">
        <f t="shared" si="21"/>
        <v>57588.02</v>
      </c>
      <c r="Q78" s="111">
        <f t="shared" si="21"/>
        <v>57856.67</v>
      </c>
      <c r="R78" s="48">
        <f t="shared" si="22"/>
        <v>701069.25000000012</v>
      </c>
    </row>
    <row r="79" spans="1:18" ht="13.15" customHeight="1" x14ac:dyDescent="0.2">
      <c r="A79" s="29">
        <v>10</v>
      </c>
      <c r="B79" s="37" t="str">
        <f t="shared" si="23"/>
        <v>Simplot - Othello</v>
      </c>
      <c r="C79" s="37" t="str">
        <f t="shared" si="23"/>
        <v>4258610000</v>
      </c>
      <c r="D79" s="37" t="str">
        <f t="shared" si="23"/>
        <v>4250473907</v>
      </c>
      <c r="E79" s="37">
        <f t="shared" si="23"/>
        <v>290048778</v>
      </c>
      <c r="F79" s="62">
        <f t="shared" ref="F79:H90" si="26">IF(F52&gt;3000,F52-3000,0)</f>
        <v>5442.4179999999997</v>
      </c>
      <c r="G79" s="62">
        <f t="shared" si="26"/>
        <v>5358.5110000000004</v>
      </c>
      <c r="H79" s="62">
        <f t="shared" si="26"/>
        <v>5105.5600000000004</v>
      </c>
      <c r="I79" s="62">
        <f t="shared" si="21"/>
        <v>5224.9040000000005</v>
      </c>
      <c r="J79" s="62">
        <f t="shared" si="21"/>
        <v>5483.3549999999996</v>
      </c>
      <c r="K79" s="62">
        <f t="shared" si="21"/>
        <v>5479.8610000000008</v>
      </c>
      <c r="L79" s="62">
        <f t="shared" si="21"/>
        <v>5624.3089999999993</v>
      </c>
      <c r="M79" s="62">
        <f t="shared" si="21"/>
        <v>5557.473</v>
      </c>
      <c r="N79" s="62">
        <f t="shared" si="21"/>
        <v>6557.9490000000005</v>
      </c>
      <c r="O79" s="110">
        <f t="shared" si="21"/>
        <v>5207.0059999999994</v>
      </c>
      <c r="P79" s="110">
        <f t="shared" si="21"/>
        <v>5147.16</v>
      </c>
      <c r="Q79" s="111">
        <f t="shared" si="21"/>
        <v>5210.1049999999996</v>
      </c>
      <c r="R79" s="48">
        <f t="shared" si="22"/>
        <v>65398.611000000004</v>
      </c>
    </row>
    <row r="80" spans="1:18" ht="13.15" customHeight="1" x14ac:dyDescent="0.2">
      <c r="A80" s="29">
        <v>11</v>
      </c>
      <c r="B80" s="37" t="str">
        <f t="shared" si="23"/>
        <v>McCaine Foods Inc</v>
      </c>
      <c r="C80" s="37" t="str">
        <f t="shared" si="23"/>
        <v>9066400000</v>
      </c>
      <c r="D80" s="37" t="str">
        <f t="shared" si="23"/>
        <v>9060132009</v>
      </c>
      <c r="E80" s="37">
        <f t="shared" si="23"/>
        <v>2500003</v>
      </c>
      <c r="F80" s="62">
        <f t="shared" si="26"/>
        <v>5657.7160000000003</v>
      </c>
      <c r="G80" s="62">
        <f t="shared" si="26"/>
        <v>5652.4400000000005</v>
      </c>
      <c r="H80" s="62">
        <f t="shared" si="26"/>
        <v>5902.7880000000005</v>
      </c>
      <c r="I80" s="62">
        <f t="shared" si="21"/>
        <v>6184</v>
      </c>
      <c r="J80" s="62">
        <f t="shared" si="21"/>
        <v>6377.5310000000009</v>
      </c>
      <c r="K80" s="62">
        <f t="shared" si="21"/>
        <v>5867.607</v>
      </c>
      <c r="L80" s="62">
        <f t="shared" si="21"/>
        <v>5953.0669999999991</v>
      </c>
      <c r="M80" s="62">
        <f t="shared" si="21"/>
        <v>5889.2520000000004</v>
      </c>
      <c r="N80" s="62">
        <f t="shared" si="21"/>
        <v>5913.0679999999993</v>
      </c>
      <c r="O80" s="110">
        <f t="shared" si="21"/>
        <v>6166.2610000000004</v>
      </c>
      <c r="P80" s="110">
        <f t="shared" si="21"/>
        <v>6181.9779999999992</v>
      </c>
      <c r="Q80" s="111">
        <f t="shared" si="21"/>
        <v>6106.7780000000002</v>
      </c>
      <c r="R80" s="48">
        <f t="shared" si="22"/>
        <v>71852.486000000004</v>
      </c>
    </row>
    <row r="81" spans="1:18" ht="13.15" customHeight="1" x14ac:dyDescent="0.2">
      <c r="A81" s="29">
        <v>12</v>
      </c>
      <c r="B81" s="37" t="str">
        <f t="shared" si="23"/>
        <v>Sacred Heart Medical Center</v>
      </c>
      <c r="C81" s="37" t="str">
        <f t="shared" si="23"/>
        <v>0037100000</v>
      </c>
      <c r="D81" s="37" t="str">
        <f t="shared" si="23"/>
        <v>0030019644</v>
      </c>
      <c r="E81" s="37">
        <f t="shared" si="23"/>
        <v>500020</v>
      </c>
      <c r="F81" s="62">
        <f t="shared" si="26"/>
        <v>2071.4459999999999</v>
      </c>
      <c r="G81" s="62">
        <f t="shared" si="26"/>
        <v>2121.7960000000003</v>
      </c>
      <c r="H81" s="62">
        <f t="shared" si="26"/>
        <v>2189.1419999999998</v>
      </c>
      <c r="I81" s="62">
        <f t="shared" si="21"/>
        <v>4026.4409999999998</v>
      </c>
      <c r="J81" s="62">
        <f t="shared" si="21"/>
        <v>4631.1180000000004</v>
      </c>
      <c r="K81" s="62">
        <f t="shared" si="21"/>
        <v>4475.982</v>
      </c>
      <c r="L81" s="62">
        <f t="shared" si="21"/>
        <v>5008.9009999999998</v>
      </c>
      <c r="M81" s="62">
        <f t="shared" si="21"/>
        <v>5512.1190000000006</v>
      </c>
      <c r="N81" s="62">
        <f t="shared" si="21"/>
        <v>4510.1090000000004</v>
      </c>
      <c r="O81" s="110">
        <f t="shared" si="21"/>
        <v>3467.3239999999996</v>
      </c>
      <c r="P81" s="110">
        <f t="shared" si="21"/>
        <v>2024.3389999999999</v>
      </c>
      <c r="Q81" s="111">
        <f t="shared" si="21"/>
        <v>2040.6610000000001</v>
      </c>
      <c r="R81" s="48">
        <f t="shared" si="22"/>
        <v>42079.378000000004</v>
      </c>
    </row>
    <row r="82" spans="1:18" ht="13.15" customHeight="1" x14ac:dyDescent="0.2">
      <c r="A82" s="29">
        <v>13</v>
      </c>
      <c r="B82" s="37" t="str">
        <f t="shared" si="23"/>
        <v>Spokane County Combined Master</v>
      </c>
      <c r="C82" s="37" t="str">
        <f t="shared" si="23"/>
        <v>1082300000</v>
      </c>
      <c r="D82" s="37" t="str">
        <f t="shared" si="23"/>
        <v>1080099801</v>
      </c>
      <c r="E82" s="37">
        <f t="shared" si="23"/>
        <v>1900012</v>
      </c>
      <c r="F82" s="62">
        <f t="shared" si="26"/>
        <v>0</v>
      </c>
      <c r="G82" s="62">
        <f t="shared" si="26"/>
        <v>0</v>
      </c>
      <c r="H82" s="62">
        <f t="shared" si="26"/>
        <v>0</v>
      </c>
      <c r="I82" s="62">
        <f t="shared" si="21"/>
        <v>0</v>
      </c>
      <c r="J82" s="62">
        <f t="shared" si="21"/>
        <v>0</v>
      </c>
      <c r="K82" s="62">
        <f t="shared" si="21"/>
        <v>0</v>
      </c>
      <c r="L82" s="62">
        <f t="shared" si="21"/>
        <v>0</v>
      </c>
      <c r="M82" s="62">
        <f t="shared" si="21"/>
        <v>0</v>
      </c>
      <c r="N82" s="62">
        <f t="shared" si="21"/>
        <v>0</v>
      </c>
      <c r="O82" s="110">
        <f t="shared" si="21"/>
        <v>0</v>
      </c>
      <c r="P82" s="110">
        <f t="shared" si="21"/>
        <v>0</v>
      </c>
      <c r="Q82" s="111">
        <f t="shared" si="21"/>
        <v>0</v>
      </c>
      <c r="R82" s="48">
        <f t="shared" si="22"/>
        <v>0</v>
      </c>
    </row>
    <row r="83" spans="1:18" ht="13.15" customHeight="1" x14ac:dyDescent="0.2">
      <c r="A83" s="29">
        <v>14</v>
      </c>
      <c r="B83" s="37" t="str">
        <f t="shared" si="23"/>
        <v>Spokane Industries</v>
      </c>
      <c r="C83" s="37" t="str">
        <f t="shared" si="23"/>
        <v>0078160000</v>
      </c>
      <c r="D83" s="37" t="str">
        <f t="shared" si="23"/>
        <v>0070121063</v>
      </c>
      <c r="E83" s="37">
        <f t="shared" si="23"/>
        <v>2400169</v>
      </c>
      <c r="F83" s="62">
        <f t="shared" si="26"/>
        <v>3008.5889999999999</v>
      </c>
      <c r="G83" s="62">
        <f t="shared" si="26"/>
        <v>2809.049</v>
      </c>
      <c r="H83" s="62">
        <f t="shared" si="26"/>
        <v>3148.5940000000001</v>
      </c>
      <c r="I83" s="62">
        <f t="shared" si="21"/>
        <v>3208.0169999999998</v>
      </c>
      <c r="J83" s="62">
        <f t="shared" si="21"/>
        <v>3002.5249999999996</v>
      </c>
      <c r="K83" s="62">
        <f t="shared" si="21"/>
        <v>3222.2669999999998</v>
      </c>
      <c r="L83" s="62">
        <f t="shared" si="21"/>
        <v>3246.7430000000004</v>
      </c>
      <c r="M83" s="62">
        <f t="shared" si="21"/>
        <v>3290.1589999999997</v>
      </c>
      <c r="N83" s="62">
        <f t="shared" si="21"/>
        <v>2921.3220000000001</v>
      </c>
      <c r="O83" s="110">
        <f t="shared" si="21"/>
        <v>3413.4849999999997</v>
      </c>
      <c r="P83" s="110">
        <f t="shared" si="21"/>
        <v>2857.6760000000004</v>
      </c>
      <c r="Q83" s="111">
        <f t="shared" si="21"/>
        <v>3328.8339999999998</v>
      </c>
      <c r="R83" s="48">
        <f t="shared" si="22"/>
        <v>37457.26</v>
      </c>
    </row>
    <row r="84" spans="1:18" ht="13.15" customHeight="1" x14ac:dyDescent="0.2">
      <c r="A84" s="29">
        <v>15</v>
      </c>
      <c r="B84" s="37" t="str">
        <f t="shared" si="23"/>
        <v>Triumph Composite</v>
      </c>
      <c r="C84" s="37" t="str">
        <f t="shared" si="23"/>
        <v>2261550000</v>
      </c>
      <c r="D84" s="37" t="str">
        <f t="shared" si="23"/>
        <v>2260946595</v>
      </c>
      <c r="E84" s="37">
        <f t="shared" si="23"/>
        <v>690067830</v>
      </c>
      <c r="F84" s="62">
        <f t="shared" si="26"/>
        <v>65.389999999999873</v>
      </c>
      <c r="G84" s="62">
        <f t="shared" si="26"/>
        <v>0</v>
      </c>
      <c r="H84" s="62">
        <f t="shared" si="26"/>
        <v>0</v>
      </c>
      <c r="I84" s="62">
        <f t="shared" ref="I84:Q90" si="27">MAX(0,I57-3000)</f>
        <v>177.04399999999987</v>
      </c>
      <c r="J84" s="62">
        <f t="shared" si="27"/>
        <v>683.09099999999989</v>
      </c>
      <c r="K84" s="62">
        <f t="shared" si="27"/>
        <v>760.29300000000012</v>
      </c>
      <c r="L84" s="62">
        <f t="shared" si="27"/>
        <v>950.19799999999987</v>
      </c>
      <c r="M84" s="62">
        <f t="shared" si="27"/>
        <v>875.2510000000002</v>
      </c>
      <c r="N84" s="62">
        <f t="shared" si="27"/>
        <v>607.34799999999996</v>
      </c>
      <c r="O84" s="110">
        <f t="shared" si="27"/>
        <v>124.81100000000015</v>
      </c>
      <c r="P84" s="110">
        <f t="shared" si="27"/>
        <v>0</v>
      </c>
      <c r="Q84" s="111">
        <f t="shared" si="27"/>
        <v>0</v>
      </c>
      <c r="R84" s="48">
        <f t="shared" si="22"/>
        <v>4243.4259999999995</v>
      </c>
    </row>
    <row r="85" spans="1:18" ht="13.15" customHeight="1" x14ac:dyDescent="0.2">
      <c r="A85" s="29">
        <v>16</v>
      </c>
      <c r="B85" s="37" t="str">
        <f t="shared" ref="B85:E90" si="28">B21</f>
        <v>Vaagen Brothers Lumber</v>
      </c>
      <c r="C85" s="37" t="str">
        <f t="shared" si="28"/>
        <v>2478200000</v>
      </c>
      <c r="D85" s="37" t="str">
        <f t="shared" si="28"/>
        <v>2470070232</v>
      </c>
      <c r="E85" s="37">
        <f t="shared" si="28"/>
        <v>1300001</v>
      </c>
      <c r="F85" s="62">
        <f t="shared" si="26"/>
        <v>1777.3739999999998</v>
      </c>
      <c r="G85" s="62">
        <f t="shared" si="26"/>
        <v>1899.0110000000004</v>
      </c>
      <c r="H85" s="62">
        <f t="shared" si="26"/>
        <v>1820.9589999999998</v>
      </c>
      <c r="I85" s="62">
        <f t="shared" si="27"/>
        <v>1753.4470000000001</v>
      </c>
      <c r="J85" s="62">
        <f t="shared" si="27"/>
        <v>1477.8860000000004</v>
      </c>
      <c r="K85" s="62">
        <f t="shared" si="27"/>
        <v>1414.1220000000003</v>
      </c>
      <c r="L85" s="62">
        <f t="shared" si="27"/>
        <v>1523.0389999999998</v>
      </c>
      <c r="M85" s="62">
        <f t="shared" si="27"/>
        <v>1447.9089999999997</v>
      </c>
      <c r="N85" s="62">
        <f t="shared" si="27"/>
        <v>1598.1149999999998</v>
      </c>
      <c r="O85" s="110">
        <f t="shared" si="27"/>
        <v>1784.4449999999997</v>
      </c>
      <c r="P85" s="110">
        <f t="shared" si="27"/>
        <v>1793.2470000000003</v>
      </c>
      <c r="Q85" s="111">
        <f t="shared" si="27"/>
        <v>1869.4759999999997</v>
      </c>
      <c r="R85" s="48">
        <f t="shared" si="22"/>
        <v>20159.03</v>
      </c>
    </row>
    <row r="86" spans="1:18" ht="13.15" customHeight="1" x14ac:dyDescent="0.2">
      <c r="A86" s="29">
        <v>17</v>
      </c>
      <c r="B86" s="37" t="str">
        <f t="shared" si="28"/>
        <v xml:space="preserve">WSU - MP-A South Campus Feeder </v>
      </c>
      <c r="C86" s="37" t="str">
        <f t="shared" si="28"/>
        <v>3731710000</v>
      </c>
      <c r="D86" s="37" t="str">
        <f t="shared" si="28"/>
        <v>3730460787</v>
      </c>
      <c r="E86" s="37">
        <f t="shared" si="28"/>
        <v>290081951</v>
      </c>
      <c r="F86" s="62">
        <f t="shared" si="26"/>
        <v>1509.5410000000002</v>
      </c>
      <c r="G86" s="62">
        <f t="shared" si="26"/>
        <v>1640.6400000000003</v>
      </c>
      <c r="H86" s="62">
        <f t="shared" si="26"/>
        <v>1637.1379999999999</v>
      </c>
      <c r="I86" s="62">
        <f t="shared" si="27"/>
        <v>1368.6319999999996</v>
      </c>
      <c r="J86" s="62">
        <f t="shared" si="27"/>
        <v>971.70699999999988</v>
      </c>
      <c r="K86" s="62">
        <f t="shared" si="27"/>
        <v>937.00300000000016</v>
      </c>
      <c r="L86" s="62">
        <f t="shared" si="27"/>
        <v>983.56500000000005</v>
      </c>
      <c r="M86" s="62">
        <f t="shared" si="27"/>
        <v>1133.5439999999999</v>
      </c>
      <c r="N86" s="62">
        <f t="shared" si="27"/>
        <v>1257.915</v>
      </c>
      <c r="O86" s="110">
        <f t="shared" si="27"/>
        <v>1457.1499999999996</v>
      </c>
      <c r="P86" s="110">
        <f t="shared" si="27"/>
        <v>1390.9139999999998</v>
      </c>
      <c r="Q86" s="111">
        <f t="shared" si="27"/>
        <v>1512.5990000000002</v>
      </c>
      <c r="R86" s="48">
        <f t="shared" si="22"/>
        <v>15800.348</v>
      </c>
    </row>
    <row r="87" spans="1:18" ht="13.15" customHeight="1" x14ac:dyDescent="0.2">
      <c r="A87" s="29">
        <v>18</v>
      </c>
      <c r="B87" s="37" t="str">
        <f t="shared" si="28"/>
        <v xml:space="preserve">WSU - MP-B East Campus EA </v>
      </c>
      <c r="C87" s="37" t="str">
        <f t="shared" si="28"/>
        <v>6037100000</v>
      </c>
      <c r="D87" s="37" t="str">
        <f t="shared" si="28"/>
        <v>6030021572</v>
      </c>
      <c r="E87" s="37">
        <f t="shared" si="28"/>
        <v>500033</v>
      </c>
      <c r="F87" s="62">
        <f t="shared" si="26"/>
        <v>5308</v>
      </c>
      <c r="G87" s="62">
        <f t="shared" si="26"/>
        <v>4585</v>
      </c>
      <c r="H87" s="62">
        <f t="shared" si="26"/>
        <v>4410</v>
      </c>
      <c r="I87" s="62">
        <f t="shared" si="27"/>
        <v>6091.2000000000007</v>
      </c>
      <c r="J87" s="62">
        <f t="shared" si="27"/>
        <v>6326.83</v>
      </c>
      <c r="K87" s="62">
        <f t="shared" si="27"/>
        <v>6601.17</v>
      </c>
      <c r="L87" s="62">
        <f t="shared" si="27"/>
        <v>7739.17</v>
      </c>
      <c r="M87" s="62">
        <f t="shared" si="27"/>
        <v>7982.51</v>
      </c>
      <c r="N87" s="62">
        <f t="shared" si="27"/>
        <v>6616.0300000000007</v>
      </c>
      <c r="O87" s="110">
        <f t="shared" si="27"/>
        <v>4396.07</v>
      </c>
      <c r="P87" s="110">
        <f t="shared" si="27"/>
        <v>4264.42</v>
      </c>
      <c r="Q87" s="111">
        <f t="shared" si="27"/>
        <v>4321.84</v>
      </c>
      <c r="R87" s="48">
        <f t="shared" si="22"/>
        <v>68642.239999999991</v>
      </c>
    </row>
    <row r="88" spans="1:18" ht="13.15" customHeight="1" x14ac:dyDescent="0.2">
      <c r="A88" s="29">
        <v>19</v>
      </c>
      <c r="B88" s="37" t="str">
        <f t="shared" si="28"/>
        <v xml:space="preserve">WSU - MP-C East Campus EB </v>
      </c>
      <c r="C88" s="37" t="str">
        <f t="shared" si="28"/>
        <v>6100220000</v>
      </c>
      <c r="D88" s="37" t="str">
        <f t="shared" si="28"/>
        <v>6100609210</v>
      </c>
      <c r="E88" s="37">
        <f t="shared" si="28"/>
        <v>410031282</v>
      </c>
      <c r="F88" s="62">
        <f t="shared" si="26"/>
        <v>2683.2809999999999</v>
      </c>
      <c r="G88" s="62">
        <f t="shared" si="26"/>
        <v>2615.9319999999998</v>
      </c>
      <c r="H88" s="62">
        <f t="shared" si="26"/>
        <v>2617.817</v>
      </c>
      <c r="I88" s="62">
        <f t="shared" si="27"/>
        <v>2574.0569999999998</v>
      </c>
      <c r="J88" s="62">
        <f t="shared" si="27"/>
        <v>2024.5339999999997</v>
      </c>
      <c r="K88" s="62">
        <f t="shared" si="27"/>
        <v>1956.9750000000004</v>
      </c>
      <c r="L88" s="62">
        <f t="shared" si="27"/>
        <v>1832.4830000000002</v>
      </c>
      <c r="M88" s="62">
        <f t="shared" si="27"/>
        <v>2151.4189999999999</v>
      </c>
      <c r="N88" s="62">
        <f t="shared" si="27"/>
        <v>2185.6850000000004</v>
      </c>
      <c r="O88" s="110">
        <f t="shared" si="27"/>
        <v>2362.3459999999995</v>
      </c>
      <c r="P88" s="110">
        <f t="shared" si="27"/>
        <v>2780.5309999999999</v>
      </c>
      <c r="Q88" s="111">
        <f t="shared" si="27"/>
        <v>2915.085</v>
      </c>
      <c r="R88" s="48">
        <f t="shared" si="22"/>
        <v>28700.145</v>
      </c>
    </row>
    <row r="89" spans="1:18" ht="13.15" customHeight="1" x14ac:dyDescent="0.2">
      <c r="A89" s="29">
        <v>20</v>
      </c>
      <c r="B89" s="37" t="str">
        <f t="shared" si="28"/>
        <v>WSU - MP -D Casp East (no PVD)</v>
      </c>
      <c r="C89" s="37" t="str">
        <f t="shared" si="28"/>
        <v>5037100000</v>
      </c>
      <c r="D89" s="37" t="str">
        <f t="shared" si="28"/>
        <v>5030019646</v>
      </c>
      <c r="E89" s="37">
        <f t="shared" si="28"/>
        <v>500032</v>
      </c>
      <c r="F89" s="62">
        <f t="shared" si="26"/>
        <v>1817.3819999999996</v>
      </c>
      <c r="G89" s="62">
        <f t="shared" si="26"/>
        <v>2010.6570000000002</v>
      </c>
      <c r="H89" s="62">
        <f t="shared" si="26"/>
        <v>2289.2520000000004</v>
      </c>
      <c r="I89" s="62">
        <f t="shared" si="27"/>
        <v>2335.1059999999998</v>
      </c>
      <c r="J89" s="62">
        <f t="shared" si="27"/>
        <v>1795.3310000000001</v>
      </c>
      <c r="K89" s="62">
        <f t="shared" si="27"/>
        <v>1586.6450000000004</v>
      </c>
      <c r="L89" s="62">
        <f t="shared" si="27"/>
        <v>1694.7389999999996</v>
      </c>
      <c r="M89" s="62">
        <f t="shared" si="27"/>
        <v>2016.1980000000003</v>
      </c>
      <c r="N89" s="62">
        <f t="shared" si="27"/>
        <v>1987.9470000000001</v>
      </c>
      <c r="O89" s="110">
        <f t="shared" si="27"/>
        <v>2059.4920000000002</v>
      </c>
      <c r="P89" s="110">
        <f t="shared" si="27"/>
        <v>2305.9480000000003</v>
      </c>
      <c r="Q89" s="111">
        <f t="shared" si="27"/>
        <v>2437.4110000000001</v>
      </c>
      <c r="R89" s="48">
        <f t="shared" si="22"/>
        <v>24336.108000000004</v>
      </c>
    </row>
    <row r="90" spans="1:18" ht="13.15" customHeight="1" x14ac:dyDescent="0.2">
      <c r="A90" s="29">
        <v>21</v>
      </c>
      <c r="B90" s="37" t="str">
        <f t="shared" si="28"/>
        <v>WSU - MP-E Casp West (no PVD)</v>
      </c>
      <c r="C90" s="37" t="str">
        <f t="shared" si="28"/>
        <v>6365350762</v>
      </c>
      <c r="D90" s="37" t="str">
        <f t="shared" si="28"/>
        <v>7030024549</v>
      </c>
      <c r="E90" s="37">
        <f t="shared" si="28"/>
        <v>500034</v>
      </c>
      <c r="F90" s="62">
        <f t="shared" si="26"/>
        <v>1338.6229999999996</v>
      </c>
      <c r="G90" s="62">
        <f t="shared" si="26"/>
        <v>1320.7179999999998</v>
      </c>
      <c r="H90" s="62">
        <f t="shared" si="26"/>
        <v>1136.3190000000004</v>
      </c>
      <c r="I90" s="62">
        <f t="shared" si="27"/>
        <v>2872.9449999999997</v>
      </c>
      <c r="J90" s="62">
        <f t="shared" si="27"/>
        <v>2696.3199999999997</v>
      </c>
      <c r="K90" s="62">
        <f t="shared" si="27"/>
        <v>2612.3180000000002</v>
      </c>
      <c r="L90" s="62">
        <f t="shared" si="27"/>
        <v>3844.5559999999996</v>
      </c>
      <c r="M90" s="62">
        <f t="shared" si="27"/>
        <v>4163.116</v>
      </c>
      <c r="N90" s="62">
        <f t="shared" si="27"/>
        <v>3990.2089999999998</v>
      </c>
      <c r="O90" s="110">
        <f t="shared" si="27"/>
        <v>2036.2150000000001</v>
      </c>
      <c r="P90" s="110">
        <f t="shared" si="27"/>
        <v>1252.4620000000004</v>
      </c>
      <c r="Q90" s="111">
        <f t="shared" si="27"/>
        <v>1379.9300000000003</v>
      </c>
      <c r="R90" s="48">
        <f t="shared" si="22"/>
        <v>28643.731</v>
      </c>
    </row>
    <row r="91" spans="1:18" ht="13.15" customHeight="1" x14ac:dyDescent="0.2">
      <c r="A91" s="29" t="s">
        <v>137</v>
      </c>
      <c r="E91" s="112"/>
      <c r="F91" s="113">
        <f t="shared" ref="F91:Q91" si="29">SUM(F68:F90)</f>
        <v>102203.64599999998</v>
      </c>
      <c r="G91" s="113">
        <f t="shared" si="29"/>
        <v>103695.31200000001</v>
      </c>
      <c r="H91" s="113">
        <f t="shared" si="29"/>
        <v>104132.39100000002</v>
      </c>
      <c r="I91" s="113">
        <f t="shared" si="29"/>
        <v>110353.24099999998</v>
      </c>
      <c r="J91" s="113">
        <f t="shared" si="29"/>
        <v>108303.334</v>
      </c>
      <c r="K91" s="113">
        <f t="shared" si="29"/>
        <v>105562.72300000003</v>
      </c>
      <c r="L91" s="113">
        <f t="shared" si="29"/>
        <v>113399.31600000001</v>
      </c>
      <c r="M91" s="113">
        <f t="shared" si="29"/>
        <v>114159.48899999999</v>
      </c>
      <c r="N91" s="113">
        <f t="shared" si="29"/>
        <v>109398.17499999999</v>
      </c>
      <c r="O91" s="114">
        <f t="shared" si="29"/>
        <v>104853.17999999998</v>
      </c>
      <c r="P91" s="114">
        <f t="shared" si="29"/>
        <v>100805.55200000001</v>
      </c>
      <c r="Q91" s="115">
        <f t="shared" si="29"/>
        <v>102528.03399999999</v>
      </c>
      <c r="R91" s="114">
        <f>IF(ROUND(SUM(R68:R90),0)&lt;&gt;ROUND(SUM(F91:Q91),0),#VALUE!,SUM(R68:R90))</f>
        <v>1279394.3930000002</v>
      </c>
    </row>
    <row r="92" spans="1:18" ht="13.15" customHeight="1" x14ac:dyDescent="0.2">
      <c r="E92" s="112"/>
      <c r="F92" s="62"/>
      <c r="G92" s="62"/>
      <c r="H92" s="62"/>
      <c r="I92" s="62"/>
      <c r="J92" s="62"/>
      <c r="K92" s="62"/>
      <c r="L92" s="62"/>
      <c r="M92" s="62"/>
      <c r="N92" s="62"/>
      <c r="O92" s="116"/>
      <c r="P92" s="116"/>
      <c r="Q92" s="117"/>
      <c r="R92" s="48"/>
    </row>
    <row r="93" spans="1:18" ht="13.15" customHeight="1" x14ac:dyDescent="0.2">
      <c r="E93" s="112"/>
      <c r="F93" s="62"/>
      <c r="G93" s="62"/>
      <c r="H93" s="62"/>
      <c r="I93" s="62"/>
      <c r="J93" s="62"/>
      <c r="K93" s="62"/>
      <c r="L93" s="62"/>
      <c r="M93" s="62"/>
      <c r="N93" s="62"/>
      <c r="O93" s="116"/>
      <c r="P93" s="116"/>
      <c r="Q93" s="117"/>
      <c r="R93" s="48"/>
    </row>
    <row r="94" spans="1:18" ht="13.15" customHeight="1" x14ac:dyDescent="0.2">
      <c r="F94" s="58"/>
      <c r="G94" s="58"/>
      <c r="H94" s="58"/>
      <c r="I94" s="58"/>
      <c r="J94" s="58"/>
      <c r="K94" s="58"/>
      <c r="L94" s="58"/>
      <c r="M94" s="58"/>
      <c r="N94" s="58"/>
      <c r="O94" s="75"/>
      <c r="P94" s="75"/>
      <c r="Q94" s="76"/>
      <c r="R94" s="32" t="str">
        <f>R$2</f>
        <v>12-mo Ended</v>
      </c>
    </row>
    <row r="95" spans="1:18" ht="13.15" customHeight="1" x14ac:dyDescent="0.2">
      <c r="A95" s="35" t="s">
        <v>150</v>
      </c>
      <c r="B95" s="35"/>
      <c r="C95" s="35"/>
      <c r="D95" s="35"/>
      <c r="F95" s="98">
        <f>F$3</f>
        <v>43101</v>
      </c>
      <c r="G95" s="98">
        <f t="shared" ref="G95:Q95" si="30">G$3</f>
        <v>43132</v>
      </c>
      <c r="H95" s="98">
        <f t="shared" si="30"/>
        <v>43163</v>
      </c>
      <c r="I95" s="98">
        <f t="shared" si="30"/>
        <v>43194</v>
      </c>
      <c r="J95" s="98">
        <f t="shared" si="30"/>
        <v>43225</v>
      </c>
      <c r="K95" s="98">
        <f t="shared" si="30"/>
        <v>43256</v>
      </c>
      <c r="L95" s="98">
        <f t="shared" si="30"/>
        <v>43287</v>
      </c>
      <c r="M95" s="98">
        <f t="shared" si="30"/>
        <v>43318</v>
      </c>
      <c r="N95" s="98">
        <f t="shared" si="30"/>
        <v>43349</v>
      </c>
      <c r="O95" s="39">
        <f t="shared" si="30"/>
        <v>43380</v>
      </c>
      <c r="P95" s="39">
        <f t="shared" si="30"/>
        <v>43411</v>
      </c>
      <c r="Q95" s="99">
        <f t="shared" si="30"/>
        <v>43442</v>
      </c>
      <c r="R95" s="32" t="s">
        <v>12</v>
      </c>
    </row>
    <row r="96" spans="1:18" ht="13.15" customHeight="1" x14ac:dyDescent="0.2">
      <c r="C96" s="29" t="s">
        <v>151</v>
      </c>
      <c r="E96" s="29" t="s">
        <v>152</v>
      </c>
      <c r="F96" s="118"/>
      <c r="G96" s="118"/>
      <c r="H96" s="118"/>
      <c r="I96" s="118"/>
      <c r="J96" s="118"/>
      <c r="K96" s="118"/>
      <c r="L96" s="118"/>
      <c r="M96" s="118"/>
      <c r="N96" s="118"/>
      <c r="O96" s="119"/>
      <c r="P96" s="119"/>
      <c r="Q96" s="120"/>
      <c r="R96" s="121">
        <f>SUM(F96:Q96)</f>
        <v>0</v>
      </c>
    </row>
    <row r="97" spans="1:18" ht="13.15" customHeight="1" x14ac:dyDescent="0.2">
      <c r="C97" s="29" t="s">
        <v>153</v>
      </c>
      <c r="E97" s="29" t="s">
        <v>154</v>
      </c>
      <c r="F97" s="122"/>
      <c r="G97" s="123"/>
      <c r="H97" s="123"/>
      <c r="I97" s="123"/>
      <c r="J97" s="123"/>
      <c r="K97" s="123"/>
      <c r="L97" s="123"/>
      <c r="M97" s="123"/>
      <c r="N97" s="123"/>
      <c r="O97" s="124"/>
      <c r="P97" s="124"/>
      <c r="Q97" s="125"/>
      <c r="R97" s="126">
        <f>SUM(F97:Q97)</f>
        <v>0</v>
      </c>
    </row>
    <row r="98" spans="1:18" ht="13.15" customHeight="1" x14ac:dyDescent="0.2">
      <c r="C98" s="29" t="s">
        <v>155</v>
      </c>
      <c r="E98" s="29" t="s">
        <v>156</v>
      </c>
      <c r="F98" s="118"/>
      <c r="G98" s="118"/>
      <c r="H98" s="118"/>
      <c r="I98" s="118"/>
      <c r="J98" s="118"/>
      <c r="K98" s="118"/>
      <c r="L98" s="118"/>
      <c r="M98" s="118"/>
      <c r="N98" s="118"/>
      <c r="O98" s="119"/>
      <c r="P98" s="119"/>
      <c r="Q98" s="120"/>
      <c r="R98" s="121">
        <f>SUM(F98:Q98)</f>
        <v>0</v>
      </c>
    </row>
    <row r="99" spans="1:18" ht="13.15" customHeight="1" x14ac:dyDescent="0.2">
      <c r="A99" s="29" t="s">
        <v>157</v>
      </c>
      <c r="F99" s="104">
        <f t="shared" ref="F99:R99" si="31">SUM(F96:F98)</f>
        <v>0</v>
      </c>
      <c r="G99" s="104">
        <f t="shared" si="31"/>
        <v>0</v>
      </c>
      <c r="H99" s="104">
        <f t="shared" si="31"/>
        <v>0</v>
      </c>
      <c r="I99" s="104">
        <f t="shared" si="31"/>
        <v>0</v>
      </c>
      <c r="J99" s="104">
        <f t="shared" si="31"/>
        <v>0</v>
      </c>
      <c r="K99" s="104">
        <f t="shared" si="31"/>
        <v>0</v>
      </c>
      <c r="L99" s="104">
        <f t="shared" si="31"/>
        <v>0</v>
      </c>
      <c r="M99" s="104">
        <f t="shared" si="31"/>
        <v>0</v>
      </c>
      <c r="N99" s="104">
        <f t="shared" si="31"/>
        <v>0</v>
      </c>
      <c r="O99" s="105">
        <f t="shared" si="31"/>
        <v>0</v>
      </c>
      <c r="P99" s="105">
        <f t="shared" si="31"/>
        <v>0</v>
      </c>
      <c r="Q99" s="106">
        <f t="shared" si="31"/>
        <v>0</v>
      </c>
      <c r="R99" s="105">
        <f t="shared" si="31"/>
        <v>0</v>
      </c>
    </row>
    <row r="100" spans="1:18" ht="13.15" customHeight="1" x14ac:dyDescent="0.2">
      <c r="F100" s="127">
        <f t="shared" ref="F100:Q100" si="32">F14</f>
        <v>42113570</v>
      </c>
      <c r="G100" s="127">
        <f t="shared" si="32"/>
        <v>38726690</v>
      </c>
      <c r="H100" s="127">
        <f t="shared" si="32"/>
        <v>42012008</v>
      </c>
      <c r="I100" s="127">
        <f t="shared" si="32"/>
        <v>40858220</v>
      </c>
      <c r="J100" s="127">
        <f t="shared" si="32"/>
        <v>39613368</v>
      </c>
      <c r="K100" s="127">
        <f t="shared" si="32"/>
        <v>39658628</v>
      </c>
      <c r="L100" s="127">
        <f t="shared" si="32"/>
        <v>40571988</v>
      </c>
      <c r="M100" s="127">
        <f t="shared" si="32"/>
        <v>41162272</v>
      </c>
      <c r="N100" s="127">
        <f t="shared" si="32"/>
        <v>38387778</v>
      </c>
      <c r="O100" s="108">
        <f t="shared" si="32"/>
        <v>41469272</v>
      </c>
      <c r="P100" s="108">
        <f t="shared" si="32"/>
        <v>39553724</v>
      </c>
      <c r="Q100" s="109">
        <f t="shared" si="32"/>
        <v>41299864</v>
      </c>
      <c r="R100" s="48">
        <f>SUM(F100:Q100)</f>
        <v>485427382</v>
      </c>
    </row>
    <row r="101" spans="1:18" ht="13.15" customHeight="1" x14ac:dyDescent="0.2">
      <c r="A101" s="35" t="s">
        <v>158</v>
      </c>
      <c r="B101" s="35"/>
      <c r="C101" s="35"/>
      <c r="D101" s="35"/>
      <c r="F101" s="58"/>
      <c r="G101" s="58"/>
      <c r="H101" s="58"/>
      <c r="I101" s="58"/>
      <c r="J101" s="58"/>
      <c r="K101" s="58"/>
      <c r="L101" s="58"/>
      <c r="M101" s="58"/>
      <c r="N101" s="58"/>
      <c r="O101" s="75"/>
      <c r="P101" s="75"/>
      <c r="Q101" s="76"/>
    </row>
    <row r="102" spans="1:18" ht="13.15" customHeight="1" x14ac:dyDescent="0.2">
      <c r="C102" s="29" t="s">
        <v>151</v>
      </c>
      <c r="E102" s="29" t="s">
        <v>152</v>
      </c>
      <c r="F102" s="118">
        <v>9615</v>
      </c>
      <c r="G102" s="118">
        <v>9738</v>
      </c>
      <c r="H102" s="118">
        <v>9266</v>
      </c>
      <c r="I102" s="118">
        <v>9426.5</v>
      </c>
      <c r="J102" s="118">
        <v>13524.7</v>
      </c>
      <c r="K102" s="118">
        <v>8784.2999999999993</v>
      </c>
      <c r="L102" s="118">
        <v>8958.43</v>
      </c>
      <c r="M102" s="118">
        <v>9132.94</v>
      </c>
      <c r="N102" s="118">
        <v>11689.97</v>
      </c>
      <c r="O102" s="128">
        <v>9293.58</v>
      </c>
      <c r="P102" s="128">
        <v>10280.129999999999</v>
      </c>
      <c r="Q102" s="129">
        <v>9078.2800000000007</v>
      </c>
      <c r="R102" s="121">
        <f>SUM(F102:Q102)</f>
        <v>118787.83</v>
      </c>
    </row>
    <row r="103" spans="1:18" ht="13.15" customHeight="1" x14ac:dyDescent="0.2">
      <c r="C103" s="29" t="s">
        <v>153</v>
      </c>
      <c r="E103" s="29" t="s">
        <v>154</v>
      </c>
      <c r="F103" s="123"/>
      <c r="G103" s="123"/>
      <c r="H103" s="123"/>
      <c r="I103" s="123"/>
      <c r="J103" s="123"/>
      <c r="K103" s="123"/>
      <c r="L103" s="123"/>
      <c r="M103" s="123"/>
      <c r="N103" s="123"/>
      <c r="O103" s="130"/>
      <c r="P103" s="130"/>
      <c r="Q103" s="131"/>
      <c r="R103" s="126">
        <f>SUM(F103:Q103)</f>
        <v>0</v>
      </c>
    </row>
    <row r="104" spans="1:18" ht="13.15" customHeight="1" x14ac:dyDescent="0.2">
      <c r="C104" s="29" t="s">
        <v>155</v>
      </c>
      <c r="E104" s="29" t="s">
        <v>156</v>
      </c>
      <c r="F104" s="118">
        <v>52272</v>
      </c>
      <c r="G104" s="118">
        <v>52705</v>
      </c>
      <c r="H104" s="118">
        <v>53136</v>
      </c>
      <c r="I104" s="118">
        <v>51984.800000000003</v>
      </c>
      <c r="J104" s="118">
        <v>51840</v>
      </c>
      <c r="K104" s="118">
        <v>50544</v>
      </c>
      <c r="L104" s="118">
        <v>52848.78</v>
      </c>
      <c r="M104" s="118">
        <v>51408</v>
      </c>
      <c r="N104" s="118">
        <v>50976</v>
      </c>
      <c r="O104" s="128">
        <v>51408</v>
      </c>
      <c r="P104" s="128">
        <v>51696</v>
      </c>
      <c r="Q104" s="129">
        <v>52128.2</v>
      </c>
      <c r="R104" s="121">
        <f>SUM(F104:Q104)</f>
        <v>622946.77999999991</v>
      </c>
    </row>
    <row r="105" spans="1:18" ht="13.15" customHeight="1" x14ac:dyDescent="0.2">
      <c r="A105" s="29" t="s">
        <v>157</v>
      </c>
      <c r="F105" s="113">
        <f t="shared" ref="F105:R105" si="33">SUM(F102:F104)</f>
        <v>61887</v>
      </c>
      <c r="G105" s="113">
        <f t="shared" si="33"/>
        <v>62443</v>
      </c>
      <c r="H105" s="113">
        <f t="shared" si="33"/>
        <v>62402</v>
      </c>
      <c r="I105" s="113">
        <f t="shared" si="33"/>
        <v>61411.3</v>
      </c>
      <c r="J105" s="113">
        <f t="shared" si="33"/>
        <v>65364.7</v>
      </c>
      <c r="K105" s="113">
        <f t="shared" si="33"/>
        <v>59328.3</v>
      </c>
      <c r="L105" s="113">
        <f t="shared" si="33"/>
        <v>61807.21</v>
      </c>
      <c r="M105" s="113">
        <f t="shared" si="33"/>
        <v>60540.94</v>
      </c>
      <c r="N105" s="113">
        <f t="shared" si="33"/>
        <v>62665.97</v>
      </c>
      <c r="O105" s="114">
        <f t="shared" si="33"/>
        <v>60701.58</v>
      </c>
      <c r="P105" s="114">
        <f t="shared" si="33"/>
        <v>61976.13</v>
      </c>
      <c r="Q105" s="115">
        <f t="shared" si="33"/>
        <v>61206.479999999996</v>
      </c>
      <c r="R105" s="105">
        <f t="shared" si="33"/>
        <v>741734.60999999987</v>
      </c>
    </row>
    <row r="106" spans="1:18" ht="13.15" customHeight="1" x14ac:dyDescent="0.2">
      <c r="F106" s="132">
        <f t="shared" ref="F106:Q106" si="34">F51</f>
        <v>62256</v>
      </c>
      <c r="G106" s="132">
        <f t="shared" si="34"/>
        <v>62379</v>
      </c>
      <c r="H106" s="132">
        <f t="shared" si="34"/>
        <v>63189</v>
      </c>
      <c r="I106" s="132">
        <f t="shared" si="34"/>
        <v>61994.13</v>
      </c>
      <c r="J106" s="132">
        <f t="shared" si="34"/>
        <v>61517.53</v>
      </c>
      <c r="K106" s="132">
        <f t="shared" si="34"/>
        <v>59396.53</v>
      </c>
      <c r="L106" s="132">
        <f t="shared" si="34"/>
        <v>62813.1</v>
      </c>
      <c r="M106" s="132">
        <f t="shared" si="34"/>
        <v>61040.2</v>
      </c>
      <c r="N106" s="132">
        <f t="shared" si="34"/>
        <v>59942.23</v>
      </c>
      <c r="O106" s="132">
        <f t="shared" si="34"/>
        <v>61096.84</v>
      </c>
      <c r="P106" s="132">
        <f t="shared" si="34"/>
        <v>60588.02</v>
      </c>
      <c r="Q106" s="133">
        <f t="shared" si="34"/>
        <v>60856.67</v>
      </c>
      <c r="R106" s="102">
        <f>SUM(F106:Q106)</f>
        <v>737069.25000000012</v>
      </c>
    </row>
    <row r="107" spans="1:18" ht="13.15" customHeight="1" x14ac:dyDescent="0.2"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3"/>
      <c r="R107" s="102"/>
    </row>
    <row r="108" spans="1:18" ht="13.15" customHeight="1" x14ac:dyDescent="0.2">
      <c r="A108" s="134" t="s">
        <v>159</v>
      </c>
      <c r="B108" s="134" t="s">
        <v>160</v>
      </c>
      <c r="C108" s="134" t="s">
        <v>153</v>
      </c>
      <c r="E108" s="134" t="s">
        <v>160</v>
      </c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6"/>
      <c r="R108" s="121" t="e">
        <f>AVERAGE(F108:Q108)</f>
        <v>#DIV/0!</v>
      </c>
    </row>
    <row r="109" spans="1:18" ht="13.15" customHeight="1" x14ac:dyDescent="0.2">
      <c r="F109" s="58"/>
      <c r="G109" s="58"/>
      <c r="H109" s="58"/>
      <c r="I109" s="58"/>
      <c r="J109" s="58"/>
      <c r="K109" s="58"/>
      <c r="L109" s="58"/>
      <c r="M109" s="58"/>
      <c r="N109" s="58"/>
      <c r="O109" s="75"/>
      <c r="P109" s="75"/>
      <c r="Q109" s="76"/>
    </row>
    <row r="110" spans="1:18" ht="13.15" hidden="1" customHeight="1" x14ac:dyDescent="0.2">
      <c r="A110" s="29" t="s">
        <v>161</v>
      </c>
      <c r="F110" s="137">
        <f t="shared" ref="F110:H110" si="35">500000*0.0575+MIN(5500000,F14-500000)*0.05177+MAX(0,F14-6000000)*0.04433+15000+F78*5.25-F102*1.1-F104*1.4</f>
        <v>2156736.2581000002</v>
      </c>
      <c r="G110" s="137">
        <f t="shared" si="35"/>
        <v>2006500.1177000001</v>
      </c>
      <c r="H110" s="137">
        <f t="shared" si="35"/>
        <v>2156306.56464</v>
      </c>
      <c r="I110" s="138">
        <f>500000*0.05616+MIN(5500000,I14-500000)*0.05053+MAX(0,I14-6000000)*0.0432+21000+I78*6-I102*1.1-I104*1.4</f>
        <v>2103687.014</v>
      </c>
      <c r="J110" s="138">
        <f>500000*0.05616+MIN(5500000,J14-500000)*0.05053+MAX(0,J14-6000000)*0.0432+21000+J78*6-J102*1.1-J104*1.4</f>
        <v>2042744.5076000001</v>
      </c>
      <c r="K110" s="138">
        <f t="shared" ref="K110:Q110" si="36">500000*0.05616+MIN(5500000,K14-500000)*0.05053+MAX(0,K14-6000000)*0.0432+21000+K78*6-K102*1.1-K104*1.4</f>
        <v>2039002.5795999998</v>
      </c>
      <c r="L110" s="138">
        <f t="shared" si="36"/>
        <v>2095540.9166000001</v>
      </c>
      <c r="M110" s="138">
        <f t="shared" si="36"/>
        <v>2112228.9163999995</v>
      </c>
      <c r="N110" s="138">
        <f t="shared" si="36"/>
        <v>1983575.0226</v>
      </c>
      <c r="O110" s="139">
        <f t="shared" si="36"/>
        <v>2125654.4523999998</v>
      </c>
      <c r="P110" s="139">
        <f t="shared" si="36"/>
        <v>2038361.4537999998</v>
      </c>
      <c r="Q110" s="140">
        <f t="shared" si="36"/>
        <v>2116123.5567999999</v>
      </c>
      <c r="R110" s="141">
        <f>SUM(F110:Q110)</f>
        <v>24976461.360240001</v>
      </c>
    </row>
    <row r="111" spans="1:18" ht="13.15" hidden="1" customHeight="1" x14ac:dyDescent="0.2">
      <c r="A111" s="29" t="s">
        <v>162</v>
      </c>
      <c r="F111" s="142">
        <v>2183197</v>
      </c>
      <c r="G111" s="142">
        <v>2154617</v>
      </c>
      <c r="H111" s="142">
        <v>2076593</v>
      </c>
      <c r="I111" s="143">
        <f>2165579+21000-9245.5-77617.4</f>
        <v>2099716.1</v>
      </c>
      <c r="J111" s="143">
        <f>2051752+21000-73180.8-9497.4</f>
        <v>1990073.8</v>
      </c>
      <c r="K111" s="143">
        <f>2227520.8+21000-74188.8-9422.6</f>
        <v>2164909.4</v>
      </c>
      <c r="L111" s="143">
        <f>2172483.28+21000-74592-9458.9</f>
        <v>2109432.38</v>
      </c>
      <c r="M111" s="143">
        <f>2138921.74+21000-76406.4-9422.6</f>
        <v>2074092.7400000002</v>
      </c>
      <c r="N111" s="143">
        <f>2104738.35+21000-76004.6-8784.6</f>
        <v>2040949.15</v>
      </c>
      <c r="O111" s="144">
        <f>2150265.77+21000-72777.6-8819.8</f>
        <v>2089668.3699999999</v>
      </c>
      <c r="P111" s="144">
        <f>2158550.53+21000-70761.6-8996.9</f>
        <v>2099792.0299999998</v>
      </c>
      <c r="Q111" s="145">
        <f>2049012.26+21000-70358.4-9369.8</f>
        <v>1990284.06</v>
      </c>
      <c r="R111" s="141">
        <f>SUM(F111:Q111)</f>
        <v>25073325.030000001</v>
      </c>
    </row>
    <row r="112" spans="1:18" ht="13.15" hidden="1" customHeight="1" x14ac:dyDescent="0.2">
      <c r="F112" s="62"/>
      <c r="G112" s="62"/>
      <c r="H112" s="62"/>
      <c r="I112" s="146"/>
      <c r="J112" s="146"/>
      <c r="K112" s="146"/>
      <c r="L112" s="146"/>
      <c r="M112" s="146"/>
      <c r="N112" s="146"/>
      <c r="O112" s="147"/>
      <c r="P112" s="147"/>
      <c r="Q112" s="148"/>
      <c r="R112" s="141"/>
    </row>
    <row r="113" spans="1:18" ht="13.15" hidden="1" customHeight="1" x14ac:dyDescent="0.2">
      <c r="A113" s="35" t="s">
        <v>163</v>
      </c>
      <c r="B113" s="35"/>
      <c r="C113" s="35"/>
      <c r="D113" s="35"/>
      <c r="F113" s="58"/>
      <c r="G113" s="58"/>
      <c r="H113" s="58"/>
      <c r="I113" s="58"/>
      <c r="J113" s="58"/>
      <c r="K113" s="58"/>
      <c r="L113" s="58"/>
      <c r="M113" s="58"/>
      <c r="N113" s="58"/>
      <c r="O113" s="75"/>
      <c r="P113" s="75"/>
      <c r="Q113" s="76"/>
    </row>
    <row r="114" spans="1:18" ht="13.15" hidden="1" customHeight="1" x14ac:dyDescent="0.2">
      <c r="A114" s="29" t="s">
        <v>164</v>
      </c>
      <c r="E114" s="149">
        <v>-0.2</v>
      </c>
      <c r="F114" s="150">
        <f t="shared" ref="F114:Q114" si="37">(F64-F62-F63-F51)*$E114</f>
        <v>-19405.844000000001</v>
      </c>
      <c r="G114" s="150">
        <f t="shared" si="37"/>
        <v>-19623.425599999999</v>
      </c>
      <c r="H114" s="150">
        <f t="shared" si="37"/>
        <v>-19572.958800000004</v>
      </c>
      <c r="I114" s="150">
        <f t="shared" si="37"/>
        <v>-20847.301000000003</v>
      </c>
      <c r="J114" s="150">
        <f t="shared" si="37"/>
        <v>-20703.736199999992</v>
      </c>
      <c r="K114" s="150">
        <f t="shared" si="37"/>
        <v>-20640.94000000001</v>
      </c>
      <c r="L114" s="150">
        <f t="shared" si="37"/>
        <v>-21264.108800000002</v>
      </c>
      <c r="M114" s="150">
        <f t="shared" si="37"/>
        <v>-21724.033600000006</v>
      </c>
      <c r="N114" s="150">
        <f t="shared" si="37"/>
        <v>-20862.100199999986</v>
      </c>
      <c r="O114" s="151">
        <f t="shared" si="37"/>
        <v>-20119.587199999994</v>
      </c>
      <c r="P114" s="151">
        <f t="shared" si="37"/>
        <v>-19421.037</v>
      </c>
      <c r="Q114" s="152">
        <f t="shared" si="37"/>
        <v>-19610.260599999994</v>
      </c>
      <c r="R114" s="153">
        <f>SUM(F114:Q114)</f>
        <v>-243795.33299999998</v>
      </c>
    </row>
    <row r="115" spans="1:18" ht="13.15" hidden="1" customHeight="1" x14ac:dyDescent="0.2">
      <c r="A115" s="29" t="s">
        <v>165</v>
      </c>
      <c r="E115" s="154">
        <f>-1.1</f>
        <v>-1.1000000000000001</v>
      </c>
      <c r="F115" s="150">
        <f t="shared" ref="F115:Q115" si="38">F102*$E115</f>
        <v>-10576.5</v>
      </c>
      <c r="G115" s="150">
        <f t="shared" si="38"/>
        <v>-10711.800000000001</v>
      </c>
      <c r="H115" s="150">
        <f t="shared" si="38"/>
        <v>-10192.6</v>
      </c>
      <c r="I115" s="150">
        <f t="shared" si="38"/>
        <v>-10369.150000000001</v>
      </c>
      <c r="J115" s="150">
        <f t="shared" si="38"/>
        <v>-14877.170000000002</v>
      </c>
      <c r="K115" s="150">
        <f t="shared" si="38"/>
        <v>-9662.73</v>
      </c>
      <c r="L115" s="150">
        <f t="shared" si="38"/>
        <v>-9854.273000000001</v>
      </c>
      <c r="M115" s="150">
        <f t="shared" si="38"/>
        <v>-10046.234000000002</v>
      </c>
      <c r="N115" s="150">
        <f t="shared" si="38"/>
        <v>-12858.967000000001</v>
      </c>
      <c r="O115" s="155">
        <f t="shared" si="38"/>
        <v>-10222.938</v>
      </c>
      <c r="P115" s="155">
        <f t="shared" si="38"/>
        <v>-11308.143</v>
      </c>
      <c r="Q115" s="156">
        <f t="shared" si="38"/>
        <v>-9986.108000000002</v>
      </c>
      <c r="R115" s="153">
        <f>SUM(F115:Q115)</f>
        <v>-130666.613</v>
      </c>
    </row>
    <row r="116" spans="1:18" ht="13.15" hidden="1" customHeight="1" x14ac:dyDescent="0.2">
      <c r="A116" s="29" t="s">
        <v>166</v>
      </c>
      <c r="E116" s="154">
        <v>-1.4</v>
      </c>
      <c r="F116" s="150">
        <f t="shared" ref="F116:Q116" si="39">F104*$E116</f>
        <v>-73180.799999999988</v>
      </c>
      <c r="G116" s="150">
        <f t="shared" si="39"/>
        <v>-73787</v>
      </c>
      <c r="H116" s="150">
        <f t="shared" si="39"/>
        <v>-74390.399999999994</v>
      </c>
      <c r="I116" s="150">
        <f t="shared" si="39"/>
        <v>-72778.720000000001</v>
      </c>
      <c r="J116" s="150">
        <f t="shared" si="39"/>
        <v>-72576</v>
      </c>
      <c r="K116" s="150">
        <f t="shared" si="39"/>
        <v>-70761.599999999991</v>
      </c>
      <c r="L116" s="150">
        <f t="shared" si="39"/>
        <v>-73988.291999999987</v>
      </c>
      <c r="M116" s="150">
        <f t="shared" si="39"/>
        <v>-71971.199999999997</v>
      </c>
      <c r="N116" s="150">
        <f t="shared" si="39"/>
        <v>-71366.399999999994</v>
      </c>
      <c r="O116" s="155">
        <f t="shared" si="39"/>
        <v>-71971.199999999997</v>
      </c>
      <c r="P116" s="155">
        <f t="shared" si="39"/>
        <v>-72374.399999999994</v>
      </c>
      <c r="Q116" s="156">
        <f t="shared" si="39"/>
        <v>-72979.48</v>
      </c>
      <c r="R116" s="153">
        <f>SUM(F116:Q116)</f>
        <v>-872125.49199999985</v>
      </c>
    </row>
    <row r="117" spans="1:18" ht="13.15" hidden="1" customHeight="1" x14ac:dyDescent="0.2">
      <c r="F117" s="157">
        <f t="shared" ref="F117:R117" si="40">SUM(F114:F116)</f>
        <v>-103163.14399999999</v>
      </c>
      <c r="G117" s="157">
        <f t="shared" si="40"/>
        <v>-104122.22560000001</v>
      </c>
      <c r="H117" s="157">
        <f t="shared" si="40"/>
        <v>-104155.95879999999</v>
      </c>
      <c r="I117" s="157">
        <f t="shared" si="40"/>
        <v>-103995.171</v>
      </c>
      <c r="J117" s="157">
        <f t="shared" si="40"/>
        <v>-108156.9062</v>
      </c>
      <c r="K117" s="157">
        <f t="shared" si="40"/>
        <v>-101065.27</v>
      </c>
      <c r="L117" s="157">
        <f t="shared" si="40"/>
        <v>-105106.67379999999</v>
      </c>
      <c r="M117" s="157">
        <f t="shared" si="40"/>
        <v>-103741.4676</v>
      </c>
      <c r="N117" s="157">
        <f t="shared" si="40"/>
        <v>-105087.46719999998</v>
      </c>
      <c r="O117" s="158">
        <f t="shared" si="40"/>
        <v>-102313.72519999999</v>
      </c>
      <c r="P117" s="158">
        <f t="shared" si="40"/>
        <v>-103103.57999999999</v>
      </c>
      <c r="Q117" s="159">
        <f t="shared" si="40"/>
        <v>-102575.8486</v>
      </c>
      <c r="R117" s="158">
        <f t="shared" si="40"/>
        <v>-1246587.4379999998</v>
      </c>
    </row>
    <row r="118" spans="1:18" ht="13.15" hidden="1" customHeight="1" x14ac:dyDescent="0.2">
      <c r="F118" s="58"/>
      <c r="G118" s="58"/>
      <c r="H118" s="58"/>
      <c r="I118" s="58"/>
      <c r="J118" s="58"/>
      <c r="K118" s="58"/>
      <c r="L118" s="58"/>
      <c r="M118" s="58"/>
      <c r="N118" s="58"/>
      <c r="O118" s="75"/>
      <c r="P118" s="75"/>
      <c r="Q118" s="76"/>
    </row>
    <row r="119" spans="1:18" x14ac:dyDescent="0.2">
      <c r="B119" s="35" t="s">
        <v>13</v>
      </c>
      <c r="C119" s="35"/>
      <c r="D119" s="35"/>
      <c r="F119" s="58">
        <v>23</v>
      </c>
      <c r="G119" s="58">
        <v>23</v>
      </c>
      <c r="H119" s="58">
        <v>23</v>
      </c>
      <c r="I119" s="58">
        <v>23</v>
      </c>
      <c r="J119" s="58">
        <v>23</v>
      </c>
      <c r="K119" s="58">
        <v>23</v>
      </c>
      <c r="L119" s="58">
        <v>23</v>
      </c>
      <c r="M119" s="58">
        <v>23</v>
      </c>
      <c r="N119" s="58">
        <v>23</v>
      </c>
      <c r="O119" s="160">
        <v>23</v>
      </c>
      <c r="P119" s="160">
        <v>23</v>
      </c>
      <c r="Q119" s="161">
        <v>23</v>
      </c>
      <c r="R119" s="48">
        <f t="shared" ref="R119:R121" si="41">SUM(F119:Q119)</f>
        <v>276</v>
      </c>
    </row>
    <row r="120" spans="1:18" ht="13.15" customHeight="1" x14ac:dyDescent="0.2">
      <c r="B120" s="35" t="s">
        <v>14</v>
      </c>
      <c r="C120" s="162"/>
      <c r="D120" s="162"/>
      <c r="E120" s="163"/>
      <c r="F120" s="146"/>
      <c r="G120" s="146"/>
      <c r="H120" s="146"/>
      <c r="I120" s="146"/>
      <c r="J120" s="146"/>
      <c r="K120" s="146"/>
      <c r="L120" s="146"/>
      <c r="M120" s="146"/>
      <c r="N120" s="146"/>
      <c r="O120" s="132"/>
      <c r="P120" s="132"/>
      <c r="Q120" s="133"/>
      <c r="R120" s="102"/>
    </row>
    <row r="121" spans="1:18" ht="13.15" customHeight="1" x14ac:dyDescent="0.2">
      <c r="A121" s="29">
        <v>1</v>
      </c>
      <c r="B121" s="37" t="str">
        <f>B4</f>
        <v>Goodrich - North 2311008572</v>
      </c>
      <c r="C121" s="162"/>
      <c r="D121" s="162"/>
      <c r="E121" s="163"/>
      <c r="F121" s="146">
        <f>IF(F4&gt;6000000,F4-6000000,0)</f>
        <v>0</v>
      </c>
      <c r="G121" s="146">
        <f t="shared" ref="G121:Q121" si="42">IF(G4&gt;6000000,G4-6000000,0)</f>
        <v>0</v>
      </c>
      <c r="H121" s="146">
        <f t="shared" si="42"/>
        <v>0</v>
      </c>
      <c r="I121" s="146">
        <f t="shared" si="42"/>
        <v>0</v>
      </c>
      <c r="J121" s="146">
        <f t="shared" si="42"/>
        <v>179069.40000000037</v>
      </c>
      <c r="K121" s="146">
        <f t="shared" si="42"/>
        <v>0</v>
      </c>
      <c r="L121" s="146">
        <f t="shared" si="42"/>
        <v>205584</v>
      </c>
      <c r="M121" s="146">
        <f t="shared" si="42"/>
        <v>286131.59999999963</v>
      </c>
      <c r="N121" s="146">
        <f t="shared" si="42"/>
        <v>0</v>
      </c>
      <c r="O121" s="132">
        <f t="shared" si="42"/>
        <v>27205.799999999814</v>
      </c>
      <c r="P121" s="146">
        <f t="shared" si="42"/>
        <v>0</v>
      </c>
      <c r="Q121" s="146">
        <f t="shared" si="42"/>
        <v>83616</v>
      </c>
      <c r="R121" s="164">
        <f t="shared" si="41"/>
        <v>781606.79999999981</v>
      </c>
    </row>
    <row r="122" spans="1:18" ht="13.15" customHeight="1" x14ac:dyDescent="0.2">
      <c r="A122" s="29">
        <v>9</v>
      </c>
      <c r="B122" s="37" t="str">
        <f>B14</f>
        <v>Inland Empire Paper</v>
      </c>
      <c r="C122" s="162"/>
      <c r="D122" s="162"/>
      <c r="E122" s="163"/>
      <c r="F122" s="165">
        <f>F14-6000000</f>
        <v>36113570</v>
      </c>
      <c r="G122" s="165">
        <f t="shared" ref="G122:Q122" si="43">G14-6000000</f>
        <v>32726690</v>
      </c>
      <c r="H122" s="165">
        <f t="shared" si="43"/>
        <v>36012008</v>
      </c>
      <c r="I122" s="165">
        <f t="shared" si="43"/>
        <v>34858220</v>
      </c>
      <c r="J122" s="165">
        <f t="shared" si="43"/>
        <v>33613368</v>
      </c>
      <c r="K122" s="165">
        <f t="shared" si="43"/>
        <v>33658628</v>
      </c>
      <c r="L122" s="165">
        <f t="shared" si="43"/>
        <v>34571988</v>
      </c>
      <c r="M122" s="165">
        <f t="shared" si="43"/>
        <v>35162272</v>
      </c>
      <c r="N122" s="165">
        <f t="shared" si="43"/>
        <v>32387778</v>
      </c>
      <c r="O122" s="165">
        <f t="shared" si="43"/>
        <v>35469272</v>
      </c>
      <c r="P122" s="165">
        <f t="shared" si="43"/>
        <v>33553724</v>
      </c>
      <c r="Q122" s="165">
        <f t="shared" si="43"/>
        <v>35299864</v>
      </c>
      <c r="R122" s="166">
        <f>SUM(F122:Q122)</f>
        <v>413427382</v>
      </c>
    </row>
    <row r="123" spans="1:18" ht="13.15" customHeight="1" x14ac:dyDescent="0.2">
      <c r="B123" s="35" t="s">
        <v>167</v>
      </c>
      <c r="C123" s="162"/>
      <c r="D123" s="162"/>
      <c r="E123" s="163"/>
      <c r="F123" s="146">
        <f>F121+F122</f>
        <v>36113570</v>
      </c>
      <c r="G123" s="146">
        <f t="shared" ref="G123:Q123" si="44">G121+G122</f>
        <v>32726690</v>
      </c>
      <c r="H123" s="146">
        <f t="shared" si="44"/>
        <v>36012008</v>
      </c>
      <c r="I123" s="146">
        <f t="shared" si="44"/>
        <v>34858220</v>
      </c>
      <c r="J123" s="146">
        <f t="shared" si="44"/>
        <v>33792437.399999999</v>
      </c>
      <c r="K123" s="146">
        <f t="shared" si="44"/>
        <v>33658628</v>
      </c>
      <c r="L123" s="146">
        <f t="shared" si="44"/>
        <v>34777572</v>
      </c>
      <c r="M123" s="146">
        <f t="shared" si="44"/>
        <v>35448403.600000001</v>
      </c>
      <c r="N123" s="146">
        <f t="shared" si="44"/>
        <v>32387778</v>
      </c>
      <c r="O123" s="132">
        <f t="shared" si="44"/>
        <v>35496477.799999997</v>
      </c>
      <c r="P123" s="132">
        <f t="shared" si="44"/>
        <v>33553724</v>
      </c>
      <c r="Q123" s="133">
        <f t="shared" si="44"/>
        <v>35383480</v>
      </c>
      <c r="R123" s="48">
        <f t="shared" ref="R123:R125" si="45">SUM(F123:Q123)</f>
        <v>414208988.80000001</v>
      </c>
    </row>
    <row r="124" spans="1:18" ht="13.15" customHeight="1" x14ac:dyDescent="0.2">
      <c r="B124" s="35" t="s">
        <v>168</v>
      </c>
      <c r="C124" s="162"/>
      <c r="D124" s="162"/>
      <c r="E124" s="163"/>
      <c r="F124" s="146">
        <f>F126-F125-F123</f>
        <v>45624798.5</v>
      </c>
      <c r="G124" s="146">
        <f t="shared" ref="G124:Q124" si="46">G126-G125-G123</f>
        <v>42832897.700000018</v>
      </c>
      <c r="H124" s="146">
        <f t="shared" si="46"/>
        <v>47638550.299999967</v>
      </c>
      <c r="I124" s="146">
        <f t="shared" si="46"/>
        <v>46138217</v>
      </c>
      <c r="J124" s="146">
        <f t="shared" si="46"/>
        <v>48774939.499999993</v>
      </c>
      <c r="K124" s="146">
        <f t="shared" si="46"/>
        <v>46272358</v>
      </c>
      <c r="L124" s="146">
        <f t="shared" si="46"/>
        <v>49185021.190000027</v>
      </c>
      <c r="M124" s="146">
        <f t="shared" si="46"/>
        <v>51779545.090000026</v>
      </c>
      <c r="N124" s="146">
        <f t="shared" si="46"/>
        <v>45523575.70099999</v>
      </c>
      <c r="O124" s="132">
        <f t="shared" si="46"/>
        <v>48624183.079999998</v>
      </c>
      <c r="P124" s="132">
        <f t="shared" si="46"/>
        <v>43868875.899999976</v>
      </c>
      <c r="Q124" s="133">
        <f t="shared" si="46"/>
        <v>45592060.936999992</v>
      </c>
      <c r="R124" s="48">
        <f t="shared" si="45"/>
        <v>561855022.898</v>
      </c>
    </row>
    <row r="125" spans="1:18" ht="13.15" customHeight="1" x14ac:dyDescent="0.2">
      <c r="B125" s="35" t="s">
        <v>169</v>
      </c>
      <c r="C125" s="162"/>
      <c r="D125" s="162"/>
      <c r="E125" s="163"/>
      <c r="F125" s="146">
        <f>23*500000</f>
        <v>11500000</v>
      </c>
      <c r="G125" s="146">
        <f t="shared" ref="G125:Q125" si="47">23*500000</f>
        <v>11500000</v>
      </c>
      <c r="H125" s="146">
        <f t="shared" si="47"/>
        <v>11500000</v>
      </c>
      <c r="I125" s="146">
        <f t="shared" si="47"/>
        <v>11500000</v>
      </c>
      <c r="J125" s="146">
        <f t="shared" si="47"/>
        <v>11500000</v>
      </c>
      <c r="K125" s="146">
        <f t="shared" si="47"/>
        <v>11500000</v>
      </c>
      <c r="L125" s="146">
        <f t="shared" si="47"/>
        <v>11500000</v>
      </c>
      <c r="M125" s="146">
        <f t="shared" si="47"/>
        <v>11500000</v>
      </c>
      <c r="N125" s="146">
        <f t="shared" si="47"/>
        <v>11500000</v>
      </c>
      <c r="O125" s="132">
        <f>22*500000</f>
        <v>11000000</v>
      </c>
      <c r="P125" s="132">
        <f t="shared" si="47"/>
        <v>11500000</v>
      </c>
      <c r="Q125" s="133">
        <f t="shared" si="47"/>
        <v>11500000</v>
      </c>
      <c r="R125" s="48">
        <f t="shared" si="45"/>
        <v>137500000</v>
      </c>
    </row>
    <row r="126" spans="1:18" ht="13.15" customHeight="1" x14ac:dyDescent="0.2">
      <c r="B126" s="35" t="s">
        <v>170</v>
      </c>
      <c r="C126" s="162"/>
      <c r="D126" s="162"/>
      <c r="E126" s="163"/>
      <c r="F126" s="71">
        <f>F27</f>
        <v>93238368.5</v>
      </c>
      <c r="G126" s="71">
        <f t="shared" ref="G126:R126" si="48">G27</f>
        <v>87059587.700000018</v>
      </c>
      <c r="H126" s="71">
        <f t="shared" si="48"/>
        <v>95150558.299999967</v>
      </c>
      <c r="I126" s="71">
        <f t="shared" si="48"/>
        <v>92496437</v>
      </c>
      <c r="J126" s="71">
        <f t="shared" si="48"/>
        <v>94067376.899999991</v>
      </c>
      <c r="K126" s="71">
        <f t="shared" si="48"/>
        <v>91430986</v>
      </c>
      <c r="L126" s="71">
        <f t="shared" si="48"/>
        <v>95462593.190000027</v>
      </c>
      <c r="M126" s="71">
        <f t="shared" si="48"/>
        <v>98727948.690000027</v>
      </c>
      <c r="N126" s="71">
        <f t="shared" si="48"/>
        <v>89411353.70099999</v>
      </c>
      <c r="O126" s="71">
        <f t="shared" si="48"/>
        <v>95120660.879999995</v>
      </c>
      <c r="P126" s="71">
        <f t="shared" si="48"/>
        <v>88922599.899999976</v>
      </c>
      <c r="Q126" s="72">
        <f t="shared" si="48"/>
        <v>92475540.936999992</v>
      </c>
      <c r="R126" s="71">
        <f t="shared" si="48"/>
        <v>1113564011.698</v>
      </c>
    </row>
    <row r="127" spans="1:18" ht="13.15" customHeight="1" x14ac:dyDescent="0.2">
      <c r="B127" s="162"/>
      <c r="C127" s="162"/>
      <c r="D127" s="162"/>
      <c r="E127" s="163"/>
      <c r="F127" s="146"/>
      <c r="G127" s="146"/>
      <c r="H127" s="146"/>
      <c r="I127" s="146"/>
      <c r="J127" s="146"/>
      <c r="K127" s="146"/>
      <c r="L127" s="146"/>
      <c r="M127" s="146"/>
      <c r="N127" s="146"/>
      <c r="O127" s="132"/>
      <c r="P127" s="132"/>
      <c r="Q127" s="133"/>
      <c r="R127" s="102"/>
    </row>
    <row r="128" spans="1:18" ht="13.15" customHeight="1" x14ac:dyDescent="0.2">
      <c r="B128" s="37" t="s">
        <v>171</v>
      </c>
      <c r="C128" s="37" t="s">
        <v>172</v>
      </c>
      <c r="D128" s="162"/>
      <c r="E128" s="163"/>
      <c r="F128" s="146">
        <f>F64-F63-F62-F51-F42</f>
        <v>94990.22</v>
      </c>
      <c r="G128" s="146">
        <f t="shared" ref="G128:Q128" si="49">G64-G63-G62-G51-G42</f>
        <v>96033.127999999997</v>
      </c>
      <c r="H128" s="146">
        <f t="shared" si="49"/>
        <v>95445.957000000024</v>
      </c>
      <c r="I128" s="146">
        <f t="shared" si="49"/>
        <v>101804.841</v>
      </c>
      <c r="J128" s="146">
        <f t="shared" si="49"/>
        <v>101221.77999999996</v>
      </c>
      <c r="K128" s="146">
        <f t="shared" si="49"/>
        <v>100939.50200000004</v>
      </c>
      <c r="L128" s="146">
        <f t="shared" si="49"/>
        <v>104177.12599999999</v>
      </c>
      <c r="M128" s="146">
        <f t="shared" si="49"/>
        <v>106311.52800000002</v>
      </c>
      <c r="N128" s="146">
        <f t="shared" si="49"/>
        <v>102181.05699999996</v>
      </c>
      <c r="O128" s="132">
        <f t="shared" si="49"/>
        <v>98323.425999999963</v>
      </c>
      <c r="P128" s="132">
        <f t="shared" si="49"/>
        <v>94974.445999999996</v>
      </c>
      <c r="Q128" s="133">
        <f t="shared" si="49"/>
        <v>95792.537999999971</v>
      </c>
      <c r="R128" s="48">
        <f t="shared" ref="R128:R130" si="50">SUM(F128:Q128)</f>
        <v>1192195.5489999999</v>
      </c>
    </row>
    <row r="129" spans="2:18" ht="13.15" customHeight="1" x14ac:dyDescent="0.2">
      <c r="B129" s="37" t="s">
        <v>173</v>
      </c>
      <c r="C129" s="37" t="s">
        <v>172</v>
      </c>
      <c r="D129" s="162"/>
      <c r="E129" s="163"/>
      <c r="F129" s="146">
        <f>F102</f>
        <v>9615</v>
      </c>
      <c r="G129" s="146">
        <f t="shared" ref="G129:Q129" si="51">G102</f>
        <v>9738</v>
      </c>
      <c r="H129" s="146">
        <f t="shared" si="51"/>
        <v>9266</v>
      </c>
      <c r="I129" s="146">
        <f t="shared" si="51"/>
        <v>9426.5</v>
      </c>
      <c r="J129" s="146">
        <f t="shared" si="51"/>
        <v>13524.7</v>
      </c>
      <c r="K129" s="146">
        <f t="shared" si="51"/>
        <v>8784.2999999999993</v>
      </c>
      <c r="L129" s="146">
        <f t="shared" si="51"/>
        <v>8958.43</v>
      </c>
      <c r="M129" s="146">
        <f t="shared" si="51"/>
        <v>9132.94</v>
      </c>
      <c r="N129" s="146">
        <f t="shared" si="51"/>
        <v>11689.97</v>
      </c>
      <c r="O129" s="132">
        <f t="shared" si="51"/>
        <v>9293.58</v>
      </c>
      <c r="P129" s="132">
        <f t="shared" si="51"/>
        <v>10280.129999999999</v>
      </c>
      <c r="Q129" s="133">
        <f t="shared" si="51"/>
        <v>9078.2800000000007</v>
      </c>
      <c r="R129" s="48">
        <f t="shared" si="50"/>
        <v>118787.83</v>
      </c>
    </row>
    <row r="130" spans="2:18" ht="13.15" customHeight="1" x14ac:dyDescent="0.2">
      <c r="B130" s="37" t="s">
        <v>174</v>
      </c>
      <c r="C130" s="37" t="s">
        <v>172</v>
      </c>
      <c r="D130" s="162"/>
      <c r="E130" s="163"/>
      <c r="F130" s="146">
        <f>F104</f>
        <v>52272</v>
      </c>
      <c r="G130" s="146">
        <f t="shared" ref="G130:Q130" si="52">G104</f>
        <v>52705</v>
      </c>
      <c r="H130" s="146">
        <f t="shared" si="52"/>
        <v>53136</v>
      </c>
      <c r="I130" s="146">
        <f t="shared" si="52"/>
        <v>51984.800000000003</v>
      </c>
      <c r="J130" s="146">
        <f t="shared" si="52"/>
        <v>51840</v>
      </c>
      <c r="K130" s="146">
        <f t="shared" si="52"/>
        <v>50544</v>
      </c>
      <c r="L130" s="146">
        <f t="shared" si="52"/>
        <v>52848.78</v>
      </c>
      <c r="M130" s="146">
        <f t="shared" si="52"/>
        <v>51408</v>
      </c>
      <c r="N130" s="146">
        <f t="shared" si="52"/>
        <v>50976</v>
      </c>
      <c r="O130" s="132">
        <f t="shared" si="52"/>
        <v>51408</v>
      </c>
      <c r="P130" s="132">
        <f t="shared" si="52"/>
        <v>51696</v>
      </c>
      <c r="Q130" s="133">
        <f t="shared" si="52"/>
        <v>52128.2</v>
      </c>
      <c r="R130" s="48">
        <f t="shared" si="50"/>
        <v>622946.77999999991</v>
      </c>
    </row>
    <row r="131" spans="2:18" ht="13.15" customHeight="1" x14ac:dyDescent="0.2">
      <c r="B131" s="162"/>
      <c r="C131" s="162"/>
      <c r="D131" s="162"/>
      <c r="E131" s="163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02"/>
    </row>
    <row r="132" spans="2:18" ht="13.15" customHeight="1" x14ac:dyDescent="0.2">
      <c r="B132" s="162"/>
      <c r="C132" s="162"/>
      <c r="D132" s="162"/>
      <c r="E132" s="163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02"/>
    </row>
    <row r="133" spans="2:18" ht="13.15" customHeight="1" x14ac:dyDescent="0.2">
      <c r="B133" s="162"/>
      <c r="C133" s="162"/>
      <c r="D133" s="162"/>
      <c r="E133" s="163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02"/>
    </row>
    <row r="134" spans="2:18" ht="13.15" customHeight="1" x14ac:dyDescent="0.2">
      <c r="B134" s="162"/>
      <c r="C134" s="162"/>
      <c r="D134" s="162"/>
      <c r="E134" s="163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02"/>
    </row>
    <row r="135" spans="2:18" ht="13.15" customHeight="1" x14ac:dyDescent="0.2">
      <c r="B135" s="162"/>
      <c r="C135" s="162"/>
      <c r="D135" s="162"/>
      <c r="E135" s="163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02"/>
    </row>
    <row r="136" spans="2:18" ht="13.15" customHeight="1" x14ac:dyDescent="0.2">
      <c r="B136" s="162"/>
      <c r="C136" s="162"/>
      <c r="D136" s="162"/>
      <c r="E136" s="163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02"/>
    </row>
    <row r="137" spans="2:18" ht="13.15" customHeight="1" x14ac:dyDescent="0.2">
      <c r="B137" s="162"/>
      <c r="C137" s="162"/>
      <c r="D137" s="162"/>
      <c r="E137" s="163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02"/>
    </row>
    <row r="138" spans="2:18" ht="13.15" customHeight="1" x14ac:dyDescent="0.2">
      <c r="B138" s="162"/>
      <c r="C138" s="162"/>
      <c r="D138" s="162"/>
      <c r="E138" s="163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02"/>
    </row>
    <row r="139" spans="2:18" ht="13.15" customHeight="1" x14ac:dyDescent="0.2">
      <c r="B139" s="162"/>
      <c r="C139" s="162"/>
      <c r="D139" s="162"/>
      <c r="E139" s="163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02"/>
    </row>
    <row r="140" spans="2:18" ht="13.15" customHeight="1" x14ac:dyDescent="0.2">
      <c r="B140" s="162"/>
      <c r="C140" s="162"/>
      <c r="D140" s="162"/>
      <c r="E140" s="163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02"/>
    </row>
    <row r="141" spans="2:18" ht="13.15" customHeight="1" x14ac:dyDescent="0.2">
      <c r="R141" s="102"/>
    </row>
    <row r="142" spans="2:18" ht="13.15" customHeight="1" x14ac:dyDescent="0.2">
      <c r="R142" s="102"/>
    </row>
  </sheetData>
  <conditionalFormatting sqref="R38">
    <cfRule type="expression" dxfId="2" priority="3" stopIfTrue="1">
      <formula>ABS(R38-#REF!)&gt;1</formula>
    </cfRule>
  </conditionalFormatting>
  <conditionalFormatting sqref="U28">
    <cfRule type="cellIs" dxfId="1" priority="1" operator="notEqual">
      <formula>$R$27</formula>
    </cfRule>
    <cfRule type="expression" dxfId="0" priority="2" stopIfTrue="1">
      <formula>ABS($R$27-$U$28)&gt;0.5</formula>
    </cfRule>
  </conditionalFormatting>
  <printOptions horizontalCentered="1"/>
  <pageMargins left="0.5" right="0.56000000000000005" top="0.87" bottom="0.21" header="0.4" footer="0.49"/>
  <pageSetup scale="62" fitToHeight="2" orientation="landscape" r:id="rId1"/>
  <headerFooter alignWithMargins="0">
    <oddFooter>&amp;C&amp;F / &amp;A</oddFooter>
  </headerFooter>
  <rowBreaks count="1" manualBreakCount="1">
    <brk id="66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view="pageBreakPreview" zoomScale="60" zoomScaleNormal="100" workbookViewId="0">
      <selection activeCell="O53" sqref="O53"/>
    </sheetView>
  </sheetViews>
  <sheetFormatPr defaultRowHeight="15" x14ac:dyDescent="0.25"/>
  <cols>
    <col min="1" max="1" width="28.28515625" customWidth="1"/>
    <col min="2" max="2" width="13.85546875" customWidth="1"/>
    <col min="3" max="3" width="8.85546875" customWidth="1"/>
    <col min="4" max="14" width="12.5703125" bestFit="1" customWidth="1"/>
    <col min="15" max="15" width="13.7109375" bestFit="1" customWidth="1"/>
    <col min="16" max="16" width="13" customWidth="1"/>
    <col min="17" max="17" width="21.140625" customWidth="1"/>
    <col min="18" max="19" width="11" bestFit="1" customWidth="1"/>
    <col min="20" max="21" width="12.42578125" customWidth="1"/>
    <col min="22" max="27" width="11" bestFit="1" customWidth="1"/>
  </cols>
  <sheetData>
    <row r="1" spans="1:20" x14ac:dyDescent="0.25">
      <c r="A1" t="s">
        <v>175</v>
      </c>
      <c r="R1" s="30" t="s">
        <v>62</v>
      </c>
      <c r="S1" s="31">
        <f>R2</f>
        <v>200</v>
      </c>
      <c r="T1" s="31">
        <f>S2</f>
        <v>1000</v>
      </c>
    </row>
    <row r="2" spans="1:20" x14ac:dyDescent="0.25">
      <c r="R2" s="33">
        <v>200</v>
      </c>
      <c r="S2" s="33">
        <v>1000</v>
      </c>
      <c r="T2" s="34">
        <v>99999999</v>
      </c>
    </row>
    <row r="4" spans="1:20" ht="45" x14ac:dyDescent="0.25">
      <c r="A4" t="s">
        <v>176</v>
      </c>
      <c r="B4" t="s">
        <v>177</v>
      </c>
      <c r="C4" s="167" t="s">
        <v>178</v>
      </c>
      <c r="D4" s="168">
        <v>43101</v>
      </c>
      <c r="E4" s="168">
        <v>43132</v>
      </c>
      <c r="F4" s="168">
        <v>43160</v>
      </c>
      <c r="G4" s="168">
        <v>43191</v>
      </c>
      <c r="H4" s="168">
        <v>43221</v>
      </c>
      <c r="I4" s="168">
        <v>43252</v>
      </c>
      <c r="J4" s="168">
        <v>43282</v>
      </c>
      <c r="K4" s="168">
        <v>43313</v>
      </c>
      <c r="L4" s="168">
        <v>43344</v>
      </c>
      <c r="M4" s="168">
        <v>43374</v>
      </c>
      <c r="N4" s="168">
        <v>43405</v>
      </c>
      <c r="O4" s="168">
        <v>43435</v>
      </c>
      <c r="P4" t="s">
        <v>179</v>
      </c>
      <c r="Q4" s="167" t="s">
        <v>180</v>
      </c>
      <c r="R4" s="167" t="s">
        <v>181</v>
      </c>
      <c r="S4" s="167" t="s">
        <v>182</v>
      </c>
      <c r="T4" s="167" t="s">
        <v>183</v>
      </c>
    </row>
    <row r="5" spans="1:20" x14ac:dyDescent="0.25">
      <c r="A5" s="169"/>
      <c r="C5">
        <v>111</v>
      </c>
      <c r="D5" s="2">
        <v>9991.32</v>
      </c>
      <c r="E5" s="2">
        <v>7030.9859999999999</v>
      </c>
      <c r="F5" s="2">
        <v>8563.6919999999991</v>
      </c>
      <c r="G5" s="2">
        <v>6801.2749999999996</v>
      </c>
      <c r="H5" s="2">
        <v>6657.7079999999996</v>
      </c>
      <c r="I5" s="2">
        <v>4715.1840000000002</v>
      </c>
      <c r="J5" s="2">
        <v>4646.9390000000003</v>
      </c>
      <c r="K5" s="2">
        <v>4295.991</v>
      </c>
      <c r="L5" s="2">
        <v>5872.3680000000004</v>
      </c>
      <c r="M5" s="2">
        <v>5495.1229999999996</v>
      </c>
      <c r="N5" s="2">
        <v>6966.19</v>
      </c>
      <c r="O5" s="2">
        <v>9796.0265999999992</v>
      </c>
      <c r="P5" s="6">
        <f>SUM(D5:O5)</f>
        <v>80832.802599999995</v>
      </c>
      <c r="R5" s="49">
        <f>R$2*12-SUMPRODUCT(--($D5:$O5&lt;=R$2),R$2-$D5:$O5)</f>
        <v>2400</v>
      </c>
      <c r="S5" s="49">
        <f>S$2*12-SUM(R5:$R5)-SUMPRODUCT(--($D5:$O5&lt;=S$2),S$2-$D5:$O5)</f>
        <v>9600</v>
      </c>
      <c r="T5" s="49">
        <f>T$2*12-SUM($R5:S5)-SUMPRODUCT(--($D5:$O5&lt;=T$2),T$2-$D5:$O5)</f>
        <v>68832.802599906921</v>
      </c>
    </row>
    <row r="6" spans="1:20" x14ac:dyDescent="0.25">
      <c r="A6" s="169"/>
      <c r="B6" s="170"/>
      <c r="C6">
        <v>111</v>
      </c>
      <c r="D6" s="2">
        <v>18246.376</v>
      </c>
      <c r="E6" s="2">
        <v>19070.896000000001</v>
      </c>
      <c r="F6" s="2">
        <v>15059.19</v>
      </c>
      <c r="G6" s="2">
        <v>13986.58</v>
      </c>
      <c r="H6" s="2">
        <v>12128.208000000001</v>
      </c>
      <c r="I6" s="2">
        <v>12812.796</v>
      </c>
      <c r="J6" s="2">
        <v>12194.04</v>
      </c>
      <c r="K6" s="2">
        <v>13033.456</v>
      </c>
      <c r="L6" s="2">
        <v>12317.214</v>
      </c>
      <c r="M6" s="2">
        <v>14687.68</v>
      </c>
      <c r="N6" s="2">
        <v>20223.955999999998</v>
      </c>
      <c r="O6" s="2"/>
      <c r="P6" s="6">
        <f t="shared" ref="P6:P22" si="0">SUM(D6:O6)</f>
        <v>163760.39200000002</v>
      </c>
      <c r="R6" s="49">
        <f t="shared" ref="R6:R24" si="1">R$2*12-SUMPRODUCT(--($D6:$O6&lt;=R$2),R$2-$D6:$O6)</f>
        <v>2200</v>
      </c>
      <c r="S6" s="49">
        <f>S$2*12-SUM(R6:$R6)-SUMPRODUCT(--($D6:$O6&lt;=S$2),S$2-$D6:$O6)</f>
        <v>8800</v>
      </c>
      <c r="T6" s="49">
        <f>T$2*12-SUM($R6:S6)-SUMPRODUCT(--($D6:$O6&lt;=T$2),T$2-$D6:$O6)</f>
        <v>152760.39199995995</v>
      </c>
    </row>
    <row r="7" spans="1:20" x14ac:dyDescent="0.25">
      <c r="A7" s="169"/>
      <c r="B7" s="170"/>
      <c r="C7">
        <v>111</v>
      </c>
      <c r="D7" s="2">
        <v>18303.52</v>
      </c>
      <c r="E7" s="2">
        <v>18039.72</v>
      </c>
      <c r="F7" s="2">
        <v>13178.463</v>
      </c>
      <c r="G7" s="2">
        <v>9973.4470000000001</v>
      </c>
      <c r="H7" s="2">
        <v>879.07899999999995</v>
      </c>
      <c r="I7" s="2">
        <v>715.10400000000004</v>
      </c>
      <c r="J7" s="2">
        <v>716.87599999999998</v>
      </c>
      <c r="K7" s="2">
        <v>644.274</v>
      </c>
      <c r="L7" s="2">
        <v>841.02700000000004</v>
      </c>
      <c r="M7" s="2">
        <v>4820.5200000000004</v>
      </c>
      <c r="N7" s="2">
        <v>11862.956</v>
      </c>
      <c r="O7" s="2"/>
      <c r="P7" s="6">
        <f t="shared" si="0"/>
        <v>79974.986000000004</v>
      </c>
      <c r="R7" s="49">
        <f t="shared" si="1"/>
        <v>2200</v>
      </c>
      <c r="S7" s="49">
        <f>S$2*12-SUM(R7:$R7)-SUMPRODUCT(--($D7:$O7&lt;=S$2),S$2-$D7:$O7)</f>
        <v>7596.3600000000006</v>
      </c>
      <c r="T7" s="49">
        <f>T$2*12-SUM($R7:S7)-SUMPRODUCT(--($D7:$O7&lt;=T$2),T$2-$D7:$O7)</f>
        <v>70178.626000165939</v>
      </c>
    </row>
    <row r="8" spans="1:20" x14ac:dyDescent="0.25">
      <c r="A8" s="169"/>
      <c r="B8" s="170"/>
      <c r="C8">
        <v>111</v>
      </c>
      <c r="D8" s="2">
        <v>14356.423000000001</v>
      </c>
      <c r="E8" s="2">
        <v>10786.315000000001</v>
      </c>
      <c r="F8" s="2">
        <v>11185.253000000001</v>
      </c>
      <c r="G8" s="2">
        <v>10637.2</v>
      </c>
      <c r="H8" s="2">
        <v>9214.59</v>
      </c>
      <c r="I8" s="2">
        <v>7238.4</v>
      </c>
      <c r="J8" s="2">
        <v>7529.7560000000003</v>
      </c>
      <c r="K8" s="2">
        <v>6631.84</v>
      </c>
      <c r="L8" s="2">
        <v>6789.64</v>
      </c>
      <c r="M8" s="2">
        <v>8104.32</v>
      </c>
      <c r="N8" s="2">
        <v>8760.4940000000006</v>
      </c>
      <c r="O8" s="2">
        <v>11741.630999999999</v>
      </c>
      <c r="P8" s="6">
        <f t="shared" si="0"/>
        <v>112975.86199999999</v>
      </c>
      <c r="R8" s="49">
        <f t="shared" si="1"/>
        <v>2400</v>
      </c>
      <c r="S8" s="49">
        <f>S$2*12-SUM(R8:$R8)-SUMPRODUCT(--($D8:$O8&lt;=S$2),S$2-$D8:$O8)</f>
        <v>9600</v>
      </c>
      <c r="T8" s="49">
        <f>T$2*12-SUM($R8:S8)-SUMPRODUCT(--($D8:$O8&lt;=T$2),T$2-$D8:$O8)</f>
        <v>100975.86199998856</v>
      </c>
    </row>
    <row r="9" spans="1:20" x14ac:dyDescent="0.25">
      <c r="A9" s="169"/>
      <c r="B9" s="170"/>
      <c r="C9">
        <v>111</v>
      </c>
      <c r="D9" s="2">
        <v>23032.933000000001</v>
      </c>
      <c r="E9" s="2">
        <v>16190.424000000001</v>
      </c>
      <c r="F9" s="2">
        <v>16878.11</v>
      </c>
      <c r="G9" s="2">
        <v>14298.26</v>
      </c>
      <c r="H9" s="2">
        <v>13245.924999999999</v>
      </c>
      <c r="I9" s="2">
        <v>9793.7520000000004</v>
      </c>
      <c r="J9" s="2">
        <v>9149.2939999999999</v>
      </c>
      <c r="K9" s="2">
        <v>8799.42</v>
      </c>
      <c r="L9" s="2">
        <v>9597.7960000000003</v>
      </c>
      <c r="M9" s="2">
        <v>10674.34</v>
      </c>
      <c r="N9" s="2">
        <v>14218.82</v>
      </c>
      <c r="O9" s="2">
        <v>17316.468000000001</v>
      </c>
      <c r="P9" s="6">
        <f t="shared" si="0"/>
        <v>163195.54200000002</v>
      </c>
      <c r="R9" s="49">
        <f t="shared" si="1"/>
        <v>2400</v>
      </c>
      <c r="S9" s="49">
        <f>S$2*12-SUM(R9:$R9)-SUMPRODUCT(--($D9:$O9&lt;=S$2),S$2-$D9:$O9)</f>
        <v>9600</v>
      </c>
      <c r="T9" s="49">
        <f>T$2*12-SUM($R9:S9)-SUMPRODUCT(--($D9:$O9&lt;=T$2),T$2-$D9:$O9)</f>
        <v>151195.54200005531</v>
      </c>
    </row>
    <row r="10" spans="1:20" x14ac:dyDescent="0.25">
      <c r="A10" s="169"/>
      <c r="B10" s="170"/>
      <c r="C10">
        <v>111</v>
      </c>
      <c r="D10" s="2">
        <v>18671.928</v>
      </c>
      <c r="E10" s="2">
        <v>13833.152</v>
      </c>
      <c r="F10" s="2">
        <v>15177.538</v>
      </c>
      <c r="G10" s="2">
        <v>14898.972</v>
      </c>
      <c r="H10" s="2">
        <v>9366.2469999999994</v>
      </c>
      <c r="I10" s="2">
        <v>9253.5040000000008</v>
      </c>
      <c r="J10" s="2">
        <v>9271.9130000000005</v>
      </c>
      <c r="K10" s="2">
        <v>8414.02</v>
      </c>
      <c r="L10" s="2">
        <v>9394.9240000000009</v>
      </c>
      <c r="M10" s="2">
        <v>9804.6239999999998</v>
      </c>
      <c r="N10" s="2">
        <v>11841.982</v>
      </c>
      <c r="O10" s="2"/>
      <c r="P10" s="6">
        <f t="shared" si="0"/>
        <v>129928.804</v>
      </c>
      <c r="R10" s="49">
        <f t="shared" si="1"/>
        <v>2200</v>
      </c>
      <c r="S10" s="49">
        <f>S$2*12-SUM(R10:$R10)-SUMPRODUCT(--($D10:$O10&lt;=S$2),S$2-$D10:$O10)</f>
        <v>8800</v>
      </c>
      <c r="T10" s="49">
        <f>T$2*12-SUM($R10:S10)-SUMPRODUCT(--($D10:$O10&lt;=T$2),T$2-$D10:$O10)</f>
        <v>118928.80399990082</v>
      </c>
    </row>
    <row r="11" spans="1:20" x14ac:dyDescent="0.25">
      <c r="A11" s="169"/>
      <c r="B11" s="170"/>
      <c r="C11">
        <v>111</v>
      </c>
      <c r="D11" s="2">
        <v>19844.903999999999</v>
      </c>
      <c r="E11" s="2">
        <v>16402</v>
      </c>
      <c r="F11" s="2">
        <v>16526.171999999999</v>
      </c>
      <c r="G11" s="2">
        <v>13906.062</v>
      </c>
      <c r="H11" s="2">
        <v>11647.19</v>
      </c>
      <c r="I11" s="2">
        <v>9949.9959999999992</v>
      </c>
      <c r="J11" s="2">
        <v>9636.5920000000006</v>
      </c>
      <c r="K11" s="2">
        <v>8459.9130000000005</v>
      </c>
      <c r="L11" s="2">
        <v>8969.91</v>
      </c>
      <c r="M11" s="2">
        <v>10567.335999999999</v>
      </c>
      <c r="N11" s="2">
        <v>14173.59</v>
      </c>
      <c r="O11" s="2"/>
      <c r="P11" s="6">
        <f t="shared" si="0"/>
        <v>140083.66500000001</v>
      </c>
      <c r="R11" s="49">
        <f t="shared" si="1"/>
        <v>2200</v>
      </c>
      <c r="S11" s="49">
        <f>S$2*12-SUM(R11:$R11)-SUMPRODUCT(--($D11:$O11&lt;=S$2),S$2-$D11:$O11)</f>
        <v>8800</v>
      </c>
      <c r="T11" s="49">
        <f>T$2*12-SUM($R11:S11)-SUMPRODUCT(--($D11:$O11&lt;=T$2),T$2-$D11:$O11)</f>
        <v>129083.66499996185</v>
      </c>
    </row>
    <row r="12" spans="1:20" x14ac:dyDescent="0.25">
      <c r="A12" s="169"/>
      <c r="B12" s="170"/>
      <c r="C12">
        <v>111</v>
      </c>
      <c r="D12" s="2">
        <v>11563.722</v>
      </c>
      <c r="E12" s="2">
        <v>8312.2160000000003</v>
      </c>
      <c r="F12" s="2">
        <v>9779.5079999999998</v>
      </c>
      <c r="G12" s="2">
        <v>9240.7199999999993</v>
      </c>
      <c r="H12" s="2">
        <v>6160.4549999999999</v>
      </c>
      <c r="I12" s="2">
        <v>5500.5609999999997</v>
      </c>
      <c r="J12" s="2">
        <v>5107.5959999999995</v>
      </c>
      <c r="K12" s="2">
        <v>3601</v>
      </c>
      <c r="L12" s="2">
        <v>5093.2259999999997</v>
      </c>
      <c r="M12" s="2">
        <v>5620.549</v>
      </c>
      <c r="N12" s="2">
        <v>6185.7120000000004</v>
      </c>
      <c r="O12" s="2"/>
      <c r="P12" s="6">
        <f t="shared" si="0"/>
        <v>76165.265000000014</v>
      </c>
      <c r="R12" s="49">
        <f t="shared" si="1"/>
        <v>2200</v>
      </c>
      <c r="S12" s="49">
        <f>S$2*12-SUM(R12:$R12)-SUMPRODUCT(--($D12:$O12&lt;=S$2),S$2-$D12:$O12)</f>
        <v>8800</v>
      </c>
      <c r="T12" s="49">
        <f>T$2*12-SUM($R12:S12)-SUMPRODUCT(--($D12:$O12&lt;=T$2),T$2-$D12:$O12)</f>
        <v>65165.264999866486</v>
      </c>
    </row>
    <row r="13" spans="1:20" x14ac:dyDescent="0.25">
      <c r="A13" s="169"/>
      <c r="B13" s="170"/>
      <c r="C13">
        <v>111</v>
      </c>
      <c r="D13" s="2">
        <v>17966.34</v>
      </c>
      <c r="E13" s="2">
        <v>16748.439999999999</v>
      </c>
      <c r="F13" s="2">
        <v>21506.16</v>
      </c>
      <c r="G13" s="2">
        <v>22465.344000000001</v>
      </c>
      <c r="H13" s="2">
        <v>21645.974999999999</v>
      </c>
      <c r="I13" s="2">
        <v>19766.616000000002</v>
      </c>
      <c r="J13" s="2">
        <v>18365.263999999999</v>
      </c>
      <c r="K13" s="2">
        <v>23119.036</v>
      </c>
      <c r="L13" s="2">
        <v>22406.328000000001</v>
      </c>
      <c r="M13" s="2">
        <v>21807.06</v>
      </c>
      <c r="N13" s="2">
        <v>23135.84</v>
      </c>
      <c r="O13" s="2"/>
      <c r="P13" s="6">
        <f t="shared" si="0"/>
        <v>228932.40299999999</v>
      </c>
      <c r="R13" s="49">
        <f t="shared" si="1"/>
        <v>2200</v>
      </c>
      <c r="S13" s="49">
        <f>S$2*12-SUM(R13:$R13)-SUMPRODUCT(--($D13:$O13&lt;=S$2),S$2-$D13:$O13)</f>
        <v>8800</v>
      </c>
      <c r="T13" s="49">
        <f>T$2*12-SUM($R13:S13)-SUMPRODUCT(--($D13:$O13&lt;=T$2),T$2-$D13:$O13)</f>
        <v>217932.40299987793</v>
      </c>
    </row>
    <row r="14" spans="1:20" x14ac:dyDescent="0.25">
      <c r="A14" s="169"/>
      <c r="B14" s="170"/>
      <c r="C14">
        <v>111</v>
      </c>
      <c r="D14" s="2">
        <v>22036.86</v>
      </c>
      <c r="E14" s="2">
        <v>18307.25</v>
      </c>
      <c r="F14" s="2">
        <v>19576.095000000001</v>
      </c>
      <c r="G14" s="2">
        <v>18191.036</v>
      </c>
      <c r="H14" s="2">
        <v>20698</v>
      </c>
      <c r="I14" s="2">
        <v>15852.325000000001</v>
      </c>
      <c r="J14" s="2">
        <v>13900.946</v>
      </c>
      <c r="K14" s="2">
        <v>14545.602999999999</v>
      </c>
      <c r="L14" s="2">
        <v>13986.99</v>
      </c>
      <c r="M14" s="2">
        <v>14592.732</v>
      </c>
      <c r="N14" s="2">
        <v>17827.79</v>
      </c>
      <c r="O14" s="2">
        <v>18309.150000000001</v>
      </c>
      <c r="P14" s="6">
        <f t="shared" si="0"/>
        <v>207824.77699999997</v>
      </c>
      <c r="R14" s="49">
        <f t="shared" si="1"/>
        <v>2400</v>
      </c>
      <c r="S14" s="49">
        <f>S$2*12-SUM(R14:$R14)-SUMPRODUCT(--($D14:$O14&lt;=S$2),S$2-$D14:$O14)</f>
        <v>9600</v>
      </c>
      <c r="T14" s="49">
        <f>T$2*12-SUM($R14:S14)-SUMPRODUCT(--($D14:$O14&lt;=T$2),T$2-$D14:$O14)</f>
        <v>195824.77700018883</v>
      </c>
    </row>
    <row r="15" spans="1:20" x14ac:dyDescent="0.25">
      <c r="A15" s="169"/>
      <c r="B15" s="170"/>
      <c r="C15">
        <v>111</v>
      </c>
      <c r="D15" s="2">
        <v>18564.8</v>
      </c>
      <c r="E15" s="2">
        <v>16579.939999999999</v>
      </c>
      <c r="F15" s="2">
        <v>16610.928</v>
      </c>
      <c r="G15" s="2">
        <v>14189.656000000001</v>
      </c>
      <c r="H15" s="2">
        <v>11665.125</v>
      </c>
      <c r="I15" s="2">
        <v>9830.7420000000002</v>
      </c>
      <c r="J15" s="2">
        <v>7325.424</v>
      </c>
      <c r="K15" s="2">
        <v>7034.866</v>
      </c>
      <c r="L15" s="2">
        <v>9576.2520000000004</v>
      </c>
      <c r="M15" s="2">
        <v>12195.018</v>
      </c>
      <c r="N15" s="2">
        <v>13189.334999999999</v>
      </c>
      <c r="O15" s="2"/>
      <c r="P15" s="6">
        <f t="shared" si="0"/>
        <v>136762.08599999998</v>
      </c>
      <c r="R15" s="49">
        <f t="shared" si="1"/>
        <v>2200</v>
      </c>
      <c r="S15" s="49">
        <f>S$2*12-SUM(R15:$R15)-SUMPRODUCT(--($D15:$O15&lt;=S$2),S$2-$D15:$O15)</f>
        <v>8800</v>
      </c>
      <c r="T15" s="49">
        <f>T$2*12-SUM($R15:S15)-SUMPRODUCT(--($D15:$O15&lt;=T$2),T$2-$D15:$O15)</f>
        <v>125762.08599996567</v>
      </c>
    </row>
    <row r="16" spans="1:20" x14ac:dyDescent="0.25">
      <c r="A16" s="169"/>
      <c r="B16" s="170"/>
      <c r="C16">
        <v>111</v>
      </c>
      <c r="D16" s="2">
        <v>7597.7730000000001</v>
      </c>
      <c r="E16" s="2">
        <v>6497.9989999999998</v>
      </c>
      <c r="F16" s="2">
        <v>11813.49</v>
      </c>
      <c r="G16" s="2">
        <v>1550.615</v>
      </c>
      <c r="H16" s="2">
        <v>12533.4</v>
      </c>
      <c r="I16" s="2">
        <v>13059.007</v>
      </c>
      <c r="J16" s="2">
        <v>12283.075000000001</v>
      </c>
      <c r="K16" s="2">
        <v>9729.9959999999992</v>
      </c>
      <c r="L16" s="2">
        <v>14442.222</v>
      </c>
      <c r="M16" s="2">
        <v>13390.08</v>
      </c>
      <c r="N16" s="2">
        <v>9211.3330000000005</v>
      </c>
      <c r="O16" s="2">
        <v>16491.415000000001</v>
      </c>
      <c r="P16" s="6">
        <f t="shared" si="0"/>
        <v>128600.405</v>
      </c>
      <c r="R16" s="49">
        <f t="shared" si="1"/>
        <v>2400</v>
      </c>
      <c r="S16" s="49">
        <f>S$2*12-SUM(R16:$R16)-SUMPRODUCT(--($D16:$O16&lt;=S$2),S$2-$D16:$O16)</f>
        <v>9600</v>
      </c>
      <c r="T16" s="49">
        <f>T$2*12-SUM($R16:S16)-SUMPRODUCT(--($D16:$O16&lt;=T$2),T$2-$D16:$O16)</f>
        <v>116600.40500020981</v>
      </c>
    </row>
    <row r="17" spans="1:22" x14ac:dyDescent="0.25">
      <c r="A17" s="169"/>
      <c r="B17" s="170"/>
      <c r="C17">
        <v>111</v>
      </c>
      <c r="D17" s="2">
        <v>13506.28</v>
      </c>
      <c r="E17" s="2">
        <v>16845.14</v>
      </c>
      <c r="F17" s="2">
        <v>18835.582999999999</v>
      </c>
      <c r="G17" s="2">
        <v>11840.210999999999</v>
      </c>
      <c r="H17" s="2">
        <v>15288</v>
      </c>
      <c r="I17" s="2">
        <v>9520.4699999999993</v>
      </c>
      <c r="J17" s="2">
        <v>6885.04</v>
      </c>
      <c r="K17" s="2">
        <v>8366.4840000000004</v>
      </c>
      <c r="L17" s="2">
        <v>9957.4439999999995</v>
      </c>
      <c r="M17" s="2">
        <v>10888.25</v>
      </c>
      <c r="N17" s="2">
        <v>10957.575000000001</v>
      </c>
      <c r="O17" s="2"/>
      <c r="P17" s="6">
        <f t="shared" si="0"/>
        <v>132890.47699999998</v>
      </c>
      <c r="R17" s="49">
        <f t="shared" si="1"/>
        <v>2200</v>
      </c>
      <c r="S17" s="49">
        <f>S$2*12-SUM(R17:$R17)-SUMPRODUCT(--($D17:$O17&lt;=S$2),S$2-$D17:$O17)</f>
        <v>8800</v>
      </c>
      <c r="T17" s="49">
        <f>T$2*12-SUM($R17:S17)-SUMPRODUCT(--($D17:$O17&lt;=T$2),T$2-$D17:$O17)</f>
        <v>121890.47699999809</v>
      </c>
    </row>
    <row r="18" spans="1:22" x14ac:dyDescent="0.25">
      <c r="A18" s="169"/>
      <c r="B18" s="170"/>
      <c r="C18">
        <v>111</v>
      </c>
      <c r="D18" s="2">
        <v>16831.722000000002</v>
      </c>
      <c r="E18" s="2">
        <v>16265.62</v>
      </c>
      <c r="F18" s="2">
        <v>14129.412</v>
      </c>
      <c r="G18" s="2">
        <v>13413.312</v>
      </c>
      <c r="H18" s="2">
        <v>12724.457</v>
      </c>
      <c r="I18" s="2">
        <v>10581.468000000001</v>
      </c>
      <c r="J18" s="2">
        <v>9568.6859999999997</v>
      </c>
      <c r="K18" s="2">
        <v>10493.982</v>
      </c>
      <c r="L18" s="2">
        <v>10340.82</v>
      </c>
      <c r="M18" s="2">
        <v>13474.907999999999</v>
      </c>
      <c r="N18" s="2">
        <v>15479.36</v>
      </c>
      <c r="O18" s="2"/>
      <c r="P18" s="6">
        <f t="shared" si="0"/>
        <v>143303.74700000003</v>
      </c>
      <c r="R18" s="49">
        <f t="shared" si="1"/>
        <v>2200</v>
      </c>
      <c r="S18" s="49">
        <f>S$2*12-SUM(R18:$R18)-SUMPRODUCT(--($D18:$O18&lt;=S$2),S$2-$D18:$O18)</f>
        <v>8800</v>
      </c>
      <c r="T18" s="49">
        <f>T$2*12-SUM($R18:S18)-SUMPRODUCT(--($D18:$O18&lt;=T$2),T$2-$D18:$O18)</f>
        <v>132303.7469997406</v>
      </c>
    </row>
    <row r="19" spans="1:22" x14ac:dyDescent="0.25">
      <c r="A19" s="169"/>
      <c r="B19" s="170"/>
      <c r="C19">
        <v>111</v>
      </c>
      <c r="D19" s="2">
        <v>18898.599999999999</v>
      </c>
      <c r="E19" s="2">
        <v>13095.35</v>
      </c>
      <c r="F19" s="2">
        <v>18416.224999999999</v>
      </c>
      <c r="G19" s="2">
        <v>13602.24</v>
      </c>
      <c r="H19" s="2">
        <v>12386.904</v>
      </c>
      <c r="I19" s="2">
        <v>12467.686</v>
      </c>
      <c r="J19" s="2">
        <v>11172.7</v>
      </c>
      <c r="K19" s="2">
        <v>8999.2080000000005</v>
      </c>
      <c r="L19" s="2">
        <v>15805.928</v>
      </c>
      <c r="M19" s="2">
        <v>10106.152</v>
      </c>
      <c r="N19" s="2">
        <v>11199.534</v>
      </c>
      <c r="O19" s="2">
        <v>17111.674999999999</v>
      </c>
      <c r="P19" s="6">
        <f t="shared" si="0"/>
        <v>163262.20199999999</v>
      </c>
      <c r="R19" s="49">
        <f t="shared" si="1"/>
        <v>2400</v>
      </c>
      <c r="S19" s="49">
        <f>S$2*12-SUM(R19:$R19)-SUMPRODUCT(--($D19:$O19&lt;=S$2),S$2-$D19:$O19)</f>
        <v>9600</v>
      </c>
      <c r="T19" s="49">
        <f>T$2*12-SUM($R19:S19)-SUMPRODUCT(--($D19:$O19&lt;=T$2),T$2-$D19:$O19)</f>
        <v>151262.20199990273</v>
      </c>
    </row>
    <row r="20" spans="1:22" x14ac:dyDescent="0.25">
      <c r="A20" s="169"/>
      <c r="B20" s="170"/>
      <c r="C20">
        <v>111</v>
      </c>
      <c r="D20" s="2">
        <v>15941</v>
      </c>
      <c r="E20" s="2">
        <v>12201.259</v>
      </c>
      <c r="F20" s="2">
        <v>13394.755999999999</v>
      </c>
      <c r="G20" s="2">
        <v>10711.512000000001</v>
      </c>
      <c r="H20" s="2">
        <v>8078.8140000000003</v>
      </c>
      <c r="I20" s="2">
        <v>5961.11</v>
      </c>
      <c r="J20" s="2">
        <v>6821.08</v>
      </c>
      <c r="K20" s="2">
        <v>5976.8280000000004</v>
      </c>
      <c r="L20" s="2">
        <v>6581.9250000000002</v>
      </c>
      <c r="M20" s="2">
        <v>7957.06</v>
      </c>
      <c r="N20" s="2">
        <v>10736.986000000001</v>
      </c>
      <c r="O20" s="2"/>
      <c r="P20" s="6">
        <f t="shared" si="0"/>
        <v>104362.33</v>
      </c>
      <c r="R20" s="49">
        <f t="shared" si="1"/>
        <v>2200</v>
      </c>
      <c r="S20" s="49">
        <f>S$2*12-SUM(R20:$R20)-SUMPRODUCT(--($D20:$O20&lt;=S$2),S$2-$D20:$O20)</f>
        <v>8800</v>
      </c>
      <c r="T20" s="49">
        <f>T$2*12-SUM($R20:S20)-SUMPRODUCT(--($D20:$O20&lt;=T$2),T$2-$D20:$O20)</f>
        <v>93362.329999923706</v>
      </c>
    </row>
    <row r="21" spans="1:22" x14ac:dyDescent="0.25">
      <c r="A21" s="169"/>
      <c r="B21" s="170"/>
      <c r="C21">
        <v>111</v>
      </c>
      <c r="D21" s="2">
        <v>19325.736000000001</v>
      </c>
      <c r="E21" s="2">
        <v>22970.145</v>
      </c>
      <c r="F21" s="2">
        <v>24928.991999999998</v>
      </c>
      <c r="G21" s="2">
        <v>18587.358</v>
      </c>
      <c r="H21" s="2">
        <v>19289.096000000001</v>
      </c>
      <c r="I21" s="2">
        <v>17008.04</v>
      </c>
      <c r="J21" s="2">
        <v>17048.382000000001</v>
      </c>
      <c r="K21" s="2">
        <v>17623.93</v>
      </c>
      <c r="L21" s="2">
        <v>16462.485000000001</v>
      </c>
      <c r="M21" s="2">
        <v>18279.751</v>
      </c>
      <c r="N21" s="2">
        <v>20752.578000000001</v>
      </c>
      <c r="O21" s="2"/>
      <c r="P21" s="6">
        <f t="shared" si="0"/>
        <v>212276.49299999999</v>
      </c>
      <c r="R21" s="49">
        <f t="shared" si="1"/>
        <v>2200</v>
      </c>
      <c r="S21" s="49">
        <f>S$2*12-SUM(R21:$R21)-SUMPRODUCT(--($D21:$O21&lt;=S$2),S$2-$D21:$O21)</f>
        <v>8800</v>
      </c>
      <c r="T21" s="49">
        <f>T$2*12-SUM($R21:S21)-SUMPRODUCT(--($D21:$O21&lt;=T$2),T$2-$D21:$O21)</f>
        <v>201276.49300003052</v>
      </c>
    </row>
    <row r="22" spans="1:22" x14ac:dyDescent="0.25">
      <c r="A22" s="169"/>
      <c r="B22" s="170"/>
      <c r="C22">
        <v>111</v>
      </c>
      <c r="D22" s="2">
        <v>8797.35</v>
      </c>
      <c r="E22" s="2">
        <v>9600.7379999999994</v>
      </c>
      <c r="F22" s="2">
        <v>8137.2579999999998</v>
      </c>
      <c r="G22" s="2">
        <v>7308.9539999999997</v>
      </c>
      <c r="H22" s="2">
        <v>8391.4380000000001</v>
      </c>
      <c r="I22" s="2">
        <v>6269.8</v>
      </c>
      <c r="J22" s="2">
        <v>6566.36</v>
      </c>
      <c r="K22" s="2">
        <v>8056.9719999999998</v>
      </c>
      <c r="L22" s="2">
        <v>7991.8360000000002</v>
      </c>
      <c r="M22" s="2">
        <v>7377.9549999999999</v>
      </c>
      <c r="N22" s="2">
        <v>8706.84</v>
      </c>
      <c r="O22" s="2"/>
      <c r="P22" s="6">
        <f t="shared" si="0"/>
        <v>87205.501000000004</v>
      </c>
      <c r="R22" s="49">
        <f t="shared" si="1"/>
        <v>2200</v>
      </c>
      <c r="S22" s="49">
        <f>S$2*12-SUM(R22:$R22)-SUMPRODUCT(--($D22:$O22&lt;=S$2),S$2-$D22:$O22)</f>
        <v>8800</v>
      </c>
      <c r="T22" s="49">
        <f>T$2*12-SUM($R22:S22)-SUMPRODUCT(--($D22:$O22&lt;=T$2),T$2-$D22:$O22)</f>
        <v>76205.500999927521</v>
      </c>
    </row>
    <row r="23" spans="1:22" x14ac:dyDescent="0.25">
      <c r="A23" s="169"/>
      <c r="B23" s="170"/>
      <c r="C23">
        <v>121</v>
      </c>
      <c r="D23" s="2"/>
      <c r="E23" s="2"/>
      <c r="F23" s="2"/>
      <c r="G23" s="2"/>
      <c r="H23" s="2"/>
      <c r="I23" s="2"/>
      <c r="J23" s="2">
        <v>2449.5737399999998</v>
      </c>
      <c r="K23" s="2">
        <v>7973.3159999999998</v>
      </c>
      <c r="L23" s="2">
        <v>9263.64</v>
      </c>
      <c r="M23" s="2">
        <v>11863.8</v>
      </c>
      <c r="N23" s="2">
        <v>11546.603999999999</v>
      </c>
      <c r="O23" s="2">
        <v>14832.072</v>
      </c>
      <c r="P23" s="6">
        <f>SUM(D23:O23)</f>
        <v>57929.005739999993</v>
      </c>
      <c r="R23" s="49">
        <f t="shared" si="1"/>
        <v>1200</v>
      </c>
      <c r="S23" s="49">
        <f>S$2*12-SUM(R23:$R23)-SUMPRODUCT(--($D23:$O23&lt;=S$2),S$2-$D23:$O23)</f>
        <v>4800</v>
      </c>
      <c r="T23" s="49">
        <f>T$2*12-SUM($R23:S23)-SUMPRODUCT(--($D23:$O23&lt;=T$2),T$2-$D23:$O23)</f>
        <v>51929.005739927292</v>
      </c>
    </row>
    <row r="24" spans="1:22" x14ac:dyDescent="0.25">
      <c r="A24" s="169"/>
      <c r="B24" s="170"/>
      <c r="C24">
        <v>121</v>
      </c>
      <c r="D24" s="2">
        <v>17335.014999999999</v>
      </c>
      <c r="E24" s="2">
        <v>12361.800999999999</v>
      </c>
      <c r="F24" s="2">
        <v>13983.174000000001</v>
      </c>
      <c r="G24" s="2">
        <v>11127.227999999999</v>
      </c>
      <c r="H24" s="2">
        <v>11367.294</v>
      </c>
      <c r="I24" s="2">
        <v>10922.304</v>
      </c>
      <c r="J24" s="2">
        <v>8569.2389899999998</v>
      </c>
      <c r="K24" s="2"/>
      <c r="L24" s="2"/>
      <c r="M24" s="2"/>
      <c r="N24" s="2"/>
      <c r="O24" s="2"/>
      <c r="P24" s="6">
        <f>SUM(D24:O24)</f>
        <v>85666.05498999999</v>
      </c>
      <c r="R24" s="49">
        <f t="shared" si="1"/>
        <v>1400</v>
      </c>
      <c r="S24" s="49">
        <f>S$2*12-SUM(R24:$R24)-SUMPRODUCT(--($D24:$O24&lt;=S$2),S$2-$D24:$O24)</f>
        <v>5600</v>
      </c>
      <c r="T24" s="49">
        <f>T$2*12-SUM($R24:S24)-SUMPRODUCT(--($D24:$O24&lt;=T$2),T$2-$D24:$O24)</f>
        <v>78666.054989814758</v>
      </c>
    </row>
    <row r="25" spans="1:22" x14ac:dyDescent="0.25">
      <c r="B25" s="170"/>
      <c r="D25" s="2">
        <f>SUM(D5:D24)</f>
        <v>310812.60199999996</v>
      </c>
      <c r="E25" s="2">
        <f t="shared" ref="E25:O25" si="2">SUM(E5:E24)</f>
        <v>271139.391</v>
      </c>
      <c r="F25" s="2">
        <f t="shared" si="2"/>
        <v>287679.99899999995</v>
      </c>
      <c r="G25" s="2">
        <f t="shared" si="2"/>
        <v>236729.98199999999</v>
      </c>
      <c r="H25" s="2">
        <f t="shared" si="2"/>
        <v>223367.905</v>
      </c>
      <c r="I25" s="2">
        <f t="shared" si="2"/>
        <v>191218.86499999996</v>
      </c>
      <c r="J25" s="2">
        <f t="shared" si="2"/>
        <v>179208.77572999999</v>
      </c>
      <c r="K25" s="2">
        <f t="shared" si="2"/>
        <v>175800.13500000001</v>
      </c>
      <c r="L25" s="2">
        <f t="shared" si="2"/>
        <v>195691.97500000003</v>
      </c>
      <c r="M25" s="2">
        <f t="shared" si="2"/>
        <v>211707.25799999994</v>
      </c>
      <c r="N25" s="2">
        <f t="shared" si="2"/>
        <v>246977.47500000001</v>
      </c>
      <c r="O25" s="2">
        <f t="shared" si="2"/>
        <v>105598.4376</v>
      </c>
      <c r="P25" s="6">
        <f>SUM(D25:O25)</f>
        <v>2635932.80033</v>
      </c>
      <c r="Q25" t="s">
        <v>184</v>
      </c>
      <c r="R25" s="171">
        <f>SUM(R5:R24)</f>
        <v>43400</v>
      </c>
      <c r="S25" s="171">
        <f t="shared" ref="S25:T25" si="3">SUM(S5:S24)</f>
        <v>172396.36</v>
      </c>
      <c r="T25" s="171">
        <f t="shared" si="3"/>
        <v>2420136.4403293133</v>
      </c>
      <c r="U25" t="s">
        <v>185</v>
      </c>
    </row>
    <row r="26" spans="1:22" x14ac:dyDescent="0.25">
      <c r="P26" s="6">
        <f>-P37-P25</f>
        <v>4656696.6882799994</v>
      </c>
      <c r="Q26" t="s">
        <v>186</v>
      </c>
      <c r="R26" s="63">
        <f>(608-217)*200</f>
        <v>78200</v>
      </c>
      <c r="S26" s="63">
        <f>(608-217)*800</f>
        <v>312800</v>
      </c>
      <c r="T26" s="6">
        <f>P26-R26-S26</f>
        <v>4265696.6882799994</v>
      </c>
      <c r="U26" t="s">
        <v>186</v>
      </c>
    </row>
    <row r="27" spans="1:22" x14ac:dyDescent="0.25">
      <c r="P27" s="6"/>
      <c r="R27" s="30" t="s">
        <v>62</v>
      </c>
      <c r="S27" s="31">
        <f>R28</f>
        <v>500</v>
      </c>
      <c r="T27" s="31">
        <f t="shared" ref="T27:U27" si="4">S28</f>
        <v>1000</v>
      </c>
      <c r="U27" s="31">
        <f t="shared" si="4"/>
        <v>10000</v>
      </c>
      <c r="V27" s="31">
        <f>U28</f>
        <v>25000</v>
      </c>
    </row>
    <row r="28" spans="1:22" x14ac:dyDescent="0.25">
      <c r="P28" s="6"/>
      <c r="R28" s="33">
        <v>500</v>
      </c>
      <c r="S28" s="33">
        <v>1000</v>
      </c>
      <c r="T28" s="33">
        <v>10000</v>
      </c>
      <c r="U28" s="33">
        <v>25000</v>
      </c>
      <c r="V28" s="34">
        <v>99999999</v>
      </c>
    </row>
    <row r="29" spans="1:22" ht="45" customHeight="1" x14ac:dyDescent="0.25">
      <c r="P29" s="6"/>
      <c r="Q29" s="167" t="s">
        <v>187</v>
      </c>
      <c r="R29" s="167" t="s">
        <v>188</v>
      </c>
      <c r="S29" s="167" t="s">
        <v>189</v>
      </c>
      <c r="T29" s="167" t="s">
        <v>190</v>
      </c>
      <c r="U29" s="167" t="s">
        <v>191</v>
      </c>
      <c r="V29" s="167" t="s">
        <v>192</v>
      </c>
    </row>
    <row r="30" spans="1:22" x14ac:dyDescent="0.25">
      <c r="A30" s="172"/>
      <c r="B30" s="170"/>
      <c r="C30">
        <v>121</v>
      </c>
      <c r="D30" s="2">
        <v>97094.085000000006</v>
      </c>
      <c r="E30" s="2">
        <v>80333.945999999996</v>
      </c>
      <c r="F30" s="2">
        <v>69364.269</v>
      </c>
      <c r="G30" s="2">
        <v>57291.588000000003</v>
      </c>
      <c r="H30" s="2">
        <v>31598.7</v>
      </c>
      <c r="I30" s="2">
        <v>28892.99</v>
      </c>
      <c r="J30" s="2">
        <v>28870.634999999998</v>
      </c>
      <c r="K30" s="2">
        <v>25322.026000000002</v>
      </c>
      <c r="L30" s="2">
        <v>35158.072</v>
      </c>
      <c r="M30" s="2">
        <v>39392.639999999999</v>
      </c>
      <c r="N30" s="2">
        <v>60010.084000000003</v>
      </c>
      <c r="O30" s="2">
        <v>83606.648000000001</v>
      </c>
      <c r="P30" s="6">
        <f t="shared" ref="P30:P32" si="5">SUM(D30:O30)</f>
        <v>636935.68300000008</v>
      </c>
      <c r="R30" s="49">
        <f>R$28*12-SUMPRODUCT(--($D30:$O30&lt;=R$28),R$28-$D30:$O30)</f>
        <v>6000</v>
      </c>
      <c r="S30" s="49">
        <f>S$28*12-SUM(R30:$R30)-SUMPRODUCT(--($D30:$O30&lt;=S$28),S$28-$D30:$O30)</f>
        <v>6000</v>
      </c>
      <c r="T30" s="49">
        <f>T$28*12-SUM($R30:S30)-SUMPRODUCT(--($D30:$O30&lt;=T$28),T$28-$D30:$O30)</f>
        <v>108000</v>
      </c>
      <c r="U30" s="49">
        <f>U$28*12-SUM($R30:T30)-SUMPRODUCT(--($D30:$O30&lt;=U$28),U$28-$D30:$O30)</f>
        <v>180000</v>
      </c>
      <c r="V30" s="49">
        <f>V$28*12-SUM($R30:U30)-SUMPRODUCT(--($D30:$O30&lt;=V$28),V$28-$D30:$O30)</f>
        <v>336935.68300008774</v>
      </c>
    </row>
    <row r="31" spans="1:22" x14ac:dyDescent="0.25">
      <c r="A31" s="172"/>
      <c r="B31" s="170"/>
      <c r="C31">
        <v>121</v>
      </c>
      <c r="D31" s="2">
        <v>47471.8</v>
      </c>
      <c r="E31" s="2">
        <v>37653.046000000002</v>
      </c>
      <c r="F31" s="2">
        <v>45223.936000000002</v>
      </c>
      <c r="G31" s="2">
        <v>40774.095999999998</v>
      </c>
      <c r="H31" s="2">
        <v>24492</v>
      </c>
      <c r="I31" s="2">
        <v>45362.82</v>
      </c>
      <c r="J31" s="2">
        <v>40939.879000000001</v>
      </c>
      <c r="K31" s="2">
        <v>47349.154999999999</v>
      </c>
      <c r="L31" s="2">
        <v>50581.8</v>
      </c>
      <c r="M31" s="2">
        <v>47921.61</v>
      </c>
      <c r="N31" s="2">
        <v>62403.12</v>
      </c>
      <c r="O31" s="2">
        <v>50334.514999999999</v>
      </c>
      <c r="P31" s="6">
        <f t="shared" si="5"/>
        <v>540507.77699999989</v>
      </c>
      <c r="R31" s="49">
        <f t="shared" ref="R31" si="6">R$28*12-SUMPRODUCT(--($D31:$O31&lt;=R$28),R$28-$D31:$O31)</f>
        <v>6000</v>
      </c>
      <c r="S31" s="49">
        <f>S$28*12-SUM(R31:$R31)-SUMPRODUCT(--($D31:$O31&lt;=S$28),S$28-$D31:$O31)</f>
        <v>6000</v>
      </c>
      <c r="T31" s="49">
        <f>T$28*12-SUM($R31:S31)-SUMPRODUCT(--($D31:$O31&lt;=T$28),T$28-$D31:$O31)</f>
        <v>108000</v>
      </c>
      <c r="U31" s="49">
        <f>U$28*12-SUM($R31:T31)-SUMPRODUCT(--($D31:$O31&lt;=U$28),U$28-$D31:$O31)</f>
        <v>179492</v>
      </c>
      <c r="V31" s="49">
        <f>V$28*12-SUM($R31:U31)-SUMPRODUCT(--($D31:$O31&lt;=V$28),V$28-$D31:$O31)</f>
        <v>241015.77699995041</v>
      </c>
    </row>
    <row r="32" spans="1:22" x14ac:dyDescent="0.25">
      <c r="B32" s="170"/>
      <c r="C32">
        <v>121</v>
      </c>
      <c r="D32" s="2">
        <v>26897.5</v>
      </c>
      <c r="E32" s="2">
        <v>17227.853999999999</v>
      </c>
      <c r="F32" s="2">
        <v>20402.477999999999</v>
      </c>
      <c r="G32" s="2">
        <v>16729.68</v>
      </c>
      <c r="H32" s="2">
        <v>13286.76</v>
      </c>
      <c r="I32" s="2">
        <v>9394.7039999999997</v>
      </c>
      <c r="J32" s="2">
        <v>7873.732</v>
      </c>
      <c r="K32" s="2">
        <v>7552.6710000000003</v>
      </c>
      <c r="L32" s="2">
        <v>9142.92</v>
      </c>
      <c r="M32" s="2"/>
      <c r="N32" s="2"/>
      <c r="O32" s="2"/>
      <c r="P32" s="6">
        <f t="shared" si="5"/>
        <v>128508.29899999998</v>
      </c>
      <c r="Q32" t="s">
        <v>193</v>
      </c>
      <c r="R32" s="49">
        <f>R$28*12-SUMPRODUCT(--($D32:$O32&lt;=R$28),R$28-$D32:$O32)</f>
        <v>4500</v>
      </c>
      <c r="S32" s="49">
        <f>S$28*12-SUM(R32:$R32)-SUMPRODUCT(--($D32:$O32&lt;=S$28),S$28-$D32:$O32)</f>
        <v>4500</v>
      </c>
      <c r="T32" s="49">
        <f>T$28*12-SUM($R32:S32)-SUMPRODUCT(--($D32:$O32&lt;=T$28),T$28-$D32:$O32)</f>
        <v>74964.027000000002</v>
      </c>
      <c r="U32" s="49">
        <f>U$28*12-SUM($R32:T32)-SUMPRODUCT(--($D32:$O32&lt;=U$28),U$28-$D32:$O32)</f>
        <v>42646.771999999997</v>
      </c>
      <c r="V32" s="49">
        <f>V$28*12-SUM($R32:U32)-SUMPRODUCT(--($D32:$O32&lt;=V$28),V$28-$D32:$O32)</f>
        <v>1897.5</v>
      </c>
    </row>
    <row r="33" spans="1:22" x14ac:dyDescent="0.25">
      <c r="D33" s="6">
        <f t="shared" ref="D33:O33" si="7">SUM(D30:D32)</f>
        <v>171463.38500000001</v>
      </c>
      <c r="E33" s="6">
        <f t="shared" si="7"/>
        <v>135214.84599999999</v>
      </c>
      <c r="F33" s="6">
        <f t="shared" si="7"/>
        <v>134990.68299999999</v>
      </c>
      <c r="G33" s="6">
        <f t="shared" si="7"/>
        <v>114795.364</v>
      </c>
      <c r="H33" s="6">
        <f t="shared" si="7"/>
        <v>69377.459999999992</v>
      </c>
      <c r="I33" s="6">
        <f t="shared" si="7"/>
        <v>83650.513999999996</v>
      </c>
      <c r="J33" s="6">
        <f t="shared" si="7"/>
        <v>77684.245999999999</v>
      </c>
      <c r="K33" s="6">
        <f t="shared" si="7"/>
        <v>80223.851999999999</v>
      </c>
      <c r="L33" s="6">
        <f t="shared" si="7"/>
        <v>94882.792000000001</v>
      </c>
      <c r="M33" s="6">
        <f t="shared" si="7"/>
        <v>87314.25</v>
      </c>
      <c r="N33" s="6">
        <f t="shared" si="7"/>
        <v>122413.204</v>
      </c>
      <c r="O33" s="6">
        <f t="shared" si="7"/>
        <v>133941.163</v>
      </c>
      <c r="P33" s="6">
        <f>SUM(D33:O33)</f>
        <v>1305951.7589999998</v>
      </c>
      <c r="R33" s="171">
        <f>SUM(R30:R32)</f>
        <v>16500</v>
      </c>
      <c r="S33" s="171">
        <f t="shared" ref="S33:U33" si="8">SUM(S30:S32)</f>
        <v>16500</v>
      </c>
      <c r="T33" s="171">
        <f t="shared" si="8"/>
        <v>290964.027</v>
      </c>
      <c r="U33" s="171">
        <f t="shared" si="8"/>
        <v>402138.772</v>
      </c>
      <c r="V33" s="171">
        <f>SUM(V30:V32)</f>
        <v>579848.96000003815</v>
      </c>
    </row>
    <row r="35" spans="1:22" x14ac:dyDescent="0.25">
      <c r="A35" t="s">
        <v>194</v>
      </c>
      <c r="B35" t="s">
        <v>195</v>
      </c>
      <c r="D35" s="6">
        <f t="shared" ref="D35:O35" si="9">D25+D33</f>
        <v>482275.98699999996</v>
      </c>
      <c r="E35" s="6">
        <f t="shared" si="9"/>
        <v>406354.23699999996</v>
      </c>
      <c r="F35" s="6">
        <f t="shared" si="9"/>
        <v>422670.68199999991</v>
      </c>
      <c r="G35" s="6">
        <f t="shared" si="9"/>
        <v>351525.34600000002</v>
      </c>
      <c r="H35" s="6">
        <f t="shared" si="9"/>
        <v>292745.36499999999</v>
      </c>
      <c r="I35" s="6">
        <f t="shared" si="9"/>
        <v>274869.37899999996</v>
      </c>
      <c r="J35" s="6">
        <f t="shared" si="9"/>
        <v>256893.02172999998</v>
      </c>
      <c r="K35" s="6">
        <f t="shared" si="9"/>
        <v>256023.98700000002</v>
      </c>
      <c r="L35" s="6">
        <f t="shared" si="9"/>
        <v>290574.76700000005</v>
      </c>
      <c r="M35" s="6">
        <f t="shared" si="9"/>
        <v>299021.50799999991</v>
      </c>
      <c r="N35" s="6">
        <f t="shared" si="9"/>
        <v>369390.679</v>
      </c>
      <c r="O35" s="6">
        <f t="shared" si="9"/>
        <v>239539.60060000001</v>
      </c>
      <c r="P35" s="6">
        <f>SUM(D35:O35)</f>
        <v>3941884.5593300001</v>
      </c>
      <c r="Q35" t="s">
        <v>196</v>
      </c>
      <c r="T35">
        <f>-T37-T36</f>
        <v>391</v>
      </c>
      <c r="U35" t="s">
        <v>197</v>
      </c>
    </row>
    <row r="36" spans="1:22" x14ac:dyDescent="0.25">
      <c r="A36" t="s">
        <v>198</v>
      </c>
      <c r="B36" t="s">
        <v>195</v>
      </c>
      <c r="D36" s="2">
        <v>482275.98700000002</v>
      </c>
      <c r="E36" s="2">
        <v>406354.23700000002</v>
      </c>
      <c r="F36" s="2">
        <v>422670.68199999997</v>
      </c>
      <c r="G36" s="2">
        <v>351525.34600000002</v>
      </c>
      <c r="H36" s="2">
        <v>292745.36499999999</v>
      </c>
      <c r="I36" s="2">
        <v>274869.37900000002</v>
      </c>
      <c r="J36" s="2">
        <v>256893.02173000001</v>
      </c>
      <c r="K36" s="2">
        <v>270466.20899999997</v>
      </c>
      <c r="L36" s="2">
        <v>267299.68199999997</v>
      </c>
      <c r="M36" s="2">
        <v>316924.913</v>
      </c>
      <c r="N36" s="2">
        <v>380776.489</v>
      </c>
      <c r="O36" s="2">
        <v>-7073546.2400099998</v>
      </c>
      <c r="P36" s="6">
        <f>SUM(D36:O36)</f>
        <v>-3350744.9292799998</v>
      </c>
      <c r="T36">
        <v>217</v>
      </c>
      <c r="U36" t="s">
        <v>199</v>
      </c>
    </row>
    <row r="37" spans="1:22" x14ac:dyDescent="0.25">
      <c r="D37" s="6">
        <f>D36-D35</f>
        <v>0</v>
      </c>
      <c r="E37" s="6">
        <f t="shared" ref="E37:P37" si="10">E36-E35</f>
        <v>0</v>
      </c>
      <c r="F37" s="6">
        <f t="shared" si="10"/>
        <v>0</v>
      </c>
      <c r="G37" s="6">
        <f t="shared" si="10"/>
        <v>0</v>
      </c>
      <c r="H37" s="6">
        <f t="shared" si="10"/>
        <v>0</v>
      </c>
      <c r="I37" s="6">
        <f t="shared" si="10"/>
        <v>0</v>
      </c>
      <c r="J37" s="6">
        <f t="shared" si="10"/>
        <v>0</v>
      </c>
      <c r="K37" s="6">
        <f t="shared" si="10"/>
        <v>14442.221999999951</v>
      </c>
      <c r="L37" s="6">
        <f t="shared" si="10"/>
        <v>-23275.085000000079</v>
      </c>
      <c r="M37" s="6">
        <f t="shared" si="10"/>
        <v>17903.405000000086</v>
      </c>
      <c r="N37" s="6">
        <f t="shared" si="10"/>
        <v>11385.809999999998</v>
      </c>
      <c r="O37" s="6">
        <f t="shared" si="10"/>
        <v>-7313085.8406099994</v>
      </c>
      <c r="P37" s="6">
        <f t="shared" si="10"/>
        <v>-7292629.4886099994</v>
      </c>
      <c r="Q37" t="s">
        <v>200</v>
      </c>
      <c r="T37" s="173">
        <v>-608</v>
      </c>
      <c r="U37" t="s">
        <v>201</v>
      </c>
    </row>
    <row r="38" spans="1:22" x14ac:dyDescent="0.25">
      <c r="P38" s="6"/>
    </row>
    <row r="39" spans="1:22" x14ac:dyDescent="0.25">
      <c r="P39" s="6"/>
    </row>
    <row r="41" spans="1:22" x14ac:dyDescent="0.25">
      <c r="A41" t="s">
        <v>198</v>
      </c>
      <c r="B41" t="s">
        <v>202</v>
      </c>
      <c r="D41" s="2">
        <v>65294.612000000001</v>
      </c>
      <c r="E41" s="2">
        <v>48825.788</v>
      </c>
      <c r="F41" s="2">
        <v>51647.355000000003</v>
      </c>
      <c r="G41" s="2">
        <v>46438.080000000002</v>
      </c>
      <c r="H41" s="2">
        <v>39511.659</v>
      </c>
      <c r="I41" s="2">
        <v>28453.558000000001</v>
      </c>
      <c r="J41" s="2">
        <v>23989.277999999998</v>
      </c>
      <c r="K41" s="2">
        <v>22970.117999999999</v>
      </c>
      <c r="L41" s="2">
        <v>24853.434000000001</v>
      </c>
      <c r="M41" s="2">
        <v>25795.748</v>
      </c>
      <c r="N41" s="2">
        <v>31468.651999999998</v>
      </c>
      <c r="O41" s="2">
        <v>53121.188999999998</v>
      </c>
      <c r="P41" s="6">
        <f>SUM(D41:O41)</f>
        <v>462369.47100000008</v>
      </c>
    </row>
    <row r="42" spans="1:22" x14ac:dyDescent="0.25">
      <c r="A42" t="s">
        <v>198</v>
      </c>
      <c r="B42" t="s">
        <v>203</v>
      </c>
      <c r="D42" s="2">
        <v>17696.583999999999</v>
      </c>
      <c r="E42" s="2">
        <v>17941.822</v>
      </c>
      <c r="F42" s="2">
        <v>13354.004999999999</v>
      </c>
      <c r="G42" s="2">
        <v>11289.88</v>
      </c>
      <c r="H42" s="2">
        <v>5892.768</v>
      </c>
      <c r="I42" s="2">
        <v>5577.36</v>
      </c>
      <c r="J42" s="2">
        <v>4704.0810000000001</v>
      </c>
      <c r="K42" s="2">
        <v>4652.5619999999999</v>
      </c>
      <c r="L42" s="2">
        <v>7056.8819999999996</v>
      </c>
      <c r="M42" s="2">
        <v>9923.3799999999992</v>
      </c>
      <c r="N42" s="2">
        <v>17155.088</v>
      </c>
      <c r="O42" s="2">
        <v>17027.964</v>
      </c>
      <c r="P42" s="6">
        <f>SUM(D42:O42)</f>
        <v>132272.37600000002</v>
      </c>
    </row>
    <row r="45" spans="1:22" x14ac:dyDescent="0.25">
      <c r="A45" t="s">
        <v>204</v>
      </c>
      <c r="B45" s="170">
        <v>3738400000</v>
      </c>
      <c r="C45">
        <v>112</v>
      </c>
      <c r="D45" s="2">
        <v>17696.583999999999</v>
      </c>
      <c r="E45" s="2">
        <v>17941.822</v>
      </c>
      <c r="F45" s="2">
        <v>13354.004999999999</v>
      </c>
      <c r="G45" s="2">
        <v>11289.88</v>
      </c>
      <c r="H45" s="2">
        <v>5892.768</v>
      </c>
      <c r="I45" s="2">
        <v>5577.36</v>
      </c>
      <c r="J45" s="2">
        <v>4704.0810000000001</v>
      </c>
      <c r="K45" s="2">
        <v>4652.5619999999999</v>
      </c>
      <c r="L45" s="2">
        <v>7056.8819999999996</v>
      </c>
      <c r="M45" s="2">
        <v>9923.3799999999992</v>
      </c>
      <c r="N45" s="2">
        <v>17155.088</v>
      </c>
      <c r="O45" s="2">
        <v>17027.964</v>
      </c>
      <c r="P45" s="6">
        <f>SUM(D45:O45)</f>
        <v>132272.37600000002</v>
      </c>
    </row>
    <row r="46" spans="1:22" x14ac:dyDescent="0.25">
      <c r="A46" t="s">
        <v>205</v>
      </c>
      <c r="B46" s="170">
        <v>8016850000</v>
      </c>
      <c r="C46">
        <v>122</v>
      </c>
      <c r="D46" s="2">
        <v>65294.612000000001</v>
      </c>
      <c r="E46" s="2">
        <v>48825.788</v>
      </c>
      <c r="F46" s="2">
        <v>51647.355000000003</v>
      </c>
      <c r="G46" s="2">
        <v>46438.080000000002</v>
      </c>
      <c r="H46" s="2">
        <v>39511.659</v>
      </c>
      <c r="I46" s="2">
        <v>28453.558000000001</v>
      </c>
      <c r="J46" s="2">
        <v>23989.277999999998</v>
      </c>
      <c r="K46" s="2">
        <v>22970.117999999999</v>
      </c>
      <c r="L46" s="2">
        <v>24853.434000000001</v>
      </c>
      <c r="M46" s="2">
        <v>25795.748</v>
      </c>
      <c r="N46" s="2">
        <v>31468.651999999998</v>
      </c>
      <c r="O46" s="2">
        <v>53121.188999999998</v>
      </c>
      <c r="P46" s="6">
        <f>SUM(D46:O46)</f>
        <v>462369.47100000008</v>
      </c>
    </row>
  </sheetData>
  <printOptions horizontalCentered="1"/>
  <pageMargins left="0.45" right="0.45" top="0.5" bottom="0.75" header="0.3" footer="0.3"/>
  <pageSetup scale="60" orientation="landscape" r:id="rId1"/>
  <headerFooter scaleWithDoc="0">
    <oddFooter>&amp;L&amp;F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zoomScale="83" zoomScaleNormal="83" workbookViewId="0">
      <pane xSplit="2" ySplit="2" topLeftCell="Q56" activePane="bottomRight" state="frozen"/>
      <selection pane="topRight" activeCell="C1" sqref="C1"/>
      <selection pane="bottomLeft" activeCell="A3" sqref="A3"/>
      <selection pane="bottomRight" activeCell="AE82" sqref="AE82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3" customWidth="1"/>
    <col min="15" max="15" width="13.140625" style="13" customWidth="1"/>
    <col min="16" max="16" width="14.42578125" customWidth="1"/>
    <col min="17" max="17" width="12.140625" customWidth="1"/>
    <col min="18" max="18" width="10.85546875" style="174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" customWidth="1"/>
    <col min="29" max="30" width="10.7109375" style="13" customWidth="1"/>
    <col min="31" max="31" width="12.7109375" customWidth="1"/>
    <col min="32" max="32" width="18" customWidth="1"/>
    <col min="33" max="33" width="8.85546875" hidden="1" customWidth="1"/>
  </cols>
  <sheetData>
    <row r="1" spans="1:31" x14ac:dyDescent="0.25">
      <c r="A1" t="s">
        <v>29</v>
      </c>
      <c r="O1" s="16" t="s">
        <v>206</v>
      </c>
      <c r="R1" s="174" t="s">
        <v>207</v>
      </c>
    </row>
    <row r="2" spans="1:31" x14ac:dyDescent="0.25">
      <c r="B2">
        <v>2018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6" t="s">
        <v>10</v>
      </c>
      <c r="O2" s="16" t="s">
        <v>11</v>
      </c>
      <c r="P2" s="1" t="s">
        <v>12</v>
      </c>
      <c r="Q2" s="1" t="s">
        <v>20</v>
      </c>
      <c r="R2" s="174" t="s">
        <v>15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6" t="s">
        <v>10</v>
      </c>
      <c r="AD2" s="16" t="s">
        <v>11</v>
      </c>
      <c r="AE2" s="1" t="s">
        <v>12</v>
      </c>
    </row>
    <row r="3" spans="1:31" x14ac:dyDescent="0.25">
      <c r="A3" t="s">
        <v>30</v>
      </c>
      <c r="B3" t="s">
        <v>13</v>
      </c>
      <c r="D3" s="5">
        <v>160426</v>
      </c>
      <c r="E3" s="5">
        <v>160194</v>
      </c>
      <c r="F3" s="5">
        <v>161042</v>
      </c>
      <c r="G3" s="5">
        <v>160754</v>
      </c>
      <c r="H3" s="5">
        <v>161195</v>
      </c>
      <c r="I3" s="5">
        <v>161073</v>
      </c>
      <c r="J3" s="5">
        <v>161417</v>
      </c>
      <c r="K3" s="5">
        <v>161730</v>
      </c>
      <c r="L3" s="5">
        <v>160225</v>
      </c>
      <c r="M3" s="5">
        <v>164438</v>
      </c>
      <c r="N3" s="9">
        <v>163219</v>
      </c>
      <c r="O3" s="9">
        <v>163683</v>
      </c>
      <c r="P3" s="2">
        <f>SUM(D3:O3)</f>
        <v>1939396</v>
      </c>
      <c r="Q3" s="2">
        <v>13</v>
      </c>
      <c r="R3" s="175">
        <v>9.5</v>
      </c>
      <c r="S3" s="3">
        <f t="shared" ref="S3:AD12" si="0">$R3*D3</f>
        <v>1524047</v>
      </c>
      <c r="T3" s="3">
        <f t="shared" si="0"/>
        <v>1521843</v>
      </c>
      <c r="U3" s="3">
        <f t="shared" si="0"/>
        <v>1529899</v>
      </c>
      <c r="V3" s="3">
        <f t="shared" si="0"/>
        <v>1527163</v>
      </c>
      <c r="W3" s="3">
        <f t="shared" si="0"/>
        <v>1531352.5</v>
      </c>
      <c r="X3" s="3">
        <f t="shared" si="0"/>
        <v>1530193.5</v>
      </c>
      <c r="Y3" s="3">
        <f t="shared" si="0"/>
        <v>1533461.5</v>
      </c>
      <c r="Z3" s="3">
        <f t="shared" si="0"/>
        <v>1536435</v>
      </c>
      <c r="AA3" s="3">
        <f t="shared" si="0"/>
        <v>1522137.5</v>
      </c>
      <c r="AB3" s="3">
        <f t="shared" si="0"/>
        <v>1562161</v>
      </c>
      <c r="AC3" s="18">
        <f t="shared" si="0"/>
        <v>1550580.5</v>
      </c>
      <c r="AD3" s="18">
        <f t="shared" si="0"/>
        <v>1554988.5</v>
      </c>
      <c r="AE3" s="3">
        <f>SUM(S3:AD3)</f>
        <v>18424262</v>
      </c>
    </row>
    <row r="4" spans="1:31" x14ac:dyDescent="0.25">
      <c r="B4" t="s">
        <v>49</v>
      </c>
      <c r="D4" s="5">
        <v>10511482.62308</v>
      </c>
      <c r="E4" s="5">
        <v>10049624.60839</v>
      </c>
      <c r="F4" s="5">
        <v>10243312.527489999</v>
      </c>
      <c r="G4" s="5">
        <v>9176707.0646199994</v>
      </c>
      <c r="H4" s="5">
        <v>5505649.1254599998</v>
      </c>
      <c r="I4" s="5">
        <v>2693969.4138500001</v>
      </c>
      <c r="J4" s="5">
        <v>2253001.4621000001</v>
      </c>
      <c r="K4" s="5">
        <v>1948689.3013599999</v>
      </c>
      <c r="L4" s="5">
        <v>2249107.1272900002</v>
      </c>
      <c r="M4" s="5">
        <v>4816783.3785600001</v>
      </c>
      <c r="N4" s="9">
        <v>8240250.7399800001</v>
      </c>
      <c r="O4" s="9">
        <v>10351024.27854</v>
      </c>
      <c r="P4" s="2">
        <f t="shared" ref="P4:P59" si="1">SUM(D4:O4)</f>
        <v>78039601.65072</v>
      </c>
      <c r="Q4" s="2">
        <f>IF(P4-P3*Q3&gt;0,P4-P3*Q3,0)</f>
        <v>52827453.65072</v>
      </c>
      <c r="R4" s="176">
        <f>0.55907+0.02107</f>
        <v>0.58013999999999999</v>
      </c>
      <c r="S4" s="3">
        <f t="shared" si="0"/>
        <v>6098131.5289536314</v>
      </c>
      <c r="T4" s="3">
        <f t="shared" si="0"/>
        <v>5830189.2203113744</v>
      </c>
      <c r="U4" s="3">
        <f t="shared" si="0"/>
        <v>5942555.3296980485</v>
      </c>
      <c r="V4" s="3">
        <f t="shared" si="0"/>
        <v>5323774.8364686463</v>
      </c>
      <c r="W4" s="3">
        <f t="shared" si="0"/>
        <v>3194047.2836443642</v>
      </c>
      <c r="X4" s="3">
        <f t="shared" si="0"/>
        <v>1562879.4157509389</v>
      </c>
      <c r="Y4" s="3">
        <f t="shared" si="0"/>
        <v>1307056.2682226941</v>
      </c>
      <c r="Z4" s="3">
        <f t="shared" si="0"/>
        <v>1130512.6112909904</v>
      </c>
      <c r="AA4" s="3">
        <f t="shared" si="0"/>
        <v>1304797.0088260206</v>
      </c>
      <c r="AB4" s="3">
        <f t="shared" si="0"/>
        <v>2794408.7092377986</v>
      </c>
      <c r="AC4" s="18">
        <f t="shared" si="0"/>
        <v>4780499.0642919969</v>
      </c>
      <c r="AD4" s="18">
        <f t="shared" si="0"/>
        <v>6005043.2249521958</v>
      </c>
      <c r="AE4" s="3">
        <f t="shared" ref="AE4:AE48" si="2">SUM(S4:AD4)</f>
        <v>45273894.501648702</v>
      </c>
    </row>
    <row r="5" spans="1:31" x14ac:dyDescent="0.25">
      <c r="B5" t="s">
        <v>50</v>
      </c>
      <c r="D5" s="5">
        <v>13368593.30824</v>
      </c>
      <c r="E5" s="5">
        <v>7338796.2040400002</v>
      </c>
      <c r="F5" s="5">
        <v>8507127.0372899994</v>
      </c>
      <c r="G5" s="5">
        <v>3621992.3377700001</v>
      </c>
      <c r="H5" s="5">
        <v>608026.02044999995</v>
      </c>
      <c r="I5" s="5">
        <v>191623.98951000001</v>
      </c>
      <c r="J5" s="5">
        <v>188173.66170999999</v>
      </c>
      <c r="K5" s="5">
        <v>135167.25104999999</v>
      </c>
      <c r="L5" s="5">
        <v>190638.63987000001</v>
      </c>
      <c r="M5" s="5">
        <v>472390.70867000002</v>
      </c>
      <c r="N5" s="9">
        <v>2590409.4317700001</v>
      </c>
      <c r="O5" s="9">
        <v>8575589.0742899999</v>
      </c>
      <c r="P5" s="2">
        <f t="shared" si="1"/>
        <v>45788527.664660007</v>
      </c>
      <c r="Q5" s="2">
        <f>IF(P4-P3*Q3&lt;0,P5+P4-P3*Q3,P5)</f>
        <v>45788527.664660007</v>
      </c>
      <c r="R5" s="176">
        <f>0.66913+0.02107</f>
        <v>0.69020000000000004</v>
      </c>
      <c r="S5" s="3">
        <f t="shared" si="0"/>
        <v>9227003.101347249</v>
      </c>
      <c r="T5" s="3">
        <f t="shared" si="0"/>
        <v>5065237.1400284087</v>
      </c>
      <c r="U5" s="3">
        <f t="shared" si="0"/>
        <v>5871619.0811375575</v>
      </c>
      <c r="V5" s="3">
        <f t="shared" si="0"/>
        <v>2499899.1115288544</v>
      </c>
      <c r="W5" s="3">
        <f t="shared" si="0"/>
        <v>419659.55931459001</v>
      </c>
      <c r="X5" s="3">
        <f t="shared" si="0"/>
        <v>132258.87755980203</v>
      </c>
      <c r="Y5" s="3">
        <f t="shared" si="0"/>
        <v>129877.461312242</v>
      </c>
      <c r="Z5" s="3">
        <f t="shared" si="0"/>
        <v>93292.436674709999</v>
      </c>
      <c r="AA5" s="3">
        <f t="shared" si="0"/>
        <v>131578.78923827401</v>
      </c>
      <c r="AB5" s="3">
        <f t="shared" si="0"/>
        <v>326044.06712403405</v>
      </c>
      <c r="AC5" s="18">
        <f t="shared" si="0"/>
        <v>1787900.5898076543</v>
      </c>
      <c r="AD5" s="18">
        <f t="shared" si="0"/>
        <v>5918871.5790749583</v>
      </c>
      <c r="AE5" s="3">
        <f t="shared" si="2"/>
        <v>31603241.794148341</v>
      </c>
    </row>
    <row r="6" spans="1:31" x14ac:dyDescent="0.25">
      <c r="A6" t="s">
        <v>31</v>
      </c>
      <c r="B6" t="s">
        <v>13</v>
      </c>
      <c r="D6" s="5">
        <v>185</v>
      </c>
      <c r="E6" s="5">
        <v>184</v>
      </c>
      <c r="F6" s="5">
        <v>186</v>
      </c>
      <c r="G6" s="5">
        <v>181</v>
      </c>
      <c r="H6" s="5">
        <v>176</v>
      </c>
      <c r="I6" s="5">
        <v>174</v>
      </c>
      <c r="J6" s="5">
        <v>171</v>
      </c>
      <c r="K6" s="5">
        <v>170</v>
      </c>
      <c r="L6" s="5">
        <v>170</v>
      </c>
      <c r="M6" s="5">
        <v>168</v>
      </c>
      <c r="N6" s="9">
        <v>167</v>
      </c>
      <c r="O6" s="9">
        <v>167</v>
      </c>
      <c r="P6" s="2">
        <f t="shared" si="1"/>
        <v>2099</v>
      </c>
      <c r="Q6" s="2"/>
      <c r="R6" s="175">
        <v>9.5</v>
      </c>
      <c r="S6" s="3">
        <f t="shared" si="0"/>
        <v>1757.5</v>
      </c>
      <c r="T6" s="3">
        <f t="shared" si="0"/>
        <v>1748</v>
      </c>
      <c r="U6" s="3">
        <f t="shared" si="0"/>
        <v>1767</v>
      </c>
      <c r="V6" s="3">
        <f t="shared" si="0"/>
        <v>1719.5</v>
      </c>
      <c r="W6" s="3">
        <f t="shared" si="0"/>
        <v>1672</v>
      </c>
      <c r="X6" s="3">
        <f t="shared" si="0"/>
        <v>1653</v>
      </c>
      <c r="Y6" s="3">
        <f t="shared" si="0"/>
        <v>1624.5</v>
      </c>
      <c r="Z6" s="3">
        <f t="shared" si="0"/>
        <v>1615</v>
      </c>
      <c r="AA6" s="3">
        <f t="shared" si="0"/>
        <v>1615</v>
      </c>
      <c r="AB6" s="3">
        <f t="shared" si="0"/>
        <v>1596</v>
      </c>
      <c r="AC6" s="18">
        <f t="shared" si="0"/>
        <v>1586.5</v>
      </c>
      <c r="AD6" s="18">
        <f t="shared" si="0"/>
        <v>1586.5</v>
      </c>
      <c r="AE6" s="3">
        <f t="shared" si="2"/>
        <v>19940.5</v>
      </c>
    </row>
    <row r="7" spans="1:31" x14ac:dyDescent="0.25">
      <c r="B7" t="s">
        <v>49</v>
      </c>
      <c r="D7" s="5">
        <v>12749.866</v>
      </c>
      <c r="E7" s="5">
        <v>12067.186</v>
      </c>
      <c r="F7" s="5">
        <v>12466.224</v>
      </c>
      <c r="G7" s="5">
        <v>11391.098029999999</v>
      </c>
      <c r="H7" s="5">
        <v>6809.5044399999997</v>
      </c>
      <c r="I7" s="5">
        <v>2937.3789700000002</v>
      </c>
      <c r="J7" s="5">
        <v>2271.8530000000001</v>
      </c>
      <c r="K7" s="5">
        <v>1786.32419</v>
      </c>
      <c r="L7" s="5">
        <v>2305.5538900000001</v>
      </c>
      <c r="M7" s="5">
        <v>5760.7520000000004</v>
      </c>
      <c r="N7" s="9">
        <v>9703.7005399999998</v>
      </c>
      <c r="O7" s="9">
        <v>11231.50662</v>
      </c>
      <c r="P7" s="2">
        <f t="shared" si="1"/>
        <v>91480.947679999997</v>
      </c>
      <c r="Q7" s="2"/>
      <c r="R7" s="176">
        <f>0.15244+0.02107</f>
        <v>0.17351</v>
      </c>
      <c r="S7" s="3">
        <f t="shared" si="0"/>
        <v>2212.2292496599998</v>
      </c>
      <c r="T7" s="3">
        <f t="shared" si="0"/>
        <v>2093.7774428600001</v>
      </c>
      <c r="U7" s="3">
        <f t="shared" si="0"/>
        <v>2163.0145262400001</v>
      </c>
      <c r="V7" s="3">
        <f t="shared" si="0"/>
        <v>1976.4694191852998</v>
      </c>
      <c r="W7" s="3">
        <f t="shared" si="0"/>
        <v>1181.5171153843999</v>
      </c>
      <c r="X7" s="3">
        <f t="shared" si="0"/>
        <v>509.66462508470005</v>
      </c>
      <c r="Y7" s="3">
        <f t="shared" si="0"/>
        <v>394.18921403000002</v>
      </c>
      <c r="Z7" s="3">
        <f t="shared" si="0"/>
        <v>309.94511020689998</v>
      </c>
      <c r="AA7" s="3">
        <f t="shared" si="0"/>
        <v>400.03665545390004</v>
      </c>
      <c r="AB7" s="3">
        <f t="shared" si="0"/>
        <v>999.5480795200001</v>
      </c>
      <c r="AC7" s="18">
        <f t="shared" si="0"/>
        <v>1683.6890806954</v>
      </c>
      <c r="AD7" s="18">
        <f t="shared" si="0"/>
        <v>1948.7787136361999</v>
      </c>
      <c r="AE7" s="3">
        <f t="shared" si="2"/>
        <v>15872.859231956802</v>
      </c>
    </row>
    <row r="8" spans="1:31" x14ac:dyDescent="0.25">
      <c r="B8" t="s">
        <v>50</v>
      </c>
      <c r="D8" s="5">
        <v>14655.608</v>
      </c>
      <c r="E8" s="5">
        <v>7980.8459999999995</v>
      </c>
      <c r="F8" s="5">
        <v>9773.1669999999995</v>
      </c>
      <c r="G8" s="5">
        <v>3940.7950000000001</v>
      </c>
      <c r="H8" s="5">
        <v>760.255</v>
      </c>
      <c r="I8" s="5">
        <v>187.36099999999999</v>
      </c>
      <c r="J8" s="5">
        <v>285.23</v>
      </c>
      <c r="K8" s="5">
        <v>165.15</v>
      </c>
      <c r="L8" s="5">
        <v>116.518</v>
      </c>
      <c r="M8" s="5">
        <v>464.10500000000002</v>
      </c>
      <c r="N8" s="9">
        <v>2387.6030599999999</v>
      </c>
      <c r="O8" s="9">
        <v>8944.1890899999999</v>
      </c>
      <c r="P8" s="2">
        <f t="shared" si="1"/>
        <v>49660.827149999997</v>
      </c>
      <c r="Q8" s="2"/>
      <c r="R8" s="176">
        <f>0.2625+0.02107</f>
        <v>0.28356999999999999</v>
      </c>
      <c r="S8" s="3">
        <f t="shared" si="0"/>
        <v>4155.8907605599998</v>
      </c>
      <c r="T8" s="3">
        <f t="shared" si="0"/>
        <v>2263.1285002199998</v>
      </c>
      <c r="U8" s="3">
        <f t="shared" si="0"/>
        <v>2771.3769661899996</v>
      </c>
      <c r="V8" s="3">
        <f t="shared" si="0"/>
        <v>1117.4912381500001</v>
      </c>
      <c r="W8" s="3">
        <f t="shared" si="0"/>
        <v>215.58551034999999</v>
      </c>
      <c r="X8" s="3">
        <f t="shared" si="0"/>
        <v>53.129958769999995</v>
      </c>
      <c r="Y8" s="3">
        <f t="shared" si="0"/>
        <v>80.882671099999996</v>
      </c>
      <c r="Z8" s="3">
        <f t="shared" si="0"/>
        <v>46.831585500000003</v>
      </c>
      <c r="AA8" s="3">
        <f t="shared" si="0"/>
        <v>33.041009259999996</v>
      </c>
      <c r="AB8" s="3">
        <f t="shared" si="0"/>
        <v>131.60625485</v>
      </c>
      <c r="AC8" s="18">
        <f t="shared" si="0"/>
        <v>677.05259972419992</v>
      </c>
      <c r="AD8" s="18">
        <f t="shared" si="0"/>
        <v>2536.3037002512997</v>
      </c>
      <c r="AE8" s="3">
        <f t="shared" si="2"/>
        <v>14082.320754925497</v>
      </c>
    </row>
    <row r="9" spans="1:31" x14ac:dyDescent="0.25">
      <c r="A9" t="s">
        <v>32</v>
      </c>
      <c r="B9" t="s">
        <v>13</v>
      </c>
      <c r="D9" s="5">
        <v>2999</v>
      </c>
      <c r="E9" s="5">
        <v>3013</v>
      </c>
      <c r="F9" s="5">
        <v>3073</v>
      </c>
      <c r="G9" s="5">
        <v>3062</v>
      </c>
      <c r="H9" s="5">
        <v>3042</v>
      </c>
      <c r="I9" s="5">
        <v>3065</v>
      </c>
      <c r="J9" s="5">
        <v>3054</v>
      </c>
      <c r="K9" s="5">
        <v>3045</v>
      </c>
      <c r="L9" s="5">
        <v>2975</v>
      </c>
      <c r="M9" s="5">
        <v>3121</v>
      </c>
      <c r="N9" s="9">
        <v>3054</v>
      </c>
      <c r="O9" s="26">
        <f>3716-'Prior Period Sch Shifting'!T35</f>
        <v>3325</v>
      </c>
      <c r="P9" s="2">
        <f t="shared" si="1"/>
        <v>36828</v>
      </c>
      <c r="Q9" s="2">
        <v>522</v>
      </c>
      <c r="R9" s="175">
        <v>97.25</v>
      </c>
      <c r="S9" s="3">
        <f t="shared" si="0"/>
        <v>291652.75</v>
      </c>
      <c r="T9" s="3">
        <f t="shared" si="0"/>
        <v>293014.25</v>
      </c>
      <c r="U9" s="3">
        <f t="shared" si="0"/>
        <v>298849.25</v>
      </c>
      <c r="V9" s="3">
        <f t="shared" si="0"/>
        <v>297779.5</v>
      </c>
      <c r="W9" s="3">
        <f t="shared" si="0"/>
        <v>295834.5</v>
      </c>
      <c r="X9" s="3">
        <f t="shared" si="0"/>
        <v>298071.25</v>
      </c>
      <c r="Y9" s="3">
        <f t="shared" si="0"/>
        <v>297001.5</v>
      </c>
      <c r="Z9" s="3">
        <f t="shared" si="0"/>
        <v>296126.25</v>
      </c>
      <c r="AA9" s="3">
        <f t="shared" si="0"/>
        <v>289318.75</v>
      </c>
      <c r="AB9" s="3">
        <f t="shared" si="0"/>
        <v>303517.25</v>
      </c>
      <c r="AC9" s="18">
        <f t="shared" si="0"/>
        <v>297001.5</v>
      </c>
      <c r="AD9" s="18">
        <f t="shared" si="0"/>
        <v>323356.25</v>
      </c>
      <c r="AE9" s="3">
        <f t="shared" si="2"/>
        <v>3581523</v>
      </c>
    </row>
    <row r="10" spans="1:31" x14ac:dyDescent="0.25">
      <c r="B10" t="s">
        <v>49</v>
      </c>
      <c r="D10" s="5">
        <v>589934.13208000001</v>
      </c>
      <c r="E10" s="5">
        <v>590810.42694000003</v>
      </c>
      <c r="F10" s="5">
        <v>603524.18038000003</v>
      </c>
      <c r="G10" s="5">
        <v>598823.42938999995</v>
      </c>
      <c r="H10" s="5">
        <v>554355.24927999999</v>
      </c>
      <c r="I10" s="5">
        <v>457385.41934000002</v>
      </c>
      <c r="J10" s="5">
        <v>406432.06326999998</v>
      </c>
      <c r="K10" s="5">
        <v>369191.69267000002</v>
      </c>
      <c r="L10" s="5">
        <v>401055.14079999999</v>
      </c>
      <c r="M10" s="5">
        <v>544518.68382000003</v>
      </c>
      <c r="N10" s="9">
        <v>589843.81619000004</v>
      </c>
      <c r="O10" s="26">
        <f>729831.33662-'Prior Period Sch Shifting'!R26</f>
        <v>651631.33661999996</v>
      </c>
      <c r="P10" s="2">
        <f t="shared" si="1"/>
        <v>6357505.5707799997</v>
      </c>
      <c r="Q10" s="2">
        <f>IF(P10-P9*Q9&gt;0,P10-P9*Q9,0)</f>
        <v>0</v>
      </c>
      <c r="R10" s="176">
        <f>0.22349+0.012</f>
        <v>0.23549</v>
      </c>
      <c r="S10" s="3">
        <f t="shared" si="0"/>
        <v>138923.58876351922</v>
      </c>
      <c r="T10" s="3">
        <f t="shared" si="0"/>
        <v>139129.9474401006</v>
      </c>
      <c r="U10" s="3">
        <f t="shared" si="0"/>
        <v>142123.90923768622</v>
      </c>
      <c r="V10" s="3">
        <f t="shared" si="0"/>
        <v>141016.92938705109</v>
      </c>
      <c r="W10" s="3">
        <f t="shared" si="0"/>
        <v>130545.1176529472</v>
      </c>
      <c r="X10" s="3">
        <f t="shared" si="0"/>
        <v>107709.6924003766</v>
      </c>
      <c r="Y10" s="3">
        <f t="shared" si="0"/>
        <v>95710.686579452304</v>
      </c>
      <c r="Z10" s="3">
        <f t="shared" si="0"/>
        <v>86940.951706858308</v>
      </c>
      <c r="AA10" s="3">
        <f t="shared" si="0"/>
        <v>94444.475106992002</v>
      </c>
      <c r="AB10" s="3">
        <f t="shared" si="0"/>
        <v>128228.70485277181</v>
      </c>
      <c r="AC10" s="18">
        <f t="shared" si="0"/>
        <v>138902.32027458312</v>
      </c>
      <c r="AD10" s="18">
        <f t="shared" si="0"/>
        <v>153452.66346064379</v>
      </c>
      <c r="AE10" s="3">
        <f t="shared" si="2"/>
        <v>1497128.9868629822</v>
      </c>
    </row>
    <row r="11" spans="1:31" x14ac:dyDescent="0.25">
      <c r="B11" t="s">
        <v>50</v>
      </c>
      <c r="D11" s="5">
        <v>2084775.2813500001</v>
      </c>
      <c r="E11" s="5">
        <v>1987647.6339</v>
      </c>
      <c r="F11" s="5">
        <v>2037283.4333800001</v>
      </c>
      <c r="G11" s="5">
        <v>1803319.13485</v>
      </c>
      <c r="H11" s="5">
        <v>1207255.9927099999</v>
      </c>
      <c r="I11" s="5">
        <v>735033.10869000002</v>
      </c>
      <c r="J11" s="5">
        <v>625181.92593999999</v>
      </c>
      <c r="K11" s="5">
        <v>560486.23004000005</v>
      </c>
      <c r="L11" s="5">
        <v>636511.38428</v>
      </c>
      <c r="M11" s="5">
        <v>1024196.78307</v>
      </c>
      <c r="N11" s="9">
        <v>1602247.2423700001</v>
      </c>
      <c r="O11" s="26">
        <f>2530797.93761-'Prior Period Sch Shifting'!S26</f>
        <v>2217997.9376099999</v>
      </c>
      <c r="P11" s="2">
        <f t="shared" si="1"/>
        <v>16521936.088190001</v>
      </c>
      <c r="Q11" s="2">
        <f>IF(P10+P11-P9*Q9&gt;0,P11+P10-P9*Q9,0)</f>
        <v>3655225.6589699984</v>
      </c>
      <c r="R11" s="176">
        <f>0.55703+0.012</f>
        <v>0.56903000000000004</v>
      </c>
      <c r="S11" s="3">
        <f t="shared" si="0"/>
        <v>1186299.6783465906</v>
      </c>
      <c r="T11" s="3">
        <f t="shared" si="0"/>
        <v>1131031.133118117</v>
      </c>
      <c r="U11" s="3">
        <f t="shared" si="0"/>
        <v>1159275.3920962214</v>
      </c>
      <c r="V11" s="3">
        <f t="shared" si="0"/>
        <v>1026142.6873036956</v>
      </c>
      <c r="W11" s="3">
        <f t="shared" si="0"/>
        <v>686964.87753177132</v>
      </c>
      <c r="X11" s="3">
        <f t="shared" si="0"/>
        <v>418255.88983787072</v>
      </c>
      <c r="Y11" s="3">
        <f t="shared" si="0"/>
        <v>355747.27131763822</v>
      </c>
      <c r="Z11" s="3">
        <f t="shared" si="0"/>
        <v>318933.47947966127</v>
      </c>
      <c r="AA11" s="3">
        <f t="shared" si="0"/>
        <v>362194.07299684844</v>
      </c>
      <c r="AB11" s="3">
        <f t="shared" si="0"/>
        <v>582798.69547032216</v>
      </c>
      <c r="AC11" s="18">
        <f t="shared" si="0"/>
        <v>911726.74832580122</v>
      </c>
      <c r="AD11" s="18">
        <f t="shared" si="0"/>
        <v>1262107.3664382184</v>
      </c>
      <c r="AE11" s="3">
        <f t="shared" si="2"/>
        <v>9401477.2922627553</v>
      </c>
    </row>
    <row r="12" spans="1:31" x14ac:dyDescent="0.25">
      <c r="B12" t="s">
        <v>51</v>
      </c>
      <c r="D12" s="5">
        <v>5325802.2349800002</v>
      </c>
      <c r="E12" s="5">
        <v>3964960.8490300002</v>
      </c>
      <c r="F12" s="5">
        <v>4143033.33005</v>
      </c>
      <c r="G12" s="5">
        <v>2753191.9021299998</v>
      </c>
      <c r="H12" s="5">
        <v>1378027.18099</v>
      </c>
      <c r="I12" s="5">
        <v>698319.80547000002</v>
      </c>
      <c r="J12" s="5">
        <v>544971.01361999998</v>
      </c>
      <c r="K12" s="5">
        <v>516705.80326000002</v>
      </c>
      <c r="L12" s="5">
        <v>569053.90060000005</v>
      </c>
      <c r="M12" s="5">
        <v>985638.28654999996</v>
      </c>
      <c r="N12" s="9">
        <v>2122581.5898899999</v>
      </c>
      <c r="O12" s="26">
        <f>10889850.43692-'Prior Period Sch Shifting'!T26</f>
        <v>6624153.7486400008</v>
      </c>
      <c r="P12" s="2">
        <f t="shared" si="1"/>
        <v>29626439.645210002</v>
      </c>
      <c r="Q12" s="2">
        <f>P12</f>
        <v>29626439.645210002</v>
      </c>
      <c r="R12" s="176">
        <f>0.47773+0.012</f>
        <v>0.48973</v>
      </c>
      <c r="S12" s="3">
        <f t="shared" si="0"/>
        <v>2608205.1285367557</v>
      </c>
      <c r="T12" s="3">
        <f t="shared" ref="T12" si="3">$R12*E12</f>
        <v>1941760.2765954619</v>
      </c>
      <c r="U12" s="3">
        <f t="shared" ref="U12" si="4">$R12*F12</f>
        <v>2028967.7127253865</v>
      </c>
      <c r="V12" s="3">
        <f t="shared" ref="V12" si="5">$R12*G12</f>
        <v>1348320.6702301248</v>
      </c>
      <c r="W12" s="3">
        <f t="shared" ref="W12" si="6">$R12*H12</f>
        <v>674861.25134623272</v>
      </c>
      <c r="X12" s="3">
        <f t="shared" ref="X12" si="7">$R12*I12</f>
        <v>341988.15833282314</v>
      </c>
      <c r="Y12" s="3">
        <f t="shared" ref="Y12" si="8">$R12*J12</f>
        <v>266888.65450012259</v>
      </c>
      <c r="Z12" s="3">
        <f t="shared" ref="Z12" si="9">$R12*K12</f>
        <v>253046.3330305198</v>
      </c>
      <c r="AA12" s="3">
        <f t="shared" ref="AA12" si="10">$R12*L12</f>
        <v>278682.76674083801</v>
      </c>
      <c r="AB12" s="3">
        <f t="shared" ref="AB12" si="11">$R12*M12</f>
        <v>482696.63807213149</v>
      </c>
      <c r="AC12" s="18">
        <f t="shared" ref="AC12" si="12">$R12*N12</f>
        <v>1039491.8820168297</v>
      </c>
      <c r="AD12" s="18">
        <f t="shared" ref="AD12" si="13">$R12*O12</f>
        <v>3244046.8153214678</v>
      </c>
      <c r="AE12" s="3">
        <f t="shared" si="2"/>
        <v>14508956.287448695</v>
      </c>
    </row>
    <row r="13" spans="1:31" x14ac:dyDescent="0.25">
      <c r="A13" t="s">
        <v>33</v>
      </c>
      <c r="B13" t="s">
        <v>13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9">
        <v>1</v>
      </c>
      <c r="O13" s="9">
        <v>1</v>
      </c>
      <c r="P13" s="2">
        <f t="shared" si="1"/>
        <v>12</v>
      </c>
      <c r="Q13" s="2"/>
      <c r="R13" s="175">
        <v>97.25</v>
      </c>
      <c r="S13" s="3">
        <f t="shared" ref="S13:AD15" si="14">$R13*D13</f>
        <v>97.25</v>
      </c>
      <c r="T13" s="3">
        <f t="shared" si="14"/>
        <v>97.25</v>
      </c>
      <c r="U13" s="3">
        <f t="shared" si="14"/>
        <v>97.25</v>
      </c>
      <c r="V13" s="3">
        <f t="shared" si="14"/>
        <v>97.25</v>
      </c>
      <c r="W13" s="3">
        <f t="shared" si="14"/>
        <v>97.25</v>
      </c>
      <c r="X13" s="3">
        <f t="shared" si="14"/>
        <v>97.25</v>
      </c>
      <c r="Y13" s="3">
        <f t="shared" si="14"/>
        <v>97.25</v>
      </c>
      <c r="Z13" s="3">
        <f t="shared" si="14"/>
        <v>97.25</v>
      </c>
      <c r="AA13" s="3">
        <f t="shared" si="14"/>
        <v>97.25</v>
      </c>
      <c r="AB13" s="3">
        <f t="shared" si="14"/>
        <v>97.25</v>
      </c>
      <c r="AC13" s="18">
        <f t="shared" si="14"/>
        <v>97.25</v>
      </c>
      <c r="AD13" s="18">
        <f t="shared" si="14"/>
        <v>97.25</v>
      </c>
      <c r="AE13" s="3">
        <f t="shared" si="2"/>
        <v>1167</v>
      </c>
    </row>
    <row r="14" spans="1:31" x14ac:dyDescent="0.25">
      <c r="B14" t="s">
        <v>49</v>
      </c>
      <c r="D14" s="5">
        <v>200</v>
      </c>
      <c r="E14" s="5">
        <v>200</v>
      </c>
      <c r="F14" s="5">
        <v>200</v>
      </c>
      <c r="G14" s="5">
        <v>200</v>
      </c>
      <c r="H14" s="5">
        <v>200</v>
      </c>
      <c r="I14" s="5">
        <v>200</v>
      </c>
      <c r="J14" s="5">
        <v>200</v>
      </c>
      <c r="K14" s="5">
        <v>200</v>
      </c>
      <c r="L14" s="5">
        <v>200</v>
      </c>
      <c r="M14" s="5">
        <v>200</v>
      </c>
      <c r="N14" s="9">
        <v>200</v>
      </c>
      <c r="O14" s="9">
        <v>200</v>
      </c>
      <c r="P14" s="2">
        <f t="shared" si="1"/>
        <v>2400</v>
      </c>
      <c r="Q14" s="2"/>
      <c r="R14" s="176">
        <f>0.29655+0.012</f>
        <v>0.30854999999999999</v>
      </c>
      <c r="S14" s="3">
        <f t="shared" si="14"/>
        <v>61.71</v>
      </c>
      <c r="T14" s="3">
        <f t="shared" si="14"/>
        <v>61.71</v>
      </c>
      <c r="U14" s="3">
        <f t="shared" si="14"/>
        <v>61.71</v>
      </c>
      <c r="V14" s="3">
        <f t="shared" si="14"/>
        <v>61.71</v>
      </c>
      <c r="W14" s="3">
        <f t="shared" si="14"/>
        <v>61.71</v>
      </c>
      <c r="X14" s="3">
        <f t="shared" si="14"/>
        <v>61.71</v>
      </c>
      <c r="Y14" s="3">
        <f t="shared" si="14"/>
        <v>61.71</v>
      </c>
      <c r="Z14" s="3">
        <f t="shared" si="14"/>
        <v>61.71</v>
      </c>
      <c r="AA14" s="3">
        <f t="shared" si="14"/>
        <v>61.71</v>
      </c>
      <c r="AB14" s="3">
        <f t="shared" si="14"/>
        <v>61.71</v>
      </c>
      <c r="AC14" s="18">
        <f t="shared" si="14"/>
        <v>61.71</v>
      </c>
      <c r="AD14" s="18">
        <f t="shared" si="14"/>
        <v>61.71</v>
      </c>
      <c r="AE14" s="3">
        <f t="shared" si="2"/>
        <v>740.5200000000001</v>
      </c>
    </row>
    <row r="15" spans="1:31" x14ac:dyDescent="0.25">
      <c r="B15" t="s">
        <v>50</v>
      </c>
      <c r="D15" s="5">
        <v>800</v>
      </c>
      <c r="E15" s="5">
        <v>800</v>
      </c>
      <c r="F15" s="5">
        <v>800</v>
      </c>
      <c r="G15" s="5">
        <v>800</v>
      </c>
      <c r="H15" s="5">
        <v>800</v>
      </c>
      <c r="I15" s="5">
        <v>800</v>
      </c>
      <c r="J15" s="5">
        <v>800</v>
      </c>
      <c r="K15" s="5">
        <v>800</v>
      </c>
      <c r="L15" s="5">
        <v>800</v>
      </c>
      <c r="M15" s="5">
        <v>800</v>
      </c>
      <c r="N15" s="9">
        <v>800</v>
      </c>
      <c r="O15" s="9">
        <v>800</v>
      </c>
      <c r="P15" s="2">
        <f t="shared" si="1"/>
        <v>9600</v>
      </c>
      <c r="Q15" s="2"/>
      <c r="R15" s="176">
        <f>0.63009+0.012</f>
        <v>0.64209000000000005</v>
      </c>
      <c r="S15" s="3">
        <f t="shared" si="14"/>
        <v>513.67200000000003</v>
      </c>
      <c r="T15" s="3">
        <f t="shared" si="14"/>
        <v>513.67200000000003</v>
      </c>
      <c r="U15" s="3">
        <f t="shared" si="14"/>
        <v>513.67200000000003</v>
      </c>
      <c r="V15" s="3">
        <f t="shared" si="14"/>
        <v>513.67200000000003</v>
      </c>
      <c r="W15" s="3">
        <f t="shared" si="14"/>
        <v>513.67200000000003</v>
      </c>
      <c r="X15" s="3">
        <f t="shared" si="14"/>
        <v>513.67200000000003</v>
      </c>
      <c r="Y15" s="3">
        <f t="shared" si="14"/>
        <v>513.67200000000003</v>
      </c>
      <c r="Z15" s="3">
        <f t="shared" si="14"/>
        <v>513.67200000000003</v>
      </c>
      <c r="AA15" s="3">
        <f t="shared" si="14"/>
        <v>513.67200000000003</v>
      </c>
      <c r="AB15" s="3">
        <f t="shared" si="14"/>
        <v>513.67200000000003</v>
      </c>
      <c r="AC15" s="18">
        <f t="shared" si="14"/>
        <v>513.67200000000003</v>
      </c>
      <c r="AD15" s="18">
        <f t="shared" si="14"/>
        <v>513.67200000000003</v>
      </c>
      <c r="AE15" s="3">
        <f t="shared" si="2"/>
        <v>6164.0640000000021</v>
      </c>
    </row>
    <row r="16" spans="1:31" x14ac:dyDescent="0.25">
      <c r="B16" t="s">
        <v>51</v>
      </c>
      <c r="D16" s="5">
        <v>16696.583999999999</v>
      </c>
      <c r="E16" s="5">
        <v>16941.822</v>
      </c>
      <c r="F16" s="5">
        <v>12354.004999999999</v>
      </c>
      <c r="G16" s="5">
        <v>10289.879999999999</v>
      </c>
      <c r="H16" s="5">
        <v>4892.768</v>
      </c>
      <c r="I16" s="5">
        <v>4577.3599999999997</v>
      </c>
      <c r="J16" s="5">
        <v>3704.0810000000001</v>
      </c>
      <c r="K16" s="5">
        <v>3652.5619999999999</v>
      </c>
      <c r="L16" s="5">
        <v>6056.8819999999996</v>
      </c>
      <c r="M16" s="5">
        <v>8923.3799999999992</v>
      </c>
      <c r="N16" s="9">
        <v>16155.088</v>
      </c>
      <c r="O16" s="9">
        <v>16027.964</v>
      </c>
      <c r="P16" s="2">
        <f t="shared" si="1"/>
        <v>120272.37600000002</v>
      </c>
      <c r="Q16" s="2"/>
      <c r="R16" s="176">
        <f>0.55079+0.012</f>
        <v>0.56279000000000001</v>
      </c>
      <c r="S16" s="3">
        <f t="shared" ref="S16" si="15">$R16*D16</f>
        <v>9396.6705093599994</v>
      </c>
      <c r="T16" s="3">
        <f t="shared" ref="T16" si="16">$R16*E16</f>
        <v>9534.6880033800007</v>
      </c>
      <c r="U16" s="3">
        <f t="shared" ref="U16" si="17">$R16*F16</f>
        <v>6952.7104739500001</v>
      </c>
      <c r="V16" s="3">
        <f t="shared" ref="V16" si="18">$R16*G16</f>
        <v>5791.0415651999992</v>
      </c>
      <c r="W16" s="3">
        <f t="shared" ref="W16" si="19">$R16*H16</f>
        <v>2753.6009027200002</v>
      </c>
      <c r="X16" s="3">
        <f t="shared" ref="X16" si="20">$R16*I16</f>
        <v>2576.0924344</v>
      </c>
      <c r="Y16" s="3">
        <f t="shared" ref="Y16" si="21">$R16*J16</f>
        <v>2084.61974599</v>
      </c>
      <c r="Z16" s="3">
        <f t="shared" ref="Z16" si="22">$R16*K16</f>
        <v>2055.6253679800002</v>
      </c>
      <c r="AA16" s="3">
        <f t="shared" ref="AA16" si="23">$R16*L16</f>
        <v>3408.7526207799997</v>
      </c>
      <c r="AB16" s="3">
        <f t="shared" ref="AB16" si="24">$R16*M16</f>
        <v>5021.9890301999994</v>
      </c>
      <c r="AC16" s="18">
        <f t="shared" ref="AC16" si="25">$R16*N16</f>
        <v>9091.9219755199993</v>
      </c>
      <c r="AD16" s="18">
        <f t="shared" ref="AD16" si="26">$R16*O16</f>
        <v>9020.3778595599997</v>
      </c>
      <c r="AE16" s="3">
        <f t="shared" si="2"/>
        <v>67688.090489039998</v>
      </c>
    </row>
    <row r="17" spans="1:31" x14ac:dyDescent="0.25">
      <c r="A17" t="s">
        <v>34</v>
      </c>
      <c r="B17" t="s">
        <v>13</v>
      </c>
      <c r="D17" s="5">
        <v>22</v>
      </c>
      <c r="E17" s="5">
        <v>22</v>
      </c>
      <c r="F17" s="5">
        <v>22</v>
      </c>
      <c r="G17" s="5">
        <v>22</v>
      </c>
      <c r="H17" s="5">
        <v>22</v>
      </c>
      <c r="I17" s="5">
        <v>22</v>
      </c>
      <c r="J17" s="5">
        <v>22</v>
      </c>
      <c r="K17" s="5">
        <v>23</v>
      </c>
      <c r="L17" s="5">
        <v>19</v>
      </c>
      <c r="M17" s="5">
        <v>24</v>
      </c>
      <c r="N17" s="9">
        <v>22</v>
      </c>
      <c r="O17" s="26">
        <f>-608+'Prior Period Sch Shifting'!T35+8</f>
        <v>-209</v>
      </c>
      <c r="P17" s="2">
        <f t="shared" si="1"/>
        <v>33</v>
      </c>
      <c r="Q17" s="2">
        <v>10807</v>
      </c>
      <c r="R17" s="175">
        <v>240.44</v>
      </c>
      <c r="S17" s="3">
        <f t="shared" ref="S17:AD19" si="27">$R17*D17</f>
        <v>5289.68</v>
      </c>
      <c r="T17" s="3">
        <f t="shared" si="27"/>
        <v>5289.68</v>
      </c>
      <c r="U17" s="3">
        <f t="shared" si="27"/>
        <v>5289.68</v>
      </c>
      <c r="V17" s="3">
        <f t="shared" si="27"/>
        <v>5289.68</v>
      </c>
      <c r="W17" s="3">
        <f t="shared" si="27"/>
        <v>5289.68</v>
      </c>
      <c r="X17" s="3">
        <f t="shared" si="27"/>
        <v>5289.68</v>
      </c>
      <c r="Y17" s="3">
        <f t="shared" si="27"/>
        <v>5289.68</v>
      </c>
      <c r="Z17" s="3">
        <f t="shared" si="27"/>
        <v>5530.12</v>
      </c>
      <c r="AA17" s="3">
        <f t="shared" si="27"/>
        <v>4568.3599999999997</v>
      </c>
      <c r="AB17" s="3">
        <f t="shared" si="27"/>
        <v>5770.5599999999995</v>
      </c>
      <c r="AC17" s="18">
        <f t="shared" si="27"/>
        <v>5289.68</v>
      </c>
      <c r="AD17" s="18">
        <f t="shared" si="27"/>
        <v>-50251.96</v>
      </c>
      <c r="AE17" s="3">
        <f t="shared" si="2"/>
        <v>7934.5200000000041</v>
      </c>
    </row>
    <row r="18" spans="1:31" x14ac:dyDescent="0.25">
      <c r="B18" t="s">
        <v>49</v>
      </c>
      <c r="D18" s="5">
        <v>11000</v>
      </c>
      <c r="E18" s="5">
        <v>11000</v>
      </c>
      <c r="F18" s="5">
        <v>11000</v>
      </c>
      <c r="G18" s="5">
        <v>11000</v>
      </c>
      <c r="H18" s="5">
        <v>11000</v>
      </c>
      <c r="I18" s="5">
        <v>11000</v>
      </c>
      <c r="J18" s="5">
        <v>11050</v>
      </c>
      <c r="K18" s="5">
        <v>11500</v>
      </c>
      <c r="L18" s="5">
        <v>9500</v>
      </c>
      <c r="M18" s="5">
        <v>12000</v>
      </c>
      <c r="N18" s="9">
        <v>11000</v>
      </c>
      <c r="O18" s="26">
        <f>-302285.10833+181235+'Prior Period Sch Shifting'!R33</f>
        <v>-104550.10833000002</v>
      </c>
      <c r="P18" s="2">
        <f t="shared" si="1"/>
        <v>16499.891669999983</v>
      </c>
      <c r="Q18" s="2">
        <f>IF(P18-P17*Q17&gt;0,P18-P17*Q17,0)</f>
        <v>0</v>
      </c>
      <c r="R18" s="176">
        <f>0.25101+0.00926</f>
        <v>0.26027</v>
      </c>
      <c r="S18" s="3">
        <f t="shared" si="27"/>
        <v>2862.97</v>
      </c>
      <c r="T18" s="3">
        <f t="shared" si="27"/>
        <v>2862.97</v>
      </c>
      <c r="U18" s="3">
        <f t="shared" si="27"/>
        <v>2862.97</v>
      </c>
      <c r="V18" s="3">
        <f t="shared" si="27"/>
        <v>2862.97</v>
      </c>
      <c r="W18" s="3">
        <f t="shared" si="27"/>
        <v>2862.97</v>
      </c>
      <c r="X18" s="3">
        <f t="shared" si="27"/>
        <v>2862.97</v>
      </c>
      <c r="Y18" s="3">
        <f t="shared" si="27"/>
        <v>2875.9834999999998</v>
      </c>
      <c r="Z18" s="3">
        <f t="shared" si="27"/>
        <v>2993.105</v>
      </c>
      <c r="AA18" s="3">
        <f t="shared" si="27"/>
        <v>2472.5650000000001</v>
      </c>
      <c r="AB18" s="3">
        <f t="shared" si="27"/>
        <v>3123.2400000000002</v>
      </c>
      <c r="AC18" s="18">
        <f t="shared" si="27"/>
        <v>2862.97</v>
      </c>
      <c r="AD18" s="18">
        <f t="shared" si="27"/>
        <v>-27211.256695049105</v>
      </c>
      <c r="AE18" s="3">
        <f t="shared" si="2"/>
        <v>4294.4268049508937</v>
      </c>
    </row>
    <row r="19" spans="1:31" x14ac:dyDescent="0.25">
      <c r="B19" t="s">
        <v>50</v>
      </c>
      <c r="D19" s="5">
        <v>11000</v>
      </c>
      <c r="E19" s="5">
        <v>11000</v>
      </c>
      <c r="F19" s="5">
        <v>11000</v>
      </c>
      <c r="G19" s="5">
        <v>11000</v>
      </c>
      <c r="H19" s="5">
        <v>10879.079</v>
      </c>
      <c r="I19" s="5">
        <v>10715.103999999999</v>
      </c>
      <c r="J19" s="5">
        <v>10766.876</v>
      </c>
      <c r="K19" s="5">
        <v>11144.273999999999</v>
      </c>
      <c r="L19" s="5">
        <v>9500</v>
      </c>
      <c r="M19" s="5">
        <v>11841.027</v>
      </c>
      <c r="N19" s="9">
        <v>11000</v>
      </c>
      <c r="O19" s="26">
        <f>-300329.69334+180483+'Prior Period Sch Shifting'!S33</f>
        <v>-103346.69334</v>
      </c>
      <c r="P19" s="2">
        <f t="shared" si="1"/>
        <v>16499.666660000003</v>
      </c>
      <c r="Q19" s="2">
        <f>IF(P18+P19-P17*Q17&gt;0,P18+P19-P17*Q17,0)</f>
        <v>0</v>
      </c>
      <c r="R19" s="176">
        <f>0.59951+0.00926</f>
        <v>0.60877000000000003</v>
      </c>
      <c r="S19" s="3">
        <f t="shared" si="27"/>
        <v>6696.47</v>
      </c>
      <c r="T19" s="3">
        <f t="shared" si="27"/>
        <v>6696.47</v>
      </c>
      <c r="U19" s="3">
        <f t="shared" si="27"/>
        <v>6696.47</v>
      </c>
      <c r="V19" s="3">
        <f t="shared" si="27"/>
        <v>6696.47</v>
      </c>
      <c r="W19" s="3">
        <f t="shared" si="27"/>
        <v>6622.8569228300003</v>
      </c>
      <c r="X19" s="3">
        <f t="shared" si="27"/>
        <v>6523.0338620800003</v>
      </c>
      <c r="Y19" s="3">
        <f t="shared" si="27"/>
        <v>6554.5511025200003</v>
      </c>
      <c r="Z19" s="3">
        <f t="shared" si="27"/>
        <v>6784.2996829800004</v>
      </c>
      <c r="AA19" s="3">
        <f t="shared" si="27"/>
        <v>5783.3150000000005</v>
      </c>
      <c r="AB19" s="3">
        <f t="shared" si="27"/>
        <v>7208.4620067900005</v>
      </c>
      <c r="AC19" s="18">
        <f t="shared" si="27"/>
        <v>6696.47</v>
      </c>
      <c r="AD19" s="18">
        <f t="shared" si="27"/>
        <v>-62914.366504591802</v>
      </c>
      <c r="AE19" s="3">
        <f t="shared" si="2"/>
        <v>10044.502072608215</v>
      </c>
    </row>
    <row r="20" spans="1:31" x14ac:dyDescent="0.25">
      <c r="B20" t="s">
        <v>51</v>
      </c>
      <c r="D20" s="5">
        <v>194386.443</v>
      </c>
      <c r="E20" s="5">
        <v>189441.93900000001</v>
      </c>
      <c r="F20" s="5">
        <v>194480.45800000001</v>
      </c>
      <c r="G20" s="5">
        <v>182875.011</v>
      </c>
      <c r="H20" s="5">
        <v>176869.25200000001</v>
      </c>
      <c r="I20" s="5">
        <v>166428.223</v>
      </c>
      <c r="J20" s="5">
        <v>160184.98431999999</v>
      </c>
      <c r="K20" s="5">
        <v>161892.52499999999</v>
      </c>
      <c r="L20" s="5">
        <v>151240.04500000001</v>
      </c>
      <c r="M20" s="5">
        <v>183242.52900000001</v>
      </c>
      <c r="N20" s="9">
        <v>187830.56899999999</v>
      </c>
      <c r="O20" s="26">
        <f>-4736100.755+2787229+'Prior Period Sch Shifting'!T33</f>
        <v>-1657907.7279999999</v>
      </c>
      <c r="P20" s="2">
        <f t="shared" si="1"/>
        <v>290964.25031999988</v>
      </c>
      <c r="Q20" s="2">
        <f>IF(P18+P19+P20-P$17*Q$17&gt;0,P18+P19+P20-P$17*Q$17,0)</f>
        <v>0</v>
      </c>
      <c r="R20" s="176">
        <f>0.51868+0.00926</f>
        <v>0.52794000000000008</v>
      </c>
      <c r="S20" s="3">
        <f t="shared" ref="S20:S22" si="28">$R20*D20</f>
        <v>102624.37871742001</v>
      </c>
      <c r="T20" s="3">
        <f t="shared" ref="T20:T22" si="29">$R20*E20</f>
        <v>100013.97727566001</v>
      </c>
      <c r="U20" s="3">
        <f t="shared" ref="U20:U22" si="30">$R20*F20</f>
        <v>102674.01299652002</v>
      </c>
      <c r="V20" s="3">
        <f t="shared" ref="V20:V22" si="31">$R20*G20</f>
        <v>96547.033307340011</v>
      </c>
      <c r="W20" s="3">
        <f t="shared" ref="W20:W22" si="32">$R20*H20</f>
        <v>93376.352900880011</v>
      </c>
      <c r="X20" s="3">
        <f t="shared" ref="X20:X22" si="33">$R20*I20</f>
        <v>87864.11605062001</v>
      </c>
      <c r="Y20" s="3">
        <f t="shared" ref="Y20:Y22" si="34">$R20*J20</f>
        <v>84568.060621900804</v>
      </c>
      <c r="Z20" s="3">
        <f t="shared" ref="Z20:Z22" si="35">$R20*K20</f>
        <v>85469.539648500009</v>
      </c>
      <c r="AA20" s="3">
        <f t="shared" ref="AA20:AA22" si="36">$R20*L20</f>
        <v>79845.669357300023</v>
      </c>
      <c r="AB20" s="3">
        <f t="shared" ref="AB20:AB22" si="37">$R20*M20</f>
        <v>96741.060760260021</v>
      </c>
      <c r="AC20" s="18">
        <f t="shared" ref="AC20:AC22" si="38">$R20*N20</f>
        <v>99163.270597860013</v>
      </c>
      <c r="AD20" s="18">
        <f t="shared" ref="AD20:AD22" si="39">$R20*O20</f>
        <v>-875275.8059203201</v>
      </c>
      <c r="AE20" s="3">
        <f t="shared" si="2"/>
        <v>153611.66631394078</v>
      </c>
    </row>
    <row r="21" spans="1:31" x14ac:dyDescent="0.25">
      <c r="B21" t="s">
        <v>52</v>
      </c>
      <c r="D21" s="5">
        <v>169426.15900000001</v>
      </c>
      <c r="E21" s="5">
        <v>126925.306</v>
      </c>
      <c r="F21" s="5">
        <v>141602.019</v>
      </c>
      <c r="G21" s="5">
        <v>98584.650999999998</v>
      </c>
      <c r="H21" s="5">
        <v>87398.334000000003</v>
      </c>
      <c r="I21" s="5">
        <v>62470.241999999998</v>
      </c>
      <c r="J21" s="5">
        <v>55080.647409999998</v>
      </c>
      <c r="K21" s="5">
        <v>63258.228999999999</v>
      </c>
      <c r="L21" s="5">
        <v>61319.764999999999</v>
      </c>
      <c r="M21" s="5">
        <v>72527.107000000004</v>
      </c>
      <c r="N21" s="9">
        <v>98532.716</v>
      </c>
      <c r="O21" s="26">
        <f>-1813880.40134+776755+'Prior Period Sch Shifting'!U33</f>
        <v>-634986.6293400001</v>
      </c>
      <c r="P21" s="2">
        <f t="shared" si="1"/>
        <v>402138.54606999992</v>
      </c>
      <c r="Q21" s="2">
        <f>IF(P18+P19+P20+P21-P$17*Q$17&gt;0,P18+P19+P20+P21-P$17*Q$17,0)</f>
        <v>369471.35471999971</v>
      </c>
      <c r="R21" s="176">
        <f>0.46793+0.00926</f>
        <v>0.47719</v>
      </c>
      <c r="S21" s="3">
        <f t="shared" si="28"/>
        <v>80848.468813210013</v>
      </c>
      <c r="T21" s="3">
        <f t="shared" si="29"/>
        <v>60567.48677014</v>
      </c>
      <c r="U21" s="3">
        <f t="shared" si="30"/>
        <v>67571.067446610003</v>
      </c>
      <c r="V21" s="3">
        <f t="shared" si="31"/>
        <v>47043.60961069</v>
      </c>
      <c r="W21" s="3">
        <f t="shared" si="32"/>
        <v>41705.611001459998</v>
      </c>
      <c r="X21" s="3">
        <f t="shared" si="33"/>
        <v>29810.17477998</v>
      </c>
      <c r="Y21" s="3">
        <f t="shared" si="34"/>
        <v>26283.9341375779</v>
      </c>
      <c r="Z21" s="3">
        <f t="shared" si="35"/>
        <v>30186.194296509999</v>
      </c>
      <c r="AA21" s="3">
        <f t="shared" si="36"/>
        <v>29261.17866035</v>
      </c>
      <c r="AB21" s="3">
        <f t="shared" si="37"/>
        <v>34609.210189329999</v>
      </c>
      <c r="AC21" s="18">
        <f t="shared" si="38"/>
        <v>47018.826748040003</v>
      </c>
      <c r="AD21" s="18">
        <f t="shared" si="39"/>
        <v>-303009.26965475467</v>
      </c>
      <c r="AE21" s="3">
        <f t="shared" si="2"/>
        <v>191896.49279914319</v>
      </c>
    </row>
    <row r="22" spans="1:31" x14ac:dyDescent="0.25">
      <c r="B22" t="s">
        <v>53</v>
      </c>
      <c r="D22" s="5">
        <v>96463.384999999995</v>
      </c>
      <c r="E22" s="5">
        <v>67986.991999999998</v>
      </c>
      <c r="F22" s="5">
        <v>64588.205000000002</v>
      </c>
      <c r="G22" s="5">
        <v>48065.684000000001</v>
      </c>
      <c r="H22" s="5">
        <v>6598.7</v>
      </c>
      <c r="I22" s="5">
        <v>24255.81</v>
      </c>
      <c r="J22" s="5">
        <v>19810.513999999999</v>
      </c>
      <c r="K22" s="5">
        <v>22671.181</v>
      </c>
      <c r="L22" s="5">
        <v>35739.872000000003</v>
      </c>
      <c r="M22" s="5">
        <v>37314.25</v>
      </c>
      <c r="N22" s="9">
        <v>72413.203999999998</v>
      </c>
      <c r="O22" s="26">
        <f>79049.718-574958+'Prior Period Sch Shifting'!V33</f>
        <v>83940.67800003814</v>
      </c>
      <c r="P22" s="2">
        <f t="shared" si="1"/>
        <v>579848.47500003816</v>
      </c>
      <c r="Q22" s="2">
        <f>P22</f>
        <v>579848.47500003816</v>
      </c>
      <c r="R22" s="176">
        <f>0.39488+0.00926</f>
        <v>0.40414</v>
      </c>
      <c r="S22" s="3">
        <f t="shared" si="28"/>
        <v>38984.712413900001</v>
      </c>
      <c r="T22" s="3">
        <f t="shared" si="29"/>
        <v>27476.262946880001</v>
      </c>
      <c r="U22" s="3">
        <f t="shared" si="30"/>
        <v>26102.6771687</v>
      </c>
      <c r="V22" s="3">
        <f t="shared" si="31"/>
        <v>19425.26553176</v>
      </c>
      <c r="W22" s="3">
        <f t="shared" si="32"/>
        <v>2666.7986179999998</v>
      </c>
      <c r="X22" s="3">
        <f t="shared" si="33"/>
        <v>9802.7430534000014</v>
      </c>
      <c r="Y22" s="3">
        <f t="shared" si="34"/>
        <v>8006.2211279599996</v>
      </c>
      <c r="Z22" s="3">
        <f t="shared" si="35"/>
        <v>9162.3310893399994</v>
      </c>
      <c r="AA22" s="3">
        <f t="shared" si="36"/>
        <v>14443.911870080001</v>
      </c>
      <c r="AB22" s="3">
        <f t="shared" si="37"/>
        <v>15080.180995000001</v>
      </c>
      <c r="AC22" s="18">
        <f t="shared" si="38"/>
        <v>29265.07226456</v>
      </c>
      <c r="AD22" s="18">
        <f t="shared" si="39"/>
        <v>33923.785606935417</v>
      </c>
      <c r="AE22" s="3">
        <f t="shared" si="2"/>
        <v>234339.96268651541</v>
      </c>
    </row>
    <row r="23" spans="1:31" x14ac:dyDescent="0.25">
      <c r="A23" t="s">
        <v>35</v>
      </c>
      <c r="B23" t="s">
        <v>13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9">
        <v>1</v>
      </c>
      <c r="O23" s="9">
        <v>1</v>
      </c>
      <c r="P23" s="2">
        <f t="shared" si="1"/>
        <v>12</v>
      </c>
      <c r="Q23" s="2"/>
      <c r="R23" s="175">
        <v>240.44</v>
      </c>
      <c r="S23" s="3">
        <f t="shared" ref="S23:AD25" si="40">$R23*D23</f>
        <v>240.44</v>
      </c>
      <c r="T23" s="3">
        <f t="shared" si="40"/>
        <v>240.44</v>
      </c>
      <c r="U23" s="3">
        <f t="shared" si="40"/>
        <v>240.44</v>
      </c>
      <c r="V23" s="3">
        <f t="shared" si="40"/>
        <v>240.44</v>
      </c>
      <c r="W23" s="3">
        <f t="shared" si="40"/>
        <v>240.44</v>
      </c>
      <c r="X23" s="3">
        <f t="shared" si="40"/>
        <v>240.44</v>
      </c>
      <c r="Y23" s="3">
        <f t="shared" si="40"/>
        <v>240.44</v>
      </c>
      <c r="Z23" s="3">
        <f t="shared" si="40"/>
        <v>240.44</v>
      </c>
      <c r="AA23" s="3">
        <f t="shared" si="40"/>
        <v>240.44</v>
      </c>
      <c r="AB23" s="3">
        <f t="shared" si="40"/>
        <v>240.44</v>
      </c>
      <c r="AC23" s="18">
        <f t="shared" si="40"/>
        <v>240.44</v>
      </c>
      <c r="AD23" s="18">
        <f t="shared" si="40"/>
        <v>240.44</v>
      </c>
      <c r="AE23" s="3">
        <f t="shared" si="2"/>
        <v>2885.28</v>
      </c>
    </row>
    <row r="24" spans="1:31" x14ac:dyDescent="0.25">
      <c r="B24" t="s">
        <v>49</v>
      </c>
      <c r="D24" s="5">
        <v>500</v>
      </c>
      <c r="E24" s="5">
        <v>500</v>
      </c>
      <c r="F24" s="5">
        <v>500</v>
      </c>
      <c r="G24" s="5">
        <v>500</v>
      </c>
      <c r="H24" s="5">
        <v>500</v>
      </c>
      <c r="I24" s="5">
        <v>500</v>
      </c>
      <c r="J24" s="5">
        <v>500</v>
      </c>
      <c r="K24" s="5">
        <v>500</v>
      </c>
      <c r="L24" s="5">
        <v>500</v>
      </c>
      <c r="M24" s="5">
        <v>500</v>
      </c>
      <c r="N24" s="9">
        <v>500</v>
      </c>
      <c r="O24" s="9">
        <v>500</v>
      </c>
      <c r="P24" s="2">
        <f t="shared" si="1"/>
        <v>6000</v>
      </c>
      <c r="Q24" s="2"/>
      <c r="R24" s="176">
        <f>0.29423+0.00926</f>
        <v>0.30348999999999998</v>
      </c>
      <c r="S24" s="3">
        <f t="shared" si="40"/>
        <v>151.745</v>
      </c>
      <c r="T24" s="3">
        <f t="shared" si="40"/>
        <v>151.745</v>
      </c>
      <c r="U24" s="3">
        <f t="shared" si="40"/>
        <v>151.745</v>
      </c>
      <c r="V24" s="3">
        <f t="shared" si="40"/>
        <v>151.745</v>
      </c>
      <c r="W24" s="3">
        <f t="shared" si="40"/>
        <v>151.745</v>
      </c>
      <c r="X24" s="3">
        <f t="shared" si="40"/>
        <v>151.745</v>
      </c>
      <c r="Y24" s="3">
        <f t="shared" si="40"/>
        <v>151.745</v>
      </c>
      <c r="Z24" s="3">
        <f t="shared" si="40"/>
        <v>151.745</v>
      </c>
      <c r="AA24" s="3">
        <f t="shared" si="40"/>
        <v>151.745</v>
      </c>
      <c r="AB24" s="3">
        <f t="shared" si="40"/>
        <v>151.745</v>
      </c>
      <c r="AC24" s="18">
        <f t="shared" si="40"/>
        <v>151.745</v>
      </c>
      <c r="AD24" s="18">
        <f t="shared" si="40"/>
        <v>151.745</v>
      </c>
      <c r="AE24" s="3">
        <f t="shared" si="2"/>
        <v>1820.9399999999996</v>
      </c>
    </row>
    <row r="25" spans="1:31" x14ac:dyDescent="0.25">
      <c r="B25" t="s">
        <v>50</v>
      </c>
      <c r="D25" s="5">
        <v>500</v>
      </c>
      <c r="E25" s="5">
        <v>500</v>
      </c>
      <c r="F25" s="5">
        <v>500</v>
      </c>
      <c r="G25" s="5">
        <v>500</v>
      </c>
      <c r="H25" s="5">
        <v>500</v>
      </c>
      <c r="I25" s="5">
        <v>500</v>
      </c>
      <c r="J25" s="5">
        <v>500</v>
      </c>
      <c r="K25" s="5">
        <v>500</v>
      </c>
      <c r="L25" s="5">
        <v>500</v>
      </c>
      <c r="M25" s="5">
        <v>500</v>
      </c>
      <c r="N25" s="9">
        <v>500</v>
      </c>
      <c r="O25" s="9">
        <v>500</v>
      </c>
      <c r="P25" s="2">
        <f t="shared" si="1"/>
        <v>6000</v>
      </c>
      <c r="Q25" s="2"/>
      <c r="R25" s="176">
        <f>0.64273+0.00926</f>
        <v>0.65199000000000007</v>
      </c>
      <c r="S25" s="3">
        <f t="shared" si="40"/>
        <v>325.99500000000006</v>
      </c>
      <c r="T25" s="3">
        <f t="shared" si="40"/>
        <v>325.99500000000006</v>
      </c>
      <c r="U25" s="3">
        <f t="shared" si="40"/>
        <v>325.99500000000006</v>
      </c>
      <c r="V25" s="3">
        <f t="shared" si="40"/>
        <v>325.99500000000006</v>
      </c>
      <c r="W25" s="3">
        <f t="shared" si="40"/>
        <v>325.99500000000006</v>
      </c>
      <c r="X25" s="3">
        <f t="shared" si="40"/>
        <v>325.99500000000006</v>
      </c>
      <c r="Y25" s="3">
        <f t="shared" si="40"/>
        <v>325.99500000000006</v>
      </c>
      <c r="Z25" s="3">
        <f t="shared" si="40"/>
        <v>325.99500000000006</v>
      </c>
      <c r="AA25" s="3">
        <f t="shared" si="40"/>
        <v>325.99500000000006</v>
      </c>
      <c r="AB25" s="3">
        <f t="shared" si="40"/>
        <v>325.99500000000006</v>
      </c>
      <c r="AC25" s="18">
        <f t="shared" si="40"/>
        <v>325.99500000000006</v>
      </c>
      <c r="AD25" s="18">
        <f t="shared" si="40"/>
        <v>325.99500000000006</v>
      </c>
      <c r="AE25" s="3">
        <f t="shared" si="2"/>
        <v>3911.94</v>
      </c>
    </row>
    <row r="26" spans="1:31" x14ac:dyDescent="0.25">
      <c r="B26" t="s">
        <v>51</v>
      </c>
      <c r="D26" s="5">
        <v>9000</v>
      </c>
      <c r="E26" s="5">
        <v>9000</v>
      </c>
      <c r="F26" s="5">
        <v>9000</v>
      </c>
      <c r="G26" s="5">
        <v>9000</v>
      </c>
      <c r="H26" s="5">
        <v>9000</v>
      </c>
      <c r="I26" s="5">
        <v>9000</v>
      </c>
      <c r="J26" s="5">
        <v>9000</v>
      </c>
      <c r="K26" s="5">
        <v>9000</v>
      </c>
      <c r="L26" s="5">
        <v>9000</v>
      </c>
      <c r="M26" s="5">
        <v>9000</v>
      </c>
      <c r="N26" s="9">
        <v>9000</v>
      </c>
      <c r="O26" s="9">
        <v>9000</v>
      </c>
      <c r="P26" s="2">
        <f t="shared" si="1"/>
        <v>108000</v>
      </c>
      <c r="Q26" s="2"/>
      <c r="R26" s="176">
        <f>0.5619+0.00926</f>
        <v>0.57116</v>
      </c>
      <c r="S26" s="3">
        <f t="shared" ref="S26:S28" si="41">$R26*D26</f>
        <v>5140.4399999999996</v>
      </c>
      <c r="T26" s="3">
        <f t="shared" ref="T26:T28" si="42">$R26*E26</f>
        <v>5140.4399999999996</v>
      </c>
      <c r="U26" s="3">
        <f t="shared" ref="U26:U28" si="43">$R26*F26</f>
        <v>5140.4399999999996</v>
      </c>
      <c r="V26" s="3">
        <f t="shared" ref="V26:V28" si="44">$R26*G26</f>
        <v>5140.4399999999996</v>
      </c>
      <c r="W26" s="3">
        <f t="shared" ref="W26:W28" si="45">$R26*H26</f>
        <v>5140.4399999999996</v>
      </c>
      <c r="X26" s="3">
        <f t="shared" ref="X26:X28" si="46">$R26*I26</f>
        <v>5140.4399999999996</v>
      </c>
      <c r="Y26" s="3">
        <f t="shared" ref="Y26:Y28" si="47">$R26*J26</f>
        <v>5140.4399999999996</v>
      </c>
      <c r="Z26" s="3">
        <f t="shared" ref="Z26:Z28" si="48">$R26*K26</f>
        <v>5140.4399999999996</v>
      </c>
      <c r="AA26" s="3">
        <f t="shared" ref="AA26:AA28" si="49">$R26*L26</f>
        <v>5140.4399999999996</v>
      </c>
      <c r="AB26" s="3">
        <f t="shared" ref="AB26:AB28" si="50">$R26*M26</f>
        <v>5140.4399999999996</v>
      </c>
      <c r="AC26" s="18">
        <f t="shared" ref="AC26:AC28" si="51">$R26*N26</f>
        <v>5140.4399999999996</v>
      </c>
      <c r="AD26" s="18">
        <f t="shared" ref="AD26:AD28" si="52">$R26*O26</f>
        <v>5140.4399999999996</v>
      </c>
      <c r="AE26" s="3">
        <f t="shared" si="2"/>
        <v>61685.280000000006</v>
      </c>
    </row>
    <row r="27" spans="1:31" x14ac:dyDescent="0.25">
      <c r="B27" t="s">
        <v>52</v>
      </c>
      <c r="D27" s="5">
        <v>15000</v>
      </c>
      <c r="E27" s="5">
        <v>15000</v>
      </c>
      <c r="F27" s="5">
        <v>15000</v>
      </c>
      <c r="G27" s="5">
        <v>15000</v>
      </c>
      <c r="H27" s="5">
        <v>15000</v>
      </c>
      <c r="I27" s="5">
        <v>15000</v>
      </c>
      <c r="J27" s="5">
        <v>13989.278</v>
      </c>
      <c r="K27" s="5">
        <v>12970.118</v>
      </c>
      <c r="L27" s="5">
        <v>14853.433999999999</v>
      </c>
      <c r="M27" s="5">
        <v>15000</v>
      </c>
      <c r="N27" s="9">
        <v>15000</v>
      </c>
      <c r="O27" s="9">
        <v>15000</v>
      </c>
      <c r="P27" s="2">
        <f t="shared" si="1"/>
        <v>176812.83000000002</v>
      </c>
      <c r="Q27" s="2"/>
      <c r="R27" s="176">
        <f>0.51115+0.00926</f>
        <v>0.52041000000000004</v>
      </c>
      <c r="S27" s="3">
        <f t="shared" si="41"/>
        <v>7806.1500000000005</v>
      </c>
      <c r="T27" s="3">
        <f t="shared" si="42"/>
        <v>7806.1500000000005</v>
      </c>
      <c r="U27" s="3">
        <f t="shared" si="43"/>
        <v>7806.1500000000005</v>
      </c>
      <c r="V27" s="3">
        <f t="shared" si="44"/>
        <v>7806.1500000000005</v>
      </c>
      <c r="W27" s="3">
        <f t="shared" si="45"/>
        <v>7806.1500000000005</v>
      </c>
      <c r="X27" s="3">
        <f t="shared" si="46"/>
        <v>7806.1500000000005</v>
      </c>
      <c r="Y27" s="3">
        <f t="shared" si="47"/>
        <v>7280.160163980001</v>
      </c>
      <c r="Z27" s="3">
        <f t="shared" si="48"/>
        <v>6749.7791083800012</v>
      </c>
      <c r="AA27" s="3">
        <f t="shared" si="49"/>
        <v>7729.8755879400005</v>
      </c>
      <c r="AB27" s="3">
        <f t="shared" si="50"/>
        <v>7806.1500000000005</v>
      </c>
      <c r="AC27" s="18">
        <f t="shared" si="51"/>
        <v>7806.1500000000005</v>
      </c>
      <c r="AD27" s="18">
        <f t="shared" si="52"/>
        <v>7806.1500000000005</v>
      </c>
      <c r="AE27" s="3">
        <f t="shared" si="2"/>
        <v>92015.164860299992</v>
      </c>
    </row>
    <row r="28" spans="1:31" x14ac:dyDescent="0.25">
      <c r="B28" t="s">
        <v>53</v>
      </c>
      <c r="D28" s="5">
        <v>40294.612000000001</v>
      </c>
      <c r="E28" s="5">
        <v>23825.788</v>
      </c>
      <c r="F28" s="5">
        <v>26647.355</v>
      </c>
      <c r="G28" s="5">
        <v>21438.080000000002</v>
      </c>
      <c r="H28" s="5">
        <v>14511.659</v>
      </c>
      <c r="I28" s="5">
        <v>3453.558</v>
      </c>
      <c r="J28" s="5">
        <v>0</v>
      </c>
      <c r="K28" s="5">
        <v>0</v>
      </c>
      <c r="L28" s="5">
        <v>0</v>
      </c>
      <c r="M28" s="5">
        <v>795.74800000000005</v>
      </c>
      <c r="N28" s="9">
        <v>6468.652</v>
      </c>
      <c r="O28" s="9">
        <v>28121.188999999998</v>
      </c>
      <c r="P28" s="2">
        <f t="shared" si="1"/>
        <v>165556.641</v>
      </c>
      <c r="Q28" s="2"/>
      <c r="R28" s="176">
        <f>0.4381+0.00926</f>
        <v>0.44735999999999998</v>
      </c>
      <c r="S28" s="3">
        <f t="shared" si="41"/>
        <v>18026.197624320001</v>
      </c>
      <c r="T28" s="3">
        <f t="shared" si="42"/>
        <v>10658.704519679999</v>
      </c>
      <c r="U28" s="3">
        <f t="shared" si="43"/>
        <v>11920.960732799998</v>
      </c>
      <c r="V28" s="3">
        <f t="shared" si="44"/>
        <v>9590.5394687999997</v>
      </c>
      <c r="W28" s="3">
        <f t="shared" si="45"/>
        <v>6491.9357702399993</v>
      </c>
      <c r="X28" s="3">
        <f t="shared" si="46"/>
        <v>1544.98370688</v>
      </c>
      <c r="Y28" s="3">
        <f t="shared" si="47"/>
        <v>0</v>
      </c>
      <c r="Z28" s="3">
        <f t="shared" si="48"/>
        <v>0</v>
      </c>
      <c r="AA28" s="3">
        <f t="shared" si="49"/>
        <v>0</v>
      </c>
      <c r="AB28" s="3">
        <f t="shared" si="50"/>
        <v>355.98582528000003</v>
      </c>
      <c r="AC28" s="18">
        <f t="shared" si="51"/>
        <v>2893.8161587199997</v>
      </c>
      <c r="AD28" s="18">
        <f t="shared" si="52"/>
        <v>12580.295111039999</v>
      </c>
      <c r="AE28" s="3">
        <f t="shared" si="2"/>
        <v>74063.418917759991</v>
      </c>
    </row>
    <row r="29" spans="1:31" x14ac:dyDescent="0.25">
      <c r="A29" t="s">
        <v>36</v>
      </c>
      <c r="B29" t="s">
        <v>13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9"/>
      <c r="O29" s="9"/>
      <c r="P29" s="2">
        <f t="shared" si="1"/>
        <v>0</v>
      </c>
      <c r="Q29" s="2"/>
      <c r="R29" s="175">
        <v>0</v>
      </c>
      <c r="S29" s="3">
        <f t="shared" ref="S29:AD32" si="53">$R29*D29</f>
        <v>0</v>
      </c>
      <c r="T29" s="3">
        <f t="shared" si="53"/>
        <v>0</v>
      </c>
      <c r="U29" s="3">
        <f t="shared" si="53"/>
        <v>0</v>
      </c>
      <c r="V29" s="3">
        <f t="shared" si="53"/>
        <v>0</v>
      </c>
      <c r="W29" s="3">
        <f t="shared" si="53"/>
        <v>0</v>
      </c>
      <c r="X29" s="3">
        <f t="shared" si="53"/>
        <v>0</v>
      </c>
      <c r="Y29" s="3">
        <f t="shared" si="53"/>
        <v>0</v>
      </c>
      <c r="Z29" s="3">
        <f t="shared" si="53"/>
        <v>0</v>
      </c>
      <c r="AA29" s="3">
        <f t="shared" si="53"/>
        <v>0</v>
      </c>
      <c r="AB29" s="3">
        <f t="shared" si="53"/>
        <v>0</v>
      </c>
      <c r="AC29" s="18">
        <f t="shared" si="53"/>
        <v>0</v>
      </c>
      <c r="AD29" s="18">
        <f t="shared" si="53"/>
        <v>0</v>
      </c>
      <c r="AE29" s="3">
        <f t="shared" si="2"/>
        <v>0</v>
      </c>
    </row>
    <row r="30" spans="1:31" x14ac:dyDescent="0.25">
      <c r="B30" t="s">
        <v>49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9"/>
      <c r="O30" s="9"/>
      <c r="P30" s="2">
        <f t="shared" si="1"/>
        <v>0</v>
      </c>
      <c r="Q30" s="2"/>
      <c r="R30" s="176">
        <f>0.51273+0.00784</f>
        <v>0.52056999999999998</v>
      </c>
      <c r="S30" s="3">
        <f t="shared" si="53"/>
        <v>0</v>
      </c>
      <c r="T30" s="3">
        <f t="shared" si="53"/>
        <v>0</v>
      </c>
      <c r="U30" s="3">
        <f t="shared" si="53"/>
        <v>0</v>
      </c>
      <c r="V30" s="3">
        <f t="shared" si="53"/>
        <v>0</v>
      </c>
      <c r="W30" s="3">
        <f t="shared" si="53"/>
        <v>0</v>
      </c>
      <c r="X30" s="3">
        <f t="shared" si="53"/>
        <v>0</v>
      </c>
      <c r="Y30" s="3">
        <f t="shared" si="53"/>
        <v>0</v>
      </c>
      <c r="Z30" s="3">
        <f t="shared" si="53"/>
        <v>0</v>
      </c>
      <c r="AA30" s="3">
        <f t="shared" si="53"/>
        <v>0</v>
      </c>
      <c r="AB30" s="3">
        <f t="shared" si="53"/>
        <v>0</v>
      </c>
      <c r="AC30" s="18">
        <f t="shared" si="53"/>
        <v>0</v>
      </c>
      <c r="AD30" s="18">
        <f t="shared" si="53"/>
        <v>0</v>
      </c>
      <c r="AE30" s="3">
        <f t="shared" si="2"/>
        <v>0</v>
      </c>
    </row>
    <row r="31" spans="1:31" x14ac:dyDescent="0.25">
      <c r="B31" t="s">
        <v>50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9"/>
      <c r="O31" s="9"/>
      <c r="P31" s="2">
        <f t="shared" si="1"/>
        <v>0</v>
      </c>
      <c r="Q31" s="2"/>
      <c r="R31" s="176">
        <f>0.4641+0.00784</f>
        <v>0.47194000000000003</v>
      </c>
      <c r="S31" s="3">
        <f t="shared" si="53"/>
        <v>0</v>
      </c>
      <c r="T31" s="3">
        <f t="shared" si="53"/>
        <v>0</v>
      </c>
      <c r="U31" s="3">
        <f t="shared" si="53"/>
        <v>0</v>
      </c>
      <c r="V31" s="3">
        <f t="shared" si="53"/>
        <v>0</v>
      </c>
      <c r="W31" s="3">
        <f t="shared" si="53"/>
        <v>0</v>
      </c>
      <c r="X31" s="3">
        <f t="shared" si="53"/>
        <v>0</v>
      </c>
      <c r="Y31" s="3">
        <f t="shared" si="53"/>
        <v>0</v>
      </c>
      <c r="Z31" s="3">
        <f t="shared" si="53"/>
        <v>0</v>
      </c>
      <c r="AA31" s="3">
        <f t="shared" si="53"/>
        <v>0</v>
      </c>
      <c r="AB31" s="3">
        <f t="shared" si="53"/>
        <v>0</v>
      </c>
      <c r="AC31" s="18">
        <f t="shared" si="53"/>
        <v>0</v>
      </c>
      <c r="AD31" s="18">
        <f t="shared" si="53"/>
        <v>0</v>
      </c>
      <c r="AE31" s="3">
        <f t="shared" si="2"/>
        <v>0</v>
      </c>
    </row>
    <row r="32" spans="1:31" x14ac:dyDescent="0.25">
      <c r="B32" t="s">
        <v>51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9"/>
      <c r="O32" s="9"/>
      <c r="P32" s="2">
        <f t="shared" si="1"/>
        <v>0</v>
      </c>
      <c r="Q32" s="2"/>
      <c r="R32" s="176">
        <f>0.45216+0.00784</f>
        <v>0.46</v>
      </c>
      <c r="S32" s="3">
        <f t="shared" si="53"/>
        <v>0</v>
      </c>
      <c r="T32" s="3">
        <f t="shared" si="53"/>
        <v>0</v>
      </c>
      <c r="U32" s="3">
        <f t="shared" si="53"/>
        <v>0</v>
      </c>
      <c r="V32" s="3">
        <f t="shared" si="53"/>
        <v>0</v>
      </c>
      <c r="W32" s="3">
        <f t="shared" si="53"/>
        <v>0</v>
      </c>
      <c r="X32" s="3">
        <f t="shared" si="53"/>
        <v>0</v>
      </c>
      <c r="Y32" s="3">
        <f t="shared" si="53"/>
        <v>0</v>
      </c>
      <c r="Z32" s="3">
        <f t="shared" si="53"/>
        <v>0</v>
      </c>
      <c r="AA32" s="3">
        <f t="shared" si="53"/>
        <v>0</v>
      </c>
      <c r="AB32" s="3">
        <f t="shared" si="53"/>
        <v>0</v>
      </c>
      <c r="AC32" s="18">
        <f t="shared" si="53"/>
        <v>0</v>
      </c>
      <c r="AD32" s="18">
        <f t="shared" si="53"/>
        <v>0</v>
      </c>
      <c r="AE32" s="3">
        <f t="shared" si="2"/>
        <v>0</v>
      </c>
    </row>
    <row r="33" spans="1:31" x14ac:dyDescent="0.25">
      <c r="B33" t="s">
        <v>52</v>
      </c>
      <c r="D33" s="2"/>
      <c r="E33" s="2"/>
      <c r="F33" s="5"/>
      <c r="G33" s="5"/>
      <c r="H33" s="5"/>
      <c r="I33" s="5"/>
      <c r="J33" s="5"/>
      <c r="K33" s="5"/>
      <c r="L33" s="5"/>
      <c r="M33" s="5"/>
      <c r="N33" s="9"/>
      <c r="O33" s="9"/>
      <c r="P33" s="2">
        <f t="shared" si="1"/>
        <v>0</v>
      </c>
      <c r="Q33" s="2"/>
      <c r="R33" s="176">
        <f>0.44821+0.00784</f>
        <v>0.45605000000000001</v>
      </c>
      <c r="S33" s="3">
        <f t="shared" ref="S33:S38" si="54">$R33*D33</f>
        <v>0</v>
      </c>
      <c r="T33" s="3">
        <f t="shared" ref="T33:T38" si="55">$R33*E33</f>
        <v>0</v>
      </c>
      <c r="U33" s="3">
        <f t="shared" ref="U33:U38" si="56">$R33*F33</f>
        <v>0</v>
      </c>
      <c r="V33" s="3">
        <f t="shared" ref="V33:V38" si="57">$R33*G33</f>
        <v>0</v>
      </c>
      <c r="W33" s="3">
        <f t="shared" ref="W33:W38" si="58">$R33*H33</f>
        <v>0</v>
      </c>
      <c r="X33" s="3">
        <f t="shared" ref="X33:X38" si="59">$R33*I33</f>
        <v>0</v>
      </c>
      <c r="Y33" s="3">
        <f t="shared" ref="Y33:Y38" si="60">$R33*J33</f>
        <v>0</v>
      </c>
      <c r="Z33" s="3">
        <f t="shared" ref="Z33:Z38" si="61">$R33*K33</f>
        <v>0</v>
      </c>
      <c r="AA33" s="3">
        <f t="shared" ref="AA33:AA38" si="62">$R33*L33</f>
        <v>0</v>
      </c>
      <c r="AB33" s="3">
        <f t="shared" ref="AB33:AB38" si="63">$R33*M33</f>
        <v>0</v>
      </c>
      <c r="AC33" s="18">
        <f t="shared" ref="AC33:AC38" si="64">$R33*N33</f>
        <v>0</v>
      </c>
      <c r="AD33" s="18">
        <f t="shared" ref="AD33:AD38" si="65">$R33*O33</f>
        <v>0</v>
      </c>
      <c r="AE33" s="3">
        <f t="shared" si="2"/>
        <v>0</v>
      </c>
    </row>
    <row r="34" spans="1:31" x14ac:dyDescent="0.25">
      <c r="A34" t="s">
        <v>37</v>
      </c>
      <c r="B34" t="s">
        <v>13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5">
        <v>2</v>
      </c>
      <c r="J34" s="5">
        <v>2</v>
      </c>
      <c r="K34" s="5">
        <v>2</v>
      </c>
      <c r="L34" s="5">
        <v>2</v>
      </c>
      <c r="M34" s="5">
        <v>2</v>
      </c>
      <c r="N34" s="9">
        <v>2</v>
      </c>
      <c r="O34" s="9">
        <v>2</v>
      </c>
      <c r="P34" s="2">
        <f t="shared" si="1"/>
        <v>24</v>
      </c>
      <c r="Q34" s="2"/>
      <c r="R34" s="175">
        <v>0</v>
      </c>
      <c r="S34" s="3">
        <f t="shared" si="54"/>
        <v>0</v>
      </c>
      <c r="T34" s="3">
        <f t="shared" si="55"/>
        <v>0</v>
      </c>
      <c r="U34" s="3">
        <f t="shared" si="56"/>
        <v>0</v>
      </c>
      <c r="V34" s="3">
        <f t="shared" si="57"/>
        <v>0</v>
      </c>
      <c r="W34" s="3">
        <f t="shared" si="58"/>
        <v>0</v>
      </c>
      <c r="X34" s="3">
        <f t="shared" si="59"/>
        <v>0</v>
      </c>
      <c r="Y34" s="3">
        <f t="shared" si="60"/>
        <v>0</v>
      </c>
      <c r="Z34" s="3">
        <f t="shared" si="61"/>
        <v>0</v>
      </c>
      <c r="AA34" s="3">
        <f t="shared" si="62"/>
        <v>0</v>
      </c>
      <c r="AB34" s="3">
        <f t="shared" si="63"/>
        <v>0</v>
      </c>
      <c r="AC34" s="18">
        <f t="shared" si="64"/>
        <v>0</v>
      </c>
      <c r="AD34" s="18">
        <f t="shared" si="65"/>
        <v>0</v>
      </c>
      <c r="AE34" s="3">
        <f t="shared" si="2"/>
        <v>0</v>
      </c>
    </row>
    <row r="35" spans="1:31" x14ac:dyDescent="0.25">
      <c r="B35" t="s">
        <v>49</v>
      </c>
      <c r="D35" s="5">
        <v>20000</v>
      </c>
      <c r="E35" s="5">
        <v>20000</v>
      </c>
      <c r="F35" s="5">
        <v>20000</v>
      </c>
      <c r="G35" s="5">
        <v>20000</v>
      </c>
      <c r="H35" s="5">
        <v>20000</v>
      </c>
      <c r="I35" s="5">
        <v>20000</v>
      </c>
      <c r="J35" s="5">
        <v>20000</v>
      </c>
      <c r="K35" s="5">
        <v>20000</v>
      </c>
      <c r="L35" s="5">
        <v>20000</v>
      </c>
      <c r="M35" s="5">
        <v>20000</v>
      </c>
      <c r="N35" s="9">
        <v>20000</v>
      </c>
      <c r="O35" s="9">
        <v>20000</v>
      </c>
      <c r="P35" s="2">
        <f t="shared" si="1"/>
        <v>240000</v>
      </c>
      <c r="Q35" s="2"/>
      <c r="R35" s="176">
        <f>0.50582+0.00784</f>
        <v>0.51366000000000001</v>
      </c>
      <c r="S35" s="3">
        <f t="shared" si="54"/>
        <v>10273.200000000001</v>
      </c>
      <c r="T35" s="3">
        <f t="shared" si="55"/>
        <v>10273.200000000001</v>
      </c>
      <c r="U35" s="3">
        <f t="shared" si="56"/>
        <v>10273.200000000001</v>
      </c>
      <c r="V35" s="3">
        <f t="shared" si="57"/>
        <v>10273.200000000001</v>
      </c>
      <c r="W35" s="3">
        <f t="shared" si="58"/>
        <v>10273.200000000001</v>
      </c>
      <c r="X35" s="3">
        <f t="shared" si="59"/>
        <v>10273.200000000001</v>
      </c>
      <c r="Y35" s="3">
        <f t="shared" si="60"/>
        <v>10273.200000000001</v>
      </c>
      <c r="Z35" s="3">
        <f t="shared" si="61"/>
        <v>10273.200000000001</v>
      </c>
      <c r="AA35" s="3">
        <f t="shared" si="62"/>
        <v>10273.200000000001</v>
      </c>
      <c r="AB35" s="3">
        <f t="shared" si="63"/>
        <v>10273.200000000001</v>
      </c>
      <c r="AC35" s="18">
        <f t="shared" si="64"/>
        <v>10273.200000000001</v>
      </c>
      <c r="AD35" s="18">
        <f t="shared" si="65"/>
        <v>10273.200000000001</v>
      </c>
      <c r="AE35" s="3">
        <f t="shared" si="2"/>
        <v>123278.39999999998</v>
      </c>
    </row>
    <row r="36" spans="1:31" x14ac:dyDescent="0.25">
      <c r="B36" t="s">
        <v>50</v>
      </c>
      <c r="D36" s="5">
        <v>30000</v>
      </c>
      <c r="E36" s="5">
        <v>30000</v>
      </c>
      <c r="F36" s="5">
        <v>30000</v>
      </c>
      <c r="G36" s="5">
        <v>30000</v>
      </c>
      <c r="H36" s="5">
        <v>30000</v>
      </c>
      <c r="I36" s="5">
        <v>20435.105</v>
      </c>
      <c r="J36" s="5">
        <v>19114.88</v>
      </c>
      <c r="K36" s="5">
        <v>16257.2</v>
      </c>
      <c r="L36" s="5">
        <v>16438.28</v>
      </c>
      <c r="M36" s="5">
        <v>22735.305</v>
      </c>
      <c r="N36" s="9">
        <v>30000</v>
      </c>
      <c r="O36" s="9">
        <v>30000</v>
      </c>
      <c r="P36" s="2">
        <f t="shared" si="1"/>
        <v>304980.77</v>
      </c>
      <c r="Q36" s="2"/>
      <c r="R36" s="176">
        <f>0.45719+0.00784</f>
        <v>0.46503</v>
      </c>
      <c r="S36" s="3">
        <f t="shared" si="54"/>
        <v>13950.9</v>
      </c>
      <c r="T36" s="3">
        <f t="shared" si="55"/>
        <v>13950.9</v>
      </c>
      <c r="U36" s="3">
        <f t="shared" si="56"/>
        <v>13950.9</v>
      </c>
      <c r="V36" s="3">
        <f t="shared" si="57"/>
        <v>13950.9</v>
      </c>
      <c r="W36" s="3">
        <f t="shared" si="58"/>
        <v>13950.9</v>
      </c>
      <c r="X36" s="3">
        <f t="shared" si="59"/>
        <v>9502.9368781499998</v>
      </c>
      <c r="Y36" s="3">
        <f t="shared" si="60"/>
        <v>8888.9926464</v>
      </c>
      <c r="Z36" s="3">
        <f t="shared" si="61"/>
        <v>7560.0857160000005</v>
      </c>
      <c r="AA36" s="3">
        <f t="shared" si="62"/>
        <v>7644.2933483999996</v>
      </c>
      <c r="AB36" s="3">
        <f t="shared" si="63"/>
        <v>10572.59888415</v>
      </c>
      <c r="AC36" s="18">
        <f t="shared" si="64"/>
        <v>13950.9</v>
      </c>
      <c r="AD36" s="18">
        <f t="shared" si="65"/>
        <v>13950.9</v>
      </c>
      <c r="AE36" s="3">
        <f t="shared" si="2"/>
        <v>141825.20747309999</v>
      </c>
    </row>
    <row r="37" spans="1:31" x14ac:dyDescent="0.25">
      <c r="B37" t="s">
        <v>51</v>
      </c>
      <c r="D37" s="5">
        <v>50000</v>
      </c>
      <c r="E37" s="5">
        <v>48424.267999999996</v>
      </c>
      <c r="F37" s="5">
        <v>50000</v>
      </c>
      <c r="G37" s="5">
        <v>43219.127999999997</v>
      </c>
      <c r="H37" s="5">
        <v>22900.841</v>
      </c>
      <c r="I37" s="5">
        <v>7034.48</v>
      </c>
      <c r="J37" s="5">
        <v>2622.3780000000002</v>
      </c>
      <c r="K37" s="5">
        <v>7258.2359999999999</v>
      </c>
      <c r="L37" s="5">
        <v>8395.4719999999998</v>
      </c>
      <c r="M37" s="5">
        <v>25000</v>
      </c>
      <c r="N37" s="9">
        <v>27417.124</v>
      </c>
      <c r="O37" s="9">
        <v>50000</v>
      </c>
      <c r="P37" s="2">
        <f t="shared" si="1"/>
        <v>342271.92699999997</v>
      </c>
      <c r="Q37" s="2"/>
      <c r="R37" s="176">
        <f>0.44525+0.00784</f>
        <v>0.45308999999999999</v>
      </c>
      <c r="S37" s="3">
        <f t="shared" si="54"/>
        <v>22654.5</v>
      </c>
      <c r="T37" s="3">
        <f t="shared" si="55"/>
        <v>21940.551588119997</v>
      </c>
      <c r="U37" s="3">
        <f t="shared" si="56"/>
        <v>22654.5</v>
      </c>
      <c r="V37" s="3">
        <f t="shared" si="57"/>
        <v>19582.154705519999</v>
      </c>
      <c r="W37" s="3">
        <f t="shared" si="58"/>
        <v>10376.142048690001</v>
      </c>
      <c r="X37" s="3">
        <f t="shared" si="59"/>
        <v>3187.2525431999998</v>
      </c>
      <c r="Y37" s="3">
        <f t="shared" si="60"/>
        <v>1188.1732480200001</v>
      </c>
      <c r="Z37" s="3">
        <f t="shared" si="61"/>
        <v>3288.6341492399997</v>
      </c>
      <c r="AA37" s="3">
        <f t="shared" si="62"/>
        <v>3803.9044084799998</v>
      </c>
      <c r="AB37" s="3">
        <f t="shared" si="63"/>
        <v>11327.25</v>
      </c>
      <c r="AC37" s="18">
        <f t="shared" si="64"/>
        <v>12422.42471316</v>
      </c>
      <c r="AD37" s="18">
        <f t="shared" si="65"/>
        <v>22654.5</v>
      </c>
      <c r="AE37" s="3">
        <f t="shared" si="2"/>
        <v>155079.98740442999</v>
      </c>
    </row>
    <row r="38" spans="1:31" x14ac:dyDescent="0.25">
      <c r="B38" t="s">
        <v>52</v>
      </c>
      <c r="D38" s="5">
        <v>39102.279000000002</v>
      </c>
      <c r="E38" s="5">
        <v>18903.292000000001</v>
      </c>
      <c r="F38" s="5">
        <v>13117.075999999999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958.68399999999997</v>
      </c>
      <c r="N38" s="9">
        <v>11101.495000000001</v>
      </c>
      <c r="O38" s="9">
        <v>14831.204</v>
      </c>
      <c r="P38" s="2">
        <f t="shared" si="1"/>
        <v>98014.029999999984</v>
      </c>
      <c r="Q38" s="2"/>
      <c r="R38" s="176">
        <f>0.4413+0.00784</f>
        <v>0.44914000000000004</v>
      </c>
      <c r="S38" s="3">
        <f t="shared" si="54"/>
        <v>17562.397590060002</v>
      </c>
      <c r="T38" s="3">
        <f t="shared" si="55"/>
        <v>8490.2245688800012</v>
      </c>
      <c r="U38" s="3">
        <f t="shared" si="56"/>
        <v>5891.4035146400001</v>
      </c>
      <c r="V38" s="3">
        <f t="shared" si="57"/>
        <v>0</v>
      </c>
      <c r="W38" s="3">
        <f t="shared" si="58"/>
        <v>0</v>
      </c>
      <c r="X38" s="3">
        <f t="shared" si="59"/>
        <v>0</v>
      </c>
      <c r="Y38" s="3">
        <f t="shared" si="60"/>
        <v>0</v>
      </c>
      <c r="Z38" s="3">
        <f t="shared" si="61"/>
        <v>0</v>
      </c>
      <c r="AA38" s="3">
        <f t="shared" si="62"/>
        <v>0</v>
      </c>
      <c r="AB38" s="3">
        <f t="shared" si="63"/>
        <v>430.58333176000002</v>
      </c>
      <c r="AC38" s="18">
        <f t="shared" si="64"/>
        <v>4986.1254643000011</v>
      </c>
      <c r="AD38" s="18">
        <f t="shared" si="65"/>
        <v>6661.2869645600003</v>
      </c>
      <c r="AE38" s="3">
        <f t="shared" si="2"/>
        <v>44022.021434200004</v>
      </c>
    </row>
    <row r="39" spans="1:31" x14ac:dyDescent="0.25">
      <c r="A39" t="s">
        <v>38</v>
      </c>
      <c r="B39" t="s">
        <v>13</v>
      </c>
      <c r="D39" s="5">
        <v>41</v>
      </c>
      <c r="E39" s="5">
        <v>41</v>
      </c>
      <c r="F39" s="5">
        <v>41</v>
      </c>
      <c r="G39" s="5">
        <v>41</v>
      </c>
      <c r="H39" s="5">
        <v>41</v>
      </c>
      <c r="I39" s="5">
        <v>41</v>
      </c>
      <c r="J39" s="5">
        <v>41</v>
      </c>
      <c r="K39" s="5">
        <v>41</v>
      </c>
      <c r="L39" s="5">
        <v>41</v>
      </c>
      <c r="M39" s="5">
        <v>38</v>
      </c>
      <c r="N39" s="9">
        <v>40</v>
      </c>
      <c r="O39" s="9">
        <v>39</v>
      </c>
      <c r="P39" s="2">
        <f t="shared" si="1"/>
        <v>486</v>
      </c>
      <c r="Q39" s="2"/>
      <c r="R39" s="175">
        <v>550</v>
      </c>
      <c r="S39" s="3">
        <f t="shared" ref="S39:AD42" si="66">$R39*D39</f>
        <v>22550</v>
      </c>
      <c r="T39" s="3">
        <f t="shared" si="66"/>
        <v>22550</v>
      </c>
      <c r="U39" s="3">
        <f t="shared" si="66"/>
        <v>22550</v>
      </c>
      <c r="V39" s="3">
        <f t="shared" si="66"/>
        <v>22550</v>
      </c>
      <c r="W39" s="3">
        <f t="shared" si="66"/>
        <v>22550</v>
      </c>
      <c r="X39" s="3">
        <f t="shared" si="66"/>
        <v>22550</v>
      </c>
      <c r="Y39" s="3">
        <f t="shared" si="66"/>
        <v>22550</v>
      </c>
      <c r="Z39" s="3">
        <f t="shared" si="66"/>
        <v>22550</v>
      </c>
      <c r="AA39" s="3">
        <f t="shared" si="66"/>
        <v>22550</v>
      </c>
      <c r="AB39" s="3">
        <f t="shared" si="66"/>
        <v>20900</v>
      </c>
      <c r="AC39" s="18">
        <f t="shared" si="66"/>
        <v>22000</v>
      </c>
      <c r="AD39" s="18">
        <f t="shared" si="66"/>
        <v>21450</v>
      </c>
      <c r="AE39" s="3">
        <f t="shared" si="2"/>
        <v>267300</v>
      </c>
    </row>
    <row r="40" spans="1:31" x14ac:dyDescent="0.25">
      <c r="B40" t="s">
        <v>49</v>
      </c>
      <c r="D40" s="5">
        <v>716552</v>
      </c>
      <c r="E40" s="5">
        <v>717187</v>
      </c>
      <c r="F40" s="5">
        <v>730599</v>
      </c>
      <c r="G40" s="5">
        <v>718707</v>
      </c>
      <c r="H40" s="5">
        <v>778453</v>
      </c>
      <c r="I40" s="5">
        <v>726518</v>
      </c>
      <c r="J40" s="5">
        <v>738197</v>
      </c>
      <c r="K40" s="5">
        <v>656861</v>
      </c>
      <c r="L40" s="5">
        <v>656123</v>
      </c>
      <c r="M40" s="5">
        <v>763565</v>
      </c>
      <c r="N40" s="9">
        <v>753438</v>
      </c>
      <c r="O40" s="9">
        <v>729937</v>
      </c>
      <c r="P40" s="2">
        <f t="shared" si="1"/>
        <v>8686137</v>
      </c>
      <c r="Q40" s="2"/>
      <c r="R40" s="176">
        <f>0.09466+0.00354</f>
        <v>9.8199999999999996E-2</v>
      </c>
      <c r="S40" s="3">
        <f t="shared" si="66"/>
        <v>70365.406399999993</v>
      </c>
      <c r="T40" s="3">
        <f t="shared" si="66"/>
        <v>70427.763399999996</v>
      </c>
      <c r="U40" s="3">
        <f t="shared" si="66"/>
        <v>71744.821799999991</v>
      </c>
      <c r="V40" s="3">
        <f t="shared" si="66"/>
        <v>70577.027399999992</v>
      </c>
      <c r="W40" s="3">
        <f t="shared" si="66"/>
        <v>76444.084600000002</v>
      </c>
      <c r="X40" s="3">
        <f t="shared" si="66"/>
        <v>71344.067599999995</v>
      </c>
      <c r="Y40" s="3">
        <f t="shared" si="66"/>
        <v>72490.945399999997</v>
      </c>
      <c r="Z40" s="3">
        <f t="shared" si="66"/>
        <v>64503.750199999995</v>
      </c>
      <c r="AA40" s="3">
        <f t="shared" si="66"/>
        <v>64431.278599999998</v>
      </c>
      <c r="AB40" s="3">
        <f t="shared" si="66"/>
        <v>74982.082999999999</v>
      </c>
      <c r="AC40" s="18">
        <f t="shared" si="66"/>
        <v>73987.611600000004</v>
      </c>
      <c r="AD40" s="18">
        <f t="shared" si="66"/>
        <v>71679.813399999999</v>
      </c>
      <c r="AE40" s="3">
        <f t="shared" si="2"/>
        <v>852978.65339999984</v>
      </c>
    </row>
    <row r="41" spans="1:31" x14ac:dyDescent="0.25">
      <c r="B41" t="s">
        <v>50</v>
      </c>
      <c r="D41" s="5">
        <v>876125</v>
      </c>
      <c r="E41" s="5">
        <v>857160</v>
      </c>
      <c r="F41" s="5">
        <v>833085</v>
      </c>
      <c r="G41" s="5">
        <v>822080</v>
      </c>
      <c r="H41" s="5">
        <v>723037</v>
      </c>
      <c r="I41" s="5">
        <v>574649</v>
      </c>
      <c r="J41" s="5">
        <v>550748</v>
      </c>
      <c r="K41" s="5">
        <v>472503</v>
      </c>
      <c r="L41" s="5">
        <v>508303</v>
      </c>
      <c r="M41" s="5">
        <v>590157</v>
      </c>
      <c r="N41" s="9">
        <v>777279</v>
      </c>
      <c r="O41" s="9">
        <v>846200</v>
      </c>
      <c r="P41" s="2">
        <f t="shared" si="1"/>
        <v>8431326</v>
      </c>
      <c r="Q41" s="2"/>
      <c r="R41" s="176">
        <f>0.08397+0.00354</f>
        <v>8.7510000000000004E-2</v>
      </c>
      <c r="S41" s="3">
        <f t="shared" si="66"/>
        <v>76669.69875000001</v>
      </c>
      <c r="T41" s="3">
        <f t="shared" si="66"/>
        <v>75010.07160000001</v>
      </c>
      <c r="U41" s="3">
        <f t="shared" si="66"/>
        <v>72903.268349999998</v>
      </c>
      <c r="V41" s="3">
        <f t="shared" si="66"/>
        <v>71940.22080000001</v>
      </c>
      <c r="W41" s="3">
        <f t="shared" si="66"/>
        <v>63272.96787</v>
      </c>
      <c r="X41" s="3">
        <f t="shared" si="66"/>
        <v>50287.533990000004</v>
      </c>
      <c r="Y41" s="3">
        <f t="shared" si="66"/>
        <v>48195.957480000005</v>
      </c>
      <c r="Z41" s="3">
        <f t="shared" si="66"/>
        <v>41348.737529999999</v>
      </c>
      <c r="AA41" s="3">
        <f t="shared" si="66"/>
        <v>44481.595529999999</v>
      </c>
      <c r="AB41" s="3">
        <f t="shared" si="66"/>
        <v>51644.639070000005</v>
      </c>
      <c r="AC41" s="18">
        <f t="shared" si="66"/>
        <v>68019.685290000009</v>
      </c>
      <c r="AD41" s="18">
        <f t="shared" si="66"/>
        <v>74050.962</v>
      </c>
      <c r="AE41" s="3">
        <f t="shared" si="2"/>
        <v>737825.33826000011</v>
      </c>
    </row>
    <row r="42" spans="1:31" x14ac:dyDescent="0.25">
      <c r="B42" t="s">
        <v>51</v>
      </c>
      <c r="D42" s="5">
        <v>1684151</v>
      </c>
      <c r="E42" s="5">
        <v>1598827</v>
      </c>
      <c r="F42" s="5">
        <v>1582577</v>
      </c>
      <c r="G42" s="5">
        <v>1472205</v>
      </c>
      <c r="H42" s="5">
        <v>1177500</v>
      </c>
      <c r="I42" s="5">
        <v>843087</v>
      </c>
      <c r="J42" s="5">
        <v>810228</v>
      </c>
      <c r="K42" s="5">
        <v>702496</v>
      </c>
      <c r="L42" s="5">
        <v>734954</v>
      </c>
      <c r="M42" s="5">
        <v>729143</v>
      </c>
      <c r="N42" s="9">
        <v>1131448</v>
      </c>
      <c r="O42" s="9">
        <v>1377878</v>
      </c>
      <c r="P42" s="2">
        <f t="shared" si="1"/>
        <v>13844494</v>
      </c>
      <c r="Q42" s="2"/>
      <c r="R42" s="176">
        <f>0.0755+0.00354</f>
        <v>7.9039999999999999E-2</v>
      </c>
      <c r="S42" s="3">
        <f t="shared" si="66"/>
        <v>133115.29504</v>
      </c>
      <c r="T42" s="3">
        <f t="shared" si="66"/>
        <v>126371.28608000001</v>
      </c>
      <c r="U42" s="3">
        <f t="shared" si="66"/>
        <v>125086.88608</v>
      </c>
      <c r="V42" s="3">
        <f t="shared" si="66"/>
        <v>116363.08319999999</v>
      </c>
      <c r="W42" s="3">
        <f t="shared" si="66"/>
        <v>93069.6</v>
      </c>
      <c r="X42" s="3">
        <f t="shared" si="66"/>
        <v>66637.596479999993</v>
      </c>
      <c r="Y42" s="3">
        <f t="shared" si="66"/>
        <v>64040.421119999999</v>
      </c>
      <c r="Z42" s="3">
        <f t="shared" si="66"/>
        <v>55525.283839999996</v>
      </c>
      <c r="AA42" s="3">
        <f t="shared" si="66"/>
        <v>58090.764159999999</v>
      </c>
      <c r="AB42" s="3">
        <f t="shared" si="66"/>
        <v>57631.462719999996</v>
      </c>
      <c r="AC42" s="18">
        <f t="shared" si="66"/>
        <v>89429.649919999996</v>
      </c>
      <c r="AD42" s="18">
        <f t="shared" si="66"/>
        <v>108907.47712</v>
      </c>
      <c r="AE42" s="3">
        <f t="shared" si="2"/>
        <v>1094268.8057599999</v>
      </c>
    </row>
    <row r="43" spans="1:31" x14ac:dyDescent="0.25">
      <c r="B43" t="s">
        <v>52</v>
      </c>
      <c r="D43" s="5">
        <v>383027</v>
      </c>
      <c r="E43" s="5">
        <v>281285</v>
      </c>
      <c r="F43" s="5">
        <v>259891</v>
      </c>
      <c r="G43" s="5">
        <v>200000</v>
      </c>
      <c r="H43" s="5">
        <v>200000</v>
      </c>
      <c r="I43" s="5">
        <v>200000</v>
      </c>
      <c r="J43" s="5">
        <v>200000</v>
      </c>
      <c r="K43" s="5">
        <v>200000</v>
      </c>
      <c r="L43" s="5">
        <v>200000</v>
      </c>
      <c r="M43" s="5">
        <v>200000</v>
      </c>
      <c r="N43" s="9">
        <v>200000</v>
      </c>
      <c r="O43" s="9">
        <v>222385</v>
      </c>
      <c r="P43" s="2">
        <f t="shared" si="1"/>
        <v>2746588</v>
      </c>
      <c r="Q43" s="2"/>
      <c r="R43" s="176">
        <f>0.06965+0.00354</f>
        <v>7.3190000000000005E-2</v>
      </c>
      <c r="S43" s="3">
        <f t="shared" ref="S43" si="67">$R43*D43</f>
        <v>28033.746130000003</v>
      </c>
      <c r="T43" s="3">
        <f t="shared" ref="T43" si="68">$R43*E43</f>
        <v>20587.24915</v>
      </c>
      <c r="U43" s="3">
        <f t="shared" ref="U43" si="69">$R43*F43</f>
        <v>19021.422290000002</v>
      </c>
      <c r="V43" s="3">
        <f t="shared" ref="V43" si="70">$R43*G43</f>
        <v>14638.000000000002</v>
      </c>
      <c r="W43" s="3">
        <f t="shared" ref="W43" si="71">$R43*H43</f>
        <v>14638.000000000002</v>
      </c>
      <c r="X43" s="3">
        <f t="shared" ref="X43" si="72">$R43*I43</f>
        <v>14638.000000000002</v>
      </c>
      <c r="Y43" s="3">
        <f t="shared" ref="Y43" si="73">$R43*J43</f>
        <v>14638.000000000002</v>
      </c>
      <c r="Z43" s="3">
        <f t="shared" ref="Z43" si="74">$R43*K43</f>
        <v>14638.000000000002</v>
      </c>
      <c r="AA43" s="3">
        <f t="shared" ref="AA43" si="75">$R43*L43</f>
        <v>14638.000000000002</v>
      </c>
      <c r="AB43" s="3">
        <f t="shared" ref="AB43" si="76">$R43*M43</f>
        <v>14638.000000000002</v>
      </c>
      <c r="AC43" s="18">
        <f t="shared" ref="AC43" si="77">$R43*N43</f>
        <v>14638.000000000002</v>
      </c>
      <c r="AD43" s="18">
        <f t="shared" ref="AD43" si="78">$R43*O43</f>
        <v>16276.358150000002</v>
      </c>
      <c r="AE43" s="3">
        <f t="shared" ref="AE43" si="79">SUM(S43:AD43)</f>
        <v>201022.77572000003</v>
      </c>
    </row>
    <row r="44" spans="1:31" x14ac:dyDescent="0.25">
      <c r="B44" t="s">
        <v>53</v>
      </c>
      <c r="D44" s="5">
        <v>307830</v>
      </c>
      <c r="E44" s="5">
        <v>175163</v>
      </c>
      <c r="F44" s="5">
        <v>161036</v>
      </c>
      <c r="G44" s="5">
        <v>136142</v>
      </c>
      <c r="H44" s="5">
        <v>152753</v>
      </c>
      <c r="I44" s="5">
        <v>155801</v>
      </c>
      <c r="J44" s="5">
        <v>117696</v>
      </c>
      <c r="K44" s="5">
        <v>168344</v>
      </c>
      <c r="L44" s="5">
        <v>176555</v>
      </c>
      <c r="M44" s="5">
        <v>57678</v>
      </c>
      <c r="N44" s="9">
        <v>205742</v>
      </c>
      <c r="O44" s="9">
        <v>84651</v>
      </c>
      <c r="P44" s="2">
        <f t="shared" si="1"/>
        <v>1899391</v>
      </c>
      <c r="Q44" s="2"/>
      <c r="R44" s="176">
        <f>0.05179+0.00354</f>
        <v>5.5330000000000004E-2</v>
      </c>
      <c r="S44" s="3">
        <f t="shared" ref="S44:S47" si="80">$R44*D44</f>
        <v>17032.233900000003</v>
      </c>
      <c r="T44" s="3">
        <f t="shared" ref="T44:T47" si="81">$R44*E44</f>
        <v>9691.7687900000001</v>
      </c>
      <c r="U44" s="3">
        <f t="shared" ref="U44:U47" si="82">$R44*F44</f>
        <v>8910.1218800000006</v>
      </c>
      <c r="V44" s="3">
        <f t="shared" ref="V44:V47" si="83">$R44*G44</f>
        <v>7532.7368600000009</v>
      </c>
      <c r="W44" s="3">
        <f t="shared" ref="W44:W47" si="84">$R44*H44</f>
        <v>8451.8234900000007</v>
      </c>
      <c r="X44" s="3">
        <f t="shared" ref="X44:X47" si="85">$R44*I44</f>
        <v>8620.4693299999999</v>
      </c>
      <c r="Y44" s="3">
        <f t="shared" ref="Y44:Y47" si="86">$R44*J44</f>
        <v>6512.1196800000007</v>
      </c>
      <c r="Z44" s="3">
        <f t="shared" ref="Z44:Z47" si="87">$R44*K44</f>
        <v>9314.4735200000014</v>
      </c>
      <c r="AA44" s="3">
        <f t="shared" ref="AA44:AA47" si="88">$R44*L44</f>
        <v>9768.7881500000003</v>
      </c>
      <c r="AB44" s="3">
        <f t="shared" ref="AB44:AB47" si="89">$R44*M44</f>
        <v>3191.3237400000003</v>
      </c>
      <c r="AC44" s="18">
        <f t="shared" ref="AC44" si="90">$R44*N44</f>
        <v>11383.704860000002</v>
      </c>
      <c r="AD44" s="18">
        <f t="shared" ref="AD44" si="91">$R44*O44</f>
        <v>4683.7398300000004</v>
      </c>
      <c r="AE44" s="3">
        <f t="shared" si="2"/>
        <v>105093.30403000001</v>
      </c>
    </row>
    <row r="45" spans="1:31" ht="14.45" customHeight="1" x14ac:dyDescent="0.25">
      <c r="A45" s="11" t="s">
        <v>39</v>
      </c>
      <c r="B45" t="s">
        <v>13</v>
      </c>
      <c r="D45" s="5">
        <v>3</v>
      </c>
      <c r="E45" s="5">
        <v>2</v>
      </c>
      <c r="F45" s="5">
        <v>3</v>
      </c>
      <c r="G45" s="5">
        <v>3</v>
      </c>
      <c r="H45" s="5">
        <v>3</v>
      </c>
      <c r="I45" s="5">
        <v>2</v>
      </c>
      <c r="J45" s="5">
        <v>3</v>
      </c>
      <c r="K45" s="5">
        <v>3</v>
      </c>
      <c r="L45" s="5">
        <v>3</v>
      </c>
      <c r="M45" s="5">
        <v>3</v>
      </c>
      <c r="N45" s="9">
        <v>3</v>
      </c>
      <c r="O45" s="9">
        <v>3</v>
      </c>
      <c r="P45" s="2">
        <f t="shared" si="1"/>
        <v>34</v>
      </c>
      <c r="Q45" s="2"/>
      <c r="R45" s="175">
        <v>0</v>
      </c>
      <c r="S45" s="3">
        <f t="shared" si="80"/>
        <v>0</v>
      </c>
      <c r="T45" s="3">
        <f t="shared" si="81"/>
        <v>0</v>
      </c>
      <c r="U45" s="3">
        <f t="shared" si="82"/>
        <v>0</v>
      </c>
      <c r="V45" s="3">
        <f t="shared" si="83"/>
        <v>0</v>
      </c>
      <c r="W45" s="3">
        <f t="shared" si="84"/>
        <v>0</v>
      </c>
      <c r="X45" s="3">
        <f t="shared" si="85"/>
        <v>0</v>
      </c>
      <c r="Y45" s="3">
        <f t="shared" si="86"/>
        <v>0</v>
      </c>
      <c r="Z45" s="3">
        <f t="shared" si="87"/>
        <v>0</v>
      </c>
      <c r="AA45" s="3">
        <f t="shared" si="88"/>
        <v>0</v>
      </c>
      <c r="AB45" s="3">
        <f t="shared" si="89"/>
        <v>0</v>
      </c>
      <c r="AC45" s="18">
        <f t="shared" ref="AC45:AC47" si="92">$R45*N45</f>
        <v>0</v>
      </c>
      <c r="AD45" s="18">
        <f t="shared" ref="AD45:AD47" si="93">$R45*O45</f>
        <v>0</v>
      </c>
      <c r="AE45" s="3">
        <f t="shared" si="2"/>
        <v>0</v>
      </c>
    </row>
    <row r="46" spans="1:31" x14ac:dyDescent="0.25">
      <c r="A46" s="11"/>
      <c r="B46" t="s">
        <v>54</v>
      </c>
      <c r="D46" s="5">
        <v>282077</v>
      </c>
      <c r="E46" s="5">
        <v>39173</v>
      </c>
      <c r="F46" s="5">
        <v>134413</v>
      </c>
      <c r="G46" s="5">
        <v>54477</v>
      </c>
      <c r="H46" s="5">
        <v>96277</v>
      </c>
      <c r="I46" s="5">
        <v>240428</v>
      </c>
      <c r="J46" s="5">
        <v>144453</v>
      </c>
      <c r="K46" s="5">
        <v>967242</v>
      </c>
      <c r="L46" s="5">
        <v>1028750</v>
      </c>
      <c r="M46" s="5">
        <v>695787</v>
      </c>
      <c r="N46" s="9">
        <v>1062005</v>
      </c>
      <c r="O46" s="9">
        <v>660451</v>
      </c>
      <c r="P46" s="2">
        <f t="shared" si="1"/>
        <v>5405533</v>
      </c>
      <c r="Q46" s="2"/>
      <c r="R46" s="176">
        <v>2.0910000000000002E-2</v>
      </c>
      <c r="S46" s="3">
        <f t="shared" si="80"/>
        <v>5898.2300700000005</v>
      </c>
      <c r="T46" s="3">
        <f t="shared" si="81"/>
        <v>819.10743000000002</v>
      </c>
      <c r="U46" s="3">
        <f t="shared" si="82"/>
        <v>2810.5758300000002</v>
      </c>
      <c r="V46" s="3">
        <f t="shared" si="83"/>
        <v>1139.1140700000001</v>
      </c>
      <c r="W46" s="3">
        <f t="shared" si="84"/>
        <v>2013.1520700000001</v>
      </c>
      <c r="X46" s="3">
        <f t="shared" si="85"/>
        <v>5027.3494800000008</v>
      </c>
      <c r="Y46" s="3">
        <f t="shared" si="86"/>
        <v>3020.5122300000003</v>
      </c>
      <c r="Z46" s="3">
        <f t="shared" si="87"/>
        <v>20225.030220000001</v>
      </c>
      <c r="AA46" s="3">
        <f t="shared" si="88"/>
        <v>21511.162500000002</v>
      </c>
      <c r="AB46" s="3">
        <f t="shared" si="89"/>
        <v>14548.90617</v>
      </c>
      <c r="AC46" s="18">
        <f t="shared" si="92"/>
        <v>22206.524550000002</v>
      </c>
      <c r="AD46" s="18">
        <f t="shared" si="93"/>
        <v>13810.030410000001</v>
      </c>
      <c r="AE46" s="3">
        <f t="shared" si="2"/>
        <v>113029.69503000002</v>
      </c>
    </row>
    <row r="47" spans="1:31" x14ac:dyDescent="0.25">
      <c r="A47" s="11" t="s">
        <v>56</v>
      </c>
      <c r="B47" t="s">
        <v>13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9">
        <v>5</v>
      </c>
      <c r="O47" s="9">
        <v>5</v>
      </c>
      <c r="P47" s="2">
        <f t="shared" si="1"/>
        <v>60</v>
      </c>
      <c r="Q47" s="2"/>
      <c r="R47" s="175">
        <v>200</v>
      </c>
      <c r="S47" s="3">
        <f t="shared" si="80"/>
        <v>1000</v>
      </c>
      <c r="T47" s="3">
        <f t="shared" si="81"/>
        <v>1000</v>
      </c>
      <c r="U47" s="3">
        <f t="shared" si="82"/>
        <v>1000</v>
      </c>
      <c r="V47" s="3">
        <f t="shared" si="83"/>
        <v>1000</v>
      </c>
      <c r="W47" s="3">
        <f t="shared" si="84"/>
        <v>1000</v>
      </c>
      <c r="X47" s="3">
        <f t="shared" si="85"/>
        <v>1000</v>
      </c>
      <c r="Y47" s="3">
        <f t="shared" si="86"/>
        <v>1000</v>
      </c>
      <c r="Z47" s="3">
        <f t="shared" si="87"/>
        <v>1000</v>
      </c>
      <c r="AA47" s="3">
        <f t="shared" si="88"/>
        <v>1000</v>
      </c>
      <c r="AB47" s="3">
        <f t="shared" si="89"/>
        <v>1000</v>
      </c>
      <c r="AC47" s="18">
        <f t="shared" si="92"/>
        <v>1000</v>
      </c>
      <c r="AD47" s="18">
        <f t="shared" si="93"/>
        <v>1000</v>
      </c>
      <c r="AE47" s="3">
        <f t="shared" si="2"/>
        <v>12000</v>
      </c>
    </row>
    <row r="48" spans="1:31" x14ac:dyDescent="0.25">
      <c r="A48" s="11"/>
      <c r="B48" t="s">
        <v>54</v>
      </c>
      <c r="D48" s="5">
        <v>4983146</v>
      </c>
      <c r="E48" s="5">
        <v>4873335</v>
      </c>
      <c r="F48" s="5">
        <v>4412634</v>
      </c>
      <c r="G48" s="5">
        <v>4246981</v>
      </c>
      <c r="H48" s="5">
        <v>3925542</v>
      </c>
      <c r="I48" s="5">
        <v>3690093</v>
      </c>
      <c r="J48" s="5">
        <v>3611778</v>
      </c>
      <c r="K48" s="5">
        <v>3571396</v>
      </c>
      <c r="L48" s="5">
        <v>3533977</v>
      </c>
      <c r="M48" s="5">
        <v>3697655</v>
      </c>
      <c r="N48" s="9">
        <v>4111847</v>
      </c>
      <c r="O48" s="9">
        <v>4453688</v>
      </c>
      <c r="P48" s="2">
        <f t="shared" si="1"/>
        <v>49112072</v>
      </c>
      <c r="Q48" s="2"/>
      <c r="R48" s="177" t="s">
        <v>55</v>
      </c>
      <c r="S48" s="4">
        <v>119928.88</v>
      </c>
      <c r="T48" s="4">
        <v>122458.92</v>
      </c>
      <c r="U48" s="4">
        <v>108150.86</v>
      </c>
      <c r="V48" s="4">
        <v>103514.46</v>
      </c>
      <c r="W48" s="4">
        <v>101484.27</v>
      </c>
      <c r="X48" s="4">
        <v>101434.91</v>
      </c>
      <c r="Y48" s="4">
        <v>100437.45</v>
      </c>
      <c r="Z48" s="4">
        <v>100753.91</v>
      </c>
      <c r="AA48" s="4">
        <v>96856.21</v>
      </c>
      <c r="AB48" s="4">
        <v>100926.43</v>
      </c>
      <c r="AC48" s="10">
        <v>109123.89</v>
      </c>
      <c r="AD48" s="10">
        <v>113767.87</v>
      </c>
      <c r="AE48" s="3">
        <f t="shared" si="2"/>
        <v>1278838.06</v>
      </c>
    </row>
    <row r="50" spans="1:32" x14ac:dyDescent="0.25">
      <c r="A50" t="s">
        <v>30</v>
      </c>
      <c r="B50" t="s">
        <v>17</v>
      </c>
      <c r="D50" s="5">
        <v>9629638</v>
      </c>
      <c r="E50" s="5">
        <v>10422050</v>
      </c>
      <c r="F50" s="5">
        <v>7439883</v>
      </c>
      <c r="G50" s="5">
        <v>4397502</v>
      </c>
      <c r="H50" s="5">
        <v>1567310</v>
      </c>
      <c r="I50" s="5">
        <v>1312050</v>
      </c>
      <c r="J50" s="5">
        <v>1164748</v>
      </c>
      <c r="K50" s="5">
        <v>1295014</v>
      </c>
      <c r="L50" s="5">
        <v>1933114</v>
      </c>
      <c r="M50" s="5">
        <v>5038482</v>
      </c>
      <c r="N50" s="9">
        <v>9771651</v>
      </c>
      <c r="O50" s="9">
        <v>11417514</v>
      </c>
      <c r="P50" s="2">
        <f t="shared" si="1"/>
        <v>65388956</v>
      </c>
      <c r="Q50" s="2"/>
      <c r="S50" s="3">
        <f t="shared" ref="S50:AD50" si="94">SUM(S4:S5)/SUM(D4:D5)*D50</f>
        <v>6179858.8587194607</v>
      </c>
      <c r="T50" s="3">
        <f t="shared" si="94"/>
        <v>6530361.7576132519</v>
      </c>
      <c r="U50" s="3">
        <f t="shared" si="94"/>
        <v>4687680.790337895</v>
      </c>
      <c r="V50" s="3">
        <f t="shared" si="94"/>
        <v>2688134.2198913014</v>
      </c>
      <c r="W50" s="3">
        <f t="shared" si="94"/>
        <v>926414.75656864687</v>
      </c>
      <c r="X50" s="3">
        <f t="shared" si="94"/>
        <v>770762.15767217812</v>
      </c>
      <c r="Y50" s="3">
        <f t="shared" si="94"/>
        <v>685598.37075360154</v>
      </c>
      <c r="Z50" s="3">
        <f t="shared" si="94"/>
        <v>760534.43724490795</v>
      </c>
      <c r="AA50" s="3">
        <f t="shared" si="94"/>
        <v>1138101.4374015981</v>
      </c>
      <c r="AB50" s="3">
        <f t="shared" si="94"/>
        <v>2972552.0253736041</v>
      </c>
      <c r="AC50" s="18">
        <f t="shared" si="94"/>
        <v>5926149.2864300394</v>
      </c>
      <c r="AD50" s="18">
        <f t="shared" si="94"/>
        <v>7193123.3375901747</v>
      </c>
      <c r="AE50" s="3">
        <f t="shared" ref="AE50:AE74" si="95">SUM(S50:AD50)</f>
        <v>40459271.43559666</v>
      </c>
      <c r="AF50" t="s">
        <v>21</v>
      </c>
    </row>
    <row r="51" spans="1:32" x14ac:dyDescent="0.25">
      <c r="B51" t="s">
        <v>18</v>
      </c>
      <c r="D51" s="5">
        <v>-13256855</v>
      </c>
      <c r="E51" s="5">
        <v>-9629638</v>
      </c>
      <c r="F51" s="5">
        <v>-10422050</v>
      </c>
      <c r="G51" s="5">
        <v>-7439883</v>
      </c>
      <c r="H51" s="5">
        <v>-4397502</v>
      </c>
      <c r="I51" s="5">
        <v>-1567310</v>
      </c>
      <c r="J51" s="5">
        <v>-1312050</v>
      </c>
      <c r="K51" s="5">
        <v>-1164748</v>
      </c>
      <c r="L51" s="5">
        <v>-1295014</v>
      </c>
      <c r="M51" s="5">
        <v>-1933114</v>
      </c>
      <c r="N51" s="9">
        <v>-5038482</v>
      </c>
      <c r="O51" s="9">
        <v>-9771651</v>
      </c>
      <c r="P51" s="2">
        <f t="shared" si="1"/>
        <v>-67228297</v>
      </c>
      <c r="Q51" s="2"/>
      <c r="S51" s="3">
        <f>SUM(S4:S5)/SUM(D4:D5)*D51</f>
        <v>-8507639.9352197237</v>
      </c>
      <c r="T51" s="3">
        <f>-S50</f>
        <v>-6179858.8587194607</v>
      </c>
      <c r="U51" s="3">
        <f t="shared" ref="U51:AD51" si="96">-T50</f>
        <v>-6530361.7576132519</v>
      </c>
      <c r="V51" s="3">
        <f t="shared" si="96"/>
        <v>-4687680.790337895</v>
      </c>
      <c r="W51" s="3">
        <f t="shared" si="96"/>
        <v>-2688134.2198913014</v>
      </c>
      <c r="X51" s="3">
        <f t="shared" si="96"/>
        <v>-926414.75656864687</v>
      </c>
      <c r="Y51" s="3">
        <f t="shared" si="96"/>
        <v>-770762.15767217812</v>
      </c>
      <c r="Z51" s="3">
        <f t="shared" si="96"/>
        <v>-685598.37075360154</v>
      </c>
      <c r="AA51" s="3">
        <f t="shared" si="96"/>
        <v>-760534.43724490795</v>
      </c>
      <c r="AB51" s="3">
        <f t="shared" si="96"/>
        <v>-1138101.4374015981</v>
      </c>
      <c r="AC51" s="18">
        <f t="shared" si="96"/>
        <v>-2972552.0253736041</v>
      </c>
      <c r="AD51" s="18">
        <f t="shared" si="96"/>
        <v>-5926149.2864300394</v>
      </c>
      <c r="AE51" s="3">
        <f t="shared" si="95"/>
        <v>-41773788.033226207</v>
      </c>
      <c r="AF51" t="s">
        <v>22</v>
      </c>
    </row>
    <row r="52" spans="1:32" x14ac:dyDescent="0.25">
      <c r="B52" t="s">
        <v>16</v>
      </c>
      <c r="D52" s="6">
        <f>D50+D51</f>
        <v>-3627217</v>
      </c>
      <c r="E52" s="6">
        <f t="shared" ref="E52:O52" si="97">E50+E51</f>
        <v>792412</v>
      </c>
      <c r="F52" s="6">
        <f t="shared" si="97"/>
        <v>-2982167</v>
      </c>
      <c r="G52" s="6">
        <f t="shared" si="97"/>
        <v>-3042381</v>
      </c>
      <c r="H52" s="6">
        <f t="shared" si="97"/>
        <v>-2830192</v>
      </c>
      <c r="I52" s="6">
        <f t="shared" si="97"/>
        <v>-255260</v>
      </c>
      <c r="J52" s="6">
        <f t="shared" si="97"/>
        <v>-147302</v>
      </c>
      <c r="K52" s="6">
        <f t="shared" si="97"/>
        <v>130266</v>
      </c>
      <c r="L52" s="6">
        <f t="shared" si="97"/>
        <v>638100</v>
      </c>
      <c r="M52" s="6">
        <f t="shared" si="97"/>
        <v>3105368</v>
      </c>
      <c r="N52" s="15">
        <f t="shared" si="97"/>
        <v>4733169</v>
      </c>
      <c r="O52" s="15">
        <f t="shared" si="97"/>
        <v>1645863</v>
      </c>
      <c r="P52" s="2">
        <f t="shared" si="1"/>
        <v>-1839341</v>
      </c>
      <c r="Q52" s="2"/>
      <c r="R52" s="176">
        <f>ROUND(SUM(AE4:AE5)/SUM(P4:P5),5)</f>
        <v>0.62083999999999995</v>
      </c>
      <c r="S52" s="3">
        <f t="shared" ref="S52:AD52" si="98">$R52*D52</f>
        <v>-2251921.40228</v>
      </c>
      <c r="T52" s="3">
        <f t="shared" si="98"/>
        <v>491961.06607999996</v>
      </c>
      <c r="U52" s="3">
        <f t="shared" si="98"/>
        <v>-1851448.5602799999</v>
      </c>
      <c r="V52" s="3">
        <f t="shared" si="98"/>
        <v>-1888831.8200399999</v>
      </c>
      <c r="W52" s="3">
        <f t="shared" si="98"/>
        <v>-1757096.4012799999</v>
      </c>
      <c r="X52" s="3">
        <f t="shared" si="98"/>
        <v>-158475.61839999998</v>
      </c>
      <c r="Y52" s="3">
        <f t="shared" si="98"/>
        <v>-91450.973679999996</v>
      </c>
      <c r="Z52" s="3">
        <f t="shared" si="98"/>
        <v>80874.343439999997</v>
      </c>
      <c r="AA52" s="3">
        <f t="shared" si="98"/>
        <v>396158.00399999996</v>
      </c>
      <c r="AB52" s="3">
        <f t="shared" si="98"/>
        <v>1927936.6691199997</v>
      </c>
      <c r="AC52" s="18">
        <f t="shared" si="98"/>
        <v>2938540.6419599997</v>
      </c>
      <c r="AD52" s="18">
        <f t="shared" si="98"/>
        <v>1021817.5849199999</v>
      </c>
      <c r="AE52" s="3">
        <f t="shared" si="95"/>
        <v>-1141936.4664400001</v>
      </c>
      <c r="AF52" t="s">
        <v>23</v>
      </c>
    </row>
    <row r="53" spans="1:32" x14ac:dyDescent="0.25">
      <c r="A53" t="s">
        <v>32</v>
      </c>
      <c r="B53" t="s">
        <v>17</v>
      </c>
      <c r="D53" s="5">
        <v>3107754</v>
      </c>
      <c r="E53" s="5">
        <v>3767306</v>
      </c>
      <c r="F53" s="5">
        <v>2589731</v>
      </c>
      <c r="G53" s="5">
        <v>1701302</v>
      </c>
      <c r="H53" s="5">
        <v>772170</v>
      </c>
      <c r="I53" s="5">
        <v>804108</v>
      </c>
      <c r="J53" s="5">
        <v>704295</v>
      </c>
      <c r="K53" s="5">
        <v>846222</v>
      </c>
      <c r="L53" s="5">
        <v>1188000</v>
      </c>
      <c r="M53" s="5">
        <v>2308113</v>
      </c>
      <c r="N53" s="9">
        <v>3719804</v>
      </c>
      <c r="O53" s="26">
        <f>7634427-3544231-134000</f>
        <v>3956196</v>
      </c>
      <c r="P53" s="2">
        <f t="shared" si="1"/>
        <v>25465001</v>
      </c>
      <c r="Q53" s="2"/>
      <c r="S53" s="3">
        <f>SUM(S10:S12)/SUM(D10:D12)*D53</f>
        <v>1527918.259167152</v>
      </c>
      <c r="T53" s="3">
        <f>SUM(T10:T12)/SUM(E10:E12)*E53</f>
        <v>1849230.6188866026</v>
      </c>
      <c r="U53" s="3">
        <f t="shared" ref="U53:AD53" si="99">SUM(U10:U12)/SUM(F10:F12)*F53</f>
        <v>1271367.4700107104</v>
      </c>
      <c r="V53" s="3">
        <f t="shared" si="99"/>
        <v>830128.80561218376</v>
      </c>
      <c r="W53" s="3">
        <f t="shared" si="99"/>
        <v>367037.26677546313</v>
      </c>
      <c r="X53" s="3">
        <f t="shared" si="99"/>
        <v>369130.16151270742</v>
      </c>
      <c r="Y53" s="3">
        <f t="shared" si="99"/>
        <v>320901.1416892492</v>
      </c>
      <c r="Z53" s="3">
        <f t="shared" si="99"/>
        <v>385508.51819307369</v>
      </c>
      <c r="AA53" s="3">
        <f t="shared" si="99"/>
        <v>543726.26419569144</v>
      </c>
      <c r="AB53" s="3">
        <f t="shared" si="99"/>
        <v>1078648.5496466446</v>
      </c>
      <c r="AC53" s="18">
        <f t="shared" si="99"/>
        <v>1801953.6836433564</v>
      </c>
      <c r="AD53" s="18">
        <f t="shared" si="99"/>
        <v>1941725.2235727352</v>
      </c>
      <c r="AE53" s="3">
        <f t="shared" si="95"/>
        <v>12287275.962905569</v>
      </c>
      <c r="AF53" t="s">
        <v>21</v>
      </c>
    </row>
    <row r="54" spans="1:32" x14ac:dyDescent="0.25">
      <c r="B54" t="s">
        <v>18</v>
      </c>
      <c r="D54" s="5">
        <v>-4499374</v>
      </c>
      <c r="E54" s="5">
        <v>-3107754</v>
      </c>
      <c r="F54" s="5">
        <v>-3767306</v>
      </c>
      <c r="G54" s="5">
        <v>-2589731</v>
      </c>
      <c r="H54" s="5">
        <v>-1701302</v>
      </c>
      <c r="I54" s="5">
        <v>-772170</v>
      </c>
      <c r="J54" s="5">
        <v>-804108</v>
      </c>
      <c r="K54" s="5">
        <v>-704295</v>
      </c>
      <c r="L54" s="5">
        <v>-846222</v>
      </c>
      <c r="M54" s="5">
        <v>-1188000</v>
      </c>
      <c r="N54" s="9">
        <v>-2308113</v>
      </c>
      <c r="O54" s="9">
        <v>-3719804</v>
      </c>
      <c r="P54" s="2">
        <f t="shared" si="1"/>
        <v>-26008179</v>
      </c>
      <c r="Q54" s="2"/>
      <c r="S54" s="3">
        <f>SUM(S10:S12)/SUM(D10:D12)*D54</f>
        <v>-2212104.20432954</v>
      </c>
      <c r="T54" s="3">
        <f>-S53</f>
        <v>-1527918.259167152</v>
      </c>
      <c r="U54" s="3">
        <f t="shared" ref="U54:AD54" si="100">-T53</f>
        <v>-1849230.6188866026</v>
      </c>
      <c r="V54" s="3">
        <f t="shared" si="100"/>
        <v>-1271367.4700107104</v>
      </c>
      <c r="W54" s="3">
        <f t="shared" si="100"/>
        <v>-830128.80561218376</v>
      </c>
      <c r="X54" s="3">
        <f t="shared" si="100"/>
        <v>-367037.26677546313</v>
      </c>
      <c r="Y54" s="3">
        <f t="shared" si="100"/>
        <v>-369130.16151270742</v>
      </c>
      <c r="Z54" s="3">
        <f t="shared" si="100"/>
        <v>-320901.1416892492</v>
      </c>
      <c r="AA54" s="3">
        <f t="shared" si="100"/>
        <v>-385508.51819307369</v>
      </c>
      <c r="AB54" s="3">
        <f t="shared" si="100"/>
        <v>-543726.26419569144</v>
      </c>
      <c r="AC54" s="18">
        <f t="shared" si="100"/>
        <v>-1078648.5496466446</v>
      </c>
      <c r="AD54" s="18">
        <f t="shared" si="100"/>
        <v>-1801953.6836433564</v>
      </c>
      <c r="AE54" s="3">
        <f t="shared" si="95"/>
        <v>-12557654.943662373</v>
      </c>
      <c r="AF54" t="s">
        <v>22</v>
      </c>
    </row>
    <row r="55" spans="1:32" x14ac:dyDescent="0.25">
      <c r="B55" t="s">
        <v>16</v>
      </c>
      <c r="D55" s="6">
        <f>D53+D54</f>
        <v>-1391620</v>
      </c>
      <c r="E55" s="6">
        <f t="shared" ref="E55:O55" si="101">E53+E54</f>
        <v>659552</v>
      </c>
      <c r="F55" s="6">
        <f t="shared" si="101"/>
        <v>-1177575</v>
      </c>
      <c r="G55" s="6">
        <f t="shared" si="101"/>
        <v>-888429</v>
      </c>
      <c r="H55" s="6">
        <f t="shared" si="101"/>
        <v>-929132</v>
      </c>
      <c r="I55" s="6">
        <f t="shared" si="101"/>
        <v>31938</v>
      </c>
      <c r="J55" s="6">
        <f t="shared" si="101"/>
        <v>-99813</v>
      </c>
      <c r="K55" s="6">
        <f t="shared" si="101"/>
        <v>141927</v>
      </c>
      <c r="L55" s="6">
        <f t="shared" si="101"/>
        <v>341778</v>
      </c>
      <c r="M55" s="6">
        <f t="shared" si="101"/>
        <v>1120113</v>
      </c>
      <c r="N55" s="15">
        <f t="shared" si="101"/>
        <v>1411691</v>
      </c>
      <c r="O55" s="15">
        <f t="shared" si="101"/>
        <v>236392</v>
      </c>
      <c r="P55" s="2">
        <f t="shared" si="1"/>
        <v>-543178</v>
      </c>
      <c r="Q55" s="2"/>
      <c r="R55" s="176">
        <f>ROUND(SUM(AE10:AE12)/SUM(P10:P12),5)</f>
        <v>0.4839</v>
      </c>
      <c r="S55" s="3">
        <f t="shared" ref="S55:AD55" si="102">$R55*D55</f>
        <v>-673404.91799999995</v>
      </c>
      <c r="T55" s="3">
        <f t="shared" si="102"/>
        <v>319157.21279999998</v>
      </c>
      <c r="U55" s="3">
        <f t="shared" si="102"/>
        <v>-569828.54249999998</v>
      </c>
      <c r="V55" s="3">
        <f t="shared" si="102"/>
        <v>-429910.79310000001</v>
      </c>
      <c r="W55" s="3">
        <f t="shared" si="102"/>
        <v>-449606.97480000003</v>
      </c>
      <c r="X55" s="3">
        <f t="shared" si="102"/>
        <v>15454.798199999999</v>
      </c>
      <c r="Y55" s="3">
        <f t="shared" si="102"/>
        <v>-48299.510699999999</v>
      </c>
      <c r="Z55" s="3">
        <f t="shared" si="102"/>
        <v>68678.475300000006</v>
      </c>
      <c r="AA55" s="3">
        <f t="shared" si="102"/>
        <v>165386.37419999999</v>
      </c>
      <c r="AB55" s="3">
        <f t="shared" si="102"/>
        <v>542022.68070000003</v>
      </c>
      <c r="AC55" s="18">
        <f t="shared" si="102"/>
        <v>683117.27489999996</v>
      </c>
      <c r="AD55" s="18">
        <f t="shared" si="102"/>
        <v>114390.0888</v>
      </c>
      <c r="AE55" s="3">
        <f t="shared" si="95"/>
        <v>-262843.83420000004</v>
      </c>
      <c r="AF55" t="s">
        <v>23</v>
      </c>
    </row>
    <row r="56" spans="1:32" x14ac:dyDescent="0.25">
      <c r="A56" t="s">
        <v>33</v>
      </c>
      <c r="B56" t="s">
        <v>17</v>
      </c>
      <c r="D56" s="5">
        <v>7144</v>
      </c>
      <c r="E56" s="5">
        <v>10765</v>
      </c>
      <c r="F56" s="5">
        <v>5304</v>
      </c>
      <c r="G56" s="5">
        <v>3881</v>
      </c>
      <c r="H56" s="5">
        <v>1511</v>
      </c>
      <c r="I56" s="5">
        <v>2534</v>
      </c>
      <c r="J56" s="5">
        <v>2243</v>
      </c>
      <c r="K56" s="5">
        <v>2890</v>
      </c>
      <c r="L56" s="5">
        <v>5590</v>
      </c>
      <c r="M56" s="5">
        <v>9457</v>
      </c>
      <c r="N56" s="5">
        <v>15496</v>
      </c>
      <c r="O56" s="5">
        <v>10281</v>
      </c>
      <c r="P56" s="2">
        <f t="shared" si="1"/>
        <v>77096</v>
      </c>
      <c r="Q56" s="2"/>
      <c r="R56" s="176"/>
      <c r="S56" s="3">
        <f>SUM(S14:S16)/SUM(D14:D16)*D56</f>
        <v>4025.6550714458699</v>
      </c>
      <c r="T56" s="3">
        <f>SUM(T14:T16)/SUM(E14:E16)*E56</f>
        <v>6065.9894845900099</v>
      </c>
      <c r="U56" s="3">
        <f t="shared" ref="U56:AD56" si="103">SUM(U14:U16)/SUM(F14:F16)*F56</f>
        <v>2990.0395036418518</v>
      </c>
      <c r="V56" s="3">
        <f t="shared" si="103"/>
        <v>2188.5166057160213</v>
      </c>
      <c r="W56" s="3">
        <f t="shared" si="103"/>
        <v>853.60448027309417</v>
      </c>
      <c r="X56" s="3">
        <f t="shared" si="103"/>
        <v>1431.8308692230016</v>
      </c>
      <c r="Y56" s="3">
        <f t="shared" si="103"/>
        <v>1268.3420877012045</v>
      </c>
      <c r="Z56" s="3">
        <f t="shared" si="103"/>
        <v>1634.2847862021399</v>
      </c>
      <c r="AA56" s="3">
        <f t="shared" si="103"/>
        <v>3155.9706581688906</v>
      </c>
      <c r="AB56" s="3">
        <f t="shared" si="103"/>
        <v>5334.3052299318779</v>
      </c>
      <c r="AC56" s="3">
        <f t="shared" si="103"/>
        <v>8732.3680534112045</v>
      </c>
      <c r="AD56" s="3">
        <f t="shared" si="103"/>
        <v>5793.6466811966693</v>
      </c>
      <c r="AE56" s="3">
        <f t="shared" si="95"/>
        <v>43474.553511501836</v>
      </c>
    </row>
    <row r="57" spans="1:32" x14ac:dyDescent="0.25">
      <c r="B57" t="s">
        <v>18</v>
      </c>
      <c r="D57" s="5">
        <v>-14283</v>
      </c>
      <c r="E57" s="5">
        <v>-7144</v>
      </c>
      <c r="F57" s="5">
        <v>-10765</v>
      </c>
      <c r="G57" s="5">
        <v>-5304</v>
      </c>
      <c r="H57" s="5">
        <v>-3881</v>
      </c>
      <c r="I57" s="5">
        <v>-1511</v>
      </c>
      <c r="J57" s="5">
        <v>-2534</v>
      </c>
      <c r="K57" s="5">
        <v>-2243</v>
      </c>
      <c r="L57" s="5">
        <v>-2890</v>
      </c>
      <c r="M57" s="5">
        <v>-5590</v>
      </c>
      <c r="N57" s="5">
        <v>-9457</v>
      </c>
      <c r="O57" s="5">
        <v>-15496</v>
      </c>
      <c r="P57" s="2">
        <f t="shared" si="1"/>
        <v>-81098</v>
      </c>
      <c r="Q57" s="2"/>
      <c r="R57" s="176"/>
      <c r="S57" s="3">
        <f>SUM(S13:S14)/SUM(D13:D14)*D57</f>
        <v>-11295.650149253732</v>
      </c>
      <c r="T57" s="3">
        <f>-S56</f>
        <v>-4025.6550714458699</v>
      </c>
      <c r="U57" s="3">
        <f t="shared" ref="U57:AD57" si="104">-T56</f>
        <v>-6065.9894845900099</v>
      </c>
      <c r="V57" s="3">
        <f t="shared" si="104"/>
        <v>-2990.0395036418518</v>
      </c>
      <c r="W57" s="3">
        <f t="shared" si="104"/>
        <v>-2188.5166057160213</v>
      </c>
      <c r="X57" s="3">
        <f t="shared" si="104"/>
        <v>-853.60448027309417</v>
      </c>
      <c r="Y57" s="3">
        <f t="shared" si="104"/>
        <v>-1431.8308692230016</v>
      </c>
      <c r="Z57" s="3">
        <f t="shared" si="104"/>
        <v>-1268.3420877012045</v>
      </c>
      <c r="AA57" s="3">
        <f t="shared" si="104"/>
        <v>-1634.2847862021399</v>
      </c>
      <c r="AB57" s="3">
        <f t="shared" si="104"/>
        <v>-3155.9706581688906</v>
      </c>
      <c r="AC57" s="18">
        <f t="shared" si="104"/>
        <v>-5334.3052299318779</v>
      </c>
      <c r="AD57" s="18">
        <f t="shared" si="104"/>
        <v>-8732.3680534112045</v>
      </c>
      <c r="AE57" s="3">
        <f t="shared" si="95"/>
        <v>-48976.556979558904</v>
      </c>
    </row>
    <row r="58" spans="1:32" x14ac:dyDescent="0.25">
      <c r="B58" t="s">
        <v>16</v>
      </c>
      <c r="D58" s="15">
        <f t="shared" ref="D58:L58" si="105">D56+D57</f>
        <v>-7139</v>
      </c>
      <c r="E58" s="15">
        <f t="shared" si="105"/>
        <v>3621</v>
      </c>
      <c r="F58" s="15">
        <f t="shared" si="105"/>
        <v>-5461</v>
      </c>
      <c r="G58" s="15">
        <f t="shared" si="105"/>
        <v>-1423</v>
      </c>
      <c r="H58" s="15">
        <f t="shared" si="105"/>
        <v>-2370</v>
      </c>
      <c r="I58" s="15">
        <f t="shared" si="105"/>
        <v>1023</v>
      </c>
      <c r="J58" s="15">
        <f t="shared" si="105"/>
        <v>-291</v>
      </c>
      <c r="K58" s="15">
        <f t="shared" si="105"/>
        <v>647</v>
      </c>
      <c r="L58" s="15">
        <f t="shared" si="105"/>
        <v>2700</v>
      </c>
      <c r="M58" s="15">
        <f t="shared" ref="M58:O58" si="106">M56+M57</f>
        <v>3867</v>
      </c>
      <c r="N58" s="15">
        <f t="shared" si="106"/>
        <v>6039</v>
      </c>
      <c r="O58" s="15">
        <f t="shared" si="106"/>
        <v>-5215</v>
      </c>
      <c r="P58" s="2">
        <f t="shared" si="1"/>
        <v>-4002</v>
      </c>
      <c r="Q58" s="2"/>
      <c r="R58" s="176">
        <f>ROUND(SUM(AE14:AE16)/SUM(P14:P16),5)</f>
        <v>0.56393000000000004</v>
      </c>
      <c r="S58" s="3">
        <f>$R58*D58</f>
        <v>-4025.8962700000002</v>
      </c>
      <c r="T58" s="3">
        <f t="shared" ref="T58" si="107">$R58*E58</f>
        <v>2041.9905300000003</v>
      </c>
      <c r="U58" s="3">
        <f t="shared" ref="U58" si="108">$R58*F58</f>
        <v>-3079.6217300000003</v>
      </c>
      <c r="V58" s="3">
        <f t="shared" ref="V58" si="109">$R58*G58</f>
        <v>-802.47239000000002</v>
      </c>
      <c r="W58" s="3">
        <f t="shared" ref="W58" si="110">$R58*H58</f>
        <v>-1336.5141000000001</v>
      </c>
      <c r="X58" s="3">
        <f t="shared" ref="X58" si="111">$R58*I58</f>
        <v>576.90039000000002</v>
      </c>
      <c r="Y58" s="3">
        <f t="shared" ref="Y58" si="112">$R58*J58</f>
        <v>-164.10363000000001</v>
      </c>
      <c r="Z58" s="3">
        <f t="shared" ref="Z58" si="113">$R58*K58</f>
        <v>364.86271000000005</v>
      </c>
      <c r="AA58" s="3">
        <f t="shared" ref="AA58" si="114">$R58*L58</f>
        <v>1522.6110000000001</v>
      </c>
      <c r="AB58" s="3">
        <f t="shared" ref="AB58" si="115">$R58*M58</f>
        <v>2180.71731</v>
      </c>
      <c r="AC58" s="18">
        <f t="shared" ref="AC58" si="116">$R58*N58</f>
        <v>3405.5732700000003</v>
      </c>
      <c r="AD58" s="18">
        <f t="shared" ref="AD58" si="117">$R58*O58</f>
        <v>-2940.8949500000003</v>
      </c>
      <c r="AE58" s="3">
        <f t="shared" si="95"/>
        <v>-2256.8478599999999</v>
      </c>
    </row>
    <row r="59" spans="1:32" x14ac:dyDescent="0.25">
      <c r="A59" t="s">
        <v>34</v>
      </c>
      <c r="B59" t="s">
        <v>17</v>
      </c>
      <c r="D59" s="5">
        <v>199450</v>
      </c>
      <c r="E59" s="5">
        <v>241971</v>
      </c>
      <c r="F59" s="5">
        <v>164598</v>
      </c>
      <c r="G59" s="5">
        <v>118764</v>
      </c>
      <c r="H59" s="5">
        <v>60281</v>
      </c>
      <c r="I59" s="5">
        <v>104394</v>
      </c>
      <c r="J59" s="5">
        <v>103836</v>
      </c>
      <c r="K59" s="5">
        <v>139424</v>
      </c>
      <c r="L59" s="5">
        <v>175022</v>
      </c>
      <c r="M59" s="5">
        <v>256977</v>
      </c>
      <c r="N59" s="9">
        <v>297046</v>
      </c>
      <c r="O59" s="26">
        <f>-3544231+3544231+134000</f>
        <v>134000</v>
      </c>
      <c r="P59" s="2">
        <f t="shared" si="1"/>
        <v>1995763</v>
      </c>
      <c r="Q59" s="2"/>
      <c r="S59" s="3">
        <f>SUM(S18:S22)/SUM(D18:D22)*D59</f>
        <v>95952.922986680875</v>
      </c>
      <c r="T59" s="3">
        <f t="shared" ref="T59:AD59" si="118">SUM(T18:T19)/SUM(E18:E19)*E59</f>
        <v>105141.23892</v>
      </c>
      <c r="U59" s="3">
        <f t="shared" si="118"/>
        <v>71521.122960000008</v>
      </c>
      <c r="V59" s="3">
        <f t="shared" si="118"/>
        <v>51605.333279999999</v>
      </c>
      <c r="W59" s="3">
        <f t="shared" si="118"/>
        <v>26135.246951442299</v>
      </c>
      <c r="X59" s="3">
        <f t="shared" si="118"/>
        <v>45122.624656919885</v>
      </c>
      <c r="Y59" s="3">
        <f t="shared" si="118"/>
        <v>44884.015061884507</v>
      </c>
      <c r="Z59" s="3">
        <f t="shared" si="118"/>
        <v>60200.864488735817</v>
      </c>
      <c r="AA59" s="3">
        <f t="shared" si="118"/>
        <v>76050.559440000012</v>
      </c>
      <c r="AB59" s="3">
        <f t="shared" si="118"/>
        <v>111363.06278244112</v>
      </c>
      <c r="AC59" s="18">
        <f t="shared" si="118"/>
        <v>129072.42792</v>
      </c>
      <c r="AD59" s="18">
        <f t="shared" si="118"/>
        <v>58090.52093029191</v>
      </c>
      <c r="AE59" s="3">
        <f t="shared" si="95"/>
        <v>875139.94037839654</v>
      </c>
      <c r="AF59" t="s">
        <v>21</v>
      </c>
    </row>
    <row r="60" spans="1:32" x14ac:dyDescent="0.25">
      <c r="B60" t="s">
        <v>18</v>
      </c>
      <c r="D60" s="5">
        <v>-318891</v>
      </c>
      <c r="E60" s="5">
        <v>-199450</v>
      </c>
      <c r="F60" s="5">
        <v>-241971</v>
      </c>
      <c r="G60" s="5">
        <v>-164598</v>
      </c>
      <c r="H60" s="5">
        <v>-118764</v>
      </c>
      <c r="I60" s="5">
        <v>-60281</v>
      </c>
      <c r="J60" s="5">
        <v>-104394</v>
      </c>
      <c r="K60" s="5">
        <v>-103836</v>
      </c>
      <c r="L60" s="5">
        <v>-139424</v>
      </c>
      <c r="M60" s="5">
        <v>-175022</v>
      </c>
      <c r="N60" s="9">
        <v>-256977</v>
      </c>
      <c r="O60" s="9">
        <v>-297046</v>
      </c>
      <c r="P60" s="2">
        <f t="shared" ref="P60:P74" si="119">SUM(D60:O60)</f>
        <v>-2180654</v>
      </c>
      <c r="Q60" s="2"/>
      <c r="S60" s="3">
        <f>SUM(S18:S22)/SUM(D18:D22)*D60</f>
        <v>-153414.50771694988</v>
      </c>
      <c r="T60" s="3">
        <f>-S59</f>
        <v>-95952.922986680875</v>
      </c>
      <c r="U60" s="3">
        <f t="shared" ref="U60:AD60" si="120">-T59</f>
        <v>-105141.23892</v>
      </c>
      <c r="V60" s="3">
        <f t="shared" si="120"/>
        <v>-71521.122960000008</v>
      </c>
      <c r="W60" s="3">
        <f t="shared" si="120"/>
        <v>-51605.333279999999</v>
      </c>
      <c r="X60" s="3">
        <f t="shared" si="120"/>
        <v>-26135.246951442299</v>
      </c>
      <c r="Y60" s="3">
        <f t="shared" si="120"/>
        <v>-45122.624656919885</v>
      </c>
      <c r="Z60" s="3">
        <f t="shared" si="120"/>
        <v>-44884.015061884507</v>
      </c>
      <c r="AA60" s="3">
        <f t="shared" si="120"/>
        <v>-60200.864488735817</v>
      </c>
      <c r="AB60" s="3">
        <f t="shared" si="120"/>
        <v>-76050.559440000012</v>
      </c>
      <c r="AC60" s="18">
        <f t="shared" si="120"/>
        <v>-111363.06278244112</v>
      </c>
      <c r="AD60" s="18">
        <f t="shared" si="120"/>
        <v>-129072.42792</v>
      </c>
      <c r="AE60" s="3">
        <f t="shared" si="95"/>
        <v>-970463.92716505448</v>
      </c>
      <c r="AF60" t="s">
        <v>22</v>
      </c>
    </row>
    <row r="61" spans="1:32" x14ac:dyDescent="0.25">
      <c r="B61" t="s">
        <v>16</v>
      </c>
      <c r="D61" s="6">
        <f>D59+D60</f>
        <v>-119441</v>
      </c>
      <c r="E61" s="6">
        <f t="shared" ref="E61:O61" si="121">E59+E60</f>
        <v>42521</v>
      </c>
      <c r="F61" s="6">
        <f t="shared" si="121"/>
        <v>-77373</v>
      </c>
      <c r="G61" s="6">
        <f t="shared" si="121"/>
        <v>-45834</v>
      </c>
      <c r="H61" s="6">
        <f t="shared" si="121"/>
        <v>-58483</v>
      </c>
      <c r="I61" s="6">
        <f t="shared" si="121"/>
        <v>44113</v>
      </c>
      <c r="J61" s="6">
        <f t="shared" si="121"/>
        <v>-558</v>
      </c>
      <c r="K61" s="6">
        <f t="shared" si="121"/>
        <v>35588</v>
      </c>
      <c r="L61" s="6">
        <f t="shared" si="121"/>
        <v>35598</v>
      </c>
      <c r="M61" s="6">
        <f t="shared" si="121"/>
        <v>81955</v>
      </c>
      <c r="N61" s="15">
        <f t="shared" si="121"/>
        <v>40069</v>
      </c>
      <c r="O61" s="15">
        <f t="shared" si="121"/>
        <v>-163046</v>
      </c>
      <c r="P61" s="2">
        <f t="shared" si="119"/>
        <v>-184891</v>
      </c>
      <c r="Q61" s="2"/>
      <c r="R61" s="176">
        <f>ROUND(SUM(AE18:AE22)/SUM(P18:P22),5)</f>
        <v>0.45498</v>
      </c>
      <c r="S61" s="3">
        <f t="shared" ref="S61:AD61" si="122">$R61*D61</f>
        <v>-54343.266179999999</v>
      </c>
      <c r="T61" s="3">
        <f t="shared" si="122"/>
        <v>19346.204580000001</v>
      </c>
      <c r="U61" s="3">
        <f t="shared" si="122"/>
        <v>-35203.167540000002</v>
      </c>
      <c r="V61" s="3">
        <f t="shared" si="122"/>
        <v>-20853.553319999999</v>
      </c>
      <c r="W61" s="3">
        <f t="shared" si="122"/>
        <v>-26608.59534</v>
      </c>
      <c r="X61" s="3">
        <f t="shared" si="122"/>
        <v>20070.532739999999</v>
      </c>
      <c r="Y61" s="3">
        <f t="shared" si="122"/>
        <v>-253.87884</v>
      </c>
      <c r="Z61" s="3">
        <f t="shared" si="122"/>
        <v>16191.828240000001</v>
      </c>
      <c r="AA61" s="3">
        <f t="shared" si="122"/>
        <v>16196.37804</v>
      </c>
      <c r="AB61" s="3">
        <f t="shared" si="122"/>
        <v>37287.885900000001</v>
      </c>
      <c r="AC61" s="18">
        <f t="shared" si="122"/>
        <v>18230.59362</v>
      </c>
      <c r="AD61" s="18">
        <f t="shared" si="122"/>
        <v>-74182.669079999992</v>
      </c>
      <c r="AE61" s="3">
        <f t="shared" si="95"/>
        <v>-84121.707180000027</v>
      </c>
      <c r="AF61" t="s">
        <v>23</v>
      </c>
    </row>
    <row r="62" spans="1:32" x14ac:dyDescent="0.25">
      <c r="A62" t="s">
        <v>35</v>
      </c>
      <c r="B62" t="s">
        <v>17</v>
      </c>
      <c r="D62" s="5"/>
      <c r="E62" s="5"/>
      <c r="F62" s="5"/>
      <c r="G62" s="5"/>
      <c r="H62" s="5">
        <v>10130</v>
      </c>
      <c r="I62" s="5">
        <v>12930</v>
      </c>
      <c r="J62" s="5">
        <v>11440</v>
      </c>
      <c r="K62" s="5">
        <v>14270</v>
      </c>
      <c r="L62" s="5">
        <v>19687</v>
      </c>
      <c r="M62" s="5">
        <v>24585</v>
      </c>
      <c r="N62" s="5">
        <v>28425</v>
      </c>
      <c r="O62" s="5">
        <v>32072</v>
      </c>
      <c r="P62" s="2">
        <f t="shared" ref="P62" si="123">SUM(D62:O62)</f>
        <v>153539</v>
      </c>
      <c r="Q62" s="2"/>
      <c r="R62" s="176"/>
      <c r="S62" s="3">
        <f>SUM(S24:S28)/SUM(D24:D28)*D62</f>
        <v>0</v>
      </c>
      <c r="T62" s="3">
        <f>SUM(T24:T28)/SUM(E24:E28)*E62</f>
        <v>0</v>
      </c>
      <c r="U62" s="3">
        <f t="shared" ref="U62:AD62" si="124">SUM(U24:U28)/SUM(F24:F28)*F62</f>
        <v>0</v>
      </c>
      <c r="V62" s="3">
        <f t="shared" si="124"/>
        <v>0</v>
      </c>
      <c r="W62" s="3">
        <f t="shared" si="124"/>
        <v>5106.1326544787999</v>
      </c>
      <c r="X62" s="3">
        <f t="shared" si="124"/>
        <v>6802.4261229459744</v>
      </c>
      <c r="Y62" s="3">
        <f t="shared" si="124"/>
        <v>6150.9567514258333</v>
      </c>
      <c r="Z62" s="3">
        <f t="shared" si="124"/>
        <v>7683.4945504669413</v>
      </c>
      <c r="AA62" s="3">
        <f t="shared" si="124"/>
        <v>10573.314350032062</v>
      </c>
      <c r="AB62" s="3">
        <f t="shared" si="124"/>
        <v>13133.523577781454</v>
      </c>
      <c r="AC62" s="3">
        <f t="shared" si="124"/>
        <v>14739.852999156619</v>
      </c>
      <c r="AD62" s="3">
        <f t="shared" si="124"/>
        <v>15700.332621720399</v>
      </c>
      <c r="AE62" s="3">
        <f t="shared" ref="AE62:AE64" si="125">SUM(S62:AD62)</f>
        <v>79890.033628008081</v>
      </c>
      <c r="AF62" t="s">
        <v>21</v>
      </c>
    </row>
    <row r="63" spans="1:32" x14ac:dyDescent="0.25">
      <c r="B63" t="s">
        <v>18</v>
      </c>
      <c r="D63" s="5"/>
      <c r="E63" s="5"/>
      <c r="F63" s="5"/>
      <c r="G63" s="5"/>
      <c r="H63" s="5"/>
      <c r="I63" s="5">
        <v>-10130</v>
      </c>
      <c r="J63" s="5">
        <v>-12930</v>
      </c>
      <c r="K63" s="5">
        <v>-11440</v>
      </c>
      <c r="L63" s="5">
        <v>-14270</v>
      </c>
      <c r="M63" s="5">
        <v>-19687</v>
      </c>
      <c r="N63" s="5">
        <v>-24585</v>
      </c>
      <c r="O63" s="5">
        <v>-28425</v>
      </c>
      <c r="P63" s="2">
        <f t="shared" si="119"/>
        <v>-121467</v>
      </c>
      <c r="Q63" s="2"/>
      <c r="R63" s="176"/>
      <c r="S63" s="3">
        <f>SUM(S24:S28)/SUM(D24:D28)*D63</f>
        <v>0</v>
      </c>
      <c r="T63" s="3">
        <f>-S62</f>
        <v>0</v>
      </c>
      <c r="U63" s="3">
        <f t="shared" ref="U63:AD63" si="126">-T62</f>
        <v>0</v>
      </c>
      <c r="V63" s="3">
        <f t="shared" si="126"/>
        <v>0</v>
      </c>
      <c r="W63" s="3">
        <f t="shared" si="126"/>
        <v>0</v>
      </c>
      <c r="X63" s="3">
        <f t="shared" si="126"/>
        <v>-5106.1326544787999</v>
      </c>
      <c r="Y63" s="3">
        <f t="shared" si="126"/>
        <v>-6802.4261229459744</v>
      </c>
      <c r="Z63" s="3">
        <f t="shared" si="126"/>
        <v>-6150.9567514258333</v>
      </c>
      <c r="AA63" s="3">
        <f t="shared" si="126"/>
        <v>-7683.4945504669413</v>
      </c>
      <c r="AB63" s="3">
        <f t="shared" si="126"/>
        <v>-10573.314350032062</v>
      </c>
      <c r="AC63" s="3">
        <f t="shared" si="126"/>
        <v>-13133.523577781454</v>
      </c>
      <c r="AD63" s="3">
        <f t="shared" si="126"/>
        <v>-14739.852999156619</v>
      </c>
      <c r="AE63" s="3">
        <f t="shared" si="125"/>
        <v>-64189.70100628768</v>
      </c>
      <c r="AF63" t="s">
        <v>22</v>
      </c>
    </row>
    <row r="64" spans="1:32" x14ac:dyDescent="0.25">
      <c r="B64" t="s">
        <v>16</v>
      </c>
      <c r="D64" s="6">
        <f>D62+D63</f>
        <v>0</v>
      </c>
      <c r="E64" s="6">
        <f t="shared" ref="E64:O64" si="127">E62+E63</f>
        <v>0</v>
      </c>
      <c r="F64" s="6">
        <f t="shared" si="127"/>
        <v>0</v>
      </c>
      <c r="G64" s="6">
        <f t="shared" si="127"/>
        <v>0</v>
      </c>
      <c r="H64" s="6">
        <f t="shared" si="127"/>
        <v>10130</v>
      </c>
      <c r="I64" s="6">
        <f t="shared" si="127"/>
        <v>2800</v>
      </c>
      <c r="J64" s="6">
        <f t="shared" si="127"/>
        <v>-1490</v>
      </c>
      <c r="K64" s="6">
        <f t="shared" si="127"/>
        <v>2830</v>
      </c>
      <c r="L64" s="6">
        <f t="shared" si="127"/>
        <v>5417</v>
      </c>
      <c r="M64" s="6">
        <f t="shared" si="127"/>
        <v>4898</v>
      </c>
      <c r="N64" s="6">
        <f t="shared" si="127"/>
        <v>3840</v>
      </c>
      <c r="O64" s="6">
        <f t="shared" si="127"/>
        <v>3647</v>
      </c>
      <c r="P64" s="2">
        <f t="shared" si="119"/>
        <v>32072</v>
      </c>
      <c r="Q64" s="2"/>
      <c r="R64" s="176">
        <f>ROUND(SUM(AE24:AE28)/SUM(P24:P28),5)</f>
        <v>0.505</v>
      </c>
      <c r="S64" s="3">
        <f t="shared" ref="S64" si="128">$R64*D64</f>
        <v>0</v>
      </c>
      <c r="T64" s="3">
        <f t="shared" ref="T64" si="129">$R64*E64</f>
        <v>0</v>
      </c>
      <c r="U64" s="3">
        <f t="shared" ref="U64" si="130">$R64*F64</f>
        <v>0</v>
      </c>
      <c r="V64" s="3">
        <f t="shared" ref="V64" si="131">$R64*G64</f>
        <v>0</v>
      </c>
      <c r="W64" s="3">
        <f t="shared" ref="W64" si="132">$R64*H64</f>
        <v>5115.6499999999996</v>
      </c>
      <c r="X64" s="3">
        <f t="shared" ref="X64" si="133">$R64*I64</f>
        <v>1414</v>
      </c>
      <c r="Y64" s="3">
        <f t="shared" ref="Y64" si="134">$R64*J64</f>
        <v>-752.45</v>
      </c>
      <c r="Z64" s="3">
        <f t="shared" ref="Z64" si="135">$R64*K64</f>
        <v>1429.15</v>
      </c>
      <c r="AA64" s="3">
        <f t="shared" ref="AA64" si="136">$R64*L64</f>
        <v>2735.585</v>
      </c>
      <c r="AB64" s="3">
        <f t="shared" ref="AB64" si="137">$R64*M64</f>
        <v>2473.4900000000002</v>
      </c>
      <c r="AC64" s="3">
        <f t="shared" ref="AC64" si="138">$R64*N64</f>
        <v>1939.2</v>
      </c>
      <c r="AD64" s="3">
        <f t="shared" ref="AD64" si="139">$R64*O64</f>
        <v>1841.7350000000001</v>
      </c>
      <c r="AE64" s="3">
        <f t="shared" si="125"/>
        <v>16196.360000000002</v>
      </c>
      <c r="AF64" t="s">
        <v>23</v>
      </c>
    </row>
    <row r="65" spans="1:34" x14ac:dyDescent="0.25">
      <c r="A65" t="s">
        <v>38</v>
      </c>
      <c r="B65" t="s">
        <v>17</v>
      </c>
      <c r="D65" s="5">
        <v>3629622</v>
      </c>
      <c r="E65" s="5">
        <v>3567188</v>
      </c>
      <c r="F65" s="5">
        <v>3349134</v>
      </c>
      <c r="G65" s="5">
        <v>3031741</v>
      </c>
      <c r="H65" s="5">
        <v>2500962</v>
      </c>
      <c r="I65" s="5">
        <v>2374496</v>
      </c>
      <c r="J65" s="5">
        <v>2194451</v>
      </c>
      <c r="K65" s="5">
        <v>2275935</v>
      </c>
      <c r="L65" s="5">
        <v>2309719</v>
      </c>
      <c r="M65" s="5">
        <v>3067429</v>
      </c>
      <c r="N65" s="9">
        <v>3267643</v>
      </c>
      <c r="O65" s="9">
        <v>3542437</v>
      </c>
      <c r="P65" s="2">
        <f t="shared" si="119"/>
        <v>35110757</v>
      </c>
      <c r="Q65" s="2"/>
      <c r="S65" s="3">
        <f>SUM(S40:S44)/SUM(D40:D44)*D65</f>
        <v>297506.61365679908</v>
      </c>
      <c r="T65" s="3">
        <f>SUM(T40:T44)/SUM(E40:E44)*E65</f>
        <v>296891.84836726135</v>
      </c>
      <c r="U65" s="3">
        <f t="shared" ref="U65:AD65" si="140">SUM(U40:U44)/SUM(F40:F44)*F65</f>
        <v>279470.85046634317</v>
      </c>
      <c r="V65" s="3">
        <f t="shared" si="140"/>
        <v>254416.23020686564</v>
      </c>
      <c r="W65" s="3">
        <f t="shared" si="140"/>
        <v>211079.02057327205</v>
      </c>
      <c r="X65" s="3">
        <f t="shared" si="140"/>
        <v>200904.22015940864</v>
      </c>
      <c r="Y65" s="3">
        <f t="shared" si="140"/>
        <v>186931.09231862371</v>
      </c>
      <c r="Z65" s="3">
        <f t="shared" si="140"/>
        <v>191709.31029982178</v>
      </c>
      <c r="AA65" s="3">
        <f t="shared" si="140"/>
        <v>194251.72456444072</v>
      </c>
      <c r="AB65" s="3">
        <f t="shared" si="140"/>
        <v>264848.40663156769</v>
      </c>
      <c r="AC65" s="3">
        <f t="shared" si="140"/>
        <v>274220.490034057</v>
      </c>
      <c r="AD65" s="3">
        <f t="shared" si="140"/>
        <v>299378.87937053677</v>
      </c>
      <c r="AE65" s="3">
        <f t="shared" si="95"/>
        <v>2951608.686648997</v>
      </c>
      <c r="AF65" t="s">
        <v>21</v>
      </c>
    </row>
    <row r="66" spans="1:34" x14ac:dyDescent="0.25">
      <c r="B66" t="s">
        <v>18</v>
      </c>
      <c r="D66" s="5">
        <v>-3967685</v>
      </c>
      <c r="E66" s="5">
        <v>-3629622</v>
      </c>
      <c r="F66" s="5">
        <v>-3567188</v>
      </c>
      <c r="G66" s="5">
        <v>-3349134</v>
      </c>
      <c r="H66" s="5">
        <v>-3031741</v>
      </c>
      <c r="I66" s="5">
        <v>-2500962</v>
      </c>
      <c r="J66" s="5">
        <v>-2374496</v>
      </c>
      <c r="K66" s="5">
        <v>-2194451</v>
      </c>
      <c r="L66" s="5">
        <v>-2275935</v>
      </c>
      <c r="M66" s="5">
        <v>-2309719</v>
      </c>
      <c r="N66" s="9">
        <v>-3067429</v>
      </c>
      <c r="O66" s="9">
        <v>-3267643</v>
      </c>
      <c r="P66" s="2">
        <f t="shared" si="119"/>
        <v>-35536005</v>
      </c>
      <c r="Q66" s="2"/>
      <c r="S66" s="3">
        <f>SUM(S40:S44)/SUM(D40:D44)*D66</f>
        <v>-325216.38021999999</v>
      </c>
      <c r="T66" s="3">
        <f>-S65</f>
        <v>-297506.61365679908</v>
      </c>
      <c r="U66" s="3">
        <f t="shared" ref="U66:AD66" si="141">-T65</f>
        <v>-296891.84836726135</v>
      </c>
      <c r="V66" s="3">
        <f t="shared" si="141"/>
        <v>-279470.85046634317</v>
      </c>
      <c r="W66" s="3">
        <f t="shared" si="141"/>
        <v>-254416.23020686564</v>
      </c>
      <c r="X66" s="3">
        <f t="shared" si="141"/>
        <v>-211079.02057327205</v>
      </c>
      <c r="Y66" s="3">
        <f t="shared" si="141"/>
        <v>-200904.22015940864</v>
      </c>
      <c r="Z66" s="3">
        <f t="shared" si="141"/>
        <v>-186931.09231862371</v>
      </c>
      <c r="AA66" s="3">
        <f t="shared" si="141"/>
        <v>-191709.31029982178</v>
      </c>
      <c r="AB66" s="3">
        <f t="shared" si="141"/>
        <v>-194251.72456444072</v>
      </c>
      <c r="AC66" s="18">
        <f t="shared" si="141"/>
        <v>-264848.40663156769</v>
      </c>
      <c r="AD66" s="18">
        <f t="shared" si="141"/>
        <v>-274220.490034057</v>
      </c>
      <c r="AE66" s="3">
        <f t="shared" si="95"/>
        <v>-2977446.1874984605</v>
      </c>
      <c r="AF66" t="s">
        <v>22</v>
      </c>
    </row>
    <row r="67" spans="1:34" x14ac:dyDescent="0.25">
      <c r="B67" t="s">
        <v>16</v>
      </c>
      <c r="D67" s="6">
        <f>D65+D66</f>
        <v>-338063</v>
      </c>
      <c r="E67" s="6">
        <f t="shared" ref="E67:O67" si="142">E65+E66</f>
        <v>-62434</v>
      </c>
      <c r="F67" s="6">
        <f t="shared" si="142"/>
        <v>-218054</v>
      </c>
      <c r="G67" s="6">
        <f t="shared" si="142"/>
        <v>-317393</v>
      </c>
      <c r="H67" s="6">
        <f t="shared" si="142"/>
        <v>-530779</v>
      </c>
      <c r="I67" s="6">
        <f t="shared" si="142"/>
        <v>-126466</v>
      </c>
      <c r="J67" s="6">
        <f t="shared" si="142"/>
        <v>-180045</v>
      </c>
      <c r="K67" s="6">
        <f t="shared" si="142"/>
        <v>81484</v>
      </c>
      <c r="L67" s="6">
        <f t="shared" si="142"/>
        <v>33784</v>
      </c>
      <c r="M67" s="6">
        <f t="shared" si="142"/>
        <v>757710</v>
      </c>
      <c r="N67" s="15">
        <f t="shared" si="142"/>
        <v>200214</v>
      </c>
      <c r="O67" s="15">
        <f t="shared" si="142"/>
        <v>274794</v>
      </c>
      <c r="P67" s="2">
        <f t="shared" si="119"/>
        <v>-425248</v>
      </c>
      <c r="Q67" s="2"/>
      <c r="R67" s="176">
        <f>ROUND(SUM(AE40:AE44)/SUM(P40:P44),5)</f>
        <v>8.4000000000000005E-2</v>
      </c>
      <c r="S67" s="3">
        <f t="shared" ref="S67:AD67" si="143">$R67*D67</f>
        <v>-28397.292000000001</v>
      </c>
      <c r="T67" s="3">
        <f t="shared" si="143"/>
        <v>-5244.4560000000001</v>
      </c>
      <c r="U67" s="3">
        <f t="shared" si="143"/>
        <v>-18316.536</v>
      </c>
      <c r="V67" s="3">
        <f t="shared" si="143"/>
        <v>-26661.012000000002</v>
      </c>
      <c r="W67" s="3">
        <f t="shared" si="143"/>
        <v>-44585.436000000002</v>
      </c>
      <c r="X67" s="3">
        <f t="shared" si="143"/>
        <v>-10623.144</v>
      </c>
      <c r="Y67" s="3">
        <f t="shared" si="143"/>
        <v>-15123.78</v>
      </c>
      <c r="Z67" s="3">
        <f t="shared" si="143"/>
        <v>6844.6560000000009</v>
      </c>
      <c r="AA67" s="3">
        <f t="shared" si="143"/>
        <v>2837.8560000000002</v>
      </c>
      <c r="AB67" s="3">
        <f t="shared" si="143"/>
        <v>63647.640000000007</v>
      </c>
      <c r="AC67" s="18">
        <f t="shared" si="143"/>
        <v>16817.976000000002</v>
      </c>
      <c r="AD67" s="18">
        <f t="shared" si="143"/>
        <v>23082.696</v>
      </c>
      <c r="AE67" s="3">
        <f t="shared" si="95"/>
        <v>-35720.83199999998</v>
      </c>
      <c r="AF67" t="s">
        <v>23</v>
      </c>
    </row>
    <row r="68" spans="1:34" x14ac:dyDescent="0.25">
      <c r="A68" t="s">
        <v>56</v>
      </c>
      <c r="B68" t="s">
        <v>17</v>
      </c>
      <c r="D68" s="5">
        <v>4873335</v>
      </c>
      <c r="E68" s="5">
        <v>4412634</v>
      </c>
      <c r="F68" s="5">
        <v>4246981</v>
      </c>
      <c r="G68" s="5">
        <v>3925542</v>
      </c>
      <c r="H68" s="5">
        <v>3689297</v>
      </c>
      <c r="I68" s="5">
        <v>3611778</v>
      </c>
      <c r="J68" s="5">
        <v>3571396</v>
      </c>
      <c r="K68" s="5">
        <v>3533977</v>
      </c>
      <c r="L68" s="5">
        <v>3697655</v>
      </c>
      <c r="M68" s="5">
        <v>4111496</v>
      </c>
      <c r="N68" s="9">
        <v>4453688</v>
      </c>
      <c r="O68" s="9">
        <v>4907937</v>
      </c>
      <c r="P68" s="2">
        <f t="shared" si="119"/>
        <v>49035716</v>
      </c>
      <c r="Q68" s="2"/>
      <c r="S68" s="3">
        <f>SUM(S48)/SUM(D48)*D68</f>
        <v>117286.06956625394</v>
      </c>
      <c r="T68" s="3">
        <f t="shared" ref="T68:AD68" si="144">SUM(T48)/SUM(E48)*E68</f>
        <v>110882.25906802629</v>
      </c>
      <c r="U68" s="3">
        <f t="shared" si="144"/>
        <v>104090.81005894892</v>
      </c>
      <c r="V68" s="3">
        <f t="shared" si="144"/>
        <v>95679.815929791075</v>
      </c>
      <c r="W68" s="3">
        <f t="shared" si="144"/>
        <v>95376.794556825524</v>
      </c>
      <c r="X68" s="3">
        <f t="shared" si="144"/>
        <v>99282.152609698445</v>
      </c>
      <c r="Y68" s="3">
        <f t="shared" si="144"/>
        <v>99314.494739211543</v>
      </c>
      <c r="Z68" s="3">
        <f t="shared" si="144"/>
        <v>99698.269416236682</v>
      </c>
      <c r="AA68" s="3">
        <f t="shared" si="144"/>
        <v>101342.15621311344</v>
      </c>
      <c r="AB68" s="3">
        <f t="shared" si="144"/>
        <v>112222.10109901545</v>
      </c>
      <c r="AC68" s="18">
        <f t="shared" si="144"/>
        <v>118195.97358713007</v>
      </c>
      <c r="AD68" s="18">
        <f t="shared" si="144"/>
        <v>125371.49853878179</v>
      </c>
      <c r="AE68" s="3">
        <f t="shared" si="95"/>
        <v>1278742.3953830332</v>
      </c>
      <c r="AF68" t="s">
        <v>21</v>
      </c>
    </row>
    <row r="69" spans="1:34" x14ac:dyDescent="0.25">
      <c r="B69" t="s">
        <v>18</v>
      </c>
      <c r="D69" s="5">
        <v>-4983146</v>
      </c>
      <c r="E69" s="5">
        <v>-4873335</v>
      </c>
      <c r="F69" s="5">
        <v>-4412634</v>
      </c>
      <c r="G69" s="5">
        <v>-4246981</v>
      </c>
      <c r="H69" s="5">
        <v>-3925542</v>
      </c>
      <c r="I69" s="5">
        <v>-3689297</v>
      </c>
      <c r="J69" s="5">
        <v>-3611778</v>
      </c>
      <c r="K69" s="5">
        <v>-3571396</v>
      </c>
      <c r="L69" s="5">
        <v>-3533977</v>
      </c>
      <c r="M69" s="5">
        <v>-3697655</v>
      </c>
      <c r="N69" s="9">
        <v>-4111496</v>
      </c>
      <c r="O69" s="9">
        <v>-4453688</v>
      </c>
      <c r="P69" s="2">
        <f t="shared" si="119"/>
        <v>-49110925</v>
      </c>
      <c r="Q69" s="2"/>
      <c r="S69" s="3">
        <f>SUM(S48)/SUM(D48)*D69</f>
        <v>-119928.88</v>
      </c>
      <c r="T69" s="3">
        <f>-S68</f>
        <v>-117286.06956625394</v>
      </c>
      <c r="U69" s="3">
        <f t="shared" ref="U69:AD69" si="145">-T68</f>
        <v>-110882.25906802629</v>
      </c>
      <c r="V69" s="3">
        <f t="shared" si="145"/>
        <v>-104090.81005894892</v>
      </c>
      <c r="W69" s="3">
        <f t="shared" si="145"/>
        <v>-95679.815929791075</v>
      </c>
      <c r="X69" s="3">
        <f t="shared" si="145"/>
        <v>-95376.794556825524</v>
      </c>
      <c r="Y69" s="3">
        <f t="shared" si="145"/>
        <v>-99282.152609698445</v>
      </c>
      <c r="Z69" s="3">
        <f t="shared" si="145"/>
        <v>-99314.494739211543</v>
      </c>
      <c r="AA69" s="3">
        <f t="shared" si="145"/>
        <v>-99698.269416236682</v>
      </c>
      <c r="AB69" s="3">
        <f t="shared" si="145"/>
        <v>-101342.15621311344</v>
      </c>
      <c r="AC69" s="18">
        <f t="shared" si="145"/>
        <v>-112222.10109901545</v>
      </c>
      <c r="AD69" s="18">
        <f t="shared" si="145"/>
        <v>-118195.97358713007</v>
      </c>
      <c r="AE69" s="3">
        <f t="shared" si="95"/>
        <v>-1273299.7768442512</v>
      </c>
      <c r="AF69" t="s">
        <v>22</v>
      </c>
    </row>
    <row r="70" spans="1:34" x14ac:dyDescent="0.25">
      <c r="B70" t="s">
        <v>16</v>
      </c>
      <c r="D70" s="6">
        <f t="shared" ref="D70:O70" si="146">D68+D69</f>
        <v>-109811</v>
      </c>
      <c r="E70" s="6">
        <f t="shared" si="146"/>
        <v>-460701</v>
      </c>
      <c r="F70" s="6">
        <f t="shared" si="146"/>
        <v>-165653</v>
      </c>
      <c r="G70" s="6">
        <f t="shared" si="146"/>
        <v>-321439</v>
      </c>
      <c r="H70" s="6">
        <f t="shared" si="146"/>
        <v>-236245</v>
      </c>
      <c r="I70" s="6">
        <f t="shared" si="146"/>
        <v>-77519</v>
      </c>
      <c r="J70" s="6">
        <f t="shared" si="146"/>
        <v>-40382</v>
      </c>
      <c r="K70" s="6">
        <f t="shared" si="146"/>
        <v>-37419</v>
      </c>
      <c r="L70" s="6">
        <f t="shared" si="146"/>
        <v>163678</v>
      </c>
      <c r="M70" s="6">
        <f t="shared" si="146"/>
        <v>413841</v>
      </c>
      <c r="N70" s="15">
        <f t="shared" si="146"/>
        <v>342192</v>
      </c>
      <c r="O70" s="15">
        <f t="shared" si="146"/>
        <v>454249</v>
      </c>
      <c r="P70" s="2">
        <f t="shared" si="119"/>
        <v>-75209</v>
      </c>
      <c r="Q70" s="2"/>
      <c r="R70" s="176">
        <f>ROUND(SUM(AE48)/SUM(P48),5)</f>
        <v>2.6040000000000001E-2</v>
      </c>
      <c r="S70" s="3">
        <f t="shared" ref="S70" si="147">$R70*D70</f>
        <v>-2859.4784399999999</v>
      </c>
      <c r="T70" s="3">
        <f t="shared" ref="T70" si="148">$R70*E70</f>
        <v>-11996.654039999999</v>
      </c>
      <c r="U70" s="3">
        <f t="shared" ref="U70" si="149">$R70*F70</f>
        <v>-4313.60412</v>
      </c>
      <c r="V70" s="3">
        <f t="shared" ref="V70" si="150">$R70*G70</f>
        <v>-8370.271560000001</v>
      </c>
      <c r="W70" s="3">
        <f t="shared" ref="W70" si="151">$R70*H70</f>
        <v>-6151.8198000000002</v>
      </c>
      <c r="X70" s="3">
        <f t="shared" ref="X70" si="152">$R70*I70</f>
        <v>-2018.59476</v>
      </c>
      <c r="Y70" s="3">
        <f t="shared" ref="Y70" si="153">$R70*J70</f>
        <v>-1051.54728</v>
      </c>
      <c r="Z70" s="3">
        <f t="shared" ref="Z70" si="154">$R70*K70</f>
        <v>-974.39076</v>
      </c>
      <c r="AA70" s="3">
        <f t="shared" ref="AA70" si="155">$R70*L70</f>
        <v>4262.1751199999999</v>
      </c>
      <c r="AB70" s="3">
        <f t="shared" ref="AB70" si="156">$R70*M70</f>
        <v>10776.41964</v>
      </c>
      <c r="AC70" s="18">
        <f t="shared" ref="AC70" si="157">$R70*N70</f>
        <v>8910.6796800000011</v>
      </c>
      <c r="AD70" s="18">
        <f t="shared" ref="AD70" si="158">$R70*O70</f>
        <v>11828.643959999999</v>
      </c>
      <c r="AE70" s="3">
        <f t="shared" si="95"/>
        <v>-1958.4423600000027</v>
      </c>
      <c r="AF70" t="s">
        <v>23</v>
      </c>
    </row>
    <row r="71" spans="1:34" x14ac:dyDescent="0.25">
      <c r="D71" s="6">
        <f>D52+D55+D58+D61+D64+D67+D70</f>
        <v>-5593291</v>
      </c>
      <c r="E71" s="6">
        <f t="shared" ref="E71:O71" si="159">E52+E55+E58+E61+E64+E67+E70</f>
        <v>974971</v>
      </c>
      <c r="F71" s="6">
        <f t="shared" si="159"/>
        <v>-4626283</v>
      </c>
      <c r="G71" s="6">
        <f t="shared" si="159"/>
        <v>-4616899</v>
      </c>
      <c r="H71" s="6">
        <f t="shared" si="159"/>
        <v>-4577071</v>
      </c>
      <c r="I71" s="6">
        <f t="shared" si="159"/>
        <v>-379371</v>
      </c>
      <c r="J71" s="6">
        <f t="shared" si="159"/>
        <v>-469881</v>
      </c>
      <c r="K71" s="6">
        <f t="shared" si="159"/>
        <v>355323</v>
      </c>
      <c r="L71" s="6">
        <f t="shared" si="159"/>
        <v>1221055</v>
      </c>
      <c r="M71" s="6">
        <f t="shared" si="159"/>
        <v>5487752</v>
      </c>
      <c r="N71" s="6">
        <f t="shared" si="159"/>
        <v>6737214</v>
      </c>
      <c r="O71" s="6">
        <f t="shared" si="159"/>
        <v>2446684</v>
      </c>
      <c r="P71" s="2">
        <f t="shared" si="119"/>
        <v>-3039797</v>
      </c>
    </row>
    <row r="72" spans="1:34" x14ac:dyDescent="0.25">
      <c r="A72" t="s">
        <v>30</v>
      </c>
      <c r="B72" t="s">
        <v>19</v>
      </c>
      <c r="D72" s="5">
        <v>2469710</v>
      </c>
      <c r="E72" s="5">
        <v>-917801</v>
      </c>
      <c r="F72" s="5">
        <v>-187839</v>
      </c>
      <c r="G72" s="5">
        <v>-13799</v>
      </c>
      <c r="H72" s="5">
        <v>2477504</v>
      </c>
      <c r="I72" s="5">
        <v>456349</v>
      </c>
      <c r="J72" s="5">
        <v>0</v>
      </c>
      <c r="K72" s="5">
        <v>0</v>
      </c>
      <c r="L72" s="5">
        <v>0</v>
      </c>
      <c r="M72" s="5">
        <v>169485</v>
      </c>
      <c r="N72" s="9">
        <v>392134</v>
      </c>
      <c r="O72" s="9">
        <v>2011236</v>
      </c>
      <c r="P72" s="2">
        <f t="shared" si="119"/>
        <v>6856979</v>
      </c>
      <c r="Q72" s="2"/>
      <c r="R72" s="176">
        <f>ROUND((Q4*R4+Q5*R5)/SUM(Q4:Q5),5)</f>
        <v>0.63124000000000002</v>
      </c>
      <c r="S72" s="3">
        <f t="shared" ref="S72:AD74" si="160">$R72*D72</f>
        <v>1558979.7404</v>
      </c>
      <c r="T72" s="3">
        <f t="shared" si="160"/>
        <v>-579352.70324000006</v>
      </c>
      <c r="U72" s="3">
        <f t="shared" si="160"/>
        <v>-118571.49036000001</v>
      </c>
      <c r="V72" s="3">
        <f t="shared" si="160"/>
        <v>-8710.4807600000004</v>
      </c>
      <c r="W72" s="3">
        <f t="shared" si="160"/>
        <v>1563899.6249600002</v>
      </c>
      <c r="X72" s="3">
        <f t="shared" si="160"/>
        <v>288065.74275999999</v>
      </c>
      <c r="Y72" s="3">
        <f t="shared" si="160"/>
        <v>0</v>
      </c>
      <c r="Z72" s="3">
        <f t="shared" si="160"/>
        <v>0</v>
      </c>
      <c r="AA72" s="3">
        <f t="shared" si="160"/>
        <v>0</v>
      </c>
      <c r="AB72" s="3">
        <f t="shared" si="160"/>
        <v>106985.7114</v>
      </c>
      <c r="AC72" s="18">
        <f t="shared" si="160"/>
        <v>247530.66616000002</v>
      </c>
      <c r="AD72" s="18">
        <f t="shared" si="160"/>
        <v>1269572.6126399999</v>
      </c>
      <c r="AE72" s="3">
        <f t="shared" si="95"/>
        <v>4328399.4239600003</v>
      </c>
    </row>
    <row r="73" spans="1:34" x14ac:dyDescent="0.25">
      <c r="A73" t="s">
        <v>32</v>
      </c>
      <c r="B73" t="s">
        <v>19</v>
      </c>
      <c r="D73" s="5">
        <v>792369</v>
      </c>
      <c r="E73" s="5">
        <v>-296989</v>
      </c>
      <c r="F73" s="5">
        <v>-61700</v>
      </c>
      <c r="G73" s="5">
        <v>-4598</v>
      </c>
      <c r="H73" s="5">
        <v>817214</v>
      </c>
      <c r="I73" s="5">
        <v>151843</v>
      </c>
      <c r="J73" s="5">
        <v>0</v>
      </c>
      <c r="K73" s="5">
        <v>0</v>
      </c>
      <c r="L73" s="5">
        <v>0</v>
      </c>
      <c r="M73" s="5">
        <v>56255</v>
      </c>
      <c r="N73" s="9">
        <v>128342</v>
      </c>
      <c r="O73" s="9">
        <v>656337</v>
      </c>
      <c r="P73" s="2">
        <f t="shared" si="119"/>
        <v>2239073</v>
      </c>
      <c r="Q73" s="2"/>
      <c r="R73" s="176">
        <f>ROUND((Q10*R10+Q11*R11+Q12*R12)/SUM(Q10:Q12),5)</f>
        <v>0.49843999999999999</v>
      </c>
      <c r="S73" s="3">
        <f t="shared" si="160"/>
        <v>394948.40435999999</v>
      </c>
      <c r="T73" s="3">
        <f t="shared" si="160"/>
        <v>-148031.19716000001</v>
      </c>
      <c r="U73" s="3">
        <f t="shared" si="160"/>
        <v>-30753.748</v>
      </c>
      <c r="V73" s="3">
        <f t="shared" si="160"/>
        <v>-2291.8271199999999</v>
      </c>
      <c r="W73" s="3">
        <f t="shared" si="160"/>
        <v>407332.14616</v>
      </c>
      <c r="X73" s="3">
        <f t="shared" si="160"/>
        <v>75684.624920000002</v>
      </c>
      <c r="Y73" s="3">
        <f t="shared" si="160"/>
        <v>0</v>
      </c>
      <c r="Z73" s="3">
        <f t="shared" si="160"/>
        <v>0</v>
      </c>
      <c r="AA73" s="3">
        <f t="shared" si="160"/>
        <v>0</v>
      </c>
      <c r="AB73" s="3">
        <f t="shared" si="160"/>
        <v>28039.742200000001</v>
      </c>
      <c r="AC73" s="18">
        <f t="shared" si="160"/>
        <v>63970.786480000002</v>
      </c>
      <c r="AD73" s="18">
        <f t="shared" si="160"/>
        <v>327144.61427999998</v>
      </c>
      <c r="AE73" s="3">
        <f t="shared" si="95"/>
        <v>1116043.5461200001</v>
      </c>
    </row>
    <row r="74" spans="1:34" x14ac:dyDescent="0.25">
      <c r="A74" t="s">
        <v>41</v>
      </c>
      <c r="B74" t="s">
        <v>19</v>
      </c>
      <c r="D74" s="5">
        <v>28932</v>
      </c>
      <c r="E74" s="5">
        <v>-10775</v>
      </c>
      <c r="F74" s="5">
        <v>-2195</v>
      </c>
      <c r="G74" s="5">
        <v>-197</v>
      </c>
      <c r="H74" s="5">
        <v>35346</v>
      </c>
      <c r="I74" s="5">
        <v>6516</v>
      </c>
      <c r="J74" s="5">
        <v>0</v>
      </c>
      <c r="K74" s="5">
        <v>0</v>
      </c>
      <c r="L74" s="5">
        <v>0</v>
      </c>
      <c r="M74" s="5">
        <v>2607</v>
      </c>
      <c r="N74" s="9">
        <v>5529</v>
      </c>
      <c r="O74" s="9">
        <v>2315</v>
      </c>
      <c r="P74" s="2">
        <f t="shared" si="119"/>
        <v>68078</v>
      </c>
      <c r="Q74" s="2"/>
      <c r="R74" s="176">
        <f>ROUND((Q18*R18+Q19*R19+Q20*R20+Q21*R21+Q22*R22)/SUM(Q18:Q22),5)</f>
        <v>0.43257000000000001</v>
      </c>
      <c r="S74" s="3">
        <f t="shared" si="160"/>
        <v>12515.115240000001</v>
      </c>
      <c r="T74" s="3">
        <f t="shared" si="160"/>
        <v>-4660.94175</v>
      </c>
      <c r="U74" s="3">
        <f t="shared" si="160"/>
        <v>-949.49115000000006</v>
      </c>
      <c r="V74" s="3">
        <f t="shared" si="160"/>
        <v>-85.216290000000001</v>
      </c>
      <c r="W74" s="3">
        <f t="shared" si="160"/>
        <v>15289.61922</v>
      </c>
      <c r="X74" s="3">
        <f t="shared" si="160"/>
        <v>2818.6261199999999</v>
      </c>
      <c r="Y74" s="3">
        <f t="shared" si="160"/>
        <v>0</v>
      </c>
      <c r="Z74" s="3">
        <f t="shared" si="160"/>
        <v>0</v>
      </c>
      <c r="AA74" s="3">
        <f t="shared" si="160"/>
        <v>0</v>
      </c>
      <c r="AB74" s="3">
        <f t="shared" si="160"/>
        <v>1127.7099900000001</v>
      </c>
      <c r="AC74" s="18">
        <f t="shared" si="160"/>
        <v>2391.6795299999999</v>
      </c>
      <c r="AD74" s="18">
        <f t="shared" si="160"/>
        <v>1001.39955</v>
      </c>
      <c r="AE74" s="3">
        <f t="shared" si="95"/>
        <v>29448.500460000003</v>
      </c>
    </row>
    <row r="76" spans="1:34" x14ac:dyDescent="0.25">
      <c r="A76" t="s">
        <v>24</v>
      </c>
      <c r="C76" t="s">
        <v>48</v>
      </c>
    </row>
    <row r="77" spans="1:34" x14ac:dyDescent="0.25">
      <c r="A77" t="s">
        <v>42</v>
      </c>
      <c r="D77" s="2">
        <f>SUM(D4:D5,D7:D8)+D52+D72</f>
        <v>22749974.40532</v>
      </c>
      <c r="E77" s="2">
        <f t="shared" ref="E77:O77" si="161">SUM(E4:E5,E7:E8)+E52+E72</f>
        <v>17283079.844430003</v>
      </c>
      <c r="F77" s="2">
        <f t="shared" si="161"/>
        <v>15602672.955779996</v>
      </c>
      <c r="G77" s="2">
        <f t="shared" si="161"/>
        <v>9757851.2954200003</v>
      </c>
      <c r="H77" s="2">
        <f t="shared" si="161"/>
        <v>5768556.9053499997</v>
      </c>
      <c r="I77" s="2">
        <f t="shared" si="161"/>
        <v>3089807.1433300003</v>
      </c>
      <c r="J77" s="2">
        <f t="shared" si="161"/>
        <v>2296430.2068100004</v>
      </c>
      <c r="K77" s="2">
        <f t="shared" si="161"/>
        <v>2216074.0266</v>
      </c>
      <c r="L77" s="2">
        <f t="shared" si="161"/>
        <v>3080267.8390500005</v>
      </c>
      <c r="M77" s="2">
        <f t="shared" si="161"/>
        <v>8570251.9442300014</v>
      </c>
      <c r="N77" s="14">
        <f t="shared" si="161"/>
        <v>15968054.47535</v>
      </c>
      <c r="O77" s="14">
        <f t="shared" si="161"/>
        <v>22603888.04854</v>
      </c>
      <c r="P77" s="6">
        <f>SUM(D77:O77)</f>
        <v>128986909.09021002</v>
      </c>
      <c r="S77" s="3">
        <f>SUM(S3:S8)+S52+S72</f>
        <v>16164365.588431099</v>
      </c>
      <c r="T77" s="3">
        <f t="shared" ref="T77:AD77" si="162">SUM(T3:T8)+T52+T72</f>
        <v>12335982.629122863</v>
      </c>
      <c r="U77" s="3">
        <f t="shared" si="162"/>
        <v>11380754.751688037</v>
      </c>
      <c r="V77" s="3">
        <f t="shared" si="162"/>
        <v>7458108.1078548376</v>
      </c>
      <c r="W77" s="3">
        <f t="shared" si="162"/>
        <v>4954931.6692646891</v>
      </c>
      <c r="X77" s="3">
        <f t="shared" si="162"/>
        <v>3357137.712254595</v>
      </c>
      <c r="Y77" s="3">
        <f t="shared" si="162"/>
        <v>2881043.8277400662</v>
      </c>
      <c r="Z77" s="3">
        <f t="shared" si="162"/>
        <v>2843086.1681014071</v>
      </c>
      <c r="AA77" s="3">
        <f t="shared" si="162"/>
        <v>3356719.3797290083</v>
      </c>
      <c r="AB77" s="3">
        <f t="shared" si="162"/>
        <v>6720263.3112162035</v>
      </c>
      <c r="AC77" s="18">
        <f t="shared" si="162"/>
        <v>11308998.703900071</v>
      </c>
      <c r="AD77" s="18">
        <f t="shared" si="162"/>
        <v>15776365.084001042</v>
      </c>
      <c r="AE77" s="3">
        <f>SUM(S77:AD77)</f>
        <v>98537756.933303922</v>
      </c>
      <c r="AF77" s="3">
        <f>AE77</f>
        <v>98537756.933303922</v>
      </c>
      <c r="AH77" t="s">
        <v>57</v>
      </c>
    </row>
    <row r="78" spans="1:34" x14ac:dyDescent="0.25">
      <c r="A78" t="s">
        <v>43</v>
      </c>
      <c r="D78" s="2">
        <f>SUM(D10:D12,D14:D16)+D55+D58+D73</f>
        <v>7411818.2324099997</v>
      </c>
      <c r="E78" s="2">
        <f t="shared" ref="E78:O78" si="163">SUM(E10:E12,E14:E16)+E55+E58+E73</f>
        <v>6927544.7318700003</v>
      </c>
      <c r="F78" s="2">
        <f t="shared" si="163"/>
        <v>5552458.94881</v>
      </c>
      <c r="G78" s="2">
        <f t="shared" si="163"/>
        <v>4272174.3463699995</v>
      </c>
      <c r="H78" s="2">
        <f t="shared" si="163"/>
        <v>3031243.1909800004</v>
      </c>
      <c r="I78" s="2">
        <f t="shared" si="163"/>
        <v>2081119.6935000003</v>
      </c>
      <c r="J78" s="2">
        <f t="shared" si="163"/>
        <v>1481185.0838300001</v>
      </c>
      <c r="K78" s="2">
        <f t="shared" si="163"/>
        <v>1593610.2879699999</v>
      </c>
      <c r="L78" s="2">
        <f t="shared" si="163"/>
        <v>1958155.3076800001</v>
      </c>
      <c r="M78" s="2">
        <f t="shared" si="163"/>
        <v>3744512.13344</v>
      </c>
      <c r="N78" s="14">
        <f t="shared" si="163"/>
        <v>5877899.7364500007</v>
      </c>
      <c r="O78" s="14">
        <f t="shared" si="163"/>
        <v>10398324.98687</v>
      </c>
      <c r="P78" s="6">
        <f t="shared" ref="P78:P82" si="164">SUM(D78:O78)</f>
        <v>54330046.680179998</v>
      </c>
      <c r="S78" s="3">
        <f>SUM(S9:S16)+S55+S58+S73</f>
        <v>3952668.0382462256</v>
      </c>
      <c r="T78" s="3">
        <f t="shared" ref="T78:AD78" si="165">SUM(T9:T16)+T55+T58+T73</f>
        <v>3688310.9333270588</v>
      </c>
      <c r="U78" s="3">
        <f t="shared" si="165"/>
        <v>3033179.6943032439</v>
      </c>
      <c r="V78" s="3">
        <f t="shared" si="165"/>
        <v>2386718.3678760715</v>
      </c>
      <c r="W78" s="3">
        <f t="shared" si="165"/>
        <v>1748020.6366936713</v>
      </c>
      <c r="X78" s="3">
        <f t="shared" si="165"/>
        <v>1260990.0385154707</v>
      </c>
      <c r="Y78" s="3">
        <f t="shared" si="165"/>
        <v>969641.74981320323</v>
      </c>
      <c r="Z78" s="3">
        <f t="shared" si="165"/>
        <v>1026818.6095950194</v>
      </c>
      <c r="AA78" s="3">
        <f t="shared" si="165"/>
        <v>1195630.4346654585</v>
      </c>
      <c r="AB78" s="3">
        <f t="shared" si="165"/>
        <v>2075179.0496354257</v>
      </c>
      <c r="AC78" s="18">
        <f t="shared" si="165"/>
        <v>3147380.6392427334</v>
      </c>
      <c r="AD78" s="18">
        <f t="shared" si="165"/>
        <v>5431249.9132098909</v>
      </c>
      <c r="AE78" s="3">
        <f t="shared" ref="AE78:AE82" si="166">SUM(S78:AD78)</f>
        <v>29915788.105123475</v>
      </c>
    </row>
    <row r="79" spans="1:34" x14ac:dyDescent="0.25">
      <c r="A79" t="s">
        <v>44</v>
      </c>
      <c r="D79" s="2">
        <f>SUM(D18:D22,D24:D28)+D61+D64+D74</f>
        <v>457061.59900000005</v>
      </c>
      <c r="E79" s="2">
        <f t="shared" ref="E79:O79" si="167">SUM(E18:E22,E24:E28)+E61+E64+E74</f>
        <v>486926.02499999997</v>
      </c>
      <c r="F79" s="2">
        <f t="shared" si="167"/>
        <v>394750.03700000001</v>
      </c>
      <c r="G79" s="2">
        <f t="shared" si="167"/>
        <v>351932.42600000004</v>
      </c>
      <c r="H79" s="2">
        <f t="shared" si="167"/>
        <v>319250.02400000003</v>
      </c>
      <c r="I79" s="2">
        <f t="shared" si="167"/>
        <v>356751.93700000003</v>
      </c>
      <c r="J79" s="2">
        <f t="shared" si="167"/>
        <v>278834.29972999997</v>
      </c>
      <c r="K79" s="2">
        <f t="shared" si="167"/>
        <v>331854.32699999999</v>
      </c>
      <c r="L79" s="2">
        <f t="shared" si="167"/>
        <v>333168.11600000004</v>
      </c>
      <c r="M79" s="2">
        <f t="shared" si="167"/>
        <v>432180.66100000002</v>
      </c>
      <c r="N79" s="2">
        <f t="shared" si="167"/>
        <v>461683.14099999995</v>
      </c>
      <c r="O79" s="2">
        <f t="shared" si="167"/>
        <v>-2520813.2920099623</v>
      </c>
      <c r="P79" s="6">
        <f t="shared" si="164"/>
        <v>1683579.3007200374</v>
      </c>
      <c r="S79" s="3">
        <f>SUM(S17:S28)+S61+S64+S74</f>
        <v>227169.49662885003</v>
      </c>
      <c r="T79" s="3">
        <f t="shared" ref="T79:AD79" si="168">SUM(T17:T28)+T61+T64+T74</f>
        <v>241915.58434235997</v>
      </c>
      <c r="U79" s="3">
        <f t="shared" si="168"/>
        <v>200629.94965463001</v>
      </c>
      <c r="V79" s="3">
        <f t="shared" si="168"/>
        <v>180181.56830858998</v>
      </c>
      <c r="W79" s="3">
        <f t="shared" si="168"/>
        <v>166477.64909340997</v>
      </c>
      <c r="X79" s="3">
        <f t="shared" si="168"/>
        <v>181665.63031296001</v>
      </c>
      <c r="Y79" s="3">
        <f t="shared" si="168"/>
        <v>145710.8818139387</v>
      </c>
      <c r="Z79" s="3">
        <f t="shared" si="168"/>
        <v>170354.96706570999</v>
      </c>
      <c r="AA79" s="3">
        <f t="shared" si="168"/>
        <v>168895.45851567003</v>
      </c>
      <c r="AB79" s="3">
        <f t="shared" si="168"/>
        <v>217442.55566665999</v>
      </c>
      <c r="AC79" s="3">
        <f t="shared" si="168"/>
        <v>229416.34891918002</v>
      </c>
      <c r="AD79" s="3">
        <f t="shared" si="168"/>
        <v>-1329833.3425867404</v>
      </c>
      <c r="AE79" s="3">
        <f t="shared" si="166"/>
        <v>800026.74773521861</v>
      </c>
      <c r="AF79" s="3">
        <f>AE78+AE79+AE80-AE85</f>
        <v>30389733.642451592</v>
      </c>
      <c r="AH79" t="s">
        <v>58</v>
      </c>
    </row>
    <row r="80" spans="1:34" x14ac:dyDescent="0.25">
      <c r="A80" t="s">
        <v>45</v>
      </c>
      <c r="D80" s="2">
        <f>SUM(D30:D33)+SUM(D35:D38)</f>
        <v>139102.27900000001</v>
      </c>
      <c r="E80" s="2">
        <f t="shared" ref="E80:O80" si="169">SUM(E30:E33)+SUM(E35:E38)</f>
        <v>117327.56</v>
      </c>
      <c r="F80" s="2">
        <f t="shared" si="169"/>
        <v>113117.076</v>
      </c>
      <c r="G80" s="2">
        <f t="shared" si="169"/>
        <v>93219.127999999997</v>
      </c>
      <c r="H80" s="2">
        <f t="shared" si="169"/>
        <v>72900.841</v>
      </c>
      <c r="I80" s="2">
        <f t="shared" si="169"/>
        <v>47469.584999999992</v>
      </c>
      <c r="J80" s="2">
        <f t="shared" si="169"/>
        <v>41737.258000000002</v>
      </c>
      <c r="K80" s="2">
        <f t="shared" si="169"/>
        <v>43515.435999999994</v>
      </c>
      <c r="L80" s="2">
        <f t="shared" si="169"/>
        <v>44833.752</v>
      </c>
      <c r="M80" s="2">
        <f t="shared" si="169"/>
        <v>68693.988999999987</v>
      </c>
      <c r="N80" s="14">
        <f t="shared" si="169"/>
        <v>88518.618999999992</v>
      </c>
      <c r="O80" s="14">
        <f t="shared" si="169"/>
        <v>114831.204</v>
      </c>
      <c r="P80" s="6">
        <f t="shared" si="164"/>
        <v>985266.72699999996</v>
      </c>
      <c r="S80" s="3">
        <f>SUM(S29:S38)</f>
        <v>64440.997590059997</v>
      </c>
      <c r="T80" s="3">
        <f t="shared" ref="T80:AD80" si="170">SUM(T29:T38)</f>
        <v>54654.876156999999</v>
      </c>
      <c r="U80" s="3">
        <f t="shared" si="170"/>
        <v>52770.003514639997</v>
      </c>
      <c r="V80" s="3">
        <f t="shared" si="170"/>
        <v>43806.254705519998</v>
      </c>
      <c r="W80" s="3">
        <f t="shared" si="170"/>
        <v>34600.242048690001</v>
      </c>
      <c r="X80" s="3">
        <f t="shared" si="170"/>
        <v>22963.389421349999</v>
      </c>
      <c r="Y80" s="3">
        <f t="shared" si="170"/>
        <v>20350.36589442</v>
      </c>
      <c r="Z80" s="3">
        <f t="shared" si="170"/>
        <v>21121.919865240001</v>
      </c>
      <c r="AA80" s="3">
        <f t="shared" si="170"/>
        <v>21721.39775688</v>
      </c>
      <c r="AB80" s="3">
        <f t="shared" si="170"/>
        <v>32603.632215910002</v>
      </c>
      <c r="AC80" s="18">
        <f t="shared" si="170"/>
        <v>41632.650177459996</v>
      </c>
      <c r="AD80" s="18">
        <f t="shared" si="170"/>
        <v>53539.886964559999</v>
      </c>
      <c r="AE80" s="3">
        <f t="shared" si="166"/>
        <v>464205.61631173</v>
      </c>
    </row>
    <row r="81" spans="1:34" x14ac:dyDescent="0.25">
      <c r="A81" t="s">
        <v>46</v>
      </c>
      <c r="D81" s="2">
        <f>SUM(D40:D44)+D67</f>
        <v>3629622</v>
      </c>
      <c r="E81" s="2">
        <f t="shared" ref="E81:O81" si="171">SUM(E40:E44)+E67</f>
        <v>3567188</v>
      </c>
      <c r="F81" s="2">
        <f t="shared" si="171"/>
        <v>3349134</v>
      </c>
      <c r="G81" s="2">
        <f t="shared" si="171"/>
        <v>3031741</v>
      </c>
      <c r="H81" s="2">
        <f t="shared" si="171"/>
        <v>2500964</v>
      </c>
      <c r="I81" s="2">
        <f t="shared" si="171"/>
        <v>2373589</v>
      </c>
      <c r="J81" s="2">
        <f t="shared" si="171"/>
        <v>2236824</v>
      </c>
      <c r="K81" s="2">
        <f t="shared" si="171"/>
        <v>2281688</v>
      </c>
      <c r="L81" s="2">
        <f t="shared" si="171"/>
        <v>2309719</v>
      </c>
      <c r="M81" s="2">
        <f t="shared" si="171"/>
        <v>3098253</v>
      </c>
      <c r="N81" s="14">
        <f t="shared" si="171"/>
        <v>3268121</v>
      </c>
      <c r="O81" s="14">
        <f t="shared" si="171"/>
        <v>3535845</v>
      </c>
      <c r="P81" s="6">
        <f t="shared" si="164"/>
        <v>35182688</v>
      </c>
      <c r="S81" s="3">
        <f>SUM(S39:S44)+S67</f>
        <v>319369.08821999998</v>
      </c>
      <c r="T81" s="3">
        <f t="shared" ref="T81:AD81" si="172">SUM(T39:T44)+T67</f>
        <v>319393.68302</v>
      </c>
      <c r="U81" s="3">
        <f t="shared" si="172"/>
        <v>301899.98440000002</v>
      </c>
      <c r="V81" s="3">
        <f t="shared" si="172"/>
        <v>276940.05626000004</v>
      </c>
      <c r="W81" s="3">
        <f t="shared" si="172"/>
        <v>233841.03996000002</v>
      </c>
      <c r="X81" s="3">
        <f t="shared" si="172"/>
        <v>223454.52339999998</v>
      </c>
      <c r="Y81" s="3">
        <f t="shared" si="172"/>
        <v>213303.66368000003</v>
      </c>
      <c r="Z81" s="3">
        <f t="shared" si="172"/>
        <v>214724.90108999997</v>
      </c>
      <c r="AA81" s="3">
        <f t="shared" si="172"/>
        <v>216798.28243999998</v>
      </c>
      <c r="AB81" s="3">
        <f t="shared" si="172"/>
        <v>286635.14853000001</v>
      </c>
      <c r="AC81" s="18">
        <f t="shared" si="172"/>
        <v>296276.62767000002</v>
      </c>
      <c r="AD81" s="18">
        <f t="shared" si="172"/>
        <v>320131.04649999994</v>
      </c>
      <c r="AE81" s="3">
        <f t="shared" si="166"/>
        <v>3222768.0451699989</v>
      </c>
      <c r="AF81" s="3">
        <f>AE81+AE82+AE85</f>
        <v>5414964.1845588293</v>
      </c>
      <c r="AH81" t="s">
        <v>59</v>
      </c>
    </row>
    <row r="82" spans="1:34" x14ac:dyDescent="0.25">
      <c r="A82" t="s">
        <v>47</v>
      </c>
      <c r="D82" s="2">
        <f>D46+D48+D70</f>
        <v>5155412</v>
      </c>
      <c r="E82" s="2">
        <f t="shared" ref="E82:O82" si="173">E46+E48+E70</f>
        <v>4451807</v>
      </c>
      <c r="F82" s="2">
        <f t="shared" si="173"/>
        <v>4381394</v>
      </c>
      <c r="G82" s="2">
        <f t="shared" si="173"/>
        <v>3980019</v>
      </c>
      <c r="H82" s="2">
        <f t="shared" si="173"/>
        <v>3785574</v>
      </c>
      <c r="I82" s="2">
        <f t="shared" si="173"/>
        <v>3853002</v>
      </c>
      <c r="J82" s="2">
        <f t="shared" si="173"/>
        <v>3715849</v>
      </c>
      <c r="K82" s="2">
        <f t="shared" si="173"/>
        <v>4501219</v>
      </c>
      <c r="L82" s="2">
        <f t="shared" si="173"/>
        <v>4726405</v>
      </c>
      <c r="M82" s="2">
        <f t="shared" si="173"/>
        <v>4807283</v>
      </c>
      <c r="N82" s="14">
        <f t="shared" si="173"/>
        <v>5516044</v>
      </c>
      <c r="O82" s="14">
        <f t="shared" si="173"/>
        <v>5568388</v>
      </c>
      <c r="P82" s="6">
        <f t="shared" si="164"/>
        <v>54442396</v>
      </c>
      <c r="S82" s="3">
        <f>SUM(S45:S48)+S70</f>
        <v>123967.63163</v>
      </c>
      <c r="T82" s="3">
        <f t="shared" ref="T82:AD82" si="174">SUM(T45:T48)+T70</f>
        <v>112281.37339000001</v>
      </c>
      <c r="U82" s="3">
        <f t="shared" si="174"/>
        <v>107647.83171</v>
      </c>
      <c r="V82" s="3">
        <f t="shared" si="174"/>
        <v>97283.302510000009</v>
      </c>
      <c r="W82" s="3">
        <f t="shared" si="174"/>
        <v>98345.602270000003</v>
      </c>
      <c r="X82" s="3">
        <f t="shared" si="174"/>
        <v>105443.66472</v>
      </c>
      <c r="Y82" s="3">
        <f t="shared" si="174"/>
        <v>103406.41495000001</v>
      </c>
      <c r="Z82" s="3">
        <f t="shared" si="174"/>
        <v>121004.54946000001</v>
      </c>
      <c r="AA82" s="3">
        <f t="shared" si="174"/>
        <v>123629.54762000001</v>
      </c>
      <c r="AB82" s="3">
        <f t="shared" si="174"/>
        <v>127251.75581</v>
      </c>
      <c r="AC82" s="18">
        <f t="shared" si="174"/>
        <v>141241.09422999999</v>
      </c>
      <c r="AD82" s="18">
        <f t="shared" si="174"/>
        <v>140406.54436999999</v>
      </c>
      <c r="AE82" s="3">
        <f t="shared" si="166"/>
        <v>1401909.3126699999</v>
      </c>
    </row>
    <row r="83" spans="1:34" x14ac:dyDescent="0.25">
      <c r="A83" t="s">
        <v>25</v>
      </c>
      <c r="D83" s="8">
        <f>SUM(D77:D82)</f>
        <v>39542990.515729994</v>
      </c>
      <c r="E83" s="8">
        <f t="shared" ref="E83:P83" si="175">SUM(E77:E82)</f>
        <v>32833873.1613</v>
      </c>
      <c r="F83" s="8">
        <f t="shared" si="175"/>
        <v>29393527.017589998</v>
      </c>
      <c r="G83" s="8">
        <f t="shared" si="175"/>
        <v>21486937.19579</v>
      </c>
      <c r="H83" s="8">
        <f t="shared" si="175"/>
        <v>15478488.96133</v>
      </c>
      <c r="I83" s="8">
        <f t="shared" si="175"/>
        <v>11801739.358830001</v>
      </c>
      <c r="J83" s="8">
        <f t="shared" si="175"/>
        <v>10050859.848370001</v>
      </c>
      <c r="K83" s="8">
        <f t="shared" si="175"/>
        <v>10967961.077570001</v>
      </c>
      <c r="L83" s="8">
        <f t="shared" si="175"/>
        <v>12452549.014730001</v>
      </c>
      <c r="M83" s="8">
        <f t="shared" si="175"/>
        <v>20721174.727669999</v>
      </c>
      <c r="N83" s="17">
        <f t="shared" si="175"/>
        <v>31180320.971799999</v>
      </c>
      <c r="O83" s="17">
        <f t="shared" si="175"/>
        <v>39700463.947400041</v>
      </c>
      <c r="P83" s="8">
        <f t="shared" si="175"/>
        <v>275610885.79811007</v>
      </c>
      <c r="S83" s="7">
        <f>SUM(S77:S82)</f>
        <v>20851980.840746239</v>
      </c>
      <c r="T83" s="7">
        <f t="shared" ref="T83:AD83" si="176">SUM(T77:T82)</f>
        <v>16752539.079359282</v>
      </c>
      <c r="U83" s="7">
        <f t="shared" si="176"/>
        <v>15076882.215270551</v>
      </c>
      <c r="V83" s="7">
        <f t="shared" si="176"/>
        <v>10443037.657515021</v>
      </c>
      <c r="W83" s="7">
        <f t="shared" si="176"/>
        <v>7236216.8393304599</v>
      </c>
      <c r="X83" s="7">
        <f t="shared" si="176"/>
        <v>5151654.958624376</v>
      </c>
      <c r="Y83" s="7">
        <f t="shared" si="176"/>
        <v>4333456.9038916286</v>
      </c>
      <c r="Z83" s="7">
        <f t="shared" si="176"/>
        <v>4397111.1151773771</v>
      </c>
      <c r="AA83" s="7">
        <f t="shared" si="176"/>
        <v>5083394.5007270174</v>
      </c>
      <c r="AB83" s="7">
        <f t="shared" si="176"/>
        <v>9459375.4530742001</v>
      </c>
      <c r="AC83" s="19">
        <f t="shared" si="176"/>
        <v>15164946.064139443</v>
      </c>
      <c r="AD83" s="19">
        <f t="shared" si="176"/>
        <v>20391859.132458754</v>
      </c>
      <c r="AE83" s="7">
        <f>SUM(AE77:AE82)</f>
        <v>134342454.76031435</v>
      </c>
      <c r="AF83" s="3">
        <f>SUM(AF77:AF82)</f>
        <v>134342454.76031435</v>
      </c>
    </row>
    <row r="84" spans="1:34" x14ac:dyDescent="0.25">
      <c r="D84" s="27">
        <f>D83/$P$83</f>
        <v>0.14347397927052832</v>
      </c>
      <c r="E84" s="27">
        <f t="shared" ref="E84:O84" si="177">E83/$P$83</f>
        <v>0.11913126386942278</v>
      </c>
      <c r="F84" s="27">
        <f t="shared" si="177"/>
        <v>0.10664864318574588</v>
      </c>
      <c r="G84" s="27">
        <f t="shared" si="177"/>
        <v>7.7961133986302583E-2</v>
      </c>
      <c r="H84" s="27">
        <f t="shared" si="177"/>
        <v>5.6160658954045352E-2</v>
      </c>
      <c r="I84" s="27">
        <f t="shared" si="177"/>
        <v>4.2820294723318685E-2</v>
      </c>
      <c r="J84" s="27">
        <f t="shared" si="177"/>
        <v>3.6467572096308402E-2</v>
      </c>
      <c r="K84" s="27">
        <f t="shared" si="177"/>
        <v>3.9795093890464941E-2</v>
      </c>
      <c r="L84" s="27">
        <f t="shared" si="177"/>
        <v>4.5181629813605101E-2</v>
      </c>
      <c r="M84" s="27">
        <f t="shared" si="177"/>
        <v>7.5182715180737214E-2</v>
      </c>
      <c r="N84" s="27">
        <f t="shared" si="177"/>
        <v>0.11313167432232756</v>
      </c>
      <c r="O84" s="27">
        <f t="shared" si="177"/>
        <v>0.14404534070719305</v>
      </c>
      <c r="P84" s="27">
        <f>SUM(D84:O84)</f>
        <v>0.99999999999999978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5"/>
      <c r="AD84" s="25"/>
      <c r="AE84" s="24"/>
    </row>
    <row r="85" spans="1:34" x14ac:dyDescent="0.25">
      <c r="A85" t="s">
        <v>60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  <c r="O85" s="23"/>
      <c r="P85" s="22"/>
      <c r="S85" s="24">
        <f>SUM(S13:S16,S23:S28,S34:S38,S58,S64)</f>
        <v>102175.37145374001</v>
      </c>
      <c r="T85" s="24">
        <f t="shared" ref="T85:AD85" si="178">SUM(T13:T16,T23:T28,T34:T38,T58,T64)</f>
        <v>91227.661210060003</v>
      </c>
      <c r="U85" s="24">
        <f t="shared" si="178"/>
        <v>82901.454991390012</v>
      </c>
      <c r="V85" s="24">
        <f t="shared" si="178"/>
        <v>72722.765349520007</v>
      </c>
      <c r="W85" s="24">
        <f t="shared" si="178"/>
        <v>61962.31662165001</v>
      </c>
      <c r="X85" s="24">
        <f t="shared" si="178"/>
        <v>43412.767952629998</v>
      </c>
      <c r="Y85" s="24">
        <f t="shared" si="178"/>
        <v>35329.844174390011</v>
      </c>
      <c r="Z85" s="24">
        <f t="shared" si="178"/>
        <v>38252.589051600007</v>
      </c>
      <c r="AA85" s="24">
        <f t="shared" si="178"/>
        <v>43649.473965599995</v>
      </c>
      <c r="AB85" s="24">
        <f t="shared" si="178"/>
        <v>56973.216381389997</v>
      </c>
      <c r="AC85" s="24">
        <f t="shared" si="178"/>
        <v>73300.5635817</v>
      </c>
      <c r="AD85" s="24">
        <f t="shared" si="178"/>
        <v>88378.801985159997</v>
      </c>
      <c r="AE85" s="3">
        <f t="shared" ref="AE85" si="179">SUM(S85:AD85)</f>
        <v>790286.82671883004</v>
      </c>
    </row>
    <row r="87" spans="1:34" x14ac:dyDescent="0.25">
      <c r="A87" t="s">
        <v>26</v>
      </c>
      <c r="C87" t="s">
        <v>27</v>
      </c>
      <c r="R87" s="174" t="s">
        <v>28</v>
      </c>
    </row>
    <row r="88" spans="1:34" x14ac:dyDescent="0.25">
      <c r="A88" t="s">
        <v>42</v>
      </c>
      <c r="D88" s="2">
        <f>D77/(D3+D6)</f>
        <v>141.64642773732808</v>
      </c>
      <c r="E88" s="2">
        <f t="shared" ref="E88:O88" si="180">E77/(E3+E6)</f>
        <v>107.76465503017873</v>
      </c>
      <c r="F88" s="2">
        <f t="shared" si="180"/>
        <v>96.773965786215769</v>
      </c>
      <c r="G88" s="2">
        <f t="shared" si="180"/>
        <v>60.632250880293292</v>
      </c>
      <c r="H88" s="2">
        <f t="shared" si="180"/>
        <v>35.747172077696732</v>
      </c>
      <c r="I88" s="2">
        <f t="shared" si="180"/>
        <v>19.161951188735298</v>
      </c>
      <c r="J88" s="2">
        <f t="shared" si="180"/>
        <v>14.211638282607622</v>
      </c>
      <c r="K88" s="2">
        <f t="shared" si="180"/>
        <v>13.687918632489191</v>
      </c>
      <c r="L88" s="2">
        <f t="shared" si="180"/>
        <v>19.204263468624337</v>
      </c>
      <c r="M88" s="2">
        <f t="shared" si="180"/>
        <v>52.065246371517453</v>
      </c>
      <c r="N88" s="14">
        <f t="shared" si="180"/>
        <v>97.7320852175217</v>
      </c>
      <c r="O88" s="14">
        <f t="shared" si="180"/>
        <v>137.95476379945072</v>
      </c>
      <c r="P88" s="2">
        <f t="shared" ref="P88" si="181">P77/(P3+P6)</f>
        <v>66.436899961220618</v>
      </c>
      <c r="S88" s="3">
        <f t="shared" ref="S88:AE88" si="182">S77/(D3+D6)</f>
        <v>100.64295464464513</v>
      </c>
      <c r="T88" s="3">
        <f t="shared" ref="T88" si="183">T77/(E3+E6)</f>
        <v>76.918172250077077</v>
      </c>
      <c r="U88" s="3">
        <f t="shared" ref="U88" si="184">U77/(F3+F6)</f>
        <v>70.5879546461411</v>
      </c>
      <c r="V88" s="3">
        <f t="shared" ref="V88" si="185">V77/(G3+G6)</f>
        <v>46.342362493272674</v>
      </c>
      <c r="W88" s="3">
        <f t="shared" ref="W88" si="186">W77/(H3+H6)</f>
        <v>30.705217599597752</v>
      </c>
      <c r="X88" s="3">
        <f t="shared" ref="X88" si="187">X77/(I3+I6)</f>
        <v>20.819846026621239</v>
      </c>
      <c r="Y88" s="3">
        <f t="shared" ref="Y88" si="188">Y77/(J3+J6)</f>
        <v>17.829565485927581</v>
      </c>
      <c r="Z88" s="3">
        <f t="shared" ref="Z88" si="189">Z77/(K3+K6)</f>
        <v>17.560754589878982</v>
      </c>
      <c r="AA88" s="3">
        <f t="shared" ref="AA88" si="190">AA77/(L3+L6)</f>
        <v>20.927830541656586</v>
      </c>
      <c r="AB88" s="3">
        <f t="shared" ref="AB88" si="191">AB77/(M3+M6)</f>
        <v>40.826356944559755</v>
      </c>
      <c r="AC88" s="18">
        <f t="shared" ref="AC88" si="192">AC77/(N3+N6)</f>
        <v>69.216448801611349</v>
      </c>
      <c r="AD88" s="18">
        <f t="shared" ref="AD88" si="193">AD77/(O3+O6)</f>
        <v>96.285414000616669</v>
      </c>
      <c r="AE88" s="3">
        <f t="shared" si="182"/>
        <v>50.753546588223983</v>
      </c>
    </row>
    <row r="89" spans="1:34" x14ac:dyDescent="0.25">
      <c r="A89" t="s">
        <v>43</v>
      </c>
      <c r="D89" s="20">
        <f>D78/(D9+D13)</f>
        <v>2470.6060774699999</v>
      </c>
      <c r="E89" s="2">
        <f t="shared" ref="E89:O89" si="194">E78/(E9+E13)</f>
        <v>2298.4554518480427</v>
      </c>
      <c r="F89" s="2">
        <f t="shared" si="194"/>
        <v>1806.265110217957</v>
      </c>
      <c r="G89" s="2">
        <f t="shared" si="194"/>
        <v>1394.7679877146586</v>
      </c>
      <c r="H89" s="2">
        <f t="shared" si="194"/>
        <v>996.13644133420985</v>
      </c>
      <c r="I89" s="2">
        <f t="shared" si="194"/>
        <v>678.77354647749519</v>
      </c>
      <c r="J89" s="2">
        <f t="shared" si="194"/>
        <v>484.83963464157125</v>
      </c>
      <c r="K89" s="2">
        <f t="shared" si="194"/>
        <v>523.18131581418254</v>
      </c>
      <c r="L89" s="2">
        <f t="shared" si="194"/>
        <v>657.98229424731187</v>
      </c>
      <c r="M89" s="2">
        <f t="shared" si="194"/>
        <v>1199.3953021909033</v>
      </c>
      <c r="N89" s="14">
        <f t="shared" si="194"/>
        <v>1924.0261003109658</v>
      </c>
      <c r="O89" s="14">
        <f t="shared" si="194"/>
        <v>3126.3755222098616</v>
      </c>
      <c r="P89" s="2">
        <f t="shared" ref="P89" si="195">P78/(P9+P13)</f>
        <v>1474.756967431596</v>
      </c>
      <c r="S89" s="3">
        <f t="shared" ref="S89:AE89" si="196">S78/(D9+D13)</f>
        <v>1317.5560127487418</v>
      </c>
      <c r="T89" s="3">
        <f t="shared" ref="T89" si="197">T78/(E9+E13)</f>
        <v>1223.7262552511806</v>
      </c>
      <c r="U89" s="3">
        <f t="shared" ref="U89" si="198">U78/(F9+F13)</f>
        <v>986.72078539467918</v>
      </c>
      <c r="V89" s="3">
        <f t="shared" ref="V89" si="199">V78/(G9+G13)</f>
        <v>779.20939205878926</v>
      </c>
      <c r="W89" s="3">
        <f t="shared" ref="W89" si="200">W78/(H9+H13)</f>
        <v>574.43990689900477</v>
      </c>
      <c r="X89" s="3">
        <f t="shared" ref="X89" si="201">X78/(I9+I13)</f>
        <v>411.28181295351294</v>
      </c>
      <c r="Y89" s="3">
        <f t="shared" ref="Y89" si="202">Y78/(J9+J13)</f>
        <v>317.39500812216147</v>
      </c>
      <c r="Z89" s="3">
        <f t="shared" ref="Z89" si="203">Z78/(K9+K13)</f>
        <v>337.10394274294794</v>
      </c>
      <c r="AA89" s="3">
        <f t="shared" ref="AA89" si="204">AA78/(L9+L13)</f>
        <v>401.75753853006</v>
      </c>
      <c r="AB89" s="3">
        <f t="shared" ref="AB89" si="205">AB78/(M9+M13)</f>
        <v>664.69540347066811</v>
      </c>
      <c r="AC89" s="18">
        <f t="shared" ref="AC89" si="206">AC78/(N9+N13)</f>
        <v>1030.2391617815822</v>
      </c>
      <c r="AD89" s="18">
        <f t="shared" ref="AD89" si="207">AD78/(O9+O13)</f>
        <v>1632.9675024683977</v>
      </c>
      <c r="AE89" s="3">
        <f t="shared" si="196"/>
        <v>812.04636550280873</v>
      </c>
    </row>
    <row r="90" spans="1:34" x14ac:dyDescent="0.25">
      <c r="A90" t="s">
        <v>44</v>
      </c>
      <c r="D90" s="2">
        <f>D79/(D17+D23)</f>
        <v>19872.243434782609</v>
      </c>
      <c r="E90" s="2">
        <f t="shared" ref="E90:O90" si="208">E79/(E17+E23)</f>
        <v>21170.696739130432</v>
      </c>
      <c r="F90" s="2">
        <f t="shared" si="208"/>
        <v>17163.045086956521</v>
      </c>
      <c r="G90" s="2">
        <f t="shared" si="208"/>
        <v>15301.409826086958</v>
      </c>
      <c r="H90" s="2">
        <f t="shared" si="208"/>
        <v>13880.435826086958</v>
      </c>
      <c r="I90" s="2">
        <f t="shared" si="208"/>
        <v>15510.953782608698</v>
      </c>
      <c r="J90" s="2">
        <f t="shared" si="208"/>
        <v>12123.230423043477</v>
      </c>
      <c r="K90" s="2">
        <f t="shared" si="208"/>
        <v>13827.263625</v>
      </c>
      <c r="L90" s="2">
        <f t="shared" si="208"/>
        <v>16658.4058</v>
      </c>
      <c r="M90" s="2">
        <f t="shared" si="208"/>
        <v>17287.226440000002</v>
      </c>
      <c r="N90" s="14">
        <f t="shared" si="208"/>
        <v>20073.18004347826</v>
      </c>
      <c r="O90" s="14">
        <f t="shared" si="208"/>
        <v>12119.294673124819</v>
      </c>
      <c r="P90" s="2">
        <f t="shared" ref="P90" si="209">P79/(P17+P23)</f>
        <v>37412.873349334164</v>
      </c>
      <c r="S90" s="3">
        <f t="shared" ref="S90:AE90" si="210">S79/(D17+D23)</f>
        <v>9876.9346360369582</v>
      </c>
      <c r="T90" s="3">
        <f t="shared" ref="T90" si="211">T79/(E17+E23)</f>
        <v>10518.068884450433</v>
      </c>
      <c r="U90" s="3">
        <f t="shared" ref="U90" si="212">U79/(F17+F23)</f>
        <v>8723.0412893317389</v>
      </c>
      <c r="V90" s="3">
        <f t="shared" ref="V90" si="213">V79/(G17+G23)</f>
        <v>7833.9812308082601</v>
      </c>
      <c r="W90" s="3">
        <f t="shared" ref="W90" si="214">W79/(H17+H23)</f>
        <v>7238.1586562352159</v>
      </c>
      <c r="X90" s="3">
        <f t="shared" ref="X90" si="215">X79/(I17+I23)</f>
        <v>7898.50566578087</v>
      </c>
      <c r="Y90" s="3">
        <f t="shared" ref="Y90" si="216">Y79/(J17+J23)</f>
        <v>6335.2557310408129</v>
      </c>
      <c r="Z90" s="3">
        <f t="shared" ref="Z90" si="217">Z79/(K17+K23)</f>
        <v>7098.1236277379166</v>
      </c>
      <c r="AA90" s="3">
        <f t="shared" ref="AA90" si="218">AA79/(L17+L23)</f>
        <v>8444.7729257835017</v>
      </c>
      <c r="AB90" s="3">
        <f t="shared" ref="AB90" si="219">AB79/(M17+M23)</f>
        <v>8697.7022266663989</v>
      </c>
      <c r="AC90" s="18">
        <f t="shared" ref="AC90" si="220">AC79/(N17+N23)</f>
        <v>9974.6238660513045</v>
      </c>
      <c r="AD90" s="18">
        <f t="shared" ref="AD90" si="221">AD79/(O17+O23)</f>
        <v>6393.4295316670214</v>
      </c>
      <c r="AE90" s="3">
        <f t="shared" si="210"/>
        <v>17778.372171893749</v>
      </c>
    </row>
    <row r="91" spans="1:34" x14ac:dyDescent="0.25">
      <c r="A91" t="s">
        <v>45</v>
      </c>
      <c r="D91" s="20">
        <f>D80/(D29+D34)</f>
        <v>69551.139500000005</v>
      </c>
      <c r="E91" s="2">
        <f t="shared" ref="E91:O91" si="222">E80/(E29+E34)</f>
        <v>58663.78</v>
      </c>
      <c r="F91" s="2">
        <f t="shared" si="222"/>
        <v>56558.538</v>
      </c>
      <c r="G91" s="2">
        <f t="shared" si="222"/>
        <v>46609.563999999998</v>
      </c>
      <c r="H91" s="2">
        <f t="shared" si="222"/>
        <v>36450.4205</v>
      </c>
      <c r="I91" s="2">
        <f t="shared" si="222"/>
        <v>23734.792499999996</v>
      </c>
      <c r="J91" s="2">
        <f t="shared" si="222"/>
        <v>20868.629000000001</v>
      </c>
      <c r="K91" s="2">
        <f t="shared" si="222"/>
        <v>21757.717999999997</v>
      </c>
      <c r="L91" s="2">
        <f t="shared" si="222"/>
        <v>22416.876</v>
      </c>
      <c r="M91" s="2">
        <f t="shared" si="222"/>
        <v>34346.994499999993</v>
      </c>
      <c r="N91" s="14">
        <f t="shared" si="222"/>
        <v>44259.309499999996</v>
      </c>
      <c r="O91" s="14">
        <f t="shared" si="222"/>
        <v>57415.601999999999</v>
      </c>
      <c r="P91" s="2">
        <f t="shared" ref="P91" si="223">P80/(P29+P34)</f>
        <v>41052.780291666662</v>
      </c>
      <c r="S91" s="3">
        <f>S80/(D29+D34)</f>
        <v>32220.498795029998</v>
      </c>
      <c r="T91" s="3">
        <f t="shared" ref="T91:AD91" si="224">T80/(E29+E34)</f>
        <v>27327.438078499999</v>
      </c>
      <c r="U91" s="3">
        <f t="shared" si="224"/>
        <v>26385.001757319998</v>
      </c>
      <c r="V91" s="3">
        <f t="shared" si="224"/>
        <v>21903.127352759999</v>
      </c>
      <c r="W91" s="3">
        <f t="shared" si="224"/>
        <v>17300.121024345</v>
      </c>
      <c r="X91" s="3">
        <f t="shared" si="224"/>
        <v>11481.694710674999</v>
      </c>
      <c r="Y91" s="3">
        <f t="shared" si="224"/>
        <v>10175.18294721</v>
      </c>
      <c r="Z91" s="3">
        <f t="shared" si="224"/>
        <v>10560.95993262</v>
      </c>
      <c r="AA91" s="3">
        <f t="shared" si="224"/>
        <v>10860.69887844</v>
      </c>
      <c r="AB91" s="3">
        <f t="shared" si="224"/>
        <v>16301.816107955001</v>
      </c>
      <c r="AC91" s="18">
        <f t="shared" si="224"/>
        <v>20816.325088729998</v>
      </c>
      <c r="AD91" s="18">
        <f t="shared" si="224"/>
        <v>26769.943482279999</v>
      </c>
      <c r="AE91" s="3">
        <f>AE80/(P29+P34)</f>
        <v>19341.900679655417</v>
      </c>
    </row>
    <row r="92" spans="1:34" x14ac:dyDescent="0.25">
      <c r="A92" t="s">
        <v>46</v>
      </c>
      <c r="D92" s="2">
        <f>D81/(D39)</f>
        <v>88527.365853658543</v>
      </c>
      <c r="E92" s="2">
        <f t="shared" ref="E92:O92" si="225">E81/(E39)</f>
        <v>87004.585365853665</v>
      </c>
      <c r="F92" s="2">
        <f t="shared" si="225"/>
        <v>81686.195121951227</v>
      </c>
      <c r="G92" s="2">
        <f t="shared" si="225"/>
        <v>73944.902439024387</v>
      </c>
      <c r="H92" s="2">
        <f t="shared" si="225"/>
        <v>60999.121951219509</v>
      </c>
      <c r="I92" s="2">
        <f t="shared" si="225"/>
        <v>57892.414634146342</v>
      </c>
      <c r="J92" s="2">
        <f t="shared" si="225"/>
        <v>54556.682926829271</v>
      </c>
      <c r="K92" s="2">
        <f t="shared" si="225"/>
        <v>55650.92682926829</v>
      </c>
      <c r="L92" s="2">
        <f t="shared" si="225"/>
        <v>56334.609756097561</v>
      </c>
      <c r="M92" s="2">
        <f t="shared" si="225"/>
        <v>81532.973684210519</v>
      </c>
      <c r="N92" s="14">
        <f t="shared" si="225"/>
        <v>81703.024999999994</v>
      </c>
      <c r="O92" s="14">
        <f t="shared" si="225"/>
        <v>90662.692307692312</v>
      </c>
      <c r="P92" s="2">
        <f t="shared" ref="P92" si="226">P81/(P39)</f>
        <v>72392.362139917692</v>
      </c>
      <c r="S92" s="3">
        <f>S81/(D39)</f>
        <v>7789.4899565853657</v>
      </c>
      <c r="T92" s="3">
        <f t="shared" ref="T92:AD92" si="227">T81/(E39)</f>
        <v>7790.0898297560971</v>
      </c>
      <c r="U92" s="3">
        <f t="shared" si="227"/>
        <v>7363.4142536585368</v>
      </c>
      <c r="V92" s="3">
        <f t="shared" si="227"/>
        <v>6754.6355185365865</v>
      </c>
      <c r="W92" s="3">
        <f t="shared" si="227"/>
        <v>5703.439999024391</v>
      </c>
      <c r="X92" s="3">
        <f t="shared" si="227"/>
        <v>5450.1103268292682</v>
      </c>
      <c r="Y92" s="3">
        <f t="shared" si="227"/>
        <v>5202.5283824390253</v>
      </c>
      <c r="Z92" s="3">
        <f t="shared" si="227"/>
        <v>5237.1927095121946</v>
      </c>
      <c r="AA92" s="3">
        <f t="shared" si="227"/>
        <v>5287.7629863414631</v>
      </c>
      <c r="AB92" s="3">
        <f t="shared" si="227"/>
        <v>7543.030224473684</v>
      </c>
      <c r="AC92" s="18">
        <f t="shared" si="227"/>
        <v>7406.9156917500004</v>
      </c>
      <c r="AD92" s="18">
        <f t="shared" si="227"/>
        <v>8208.4883717948705</v>
      </c>
      <c r="AE92" s="3">
        <f>AE81/(P39)</f>
        <v>6631.2099694855942</v>
      </c>
    </row>
    <row r="93" spans="1:34" x14ac:dyDescent="0.25">
      <c r="A93" t="s">
        <v>40</v>
      </c>
      <c r="D93" s="12">
        <f>D82/(D45+D47)</f>
        <v>644426.5</v>
      </c>
      <c r="E93" s="12">
        <f t="shared" ref="E93:O93" si="228">E82/(E45+E47)</f>
        <v>635972.42857142852</v>
      </c>
      <c r="F93" s="12">
        <f t="shared" si="228"/>
        <v>547674.25</v>
      </c>
      <c r="G93" s="12">
        <f t="shared" si="228"/>
        <v>497502.375</v>
      </c>
      <c r="H93" s="12">
        <f t="shared" si="228"/>
        <v>473196.75</v>
      </c>
      <c r="I93" s="12">
        <f t="shared" si="228"/>
        <v>550428.85714285716</v>
      </c>
      <c r="J93" s="12">
        <f t="shared" si="228"/>
        <v>464481.125</v>
      </c>
      <c r="K93" s="12">
        <f t="shared" si="228"/>
        <v>562652.375</v>
      </c>
      <c r="L93" s="12">
        <f t="shared" si="228"/>
        <v>590800.625</v>
      </c>
      <c r="M93" s="12">
        <f t="shared" si="228"/>
        <v>600910.375</v>
      </c>
      <c r="N93" s="21">
        <f t="shared" si="228"/>
        <v>689505.5</v>
      </c>
      <c r="O93" s="21">
        <f t="shared" si="228"/>
        <v>696048.5</v>
      </c>
      <c r="P93" s="12">
        <f t="shared" ref="P93" si="229">P82/(P45+P47)</f>
        <v>579174.42553191492</v>
      </c>
      <c r="S93" s="3">
        <f>S82/(D45+D47)</f>
        <v>15495.95395375</v>
      </c>
      <c r="T93" s="3">
        <f t="shared" ref="T93:AD93" si="230">T82/(E45+E47)</f>
        <v>16040.19619857143</v>
      </c>
      <c r="U93" s="3">
        <f t="shared" si="230"/>
        <v>13455.97896375</v>
      </c>
      <c r="V93" s="3">
        <f t="shared" si="230"/>
        <v>12160.412813750001</v>
      </c>
      <c r="W93" s="3">
        <f t="shared" si="230"/>
        <v>12293.20028375</v>
      </c>
      <c r="X93" s="3">
        <f t="shared" si="230"/>
        <v>15063.380674285714</v>
      </c>
      <c r="Y93" s="3">
        <f t="shared" si="230"/>
        <v>12925.801868750001</v>
      </c>
      <c r="Z93" s="3">
        <f t="shared" si="230"/>
        <v>15125.568682500001</v>
      </c>
      <c r="AA93" s="3">
        <f t="shared" si="230"/>
        <v>15453.693452500002</v>
      </c>
      <c r="AB93" s="3">
        <f t="shared" si="230"/>
        <v>15906.46947625</v>
      </c>
      <c r="AC93" s="18">
        <f t="shared" si="230"/>
        <v>17655.136778749998</v>
      </c>
      <c r="AD93" s="18">
        <f t="shared" si="230"/>
        <v>17550.818046249999</v>
      </c>
      <c r="AE93" s="3">
        <f>AE82/(P45+P47)</f>
        <v>14913.928858191488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48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70"/>
  <sheetViews>
    <sheetView tabSelected="1" workbookViewId="0">
      <selection activeCell="F25" sqref="F25"/>
    </sheetView>
  </sheetViews>
  <sheetFormatPr defaultRowHeight="15" outlineLevelCol="1" x14ac:dyDescent="0.25"/>
  <cols>
    <col min="2" max="2" width="3.7109375" customWidth="1"/>
    <col min="3" max="3" width="13.7109375" customWidth="1" outlineLevel="1"/>
    <col min="4" max="5" width="12.5703125" customWidth="1" outlineLevel="1"/>
    <col min="6" max="7" width="11.140625" customWidth="1" outlineLevel="1"/>
    <col min="8" max="9" width="12.5703125" customWidth="1" outlineLevel="1"/>
    <col min="10" max="10" width="2.140625" customWidth="1"/>
    <col min="12" max="12" width="2.140625" customWidth="1"/>
    <col min="13" max="13" width="12.7109375" customWidth="1"/>
    <col min="14" max="14" width="11.42578125" customWidth="1"/>
  </cols>
  <sheetData>
    <row r="1" spans="1:16" x14ac:dyDescent="0.25">
      <c r="A1" s="178"/>
      <c r="B1" s="13" t="s">
        <v>208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5">
      <c r="A2" s="178"/>
      <c r="B2" t="s">
        <v>209</v>
      </c>
    </row>
    <row r="3" spans="1:16" x14ac:dyDescent="0.25">
      <c r="A3" s="179"/>
      <c r="B3" s="179"/>
      <c r="C3" s="179" t="s">
        <v>210</v>
      </c>
      <c r="K3" s="180"/>
      <c r="L3" s="167"/>
      <c r="M3" s="181" t="s">
        <v>211</v>
      </c>
      <c r="N3" s="182"/>
    </row>
    <row r="4" spans="1:16" x14ac:dyDescent="0.25">
      <c r="C4" s="1" t="s">
        <v>212</v>
      </c>
      <c r="D4" s="1" t="s">
        <v>213</v>
      </c>
      <c r="E4" s="1" t="s">
        <v>214</v>
      </c>
      <c r="F4" s="1" t="s">
        <v>215</v>
      </c>
      <c r="G4" s="1" t="s">
        <v>216</v>
      </c>
      <c r="H4" s="1" t="s">
        <v>217</v>
      </c>
      <c r="I4" s="1" t="s">
        <v>218</v>
      </c>
      <c r="K4" s="180"/>
      <c r="L4" s="167"/>
      <c r="M4" s="183" t="s">
        <v>219</v>
      </c>
      <c r="N4" s="184" t="s">
        <v>220</v>
      </c>
    </row>
    <row r="5" spans="1:16" x14ac:dyDescent="0.25">
      <c r="A5" s="185">
        <v>43647</v>
      </c>
      <c r="C5" s="2">
        <v>2330636.2682767026</v>
      </c>
      <c r="D5" s="2">
        <v>1739391.3399515029</v>
      </c>
      <c r="E5" s="2">
        <v>4648.8126022263405</v>
      </c>
      <c r="F5" s="2">
        <v>82228.840578611154</v>
      </c>
      <c r="G5" s="2">
        <v>37558.494779057699</v>
      </c>
      <c r="H5" s="2">
        <v>2276376</v>
      </c>
      <c r="I5" s="2">
        <v>3721257</v>
      </c>
      <c r="K5" s="5"/>
      <c r="L5" s="2"/>
      <c r="M5" s="6">
        <f t="shared" ref="M5:M22" si="0">C5</f>
        <v>2330636.2682767026</v>
      </c>
      <c r="N5" s="6">
        <f>D5+E5+F5-K5</f>
        <v>1826268.9931323405</v>
      </c>
    </row>
    <row r="6" spans="1:16" x14ac:dyDescent="0.25">
      <c r="A6" s="185">
        <f>A5+31</f>
        <v>43678</v>
      </c>
      <c r="C6" s="2">
        <v>2090304.9976579968</v>
      </c>
      <c r="D6" s="2">
        <v>1944555.1149974493</v>
      </c>
      <c r="E6" s="2">
        <v>5284.9346595078568</v>
      </c>
      <c r="F6" s="2">
        <v>117312.34976936884</v>
      </c>
      <c r="G6" s="2">
        <v>28390.905727891233</v>
      </c>
      <c r="H6" s="2">
        <v>2109977</v>
      </c>
      <c r="I6" s="2">
        <v>3538520</v>
      </c>
      <c r="K6" s="5"/>
      <c r="L6" s="2"/>
      <c r="M6" s="6">
        <f t="shared" si="0"/>
        <v>2090304.9976579968</v>
      </c>
      <c r="N6" s="6">
        <f t="shared" ref="N6:N22" si="1">D6+E6+F6-K6</f>
        <v>2067152.3994263259</v>
      </c>
    </row>
    <row r="7" spans="1:16" x14ac:dyDescent="0.25">
      <c r="A7" s="185">
        <f t="shared" ref="A7:A22" si="2">A6+31</f>
        <v>43709</v>
      </c>
      <c r="C7" s="2">
        <v>2723234.9856473482</v>
      </c>
      <c r="D7" s="2">
        <v>2152896.4472525869</v>
      </c>
      <c r="E7" s="2">
        <v>7140.7984702315362</v>
      </c>
      <c r="F7" s="2">
        <v>129011.86678991136</v>
      </c>
      <c r="G7" s="2">
        <v>33202.814859812548</v>
      </c>
      <c r="H7" s="2">
        <v>2144158</v>
      </c>
      <c r="I7" s="2">
        <v>3620288</v>
      </c>
      <c r="K7" s="5"/>
      <c r="L7" s="2"/>
      <c r="M7" s="6">
        <f t="shared" si="0"/>
        <v>2723234.9856473482</v>
      </c>
      <c r="N7" s="6">
        <f t="shared" si="1"/>
        <v>2289049.1125127301</v>
      </c>
    </row>
    <row r="8" spans="1:16" x14ac:dyDescent="0.25">
      <c r="A8" s="185">
        <f t="shared" si="2"/>
        <v>43740</v>
      </c>
      <c r="C8" s="2">
        <v>8094044.4497186495</v>
      </c>
      <c r="D8" s="2">
        <v>4476291.5251051225</v>
      </c>
      <c r="E8" s="2">
        <v>16071.192710746011</v>
      </c>
      <c r="F8" s="2">
        <v>263072.60116087174</v>
      </c>
      <c r="G8" s="2">
        <v>82372.336843399928</v>
      </c>
      <c r="H8" s="2">
        <v>2314035</v>
      </c>
      <c r="I8" s="2">
        <v>3699256</v>
      </c>
      <c r="K8" s="5"/>
      <c r="L8" s="2"/>
      <c r="M8" s="6">
        <f t="shared" si="0"/>
        <v>8094044.4497186495</v>
      </c>
      <c r="N8" s="6">
        <f t="shared" si="1"/>
        <v>4755435.3189767404</v>
      </c>
    </row>
    <row r="9" spans="1:16" x14ac:dyDescent="0.25">
      <c r="A9" s="185">
        <f t="shared" si="2"/>
        <v>43771</v>
      </c>
      <c r="C9" s="2">
        <v>15898823.640692307</v>
      </c>
      <c r="D9" s="2">
        <v>6707238.4924614206</v>
      </c>
      <c r="E9" s="2">
        <v>24099.579434462128</v>
      </c>
      <c r="F9" s="2">
        <v>317044.18382347241</v>
      </c>
      <c r="G9" s="2">
        <v>122891.31766262029</v>
      </c>
      <c r="H9" s="2">
        <v>2978091</v>
      </c>
      <c r="I9" s="2">
        <v>4190187</v>
      </c>
      <c r="K9" s="5"/>
      <c r="L9" s="2"/>
      <c r="M9" s="6">
        <f t="shared" si="0"/>
        <v>15898823.640692307</v>
      </c>
      <c r="N9" s="6">
        <f t="shared" si="1"/>
        <v>7048382.2557193553</v>
      </c>
    </row>
    <row r="10" spans="1:16" x14ac:dyDescent="0.25">
      <c r="A10" s="185">
        <f t="shared" si="2"/>
        <v>43802</v>
      </c>
      <c r="C10" s="2">
        <v>24071267.14316823</v>
      </c>
      <c r="D10" s="2">
        <v>9016780.6171738505</v>
      </c>
      <c r="E10" s="2">
        <v>21545.27609380483</v>
      </c>
      <c r="F10" s="2">
        <v>262517.86881452362</v>
      </c>
      <c r="G10" s="2">
        <v>140461.23326108287</v>
      </c>
      <c r="H10" s="2">
        <v>3301695</v>
      </c>
      <c r="I10" s="2">
        <v>4595234</v>
      </c>
      <c r="K10" s="5"/>
      <c r="L10" s="2"/>
      <c r="M10" s="6">
        <f t="shared" si="0"/>
        <v>24071267.14316823</v>
      </c>
      <c r="N10" s="6">
        <f t="shared" si="1"/>
        <v>9300843.76208218</v>
      </c>
    </row>
    <row r="11" spans="1:16" x14ac:dyDescent="0.25">
      <c r="A11" s="185">
        <f t="shared" si="2"/>
        <v>43833</v>
      </c>
      <c r="C11" s="2">
        <v>24078966.143247005</v>
      </c>
      <c r="D11" s="2">
        <v>8686901.0663989354</v>
      </c>
      <c r="E11" s="2">
        <v>19691.004472464629</v>
      </c>
      <c r="F11" s="2">
        <v>249027.81914635876</v>
      </c>
      <c r="G11" s="2">
        <v>139894.2702245925</v>
      </c>
      <c r="H11" s="2">
        <v>3788957</v>
      </c>
      <c r="I11" s="2">
        <v>4997216</v>
      </c>
      <c r="K11" s="5"/>
      <c r="L11" s="2"/>
      <c r="M11" s="6">
        <f t="shared" si="0"/>
        <v>24078966.143247005</v>
      </c>
      <c r="N11" s="6">
        <f t="shared" si="1"/>
        <v>8955619.8900177591</v>
      </c>
    </row>
    <row r="12" spans="1:16" x14ac:dyDescent="0.25">
      <c r="A12" s="185">
        <f t="shared" si="2"/>
        <v>43864</v>
      </c>
      <c r="C12" s="2">
        <v>20108022.469447553</v>
      </c>
      <c r="D12" s="2">
        <v>7327994.7045140322</v>
      </c>
      <c r="E12" s="2">
        <v>15422.635702773372</v>
      </c>
      <c r="F12" s="2">
        <v>201869.43839917585</v>
      </c>
      <c r="G12" s="2">
        <v>125167.71586151597</v>
      </c>
      <c r="H12" s="2">
        <v>4067520</v>
      </c>
      <c r="I12" s="2">
        <v>5037640</v>
      </c>
      <c r="K12" s="5"/>
      <c r="L12" s="2"/>
      <c r="M12" s="6">
        <f t="shared" si="0"/>
        <v>20108022.469447553</v>
      </c>
      <c r="N12" s="6">
        <f t="shared" si="1"/>
        <v>7545286.7786159813</v>
      </c>
    </row>
    <row r="13" spans="1:16" x14ac:dyDescent="0.25">
      <c r="A13" s="185">
        <f t="shared" si="2"/>
        <v>43895</v>
      </c>
      <c r="C13" s="2">
        <v>15854753.39936316</v>
      </c>
      <c r="D13" s="2">
        <v>6013620.4838854698</v>
      </c>
      <c r="E13" s="2">
        <v>12186.255427761991</v>
      </c>
      <c r="F13" s="2">
        <v>161809.30904347377</v>
      </c>
      <c r="G13" s="2">
        <v>100412.02660087158</v>
      </c>
      <c r="H13" s="2">
        <v>3512570</v>
      </c>
      <c r="I13" s="2">
        <v>4557557</v>
      </c>
      <c r="K13" s="5"/>
      <c r="L13" s="2"/>
      <c r="M13" s="6">
        <f t="shared" si="0"/>
        <v>15854753.39936316</v>
      </c>
      <c r="N13" s="6">
        <f t="shared" si="1"/>
        <v>6187616.0483567053</v>
      </c>
    </row>
    <row r="14" spans="1:16" x14ac:dyDescent="0.25">
      <c r="A14" s="185">
        <f t="shared" si="2"/>
        <v>43926</v>
      </c>
      <c r="C14" s="2">
        <v>9622122.8085528277</v>
      </c>
      <c r="D14" s="2">
        <v>3930714.6164969611</v>
      </c>
      <c r="E14" s="2">
        <v>8718.8940064313792</v>
      </c>
      <c r="F14" s="2">
        <v>115146.60759253167</v>
      </c>
      <c r="G14" s="2">
        <v>70075.241038783541</v>
      </c>
      <c r="H14" s="2">
        <v>3448926</v>
      </c>
      <c r="I14" s="2">
        <v>4519829</v>
      </c>
      <c r="K14" s="5"/>
      <c r="L14" s="2"/>
      <c r="M14" s="6">
        <f t="shared" si="0"/>
        <v>9622122.8085528277</v>
      </c>
      <c r="N14" s="6">
        <f t="shared" si="1"/>
        <v>4054580.1180959241</v>
      </c>
    </row>
    <row r="15" spans="1:16" x14ac:dyDescent="0.25">
      <c r="A15" s="185">
        <f t="shared" si="2"/>
        <v>43957</v>
      </c>
      <c r="C15" s="2">
        <v>4702782.7728201356</v>
      </c>
      <c r="D15" s="2">
        <v>2238076.5876566232</v>
      </c>
      <c r="E15" s="2">
        <v>4878.5866385971758</v>
      </c>
      <c r="F15" s="2">
        <v>66396.855196701043</v>
      </c>
      <c r="G15" s="2">
        <v>44856.284352865383</v>
      </c>
      <c r="H15" s="2">
        <v>2931707</v>
      </c>
      <c r="I15" s="2">
        <v>4159606</v>
      </c>
      <c r="K15" s="5"/>
      <c r="L15" s="2"/>
      <c r="M15" s="6">
        <f t="shared" si="0"/>
        <v>4702782.7728201356</v>
      </c>
      <c r="N15" s="6">
        <f t="shared" si="1"/>
        <v>2309352.0294919214</v>
      </c>
    </row>
    <row r="16" spans="1:16" x14ac:dyDescent="0.25">
      <c r="A16" s="185">
        <f t="shared" si="2"/>
        <v>43988</v>
      </c>
      <c r="C16" s="2">
        <v>2829236.7073660442</v>
      </c>
      <c r="D16" s="2">
        <v>1696248.0861772974</v>
      </c>
      <c r="E16" s="2">
        <v>4456.633729958925</v>
      </c>
      <c r="F16" s="2">
        <v>79209.567877520865</v>
      </c>
      <c r="G16" s="2">
        <v>34992.729977475676</v>
      </c>
      <c r="H16" s="2">
        <v>2584204</v>
      </c>
      <c r="I16" s="2">
        <v>3860707</v>
      </c>
      <c r="K16" s="5"/>
      <c r="L16" s="2"/>
      <c r="M16" s="6">
        <f t="shared" si="0"/>
        <v>2829236.7073660442</v>
      </c>
      <c r="N16" s="6">
        <f t="shared" si="1"/>
        <v>1779914.2877847771</v>
      </c>
    </row>
    <row r="17" spans="1:14" x14ac:dyDescent="0.25">
      <c r="A17" s="185">
        <f t="shared" si="2"/>
        <v>44019</v>
      </c>
      <c r="C17" s="2">
        <v>2322120.1278278558</v>
      </c>
      <c r="D17" s="2">
        <v>1797674.0022902135</v>
      </c>
      <c r="E17" s="2">
        <v>4605.418933379593</v>
      </c>
      <c r="F17" s="2">
        <v>81461.287359535068</v>
      </c>
      <c r="G17" s="2">
        <v>37014.1834504164</v>
      </c>
      <c r="H17" s="2">
        <v>2329640</v>
      </c>
      <c r="I17" s="2">
        <v>3734131</v>
      </c>
      <c r="K17" s="5"/>
      <c r="L17" s="2"/>
      <c r="M17" s="6">
        <f t="shared" si="0"/>
        <v>2322120.1278278558</v>
      </c>
      <c r="N17" s="6">
        <f t="shared" si="1"/>
        <v>1883740.7085831282</v>
      </c>
    </row>
    <row r="18" spans="1:14" x14ac:dyDescent="0.25">
      <c r="A18" s="185">
        <f t="shared" si="2"/>
        <v>44050</v>
      </c>
      <c r="C18" s="2">
        <v>2180463.741055781</v>
      </c>
      <c r="D18" s="2">
        <v>1910503.3310460949</v>
      </c>
      <c r="E18" s="2">
        <v>4998.6609362692852</v>
      </c>
      <c r="F18" s="2">
        <v>110957.78811174749</v>
      </c>
      <c r="G18" s="2">
        <v>27246.952312090816</v>
      </c>
      <c r="H18" s="2">
        <v>2181527</v>
      </c>
      <c r="I18" s="2">
        <v>3560261</v>
      </c>
      <c r="K18" s="5"/>
      <c r="L18" s="2"/>
      <c r="M18" s="6">
        <f t="shared" si="0"/>
        <v>2180463.741055781</v>
      </c>
      <c r="N18" s="6">
        <f t="shared" si="1"/>
        <v>2026459.7800941116</v>
      </c>
    </row>
    <row r="19" spans="1:14" x14ac:dyDescent="0.25">
      <c r="A19" s="185">
        <f t="shared" si="2"/>
        <v>44081</v>
      </c>
      <c r="C19" s="2">
        <v>2755685.0386470361</v>
      </c>
      <c r="D19" s="2">
        <v>2174581.7380349264</v>
      </c>
      <c r="E19" s="2">
        <v>7284.0488830778613</v>
      </c>
      <c r="F19" s="2">
        <v>131599.95315823186</v>
      </c>
      <c r="G19" s="2">
        <v>32016.686215844009</v>
      </c>
      <c r="H19" s="2">
        <v>2228375</v>
      </c>
      <c r="I19" s="2">
        <v>3676753</v>
      </c>
      <c r="K19" s="5"/>
      <c r="L19" s="2"/>
      <c r="M19" s="6">
        <f t="shared" si="0"/>
        <v>2755685.0386470361</v>
      </c>
      <c r="N19" s="6">
        <f t="shared" si="1"/>
        <v>2313465.740076236</v>
      </c>
    </row>
    <row r="20" spans="1:14" x14ac:dyDescent="0.25">
      <c r="A20" s="185">
        <f t="shared" si="2"/>
        <v>44112</v>
      </c>
      <c r="C20" s="2">
        <v>8006271.7590203285</v>
      </c>
      <c r="D20" s="2">
        <v>4705173.9247905202</v>
      </c>
      <c r="E20" s="2">
        <v>16356.240563347985</v>
      </c>
      <c r="F20" s="2">
        <v>267738.60706279718</v>
      </c>
      <c r="G20" s="2">
        <v>77595.790287301148</v>
      </c>
      <c r="H20" s="2">
        <v>2380594</v>
      </c>
      <c r="I20" s="2">
        <v>3751798</v>
      </c>
      <c r="K20" s="5"/>
      <c r="L20" s="2"/>
      <c r="M20" s="6">
        <f t="shared" si="0"/>
        <v>8006271.7590203285</v>
      </c>
      <c r="N20" s="6">
        <f t="shared" si="1"/>
        <v>4989268.7724166652</v>
      </c>
    </row>
    <row r="21" spans="1:14" x14ac:dyDescent="0.25">
      <c r="A21" s="185">
        <f t="shared" si="2"/>
        <v>44143</v>
      </c>
      <c r="C21" s="2">
        <v>15843409.828133311</v>
      </c>
      <c r="D21" s="2">
        <v>7020376.8828202337</v>
      </c>
      <c r="E21" s="2">
        <v>23920.795222126857</v>
      </c>
      <c r="F21" s="2">
        <v>314692.17204523768</v>
      </c>
      <c r="G21" s="2">
        <v>115792.7651937714</v>
      </c>
      <c r="H21" s="2">
        <v>3022091</v>
      </c>
      <c r="I21" s="2">
        <v>4263005</v>
      </c>
      <c r="K21" s="5"/>
      <c r="L21" s="2"/>
      <c r="M21" s="6">
        <f t="shared" si="0"/>
        <v>15843409.828133311</v>
      </c>
      <c r="N21" s="6">
        <f t="shared" si="1"/>
        <v>7358989.850087598</v>
      </c>
    </row>
    <row r="22" spans="1:14" x14ac:dyDescent="0.25">
      <c r="A22" s="185">
        <f t="shared" si="2"/>
        <v>44174</v>
      </c>
      <c r="C22" s="2">
        <v>24246508.59582087</v>
      </c>
      <c r="D22" s="2">
        <v>9201499.8424059339</v>
      </c>
      <c r="E22" s="2">
        <v>21482.76394802958</v>
      </c>
      <c r="F22" s="2">
        <v>261756.19116358555</v>
      </c>
      <c r="G22" s="2">
        <v>136746.18727596907</v>
      </c>
      <c r="H22" s="2">
        <v>3392215</v>
      </c>
      <c r="I22" s="2">
        <v>4648548</v>
      </c>
      <c r="K22" s="5"/>
      <c r="L22" s="2"/>
      <c r="M22" s="6">
        <f t="shared" si="0"/>
        <v>24246508.59582087</v>
      </c>
      <c r="N22" s="6">
        <f t="shared" si="1"/>
        <v>9484738.7975175492</v>
      </c>
    </row>
    <row r="23" spans="1:14" x14ac:dyDescent="0.25">
      <c r="A23" s="185"/>
      <c r="C23" s="2"/>
      <c r="D23" s="2"/>
      <c r="E23" s="2"/>
      <c r="F23" s="2"/>
      <c r="G23" s="2"/>
      <c r="H23" s="2"/>
      <c r="I23" s="2"/>
      <c r="K23" s="5"/>
      <c r="L23" s="2"/>
      <c r="M23" s="6"/>
      <c r="N23" s="6"/>
    </row>
    <row r="24" spans="1:14" x14ac:dyDescent="0.25">
      <c r="A24" s="185"/>
      <c r="C24" s="2"/>
      <c r="D24" s="2"/>
      <c r="E24" s="2"/>
      <c r="F24" s="2"/>
      <c r="G24" s="2"/>
      <c r="H24" s="2"/>
      <c r="I24" s="2"/>
      <c r="K24" s="5"/>
      <c r="L24" s="2"/>
      <c r="M24" s="6"/>
      <c r="N24" s="6"/>
    </row>
    <row r="25" spans="1:14" x14ac:dyDescent="0.25">
      <c r="A25" s="185"/>
      <c r="C25" s="2"/>
      <c r="D25" s="2"/>
      <c r="E25" s="2"/>
      <c r="F25" s="2"/>
      <c r="G25" s="2"/>
      <c r="H25" s="2"/>
      <c r="I25" s="2"/>
      <c r="K25" s="5"/>
      <c r="L25" s="2"/>
      <c r="M25" s="6"/>
      <c r="N25" s="6"/>
    </row>
    <row r="26" spans="1:14" x14ac:dyDescent="0.25">
      <c r="A26" s="185"/>
      <c r="C26" s="2"/>
      <c r="D26" s="2"/>
      <c r="E26" s="2"/>
      <c r="F26" s="2"/>
      <c r="G26" s="2"/>
      <c r="H26" s="2"/>
      <c r="I26" s="2"/>
      <c r="K26" s="5"/>
      <c r="L26" s="2"/>
      <c r="M26" s="6"/>
      <c r="N26" s="6"/>
    </row>
    <row r="27" spans="1:14" x14ac:dyDescent="0.25">
      <c r="A27" s="185"/>
      <c r="C27" s="2"/>
      <c r="D27" s="2"/>
      <c r="E27" s="2"/>
      <c r="F27" s="2"/>
      <c r="G27" s="2"/>
      <c r="H27" s="2"/>
      <c r="I27" s="2"/>
      <c r="K27" s="5"/>
      <c r="L27" s="2"/>
      <c r="M27" s="6"/>
      <c r="N27" s="6"/>
    </row>
    <row r="28" spans="1:14" x14ac:dyDescent="0.25">
      <c r="A28" s="185"/>
      <c r="C28" s="2"/>
      <c r="D28" s="2"/>
      <c r="E28" s="2"/>
      <c r="F28" s="2"/>
      <c r="G28" s="2"/>
      <c r="H28" s="2"/>
      <c r="I28" s="2"/>
      <c r="K28" s="5"/>
      <c r="L28" s="2"/>
      <c r="M28" s="6"/>
      <c r="N28" s="6"/>
    </row>
    <row r="29" spans="1:14" x14ac:dyDescent="0.25">
      <c r="A29" s="185"/>
      <c r="C29" s="2"/>
      <c r="D29" s="2"/>
      <c r="E29" s="2"/>
      <c r="F29" s="2"/>
      <c r="G29" s="2"/>
      <c r="H29" s="2"/>
      <c r="I29" s="2"/>
      <c r="K29" s="5"/>
      <c r="L29" s="2"/>
      <c r="M29" s="6"/>
      <c r="N29" s="6"/>
    </row>
    <row r="30" spans="1:14" x14ac:dyDescent="0.25">
      <c r="A30" s="185"/>
      <c r="C30" s="2"/>
      <c r="D30" s="2"/>
      <c r="E30" s="2"/>
      <c r="F30" s="2"/>
      <c r="G30" s="2"/>
      <c r="H30" s="2"/>
      <c r="I30" s="2"/>
      <c r="K30" s="5"/>
      <c r="L30" s="2"/>
      <c r="M30" s="6"/>
      <c r="N30" s="6"/>
    </row>
    <row r="31" spans="1:14" x14ac:dyDescent="0.25">
      <c r="A31" s="185"/>
      <c r="C31" s="2"/>
      <c r="D31" s="2"/>
      <c r="E31" s="2"/>
      <c r="F31" s="2"/>
      <c r="G31" s="2"/>
      <c r="H31" s="2"/>
      <c r="I31" s="2"/>
      <c r="K31" s="5"/>
      <c r="L31" s="2"/>
      <c r="M31" s="6"/>
      <c r="N31" s="6"/>
    </row>
    <row r="32" spans="1:14" x14ac:dyDescent="0.25">
      <c r="A32" s="185"/>
      <c r="C32" s="2"/>
      <c r="D32" s="2"/>
      <c r="E32" s="2"/>
      <c r="F32" s="2"/>
      <c r="G32" s="2"/>
      <c r="H32" s="2"/>
      <c r="I32" s="2"/>
      <c r="K32" s="5"/>
      <c r="L32" s="2"/>
      <c r="M32" s="6"/>
      <c r="N32" s="6"/>
    </row>
    <row r="33" spans="1:14" x14ac:dyDescent="0.25">
      <c r="A33" s="185"/>
      <c r="C33" s="2"/>
      <c r="D33" s="2"/>
      <c r="E33" s="2"/>
      <c r="F33" s="2"/>
      <c r="G33" s="2"/>
      <c r="H33" s="2"/>
      <c r="I33" s="2"/>
      <c r="K33" s="5"/>
      <c r="L33" s="2"/>
      <c r="M33" s="6"/>
      <c r="N33" s="6"/>
    </row>
    <row r="34" spans="1:14" x14ac:dyDescent="0.25">
      <c r="A34" s="185"/>
      <c r="C34" s="2"/>
      <c r="D34" s="2"/>
      <c r="E34" s="2"/>
      <c r="F34" s="2"/>
      <c r="G34" s="2"/>
      <c r="H34" s="2"/>
      <c r="I34" s="2"/>
      <c r="K34" s="5"/>
      <c r="L34" s="2"/>
      <c r="M34" s="6"/>
      <c r="N34" s="6"/>
    </row>
    <row r="35" spans="1:14" x14ac:dyDescent="0.25">
      <c r="A35" s="185"/>
      <c r="C35" s="2"/>
      <c r="D35" s="2"/>
      <c r="E35" s="2"/>
      <c r="F35" s="2"/>
      <c r="G35" s="2"/>
      <c r="H35" s="2"/>
      <c r="I35" s="2"/>
      <c r="K35" s="5"/>
      <c r="L35" s="2"/>
      <c r="M35" s="6"/>
      <c r="N35" s="6"/>
    </row>
    <row r="36" spans="1:14" x14ac:dyDescent="0.25">
      <c r="A36" s="185"/>
      <c r="C36" s="2"/>
      <c r="D36" s="2"/>
      <c r="E36" s="2"/>
      <c r="F36" s="2"/>
      <c r="G36" s="2"/>
      <c r="H36" s="2"/>
      <c r="I36" s="2"/>
      <c r="K36" s="5"/>
      <c r="L36" s="2"/>
      <c r="M36" s="6"/>
      <c r="N36" s="6"/>
    </row>
    <row r="37" spans="1:14" x14ac:dyDescent="0.25">
      <c r="A37" s="185"/>
      <c r="C37" s="2"/>
      <c r="D37" s="2"/>
      <c r="E37" s="2"/>
      <c r="F37" s="2"/>
      <c r="G37" s="2"/>
      <c r="H37" s="2"/>
      <c r="I37" s="2"/>
      <c r="K37" s="5"/>
      <c r="L37" s="2"/>
      <c r="M37" s="6"/>
      <c r="N37" s="6"/>
    </row>
    <row r="38" spans="1:14" x14ac:dyDescent="0.25">
      <c r="A38" s="185"/>
      <c r="C38" s="2"/>
      <c r="D38" s="2"/>
      <c r="E38" s="2"/>
      <c r="F38" s="2"/>
      <c r="G38" s="2"/>
      <c r="H38" s="2"/>
      <c r="I38" s="2"/>
      <c r="K38" s="5"/>
      <c r="L38" s="2"/>
      <c r="M38" s="6"/>
      <c r="N38" s="6"/>
    </row>
    <row r="39" spans="1:14" x14ac:dyDescent="0.25">
      <c r="A39" s="185"/>
      <c r="C39" s="2"/>
      <c r="D39" s="2"/>
      <c r="E39" s="2"/>
      <c r="F39" s="2"/>
      <c r="G39" s="2"/>
      <c r="H39" s="2"/>
      <c r="I39" s="2"/>
      <c r="K39" s="5"/>
      <c r="L39" s="2"/>
      <c r="M39" s="6"/>
      <c r="N39" s="6"/>
    </row>
    <row r="40" spans="1:14" x14ac:dyDescent="0.25">
      <c r="A40" s="185"/>
      <c r="C40" s="2"/>
      <c r="D40" s="2"/>
      <c r="E40" s="2"/>
      <c r="F40" s="2"/>
      <c r="G40" s="2"/>
      <c r="H40" s="2"/>
      <c r="I40" s="2"/>
      <c r="K40" s="5"/>
      <c r="L40" s="2"/>
      <c r="M40" s="6"/>
      <c r="N40" s="6"/>
    </row>
    <row r="41" spans="1:14" x14ac:dyDescent="0.25">
      <c r="A41" s="185"/>
      <c r="C41" s="2"/>
      <c r="D41" s="2"/>
      <c r="E41" s="2"/>
      <c r="F41" s="2"/>
      <c r="G41" s="2"/>
      <c r="H41" s="2"/>
      <c r="I41" s="2"/>
      <c r="K41" s="5"/>
      <c r="L41" s="2"/>
      <c r="M41" s="6"/>
      <c r="N41" s="6"/>
    </row>
    <row r="42" spans="1:14" x14ac:dyDescent="0.25">
      <c r="A42" s="185"/>
      <c r="C42" s="2"/>
      <c r="D42" s="2"/>
      <c r="E42" s="2"/>
      <c r="F42" s="2"/>
      <c r="G42" s="2"/>
      <c r="H42" s="2"/>
      <c r="I42" s="2"/>
      <c r="K42" s="5"/>
      <c r="L42" s="2"/>
      <c r="M42" s="6"/>
      <c r="N42" s="6"/>
    </row>
    <row r="43" spans="1:14" x14ac:dyDescent="0.25">
      <c r="A43" s="185"/>
      <c r="C43" s="2"/>
      <c r="D43" s="2"/>
      <c r="E43" s="2"/>
      <c r="F43" s="2"/>
      <c r="G43" s="2"/>
      <c r="H43" s="2"/>
      <c r="I43" s="2"/>
      <c r="K43" s="5"/>
      <c r="L43" s="2"/>
      <c r="M43" s="6"/>
      <c r="N43" s="6"/>
    </row>
    <row r="44" spans="1:14" x14ac:dyDescent="0.25">
      <c r="A44" s="185"/>
      <c r="C44" s="2"/>
      <c r="D44" s="2"/>
      <c r="E44" s="2"/>
      <c r="F44" s="2"/>
      <c r="G44" s="2"/>
      <c r="H44" s="2"/>
      <c r="I44" s="2"/>
      <c r="K44" s="5"/>
      <c r="L44" s="2"/>
      <c r="M44" s="6"/>
      <c r="N44" s="6"/>
    </row>
    <row r="45" spans="1:14" x14ac:dyDescent="0.25">
      <c r="A45" s="185"/>
      <c r="C45" s="2"/>
      <c r="D45" s="2"/>
      <c r="E45" s="2"/>
      <c r="F45" s="2"/>
      <c r="G45" s="2"/>
      <c r="H45" s="2"/>
      <c r="I45" s="2"/>
      <c r="K45" s="5"/>
      <c r="L45" s="2"/>
      <c r="M45" s="6"/>
      <c r="N45" s="6"/>
    </row>
    <row r="46" spans="1:14" x14ac:dyDescent="0.25">
      <c r="A46" s="185"/>
      <c r="C46" s="2"/>
      <c r="D46" s="2"/>
      <c r="E46" s="2"/>
      <c r="F46" s="2"/>
      <c r="G46" s="2"/>
      <c r="H46" s="2"/>
      <c r="I46" s="2"/>
      <c r="K46" s="5"/>
      <c r="L46" s="2"/>
      <c r="M46" s="6"/>
      <c r="N46" s="6"/>
    </row>
    <row r="47" spans="1:14" x14ac:dyDescent="0.25">
      <c r="A47" s="185"/>
      <c r="C47" s="2"/>
      <c r="D47" s="2"/>
      <c r="E47" s="2"/>
      <c r="F47" s="2"/>
      <c r="G47" s="2"/>
      <c r="H47" s="2"/>
      <c r="I47" s="2"/>
      <c r="K47" s="5"/>
      <c r="M47" s="6"/>
      <c r="N47" s="6"/>
    </row>
    <row r="48" spans="1:14" x14ac:dyDescent="0.25">
      <c r="A48" s="185"/>
      <c r="C48" s="2"/>
      <c r="D48" s="2"/>
      <c r="E48" s="2"/>
      <c r="F48" s="2"/>
      <c r="G48" s="2"/>
      <c r="H48" s="2"/>
      <c r="I48" s="2"/>
      <c r="K48" s="5"/>
      <c r="M48" s="6"/>
      <c r="N48" s="6"/>
    </row>
    <row r="49" spans="1:14" x14ac:dyDescent="0.25">
      <c r="A49" s="185"/>
      <c r="C49" s="2"/>
      <c r="D49" s="2"/>
      <c r="E49" s="2"/>
      <c r="F49" s="2"/>
      <c r="G49" s="2"/>
      <c r="H49" s="2"/>
      <c r="I49" s="2"/>
      <c r="K49" s="5"/>
      <c r="M49" s="6"/>
      <c r="N49" s="6"/>
    </row>
    <row r="50" spans="1:14" x14ac:dyDescent="0.25">
      <c r="A50" s="185"/>
      <c r="C50" s="2"/>
      <c r="D50" s="2"/>
      <c r="E50" s="2"/>
      <c r="F50" s="2"/>
      <c r="G50" s="2"/>
      <c r="H50" s="2"/>
      <c r="I50" s="2"/>
      <c r="K50" s="5"/>
      <c r="M50" s="6"/>
      <c r="N50" s="6"/>
    </row>
    <row r="51" spans="1:14" x14ac:dyDescent="0.25">
      <c r="A51" s="185"/>
      <c r="C51" s="2"/>
      <c r="D51" s="2"/>
      <c r="E51" s="2"/>
      <c r="F51" s="2"/>
      <c r="G51" s="2"/>
      <c r="H51" s="2"/>
      <c r="I51" s="2"/>
      <c r="K51" s="5"/>
      <c r="M51" s="6"/>
      <c r="N51" s="6"/>
    </row>
    <row r="52" spans="1:14" x14ac:dyDescent="0.25">
      <c r="A52" s="185"/>
      <c r="C52" s="2"/>
      <c r="D52" s="2"/>
      <c r="E52" s="2"/>
      <c r="F52" s="2"/>
      <c r="G52" s="2"/>
      <c r="H52" s="2"/>
      <c r="I52" s="2"/>
      <c r="K52" s="5"/>
      <c r="M52" s="6"/>
      <c r="N52" s="6"/>
    </row>
    <row r="53" spans="1:14" x14ac:dyDescent="0.25">
      <c r="A53" s="185"/>
      <c r="C53" s="2"/>
      <c r="D53" s="2"/>
      <c r="E53" s="2"/>
      <c r="F53" s="2"/>
      <c r="G53" s="2"/>
      <c r="H53" s="2"/>
      <c r="I53" s="2"/>
      <c r="K53" s="5"/>
      <c r="M53" s="6"/>
      <c r="N53" s="6"/>
    </row>
    <row r="54" spans="1:14" x14ac:dyDescent="0.25">
      <c r="A54" s="185"/>
      <c r="C54" s="2"/>
      <c r="D54" s="2"/>
      <c r="E54" s="2"/>
      <c r="F54" s="2"/>
      <c r="G54" s="2"/>
      <c r="H54" s="2"/>
      <c r="I54" s="2"/>
      <c r="K54" s="5"/>
      <c r="M54" s="6"/>
      <c r="N54" s="6"/>
    </row>
    <row r="55" spans="1:14" x14ac:dyDescent="0.25">
      <c r="A55" s="185"/>
      <c r="C55" s="2"/>
      <c r="D55" s="2"/>
      <c r="E55" s="2"/>
      <c r="F55" s="2"/>
      <c r="G55" s="2"/>
      <c r="H55" s="2"/>
      <c r="I55" s="2"/>
      <c r="K55" s="5"/>
      <c r="M55" s="6"/>
      <c r="N55" s="6"/>
    </row>
    <row r="56" spans="1:14" x14ac:dyDescent="0.25">
      <c r="A56" s="185"/>
      <c r="C56" s="2"/>
      <c r="D56" s="2"/>
      <c r="E56" s="2"/>
      <c r="F56" s="2"/>
      <c r="G56" s="2"/>
      <c r="H56" s="2"/>
      <c r="I56" s="2"/>
      <c r="K56" s="5"/>
      <c r="M56" s="6"/>
      <c r="N56" s="6"/>
    </row>
    <row r="57" spans="1:14" x14ac:dyDescent="0.25">
      <c r="A57" s="185"/>
      <c r="C57" s="2"/>
      <c r="D57" s="2"/>
      <c r="E57" s="2"/>
      <c r="F57" s="2"/>
      <c r="G57" s="2"/>
      <c r="H57" s="2"/>
      <c r="I57" s="2"/>
      <c r="K57" s="5"/>
      <c r="M57" s="6"/>
      <c r="N57" s="6"/>
    </row>
    <row r="58" spans="1:14" x14ac:dyDescent="0.25">
      <c r="A58" s="185"/>
      <c r="C58" s="2"/>
      <c r="D58" s="2"/>
      <c r="E58" s="2"/>
      <c r="F58" s="2"/>
      <c r="G58" s="2"/>
      <c r="H58" s="2"/>
      <c r="I58" s="2"/>
      <c r="K58" s="5"/>
      <c r="M58" s="6"/>
      <c r="N58" s="6"/>
    </row>
    <row r="59" spans="1:14" x14ac:dyDescent="0.25">
      <c r="A59" s="185"/>
      <c r="C59" s="2"/>
      <c r="D59" s="2"/>
      <c r="E59" s="2"/>
      <c r="F59" s="2"/>
      <c r="G59" s="2"/>
      <c r="H59" s="2"/>
      <c r="I59" s="2"/>
      <c r="K59" s="5"/>
      <c r="M59" s="6"/>
      <c r="N59" s="6"/>
    </row>
    <row r="60" spans="1:14" x14ac:dyDescent="0.25">
      <c r="A60" s="185"/>
      <c r="C60" s="2"/>
      <c r="D60" s="2"/>
      <c r="E60" s="2"/>
      <c r="F60" s="2"/>
      <c r="G60" s="2"/>
      <c r="H60" s="2"/>
      <c r="I60" s="2"/>
      <c r="K60" s="5"/>
      <c r="M60" s="6"/>
      <c r="N60" s="6"/>
    </row>
    <row r="61" spans="1:14" x14ac:dyDescent="0.25">
      <c r="A61" s="185"/>
      <c r="C61" s="2"/>
      <c r="D61" s="2"/>
      <c r="E61" s="2"/>
      <c r="F61" s="2"/>
      <c r="G61" s="2"/>
      <c r="H61" s="2"/>
      <c r="I61" s="2"/>
      <c r="K61" s="5"/>
      <c r="M61" s="6"/>
      <c r="N61" s="6"/>
    </row>
    <row r="62" spans="1:14" x14ac:dyDescent="0.25">
      <c r="A62" s="185"/>
      <c r="C62" s="2"/>
      <c r="D62" s="2"/>
      <c r="E62" s="2"/>
      <c r="F62" s="2"/>
      <c r="G62" s="2"/>
      <c r="H62" s="2"/>
      <c r="I62" s="2"/>
      <c r="K62" s="5"/>
      <c r="M62" s="6"/>
      <c r="N62" s="6"/>
    </row>
    <row r="63" spans="1:14" x14ac:dyDescent="0.25">
      <c r="A63" s="185"/>
      <c r="C63" s="2"/>
      <c r="D63" s="2"/>
      <c r="E63" s="2"/>
      <c r="F63" s="2"/>
      <c r="G63" s="2"/>
      <c r="H63" s="2"/>
      <c r="I63" s="2"/>
      <c r="K63" s="5"/>
      <c r="M63" s="6"/>
      <c r="N63" s="6"/>
    </row>
    <row r="64" spans="1:14" x14ac:dyDescent="0.25">
      <c r="A64" s="185"/>
      <c r="C64" s="2"/>
      <c r="D64" s="2"/>
      <c r="E64" s="2"/>
      <c r="F64" s="2"/>
      <c r="G64" s="2"/>
      <c r="H64" s="2"/>
      <c r="I64" s="2"/>
      <c r="K64" s="5"/>
      <c r="M64" s="6"/>
      <c r="N64" s="6"/>
    </row>
    <row r="65" spans="1:14" x14ac:dyDescent="0.25">
      <c r="A65" s="185"/>
      <c r="C65" s="2"/>
      <c r="D65" s="2"/>
      <c r="E65" s="2"/>
      <c r="F65" s="2"/>
      <c r="G65" s="2"/>
      <c r="H65" s="2"/>
      <c r="I65" s="2"/>
      <c r="K65" s="5"/>
      <c r="M65" s="6"/>
      <c r="N65" s="6"/>
    </row>
    <row r="66" spans="1:14" x14ac:dyDescent="0.25">
      <c r="A66" s="185"/>
      <c r="C66" s="2"/>
      <c r="D66" s="2"/>
      <c r="E66" s="2"/>
      <c r="F66" s="2"/>
      <c r="G66" s="2"/>
      <c r="H66" s="2"/>
      <c r="I66" s="2"/>
      <c r="K66" s="5"/>
      <c r="M66" s="6"/>
      <c r="N66" s="6"/>
    </row>
    <row r="67" spans="1:14" x14ac:dyDescent="0.25">
      <c r="A67" s="185"/>
      <c r="C67" s="2"/>
      <c r="D67" s="2"/>
      <c r="E67" s="2"/>
      <c r="F67" s="2"/>
      <c r="G67" s="2"/>
      <c r="H67" s="2"/>
      <c r="I67" s="2"/>
      <c r="K67" s="5"/>
      <c r="M67" s="6"/>
      <c r="N67" s="6"/>
    </row>
    <row r="68" spans="1:14" x14ac:dyDescent="0.25">
      <c r="A68" s="185"/>
      <c r="C68" s="2"/>
      <c r="D68" s="2"/>
      <c r="E68" s="2"/>
      <c r="F68" s="2"/>
      <c r="G68" s="2"/>
      <c r="H68" s="2"/>
      <c r="I68" s="2"/>
      <c r="K68" s="5"/>
      <c r="M68" s="6"/>
      <c r="N68" s="6"/>
    </row>
    <row r="69" spans="1:14" x14ac:dyDescent="0.25">
      <c r="A69" s="185"/>
      <c r="C69" s="2"/>
      <c r="D69" s="2"/>
      <c r="E69" s="2"/>
      <c r="F69" s="2"/>
      <c r="G69" s="2"/>
      <c r="H69" s="2"/>
      <c r="I69" s="2"/>
      <c r="K69" s="5"/>
      <c r="M69" s="6"/>
      <c r="N69" s="6"/>
    </row>
    <row r="70" spans="1:14" x14ac:dyDescent="0.25">
      <c r="A70" s="185"/>
      <c r="C70" s="2"/>
      <c r="D70" s="2"/>
      <c r="E70" s="2"/>
      <c r="F70" s="2"/>
      <c r="G70" s="2"/>
      <c r="H70" s="2"/>
      <c r="I70" s="2"/>
      <c r="K70" s="5"/>
      <c r="M70" s="6"/>
      <c r="N70" s="6"/>
    </row>
  </sheetData>
  <mergeCells count="3">
    <mergeCell ref="A1:A2"/>
    <mergeCell ref="K3:K4"/>
    <mergeCell ref="M3:N3"/>
  </mergeCells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E8002718A36D46A3E3F8FEA2EBA44E" ma:contentTypeVersion="56" ma:contentTypeDescription="" ma:contentTypeScope="" ma:versionID="20edc9aceaeb0e9b60e9283b293be5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2019-08-22T07:00:00+00:00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1B4F54-91DB-4463-B62F-F0B5FBBE071A}"/>
</file>

<file path=customXml/itemProps2.xml><?xml version="1.0" encoding="utf-8"?>
<ds:datastoreItem xmlns:ds="http://schemas.openxmlformats.org/officeDocument/2006/customXml" ds:itemID="{80926BEB-DA76-4557-B569-15B1FC47A52F}"/>
</file>

<file path=customXml/itemProps3.xml><?xml version="1.0" encoding="utf-8"?>
<ds:datastoreItem xmlns:ds="http://schemas.openxmlformats.org/officeDocument/2006/customXml" ds:itemID="{F4E7335E-5B8A-4513-BD57-B88B3301FA91}"/>
</file>

<file path=customXml/itemProps4.xml><?xml version="1.0" encoding="utf-8"?>
<ds:datastoreItem xmlns:ds="http://schemas.openxmlformats.org/officeDocument/2006/customXml" ds:itemID="{C40897BF-6797-47E6-BDA9-CA5268F2FF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WA Sch 25</vt:lpstr>
      <vt:lpstr>Prior Period Sch Shifting</vt:lpstr>
      <vt:lpstr>WA Nat Gas</vt:lpstr>
      <vt:lpstr>6 12 19 Forecast Usage by Sched</vt:lpstr>
      <vt:lpstr>'Prior Period Sch Shifting'!Print_Area</vt:lpstr>
      <vt:lpstr>'WA Sch 25'!Print_Area</vt:lpstr>
      <vt:lpstr>'WA Nat Gas'!Print_Titles</vt:lpstr>
      <vt:lpstr>'WA Sch 25'!Sch25_Annual_excess_kva</vt:lpstr>
      <vt:lpstr>'WA Sch 25'!Sch25_Annual_kva</vt:lpstr>
      <vt:lpstr>'WA Sch 25'!Sch25_Annual_kW</vt:lpstr>
      <vt:lpstr>'WA Sch 25'!Sch25_Annual_kWh</vt:lpstr>
      <vt:lpstr>'WA Sch 25'!Sch25_kWh</vt:lpstr>
      <vt:lpstr>'WA Sch 25'!Sch25_n</vt:lpstr>
      <vt:lpstr>'WA Sch 25'!Sch25_nD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2019-08-20T23:37:21Z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0x0101006E56B4D1795A2E4DB2F0B01679ED314A0067E8002718A36D46A3E3F8FEA2EBA44E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