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PS Reporting\2019\A.  Report to WUTC\Attachment 3 Tool\"/>
    </mc:Choice>
  </mc:AlternateContent>
  <bookViews>
    <workbookView xWindow="-15" yWindow="9975" windowWidth="20370" windowHeight="4845" tabRatio="670" activeTab="4"/>
  </bookViews>
  <sheets>
    <sheet name="Cover" sheetId="9" r:id="rId1"/>
    <sheet name="Instructions" sheetId="7" r:id="rId2"/>
    <sheet name="Compliance Summary" sheetId="6" r:id="rId3"/>
    <sheet name="Facility Detail" sheetId="1" r:id="rId4"/>
    <sheet name="Generation Rollup" sheetId="8" r:id="rId5"/>
  </sheets>
  <definedNames>
    <definedName name="Facility">'Facility Detail'!$B$1162:$B$1171</definedName>
    <definedName name="LaborBonus">'Facility Detail'!$B$1151:$B$1153</definedName>
    <definedName name="_xlnm.Print_Area" localSheetId="2">'Compliance Summary'!$A$2:$F$42</definedName>
    <definedName name="_xlnm.Print_Area" localSheetId="3">'Facility Detail'!$A$1:$H$702</definedName>
    <definedName name="_xlnm.Print_Area" localSheetId="1">Instructions!$A$2:$F$39</definedName>
  </definedNames>
  <calcPr calcId="162913"/>
</workbook>
</file>

<file path=xl/calcChain.xml><?xml version="1.0" encoding="utf-8"?>
<calcChain xmlns="http://schemas.openxmlformats.org/spreadsheetml/2006/main">
  <c r="G48" i="8" l="1"/>
  <c r="F48" i="8"/>
  <c r="B48" i="8"/>
  <c r="A48" i="8"/>
  <c r="G47" i="8"/>
  <c r="F47" i="8"/>
  <c r="B47" i="8"/>
  <c r="A47" i="8"/>
  <c r="G46" i="8"/>
  <c r="F46" i="8"/>
  <c r="B46" i="8"/>
  <c r="A46" i="8"/>
  <c r="G45" i="8"/>
  <c r="F45" i="8"/>
  <c r="B45" i="8"/>
  <c r="A45" i="8"/>
  <c r="G44" i="8"/>
  <c r="F44" i="8"/>
  <c r="B44" i="8"/>
  <c r="A44" i="8"/>
  <c r="G43" i="8"/>
  <c r="F43" i="8"/>
  <c r="B43" i="8"/>
  <c r="A43" i="8"/>
  <c r="G42" i="8"/>
  <c r="F42" i="8"/>
  <c r="B42" i="8"/>
  <c r="A42" i="8"/>
  <c r="G41" i="8"/>
  <c r="F41" i="8"/>
  <c r="B41" i="8"/>
  <c r="A41" i="8"/>
  <c r="G40" i="8"/>
  <c r="F40" i="8"/>
  <c r="B40" i="8"/>
  <c r="A40" i="8"/>
  <c r="G39" i="8"/>
  <c r="F39" i="8"/>
  <c r="B39" i="8"/>
  <c r="A39" i="8"/>
  <c r="G38" i="8"/>
  <c r="F38" i="8"/>
  <c r="B38" i="8"/>
  <c r="A38" i="8"/>
  <c r="G37" i="8"/>
  <c r="F37" i="8"/>
  <c r="B37" i="8"/>
  <c r="A37" i="8"/>
  <c r="B36" i="8"/>
  <c r="B35" i="8"/>
  <c r="B34" i="8"/>
  <c r="B33" i="8"/>
  <c r="B32" i="8"/>
  <c r="B31" i="8"/>
  <c r="B30" i="8"/>
  <c r="B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A19" i="8"/>
  <c r="G13" i="8"/>
  <c r="F13" i="8"/>
  <c r="E13" i="8"/>
  <c r="D13" i="8"/>
  <c r="C13" i="8"/>
  <c r="G12" i="8"/>
  <c r="F12" i="8"/>
  <c r="E12" i="8"/>
  <c r="D12" i="8"/>
  <c r="C12" i="8"/>
  <c r="G11" i="8"/>
  <c r="F11" i="8"/>
  <c r="E11" i="8"/>
  <c r="D11" i="8"/>
  <c r="C11" i="8"/>
  <c r="G10" i="8"/>
  <c r="F10" i="8"/>
  <c r="E10" i="8"/>
  <c r="D10" i="8"/>
  <c r="C10" i="8"/>
  <c r="G9" i="8"/>
  <c r="F9" i="8"/>
  <c r="E9" i="8"/>
  <c r="D9" i="8"/>
  <c r="C9" i="8"/>
  <c r="G8" i="8"/>
  <c r="F8" i="8"/>
  <c r="E8" i="8"/>
  <c r="D8" i="8"/>
  <c r="C8" i="8"/>
  <c r="G1139" i="1"/>
  <c r="F1137" i="1"/>
  <c r="E1135" i="1"/>
  <c r="B1135" i="1"/>
  <c r="B1134" i="1"/>
  <c r="D1133" i="1"/>
  <c r="B1133" i="1"/>
  <c r="B1132" i="1"/>
  <c r="F1131" i="1"/>
  <c r="G1131" i="1" s="1"/>
  <c r="H1131" i="1" s="1"/>
  <c r="D1131" i="1"/>
  <c r="E1131" i="1" s="1"/>
  <c r="F1129" i="1"/>
  <c r="E1129" i="1"/>
  <c r="D1129" i="1"/>
  <c r="D1125" i="1"/>
  <c r="E1125" i="1" s="1"/>
  <c r="F1125" i="1" s="1"/>
  <c r="G1125" i="1" s="1"/>
  <c r="H1125" i="1" s="1"/>
  <c r="H1122" i="1"/>
  <c r="G1122" i="1"/>
  <c r="F1122" i="1"/>
  <c r="F1123" i="1" s="1"/>
  <c r="E1122" i="1"/>
  <c r="D1122" i="1"/>
  <c r="H1121" i="1"/>
  <c r="G1121" i="1"/>
  <c r="F1121" i="1"/>
  <c r="E1121" i="1"/>
  <c r="E1123" i="1" s="1"/>
  <c r="D1121" i="1"/>
  <c r="D1120" i="1"/>
  <c r="E1120" i="1" s="1"/>
  <c r="F1120" i="1" s="1"/>
  <c r="G1120" i="1" s="1"/>
  <c r="H1120" i="1" s="1"/>
  <c r="F1118" i="1"/>
  <c r="E1118" i="1"/>
  <c r="D1118" i="1"/>
  <c r="E1114" i="1"/>
  <c r="F1114" i="1" s="1"/>
  <c r="G1114" i="1" s="1"/>
  <c r="H1114" i="1" s="1"/>
  <c r="D1114" i="1"/>
  <c r="C1112" i="1"/>
  <c r="B1115" i="1" s="1"/>
  <c r="G1102" i="1"/>
  <c r="F1100" i="1"/>
  <c r="E1098" i="1"/>
  <c r="B1098" i="1"/>
  <c r="B1097" i="1"/>
  <c r="D1096" i="1"/>
  <c r="B1096" i="1"/>
  <c r="B1095" i="1"/>
  <c r="D1094" i="1"/>
  <c r="E1094" i="1" s="1"/>
  <c r="F1094" i="1" s="1"/>
  <c r="G1094" i="1" s="1"/>
  <c r="H1094" i="1" s="1"/>
  <c r="F1092" i="1"/>
  <c r="E1092" i="1"/>
  <c r="D1092" i="1"/>
  <c r="E1088" i="1"/>
  <c r="F1088" i="1" s="1"/>
  <c r="G1088" i="1" s="1"/>
  <c r="H1088" i="1" s="1"/>
  <c r="D1088" i="1"/>
  <c r="D1086" i="1"/>
  <c r="H1085" i="1"/>
  <c r="G1085" i="1"/>
  <c r="F1085" i="1"/>
  <c r="E1085" i="1"/>
  <c r="E1086" i="1" s="1"/>
  <c r="E1097" i="1" s="1"/>
  <c r="F1097" i="1" s="1"/>
  <c r="D1085" i="1"/>
  <c r="H1084" i="1"/>
  <c r="H1086" i="1" s="1"/>
  <c r="G1084" i="1"/>
  <c r="F1084" i="1"/>
  <c r="F1086" i="1" s="1"/>
  <c r="E1084" i="1"/>
  <c r="D1084" i="1"/>
  <c r="D1083" i="1"/>
  <c r="E1083" i="1" s="1"/>
  <c r="F1083" i="1" s="1"/>
  <c r="G1083" i="1" s="1"/>
  <c r="H1083" i="1" s="1"/>
  <c r="F1081" i="1"/>
  <c r="E1081" i="1"/>
  <c r="D1081" i="1"/>
  <c r="B1078" i="1"/>
  <c r="D1077" i="1"/>
  <c r="E1077" i="1" s="1"/>
  <c r="F1077" i="1" s="1"/>
  <c r="G1077" i="1" s="1"/>
  <c r="H1077" i="1" s="1"/>
  <c r="C1075" i="1"/>
  <c r="G1065" i="1"/>
  <c r="F1063" i="1"/>
  <c r="E1061" i="1"/>
  <c r="B1061" i="1"/>
  <c r="B1060" i="1"/>
  <c r="D1059" i="1"/>
  <c r="B1059" i="1"/>
  <c r="B1058" i="1"/>
  <c r="D1057" i="1"/>
  <c r="E1057" i="1" s="1"/>
  <c r="F1057" i="1" s="1"/>
  <c r="G1057" i="1" s="1"/>
  <c r="H1057" i="1" s="1"/>
  <c r="F1055" i="1"/>
  <c r="E1055" i="1"/>
  <c r="D1055" i="1"/>
  <c r="D1051" i="1"/>
  <c r="E1051" i="1" s="1"/>
  <c r="F1051" i="1" s="1"/>
  <c r="G1051" i="1" s="1"/>
  <c r="H1051" i="1" s="1"/>
  <c r="H1048" i="1"/>
  <c r="H1049" i="1" s="1"/>
  <c r="G1048" i="1"/>
  <c r="F1048" i="1"/>
  <c r="E1048" i="1"/>
  <c r="D1048" i="1"/>
  <c r="D1049" i="1" s="1"/>
  <c r="H1047" i="1"/>
  <c r="G1047" i="1"/>
  <c r="G1049" i="1" s="1"/>
  <c r="G1064" i="1" s="1"/>
  <c r="H1064" i="1" s="1"/>
  <c r="H1066" i="1" s="1"/>
  <c r="F1047" i="1"/>
  <c r="E1047" i="1"/>
  <c r="E1049" i="1" s="1"/>
  <c r="D1047" i="1"/>
  <c r="F1046" i="1"/>
  <c r="G1046" i="1" s="1"/>
  <c r="H1046" i="1" s="1"/>
  <c r="D1046" i="1"/>
  <c r="E1046" i="1" s="1"/>
  <c r="F1044" i="1"/>
  <c r="E1044" i="1"/>
  <c r="D1044" i="1"/>
  <c r="D1058" i="1" s="1"/>
  <c r="E1058" i="1" s="1"/>
  <c r="E1040" i="1"/>
  <c r="F1040" i="1" s="1"/>
  <c r="G1040" i="1" s="1"/>
  <c r="H1040" i="1" s="1"/>
  <c r="D1040" i="1"/>
  <c r="C1038" i="1"/>
  <c r="B1041" i="1" s="1"/>
  <c r="G1028" i="1"/>
  <c r="F1026" i="1"/>
  <c r="E1024" i="1"/>
  <c r="B1024" i="1"/>
  <c r="B1023" i="1"/>
  <c r="D1022" i="1"/>
  <c r="B1022" i="1"/>
  <c r="B1021" i="1"/>
  <c r="D1020" i="1"/>
  <c r="E1020" i="1" s="1"/>
  <c r="F1020" i="1" s="1"/>
  <c r="G1020" i="1" s="1"/>
  <c r="H1020" i="1" s="1"/>
  <c r="F1018" i="1"/>
  <c r="E1018" i="1"/>
  <c r="D1018" i="1"/>
  <c r="E1014" i="1"/>
  <c r="F1014" i="1" s="1"/>
  <c r="G1014" i="1" s="1"/>
  <c r="H1014" i="1" s="1"/>
  <c r="D1014" i="1"/>
  <c r="H1011" i="1"/>
  <c r="G1011" i="1"/>
  <c r="F1011" i="1"/>
  <c r="E1011" i="1"/>
  <c r="D1011" i="1"/>
  <c r="H1010" i="1"/>
  <c r="G1010" i="1"/>
  <c r="F1010" i="1"/>
  <c r="E1010" i="1"/>
  <c r="D1010" i="1"/>
  <c r="E1009" i="1"/>
  <c r="F1009" i="1" s="1"/>
  <c r="G1009" i="1" s="1"/>
  <c r="H1009" i="1" s="1"/>
  <c r="D1009" i="1"/>
  <c r="F1007" i="1"/>
  <c r="E1007" i="1"/>
  <c r="D1007" i="1"/>
  <c r="D1003" i="1"/>
  <c r="E1003" i="1" s="1"/>
  <c r="F1003" i="1" s="1"/>
  <c r="G1003" i="1" s="1"/>
  <c r="H1003" i="1" s="1"/>
  <c r="C1001" i="1"/>
  <c r="B1004" i="1" s="1"/>
  <c r="G991" i="1"/>
  <c r="F989" i="1"/>
  <c r="E987" i="1"/>
  <c r="B987" i="1"/>
  <c r="B986" i="1"/>
  <c r="D985" i="1"/>
  <c r="B985" i="1"/>
  <c r="B984" i="1"/>
  <c r="D983" i="1"/>
  <c r="E983" i="1" s="1"/>
  <c r="F983" i="1" s="1"/>
  <c r="G983" i="1" s="1"/>
  <c r="H983" i="1" s="1"/>
  <c r="F981" i="1"/>
  <c r="E981" i="1"/>
  <c r="D981" i="1"/>
  <c r="D977" i="1"/>
  <c r="E977" i="1" s="1"/>
  <c r="F977" i="1" s="1"/>
  <c r="G977" i="1" s="1"/>
  <c r="H977" i="1" s="1"/>
  <c r="H974" i="1"/>
  <c r="G974" i="1"/>
  <c r="F974" i="1"/>
  <c r="E974" i="1"/>
  <c r="D974" i="1"/>
  <c r="H973" i="1"/>
  <c r="G973" i="1"/>
  <c r="G975" i="1" s="1"/>
  <c r="G990" i="1" s="1"/>
  <c r="H990" i="1" s="1"/>
  <c r="H992" i="1" s="1"/>
  <c r="F973" i="1"/>
  <c r="E973" i="1"/>
  <c r="E975" i="1" s="1"/>
  <c r="D973" i="1"/>
  <c r="D972" i="1"/>
  <c r="E972" i="1" s="1"/>
  <c r="F972" i="1" s="1"/>
  <c r="G972" i="1" s="1"/>
  <c r="H972" i="1" s="1"/>
  <c r="F970" i="1"/>
  <c r="E970" i="1"/>
  <c r="D970" i="1"/>
  <c r="E966" i="1"/>
  <c r="F966" i="1" s="1"/>
  <c r="G966" i="1" s="1"/>
  <c r="H966" i="1" s="1"/>
  <c r="D966" i="1"/>
  <c r="C964" i="1"/>
  <c r="B967" i="1" s="1"/>
  <c r="G954" i="1"/>
  <c r="F952" i="1"/>
  <c r="E950" i="1"/>
  <c r="B950" i="1"/>
  <c r="B949" i="1"/>
  <c r="D948" i="1"/>
  <c r="B948" i="1"/>
  <c r="B947" i="1"/>
  <c r="E946" i="1"/>
  <c r="F946" i="1" s="1"/>
  <c r="G946" i="1" s="1"/>
  <c r="H946" i="1" s="1"/>
  <c r="D946" i="1"/>
  <c r="F944" i="1"/>
  <c r="E944" i="1"/>
  <c r="D944" i="1"/>
  <c r="E940" i="1"/>
  <c r="F940" i="1" s="1"/>
  <c r="G940" i="1" s="1"/>
  <c r="H940" i="1" s="1"/>
  <c r="D940" i="1"/>
  <c r="H937" i="1"/>
  <c r="G937" i="1"/>
  <c r="F937" i="1"/>
  <c r="E937" i="1"/>
  <c r="D937" i="1"/>
  <c r="H936" i="1"/>
  <c r="G936" i="1"/>
  <c r="F936" i="1"/>
  <c r="F938" i="1" s="1"/>
  <c r="E936" i="1"/>
  <c r="D936" i="1"/>
  <c r="D935" i="1"/>
  <c r="E935" i="1" s="1"/>
  <c r="F935" i="1" s="1"/>
  <c r="G935" i="1" s="1"/>
  <c r="H935" i="1" s="1"/>
  <c r="F933" i="1"/>
  <c r="E933" i="1"/>
  <c r="D933" i="1"/>
  <c r="D929" i="1"/>
  <c r="E929" i="1" s="1"/>
  <c r="F929" i="1" s="1"/>
  <c r="G929" i="1" s="1"/>
  <c r="H929" i="1" s="1"/>
  <c r="C927" i="1"/>
  <c r="B930" i="1" s="1"/>
  <c r="G917" i="1"/>
  <c r="F915" i="1"/>
  <c r="E913" i="1"/>
  <c r="B913" i="1"/>
  <c r="B912" i="1"/>
  <c r="D911" i="1"/>
  <c r="B911" i="1"/>
  <c r="B910" i="1"/>
  <c r="D909" i="1"/>
  <c r="E909" i="1" s="1"/>
  <c r="F909" i="1" s="1"/>
  <c r="G909" i="1" s="1"/>
  <c r="H909" i="1" s="1"/>
  <c r="F907" i="1"/>
  <c r="E907" i="1"/>
  <c r="D907" i="1"/>
  <c r="D903" i="1"/>
  <c r="E903" i="1" s="1"/>
  <c r="F903" i="1" s="1"/>
  <c r="G903" i="1" s="1"/>
  <c r="H903" i="1" s="1"/>
  <c r="H900" i="1"/>
  <c r="G900" i="1"/>
  <c r="F900" i="1"/>
  <c r="F901" i="1" s="1"/>
  <c r="E900" i="1"/>
  <c r="D900" i="1"/>
  <c r="H899" i="1"/>
  <c r="G899" i="1"/>
  <c r="F899" i="1"/>
  <c r="E899" i="1"/>
  <c r="E901" i="1" s="1"/>
  <c r="D899" i="1"/>
  <c r="D898" i="1"/>
  <c r="E898" i="1" s="1"/>
  <c r="F898" i="1" s="1"/>
  <c r="G898" i="1" s="1"/>
  <c r="H898" i="1" s="1"/>
  <c r="F896" i="1"/>
  <c r="E896" i="1"/>
  <c r="D896" i="1"/>
  <c r="D892" i="1"/>
  <c r="E892" i="1" s="1"/>
  <c r="F892" i="1" s="1"/>
  <c r="G892" i="1" s="1"/>
  <c r="H892" i="1" s="1"/>
  <c r="C890" i="1"/>
  <c r="B893" i="1" s="1"/>
  <c r="G880" i="1"/>
  <c r="F878" i="1"/>
  <c r="E876" i="1"/>
  <c r="B876" i="1"/>
  <c r="B875" i="1"/>
  <c r="D874" i="1"/>
  <c r="B874" i="1"/>
  <c r="B873" i="1"/>
  <c r="E872" i="1"/>
  <c r="F872" i="1" s="1"/>
  <c r="G872" i="1" s="1"/>
  <c r="H872" i="1" s="1"/>
  <c r="D872" i="1"/>
  <c r="F870" i="1"/>
  <c r="E870" i="1"/>
  <c r="D870" i="1"/>
  <c r="D866" i="1"/>
  <c r="E866" i="1" s="1"/>
  <c r="F866" i="1" s="1"/>
  <c r="G866" i="1" s="1"/>
  <c r="H866" i="1" s="1"/>
  <c r="H863" i="1"/>
  <c r="G863" i="1"/>
  <c r="F863" i="1"/>
  <c r="E863" i="1"/>
  <c r="E864" i="1" s="1"/>
  <c r="D863" i="1"/>
  <c r="H862" i="1"/>
  <c r="H864" i="1" s="1"/>
  <c r="G862" i="1"/>
  <c r="G864" i="1" s="1"/>
  <c r="G879" i="1" s="1"/>
  <c r="H879" i="1" s="1"/>
  <c r="H881" i="1" s="1"/>
  <c r="F862" i="1"/>
  <c r="E862" i="1"/>
  <c r="D862" i="1"/>
  <c r="D864" i="1" s="1"/>
  <c r="E861" i="1"/>
  <c r="F861" i="1" s="1"/>
  <c r="G861" i="1" s="1"/>
  <c r="H861" i="1" s="1"/>
  <c r="D861" i="1"/>
  <c r="F859" i="1"/>
  <c r="E859" i="1"/>
  <c r="D859" i="1"/>
  <c r="D855" i="1"/>
  <c r="E855" i="1" s="1"/>
  <c r="F855" i="1" s="1"/>
  <c r="G855" i="1" s="1"/>
  <c r="H855" i="1" s="1"/>
  <c r="C853" i="1"/>
  <c r="B856" i="1" s="1"/>
  <c r="G843" i="1"/>
  <c r="F841" i="1"/>
  <c r="E839" i="1"/>
  <c r="B839" i="1"/>
  <c r="B838" i="1"/>
  <c r="D837" i="1"/>
  <c r="B837" i="1"/>
  <c r="B836" i="1"/>
  <c r="D835" i="1"/>
  <c r="E835" i="1" s="1"/>
  <c r="F835" i="1" s="1"/>
  <c r="G835" i="1" s="1"/>
  <c r="H835" i="1" s="1"/>
  <c r="F833" i="1"/>
  <c r="E833" i="1"/>
  <c r="D833" i="1"/>
  <c r="D829" i="1"/>
  <c r="E829" i="1" s="1"/>
  <c r="F829" i="1" s="1"/>
  <c r="G829" i="1" s="1"/>
  <c r="H829" i="1" s="1"/>
  <c r="H826" i="1"/>
  <c r="G826" i="1"/>
  <c r="F826" i="1"/>
  <c r="E826" i="1"/>
  <c r="D826" i="1"/>
  <c r="H825" i="1"/>
  <c r="H827" i="1" s="1"/>
  <c r="G825" i="1"/>
  <c r="G827" i="1" s="1"/>
  <c r="G842" i="1" s="1"/>
  <c r="H842" i="1" s="1"/>
  <c r="H844" i="1" s="1"/>
  <c r="F825" i="1"/>
  <c r="E825" i="1"/>
  <c r="D825" i="1"/>
  <c r="D827" i="1" s="1"/>
  <c r="D824" i="1"/>
  <c r="E824" i="1" s="1"/>
  <c r="F824" i="1" s="1"/>
  <c r="G824" i="1" s="1"/>
  <c r="H824" i="1" s="1"/>
  <c r="F822" i="1"/>
  <c r="E822" i="1"/>
  <c r="D822" i="1"/>
  <c r="E818" i="1"/>
  <c r="F818" i="1" s="1"/>
  <c r="G818" i="1" s="1"/>
  <c r="H818" i="1" s="1"/>
  <c r="D818" i="1"/>
  <c r="C816" i="1"/>
  <c r="B819" i="1" s="1"/>
  <c r="G806" i="1"/>
  <c r="F804" i="1"/>
  <c r="E802" i="1"/>
  <c r="B802" i="1"/>
  <c r="B801" i="1"/>
  <c r="D800" i="1"/>
  <c r="B800" i="1"/>
  <c r="B799" i="1"/>
  <c r="D798" i="1"/>
  <c r="E798" i="1" s="1"/>
  <c r="F798" i="1" s="1"/>
  <c r="G798" i="1" s="1"/>
  <c r="H798" i="1" s="1"/>
  <c r="F796" i="1"/>
  <c r="E796" i="1"/>
  <c r="D796" i="1"/>
  <c r="E792" i="1"/>
  <c r="F792" i="1" s="1"/>
  <c r="G792" i="1" s="1"/>
  <c r="H792" i="1" s="1"/>
  <c r="D792" i="1"/>
  <c r="H789" i="1"/>
  <c r="G789" i="1"/>
  <c r="F789" i="1"/>
  <c r="E789" i="1"/>
  <c r="D789" i="1"/>
  <c r="H788" i="1"/>
  <c r="H790" i="1" s="1"/>
  <c r="G788" i="1"/>
  <c r="F788" i="1"/>
  <c r="F790" i="1" s="1"/>
  <c r="E788" i="1"/>
  <c r="E790" i="1" s="1"/>
  <c r="D788" i="1"/>
  <c r="D790" i="1" s="1"/>
  <c r="D787" i="1"/>
  <c r="E787" i="1" s="1"/>
  <c r="F787" i="1" s="1"/>
  <c r="G787" i="1" s="1"/>
  <c r="H787" i="1" s="1"/>
  <c r="F785" i="1"/>
  <c r="E785" i="1"/>
  <c r="D785" i="1"/>
  <c r="D781" i="1"/>
  <c r="E781" i="1" s="1"/>
  <c r="F781" i="1" s="1"/>
  <c r="G781" i="1" s="1"/>
  <c r="H781" i="1" s="1"/>
  <c r="C779" i="1"/>
  <c r="B782" i="1" s="1"/>
  <c r="G769" i="1"/>
  <c r="F767" i="1"/>
  <c r="E765" i="1"/>
  <c r="B765" i="1"/>
  <c r="B764" i="1"/>
  <c r="D763" i="1"/>
  <c r="B763" i="1"/>
  <c r="B762" i="1"/>
  <c r="H761" i="1"/>
  <c r="D761" i="1"/>
  <c r="E761" i="1" s="1"/>
  <c r="F761" i="1" s="1"/>
  <c r="G761" i="1" s="1"/>
  <c r="F759" i="1"/>
  <c r="E759" i="1"/>
  <c r="D759" i="1"/>
  <c r="D755" i="1"/>
  <c r="E755" i="1" s="1"/>
  <c r="F755" i="1" s="1"/>
  <c r="G755" i="1" s="1"/>
  <c r="H755" i="1" s="1"/>
  <c r="H752" i="1"/>
  <c r="G752" i="1"/>
  <c r="G753" i="1" s="1"/>
  <c r="G768" i="1" s="1"/>
  <c r="H768" i="1" s="1"/>
  <c r="H770" i="1" s="1"/>
  <c r="F752" i="1"/>
  <c r="F753" i="1" s="1"/>
  <c r="E752" i="1"/>
  <c r="D752" i="1"/>
  <c r="H751" i="1"/>
  <c r="G751" i="1"/>
  <c r="F751" i="1"/>
  <c r="E751" i="1"/>
  <c r="E753" i="1" s="1"/>
  <c r="D751" i="1"/>
  <c r="E750" i="1"/>
  <c r="F750" i="1" s="1"/>
  <c r="G750" i="1" s="1"/>
  <c r="H750" i="1" s="1"/>
  <c r="D750" i="1"/>
  <c r="F748" i="1"/>
  <c r="E748" i="1"/>
  <c r="D748" i="1"/>
  <c r="D744" i="1"/>
  <c r="E744" i="1" s="1"/>
  <c r="F744" i="1" s="1"/>
  <c r="G744" i="1" s="1"/>
  <c r="H744" i="1" s="1"/>
  <c r="C742" i="1"/>
  <c r="B745" i="1" s="1"/>
  <c r="G732" i="1"/>
  <c r="F730" i="1"/>
  <c r="E728" i="1"/>
  <c r="B728" i="1"/>
  <c r="B727" i="1"/>
  <c r="D726" i="1"/>
  <c r="B726" i="1"/>
  <c r="B725" i="1"/>
  <c r="D724" i="1"/>
  <c r="E724" i="1" s="1"/>
  <c r="F724" i="1" s="1"/>
  <c r="G724" i="1" s="1"/>
  <c r="H724" i="1" s="1"/>
  <c r="F722" i="1"/>
  <c r="E722" i="1"/>
  <c r="D722" i="1"/>
  <c r="F718" i="1"/>
  <c r="G718" i="1" s="1"/>
  <c r="H718" i="1" s="1"/>
  <c r="E718" i="1"/>
  <c r="D718" i="1"/>
  <c r="H715" i="1"/>
  <c r="G715" i="1"/>
  <c r="F715" i="1"/>
  <c r="E715" i="1"/>
  <c r="D715" i="1"/>
  <c r="H714" i="1"/>
  <c r="G714" i="1"/>
  <c r="G716" i="1" s="1"/>
  <c r="F714" i="1"/>
  <c r="F716" i="1" s="1"/>
  <c r="E714" i="1"/>
  <c r="E716" i="1" s="1"/>
  <c r="D714" i="1"/>
  <c r="D713" i="1"/>
  <c r="E713" i="1" s="1"/>
  <c r="F713" i="1" s="1"/>
  <c r="G713" i="1" s="1"/>
  <c r="H713" i="1" s="1"/>
  <c r="H711" i="1"/>
  <c r="G711" i="1"/>
  <c r="F711" i="1"/>
  <c r="E711" i="1"/>
  <c r="D711" i="1"/>
  <c r="D707" i="1"/>
  <c r="E707" i="1" s="1"/>
  <c r="F707" i="1" s="1"/>
  <c r="G707" i="1" s="1"/>
  <c r="H707" i="1" s="1"/>
  <c r="C705" i="1"/>
  <c r="B708" i="1" s="1"/>
  <c r="B695" i="1"/>
  <c r="B694" i="1"/>
  <c r="B693" i="1"/>
  <c r="G692" i="1"/>
  <c r="B692" i="1"/>
  <c r="B691" i="1"/>
  <c r="B690" i="1"/>
  <c r="B689" i="1"/>
  <c r="B688" i="1"/>
  <c r="H685" i="1"/>
  <c r="G685" i="1"/>
  <c r="F685" i="1"/>
  <c r="E685" i="1"/>
  <c r="D685" i="1"/>
  <c r="H674" i="1"/>
  <c r="G674" i="1"/>
  <c r="F674" i="1"/>
  <c r="E674" i="1"/>
  <c r="D674" i="1"/>
  <c r="B671" i="1"/>
  <c r="B658" i="1"/>
  <c r="B657" i="1"/>
  <c r="B656" i="1"/>
  <c r="G655" i="1"/>
  <c r="B655" i="1"/>
  <c r="B654" i="1"/>
  <c r="B653" i="1"/>
  <c r="B652" i="1"/>
  <c r="B651" i="1"/>
  <c r="H648" i="1"/>
  <c r="G648" i="1"/>
  <c r="F648" i="1"/>
  <c r="E648" i="1"/>
  <c r="D648" i="1"/>
  <c r="H637" i="1"/>
  <c r="G637" i="1"/>
  <c r="F637" i="1"/>
  <c r="E637" i="1"/>
  <c r="D637" i="1"/>
  <c r="B634" i="1"/>
  <c r="B620" i="1"/>
  <c r="B619" i="1"/>
  <c r="B618" i="1"/>
  <c r="G617" i="1"/>
  <c r="B617" i="1"/>
  <c r="B616" i="1"/>
  <c r="B615" i="1"/>
  <c r="B614" i="1"/>
  <c r="B613" i="1"/>
  <c r="H610" i="1"/>
  <c r="G610" i="1"/>
  <c r="F610" i="1"/>
  <c r="E610" i="1"/>
  <c r="D610" i="1"/>
  <c r="H603" i="1"/>
  <c r="G603" i="1"/>
  <c r="F603" i="1"/>
  <c r="E603" i="1"/>
  <c r="D603" i="1"/>
  <c r="H602" i="1"/>
  <c r="G602" i="1"/>
  <c r="G604" i="1" s="1"/>
  <c r="F602" i="1"/>
  <c r="F604" i="1" s="1"/>
  <c r="E602" i="1"/>
  <c r="E604" i="1" s="1"/>
  <c r="D602" i="1"/>
  <c r="H599" i="1"/>
  <c r="G599" i="1"/>
  <c r="G619" i="1" s="1"/>
  <c r="H619" i="1" s="1"/>
  <c r="H621" i="1" s="1"/>
  <c r="F599" i="1"/>
  <c r="E599" i="1"/>
  <c r="D599" i="1"/>
  <c r="B596" i="1"/>
  <c r="B583" i="1"/>
  <c r="B582" i="1"/>
  <c r="B581" i="1"/>
  <c r="G580" i="1"/>
  <c r="B580" i="1"/>
  <c r="B579" i="1"/>
  <c r="B578" i="1"/>
  <c r="B577" i="1"/>
  <c r="B576" i="1"/>
  <c r="H573" i="1"/>
  <c r="G573" i="1"/>
  <c r="F573" i="1"/>
  <c r="E573" i="1"/>
  <c r="D573" i="1"/>
  <c r="H566" i="1"/>
  <c r="G566" i="1"/>
  <c r="F566" i="1"/>
  <c r="E566" i="1"/>
  <c r="D566" i="1"/>
  <c r="H562" i="1"/>
  <c r="G562" i="1"/>
  <c r="F562" i="1"/>
  <c r="E562" i="1"/>
  <c r="D562" i="1"/>
  <c r="B559" i="1"/>
  <c r="B545" i="1"/>
  <c r="B544" i="1"/>
  <c r="B543" i="1"/>
  <c r="G542" i="1"/>
  <c r="B542" i="1"/>
  <c r="B541" i="1"/>
  <c r="B540" i="1"/>
  <c r="B539" i="1"/>
  <c r="B538" i="1"/>
  <c r="H535" i="1"/>
  <c r="G535" i="1"/>
  <c r="F535" i="1"/>
  <c r="E535" i="1"/>
  <c r="D535" i="1"/>
  <c r="G529" i="1"/>
  <c r="H528" i="1"/>
  <c r="H529" i="1" s="1"/>
  <c r="G528" i="1"/>
  <c r="F528" i="1"/>
  <c r="E528" i="1"/>
  <c r="D528" i="1"/>
  <c r="D529" i="1" s="1"/>
  <c r="H527" i="1"/>
  <c r="G527" i="1"/>
  <c r="F527" i="1"/>
  <c r="F529" i="1" s="1"/>
  <c r="E527" i="1"/>
  <c r="E529" i="1" s="1"/>
  <c r="D527" i="1"/>
  <c r="H524" i="1"/>
  <c r="G524" i="1"/>
  <c r="G544" i="1" s="1"/>
  <c r="H544" i="1" s="1"/>
  <c r="H546" i="1" s="1"/>
  <c r="F524" i="1"/>
  <c r="E524" i="1"/>
  <c r="D524" i="1"/>
  <c r="B521" i="1"/>
  <c r="B508" i="1"/>
  <c r="B507" i="1"/>
  <c r="E506" i="1"/>
  <c r="B506" i="1"/>
  <c r="G505" i="1"/>
  <c r="B505" i="1"/>
  <c r="D504" i="1"/>
  <c r="B504" i="1"/>
  <c r="B503" i="1"/>
  <c r="B502" i="1"/>
  <c r="B501" i="1"/>
  <c r="H498" i="1"/>
  <c r="G498" i="1"/>
  <c r="F498" i="1"/>
  <c r="E498" i="1"/>
  <c r="D498" i="1"/>
  <c r="H491" i="1"/>
  <c r="G491" i="1"/>
  <c r="F491" i="1"/>
  <c r="E491" i="1"/>
  <c r="D491" i="1"/>
  <c r="H490" i="1"/>
  <c r="G490" i="1"/>
  <c r="F490" i="1"/>
  <c r="F492" i="1" s="1"/>
  <c r="E490" i="1"/>
  <c r="D490" i="1"/>
  <c r="H487" i="1"/>
  <c r="G487" i="1"/>
  <c r="F487" i="1"/>
  <c r="E487" i="1"/>
  <c r="D487" i="1"/>
  <c r="B484" i="1"/>
  <c r="B471" i="1"/>
  <c r="B470" i="1"/>
  <c r="B469" i="1"/>
  <c r="G468" i="1"/>
  <c r="B468" i="1"/>
  <c r="B467" i="1"/>
  <c r="B466" i="1"/>
  <c r="B465" i="1"/>
  <c r="B464" i="1"/>
  <c r="H461" i="1"/>
  <c r="G461" i="1"/>
  <c r="F461" i="1"/>
  <c r="E461" i="1"/>
  <c r="D461" i="1"/>
  <c r="H454" i="1"/>
  <c r="G454" i="1"/>
  <c r="F454" i="1"/>
  <c r="E454" i="1"/>
  <c r="D454" i="1"/>
  <c r="D455" i="1" s="1"/>
  <c r="H453" i="1"/>
  <c r="H455" i="1" s="1"/>
  <c r="G453" i="1"/>
  <c r="G455" i="1" s="1"/>
  <c r="F453" i="1"/>
  <c r="F455" i="1" s="1"/>
  <c r="E453" i="1"/>
  <c r="D453" i="1"/>
  <c r="F450" i="1"/>
  <c r="E450" i="1"/>
  <c r="D450" i="1"/>
  <c r="B447" i="1"/>
  <c r="B434" i="1"/>
  <c r="B433" i="1"/>
  <c r="B432" i="1"/>
  <c r="G431" i="1"/>
  <c r="B431" i="1"/>
  <c r="B430" i="1"/>
  <c r="B429" i="1"/>
  <c r="B428" i="1"/>
  <c r="B427" i="1"/>
  <c r="H424" i="1"/>
  <c r="G424" i="1"/>
  <c r="F424" i="1"/>
  <c r="E424" i="1"/>
  <c r="D424" i="1"/>
  <c r="H417" i="1"/>
  <c r="G417" i="1"/>
  <c r="F417" i="1"/>
  <c r="E417" i="1"/>
  <c r="D417" i="1"/>
  <c r="H416" i="1"/>
  <c r="G416" i="1"/>
  <c r="G418" i="1" s="1"/>
  <c r="F416" i="1"/>
  <c r="F418" i="1" s="1"/>
  <c r="E416" i="1"/>
  <c r="E418" i="1" s="1"/>
  <c r="D416" i="1"/>
  <c r="F413" i="1"/>
  <c r="E413" i="1"/>
  <c r="D413" i="1"/>
  <c r="B410" i="1"/>
  <c r="D398" i="1"/>
  <c r="B397" i="1"/>
  <c r="H396" i="1"/>
  <c r="H398" i="1" s="1"/>
  <c r="B396" i="1"/>
  <c r="B395" i="1"/>
  <c r="G394" i="1"/>
  <c r="G398" i="1" s="1"/>
  <c r="B394" i="1"/>
  <c r="B393" i="1"/>
  <c r="F392" i="1"/>
  <c r="F398" i="1" s="1"/>
  <c r="B392" i="1"/>
  <c r="B391" i="1"/>
  <c r="E390" i="1"/>
  <c r="E398" i="1" s="1"/>
  <c r="B390" i="1"/>
  <c r="H387" i="1"/>
  <c r="G387" i="1"/>
  <c r="F387" i="1"/>
  <c r="E387" i="1"/>
  <c r="D387" i="1"/>
  <c r="H380" i="1"/>
  <c r="G380" i="1"/>
  <c r="F380" i="1"/>
  <c r="E380" i="1"/>
  <c r="D380" i="1"/>
  <c r="H379" i="1"/>
  <c r="G379" i="1"/>
  <c r="G381" i="1" s="1"/>
  <c r="F379" i="1"/>
  <c r="F381" i="1" s="1"/>
  <c r="E379" i="1"/>
  <c r="E381" i="1" s="1"/>
  <c r="D379" i="1"/>
  <c r="K376" i="1"/>
  <c r="G376" i="1"/>
  <c r="G402" i="1" s="1"/>
  <c r="F28" i="8" s="1"/>
  <c r="F376" i="1"/>
  <c r="E376" i="1"/>
  <c r="D376" i="1"/>
  <c r="H376" i="1"/>
  <c r="C370" i="1"/>
  <c r="B373" i="1" s="1"/>
  <c r="D361" i="1"/>
  <c r="B360" i="1"/>
  <c r="H359" i="1"/>
  <c r="H361" i="1" s="1"/>
  <c r="B359" i="1"/>
  <c r="B358" i="1"/>
  <c r="G357" i="1"/>
  <c r="G361" i="1" s="1"/>
  <c r="B357" i="1"/>
  <c r="B356" i="1"/>
  <c r="F355" i="1"/>
  <c r="F361" i="1" s="1"/>
  <c r="B355" i="1"/>
  <c r="B354" i="1"/>
  <c r="E353" i="1"/>
  <c r="E361" i="1" s="1"/>
  <c r="B353" i="1"/>
  <c r="H350" i="1"/>
  <c r="G350" i="1"/>
  <c r="F350" i="1"/>
  <c r="E350" i="1"/>
  <c r="D350" i="1"/>
  <c r="H343" i="1"/>
  <c r="G343" i="1"/>
  <c r="F343" i="1"/>
  <c r="E343" i="1"/>
  <c r="D343" i="1"/>
  <c r="H342" i="1"/>
  <c r="G342" i="1"/>
  <c r="F342" i="1"/>
  <c r="F344" i="1" s="1"/>
  <c r="E342" i="1"/>
  <c r="E344" i="1" s="1"/>
  <c r="D342" i="1"/>
  <c r="K339" i="1"/>
  <c r="G339" i="1"/>
  <c r="F339" i="1"/>
  <c r="E339" i="1"/>
  <c r="D339" i="1"/>
  <c r="H339" i="1"/>
  <c r="B336" i="1"/>
  <c r="C333" i="1"/>
  <c r="B323" i="1"/>
  <c r="B322" i="1"/>
  <c r="B321" i="1"/>
  <c r="B320" i="1"/>
  <c r="B319" i="1"/>
  <c r="B318" i="1"/>
  <c r="B317" i="1"/>
  <c r="B316" i="1"/>
  <c r="H313" i="1"/>
  <c r="G313" i="1"/>
  <c r="F313" i="1"/>
  <c r="E313" i="1"/>
  <c r="D313" i="1"/>
  <c r="D307" i="1"/>
  <c r="H306" i="1"/>
  <c r="G306" i="1"/>
  <c r="F306" i="1"/>
  <c r="E306" i="1"/>
  <c r="D306" i="1"/>
  <c r="H305" i="1"/>
  <c r="H307" i="1" s="1"/>
  <c r="G305" i="1"/>
  <c r="G307" i="1" s="1"/>
  <c r="G322" i="1" s="1"/>
  <c r="H322" i="1" s="1"/>
  <c r="H324" i="1" s="1"/>
  <c r="F305" i="1"/>
  <c r="E305" i="1"/>
  <c r="D305" i="1"/>
  <c r="B299" i="1"/>
  <c r="C296" i="1"/>
  <c r="B286" i="1"/>
  <c r="B285" i="1"/>
  <c r="B284" i="1"/>
  <c r="B283" i="1"/>
  <c r="B282" i="1"/>
  <c r="B281" i="1"/>
  <c r="B280" i="1"/>
  <c r="B279" i="1"/>
  <c r="H275" i="1"/>
  <c r="H276" i="1" s="1"/>
  <c r="G275" i="1"/>
  <c r="G276" i="1" s="1"/>
  <c r="F275" i="1"/>
  <c r="F276" i="1" s="1"/>
  <c r="E275" i="1"/>
  <c r="E276" i="1" s="1"/>
  <c r="D275" i="1"/>
  <c r="D276" i="1" s="1"/>
  <c r="H269" i="1"/>
  <c r="G269" i="1"/>
  <c r="F269" i="1"/>
  <c r="E269" i="1"/>
  <c r="D269" i="1"/>
  <c r="K265" i="1"/>
  <c r="H262" i="1" s="1"/>
  <c r="H265" i="1" s="1"/>
  <c r="G265" i="1"/>
  <c r="G268" i="1" s="1"/>
  <c r="G270" i="1" s="1"/>
  <c r="F265" i="1"/>
  <c r="E265" i="1"/>
  <c r="D265" i="1"/>
  <c r="B262" i="1"/>
  <c r="C259" i="1"/>
  <c r="B249" i="1"/>
  <c r="B248" i="1"/>
  <c r="B247" i="1"/>
  <c r="B246" i="1"/>
  <c r="B245" i="1"/>
  <c r="B244" i="1"/>
  <c r="D243" i="1"/>
  <c r="B243" i="1"/>
  <c r="B242" i="1"/>
  <c r="H238" i="1"/>
  <c r="H239" i="1" s="1"/>
  <c r="G238" i="1"/>
  <c r="G239" i="1" s="1"/>
  <c r="F238" i="1"/>
  <c r="F239" i="1" s="1"/>
  <c r="E238" i="1"/>
  <c r="E239" i="1" s="1"/>
  <c r="D238" i="1"/>
  <c r="D239" i="1" s="1"/>
  <c r="H232" i="1"/>
  <c r="G232" i="1"/>
  <c r="F232" i="1"/>
  <c r="E232" i="1"/>
  <c r="D232" i="1"/>
  <c r="D231" i="1"/>
  <c r="D233" i="1" s="1"/>
  <c r="K228" i="1"/>
  <c r="H225" i="1" s="1"/>
  <c r="H228" i="1" s="1"/>
  <c r="G228" i="1"/>
  <c r="F228" i="1"/>
  <c r="E228" i="1"/>
  <c r="D228" i="1"/>
  <c r="C222" i="1"/>
  <c r="B225" i="1" s="1"/>
  <c r="B212" i="1"/>
  <c r="B211" i="1"/>
  <c r="B210" i="1"/>
  <c r="B209" i="1"/>
  <c r="B208" i="1"/>
  <c r="B207" i="1"/>
  <c r="B206" i="1"/>
  <c r="D205" i="1"/>
  <c r="B205" i="1"/>
  <c r="H202" i="1"/>
  <c r="G202" i="1"/>
  <c r="F202" i="1"/>
  <c r="E202" i="1"/>
  <c r="D202" i="1"/>
  <c r="E196" i="1"/>
  <c r="D196" i="1"/>
  <c r="H195" i="1"/>
  <c r="G195" i="1"/>
  <c r="F195" i="1"/>
  <c r="E195" i="1"/>
  <c r="D195" i="1"/>
  <c r="H194" i="1"/>
  <c r="H196" i="1" s="1"/>
  <c r="G194" i="1"/>
  <c r="G196" i="1" s="1"/>
  <c r="F194" i="1"/>
  <c r="E194" i="1"/>
  <c r="D194" i="1"/>
  <c r="G191" i="1"/>
  <c r="F191" i="1"/>
  <c r="E191" i="1"/>
  <c r="D191" i="1"/>
  <c r="P188" i="1"/>
  <c r="O188" i="1"/>
  <c r="N188" i="1"/>
  <c r="M188" i="1"/>
  <c r="C185" i="1"/>
  <c r="B188" i="1" s="1"/>
  <c r="B175" i="1"/>
  <c r="B174" i="1"/>
  <c r="B173" i="1"/>
  <c r="B172" i="1"/>
  <c r="B171" i="1"/>
  <c r="B170" i="1"/>
  <c r="B169" i="1"/>
  <c r="B168" i="1"/>
  <c r="H165" i="1"/>
  <c r="G165" i="1"/>
  <c r="F165" i="1"/>
  <c r="E165" i="1"/>
  <c r="D165" i="1"/>
  <c r="E164" i="1"/>
  <c r="D164" i="1"/>
  <c r="H158" i="1"/>
  <c r="G158" i="1"/>
  <c r="F158" i="1"/>
  <c r="E158" i="1"/>
  <c r="D158" i="1"/>
  <c r="G154" i="1"/>
  <c r="G157" i="1" s="1"/>
  <c r="G159" i="1" s="1"/>
  <c r="F154" i="1"/>
  <c r="E154" i="1"/>
  <c r="D154" i="1"/>
  <c r="D157" i="1" s="1"/>
  <c r="D159" i="1" s="1"/>
  <c r="P151" i="1"/>
  <c r="O151" i="1"/>
  <c r="N151" i="1"/>
  <c r="M151" i="1"/>
  <c r="C148" i="1"/>
  <c r="B151" i="1" s="1"/>
  <c r="G139" i="1"/>
  <c r="B139" i="1"/>
  <c r="B138" i="1"/>
  <c r="F137" i="1"/>
  <c r="B137" i="1"/>
  <c r="B136" i="1"/>
  <c r="E135" i="1"/>
  <c r="B135" i="1"/>
  <c r="B134" i="1"/>
  <c r="D133" i="1"/>
  <c r="B133" i="1"/>
  <c r="B132" i="1"/>
  <c r="H129" i="1"/>
  <c r="G129" i="1"/>
  <c r="F129" i="1"/>
  <c r="E129" i="1"/>
  <c r="D129" i="1"/>
  <c r="H122" i="1"/>
  <c r="G122" i="1"/>
  <c r="F122" i="1"/>
  <c r="E122" i="1"/>
  <c r="D122" i="1"/>
  <c r="H121" i="1"/>
  <c r="G121" i="1"/>
  <c r="G123" i="1" s="1"/>
  <c r="G138" i="1" s="1"/>
  <c r="H138" i="1" s="1"/>
  <c r="H140" i="1" s="1"/>
  <c r="F121" i="1"/>
  <c r="E121" i="1"/>
  <c r="E123" i="1" s="1"/>
  <c r="D121" i="1"/>
  <c r="K118" i="1"/>
  <c r="H115" i="1" s="1"/>
  <c r="H118" i="1" s="1"/>
  <c r="G118" i="1"/>
  <c r="F118" i="1"/>
  <c r="E118" i="1"/>
  <c r="D118" i="1"/>
  <c r="C112" i="1"/>
  <c r="B115" i="1" s="1"/>
  <c r="G102" i="1"/>
  <c r="B102" i="1"/>
  <c r="B101" i="1"/>
  <c r="F100" i="1"/>
  <c r="B100" i="1"/>
  <c r="B99" i="1"/>
  <c r="E98" i="1"/>
  <c r="B98" i="1"/>
  <c r="B97" i="1"/>
  <c r="D96" i="1"/>
  <c r="B96" i="1"/>
  <c r="B95" i="1"/>
  <c r="H92" i="1"/>
  <c r="F92" i="1"/>
  <c r="E92" i="1"/>
  <c r="D92" i="1"/>
  <c r="G89" i="1"/>
  <c r="G92" i="1" s="1"/>
  <c r="G86" i="1"/>
  <c r="H85" i="1"/>
  <c r="H86" i="1" s="1"/>
  <c r="G85" i="1"/>
  <c r="F85" i="1"/>
  <c r="E85" i="1"/>
  <c r="D85" i="1"/>
  <c r="D86" i="1" s="1"/>
  <c r="H84" i="1"/>
  <c r="G84" i="1"/>
  <c r="F84" i="1"/>
  <c r="F86" i="1" s="1"/>
  <c r="E84" i="1"/>
  <c r="D84" i="1"/>
  <c r="K81" i="1"/>
  <c r="G81" i="1"/>
  <c r="F81" i="1"/>
  <c r="E81" i="1"/>
  <c r="D81" i="1"/>
  <c r="P78" i="1"/>
  <c r="P190" i="1" s="1"/>
  <c r="O78" i="1"/>
  <c r="O190" i="1" s="1"/>
  <c r="N78" i="1"/>
  <c r="N190" i="1" s="1"/>
  <c r="M78" i="1"/>
  <c r="M190" i="1" s="1"/>
  <c r="C75" i="1"/>
  <c r="B78" i="1" s="1"/>
  <c r="G66" i="1"/>
  <c r="B66" i="1"/>
  <c r="B65" i="1"/>
  <c r="F64" i="1"/>
  <c r="B64" i="1"/>
  <c r="B63" i="1"/>
  <c r="E62" i="1"/>
  <c r="B62" i="1"/>
  <c r="B61" i="1"/>
  <c r="D60" i="1"/>
  <c r="B60" i="1"/>
  <c r="B59" i="1"/>
  <c r="H56" i="1"/>
  <c r="G56" i="1"/>
  <c r="F56" i="1"/>
  <c r="E56" i="1"/>
  <c r="D56" i="1"/>
  <c r="H49" i="1"/>
  <c r="G49" i="1"/>
  <c r="G50" i="1" s="1"/>
  <c r="F49" i="1"/>
  <c r="E49" i="1"/>
  <c r="D49" i="1"/>
  <c r="H48" i="1"/>
  <c r="H50" i="1" s="1"/>
  <c r="G48" i="1"/>
  <c r="F48" i="1"/>
  <c r="F50" i="1" s="1"/>
  <c r="E48" i="1"/>
  <c r="E50" i="1" s="1"/>
  <c r="D48" i="1"/>
  <c r="D50" i="1" s="1"/>
  <c r="K45" i="1"/>
  <c r="G45" i="1"/>
  <c r="F45" i="1"/>
  <c r="E45" i="1"/>
  <c r="D45" i="1"/>
  <c r="P42" i="1"/>
  <c r="P153" i="1" s="1"/>
  <c r="O42" i="1"/>
  <c r="O153" i="1" s="1"/>
  <c r="N42" i="1"/>
  <c r="N153" i="1" s="1"/>
  <c r="M42" i="1"/>
  <c r="M153" i="1" s="1"/>
  <c r="D41" i="1"/>
  <c r="D114" i="1" s="1"/>
  <c r="C39" i="1"/>
  <c r="B42" i="1" s="1"/>
  <c r="B21" i="1"/>
  <c r="A36" i="8" s="1"/>
  <c r="B20" i="1"/>
  <c r="A35" i="8" s="1"/>
  <c r="B19" i="1"/>
  <c r="A34" i="8" s="1"/>
  <c r="B18" i="1"/>
  <c r="A33" i="8" s="1"/>
  <c r="B17" i="1"/>
  <c r="A32" i="8" s="1"/>
  <c r="B16" i="1"/>
  <c r="A31" i="8" s="1"/>
  <c r="B15" i="1"/>
  <c r="A30" i="8" s="1"/>
  <c r="B14" i="1"/>
  <c r="A29" i="8" s="1"/>
  <c r="E35" i="6"/>
  <c r="D35" i="6"/>
  <c r="B35" i="6"/>
  <c r="F35" i="6" s="1"/>
  <c r="A30" i="6"/>
  <c r="A29" i="6"/>
  <c r="A28" i="6"/>
  <c r="A27" i="6"/>
  <c r="A26" i="6"/>
  <c r="A25" i="6"/>
  <c r="A24" i="6"/>
  <c r="A23" i="6"/>
  <c r="B22" i="6"/>
  <c r="C22" i="6" s="1"/>
  <c r="D22" i="6" s="1"/>
  <c r="E22" i="6" s="1"/>
  <c r="F22" i="6" s="1"/>
  <c r="A20" i="6"/>
  <c r="A19" i="6"/>
  <c r="A18" i="6"/>
  <c r="A17" i="6"/>
  <c r="B16" i="6"/>
  <c r="C16" i="6" s="1"/>
  <c r="D16" i="6" s="1"/>
  <c r="E16" i="6" s="1"/>
  <c r="F16" i="6" s="1"/>
  <c r="B11" i="6"/>
  <c r="F11" i="6" s="1"/>
  <c r="F9" i="6"/>
  <c r="E9" i="6"/>
  <c r="D9" i="6"/>
  <c r="B6" i="6"/>
  <c r="C6" i="6" s="1"/>
  <c r="D6" i="6" s="1"/>
  <c r="E6" i="6" s="1"/>
  <c r="F6" i="6" s="1"/>
  <c r="B23" i="7"/>
  <c r="B24" i="7" s="1"/>
  <c r="B25" i="7" s="1"/>
  <c r="B26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H328" i="1" l="1"/>
  <c r="G26" i="8" s="1"/>
  <c r="C26" i="6"/>
  <c r="F18" i="6"/>
  <c r="D123" i="1"/>
  <c r="H123" i="1"/>
  <c r="M154" i="1"/>
  <c r="M191" i="1"/>
  <c r="E455" i="1"/>
  <c r="F803" i="1"/>
  <c r="G803" i="1" s="1"/>
  <c r="D19" i="6"/>
  <c r="E28" i="6"/>
  <c r="C35" i="6"/>
  <c r="F123" i="1"/>
  <c r="F136" i="1" s="1"/>
  <c r="G136" i="1" s="1"/>
  <c r="G140" i="1" s="1"/>
  <c r="G144" i="1" s="1"/>
  <c r="F21" i="8" s="1"/>
  <c r="E307" i="1"/>
  <c r="G344" i="1"/>
  <c r="G365" i="1" s="1"/>
  <c r="F27" i="8" s="1"/>
  <c r="D402" i="1"/>
  <c r="C28" i="8" s="1"/>
  <c r="G492" i="1"/>
  <c r="F729" i="1"/>
  <c r="G729" i="1" s="1"/>
  <c r="G733" i="1" s="1"/>
  <c r="E827" i="1"/>
  <c r="G938" i="1"/>
  <c r="G953" i="1" s="1"/>
  <c r="H953" i="1" s="1"/>
  <c r="H955" i="1" s="1"/>
  <c r="F975" i="1"/>
  <c r="F1012" i="1"/>
  <c r="F1025" i="1" s="1"/>
  <c r="G1025" i="1" s="1"/>
  <c r="G1029" i="1" s="1"/>
  <c r="C24" i="6"/>
  <c r="E86" i="1"/>
  <c r="F307" i="1"/>
  <c r="E365" i="1"/>
  <c r="D27" i="8" s="1"/>
  <c r="D344" i="1"/>
  <c r="D365" i="1" s="1"/>
  <c r="C27" i="8" s="1"/>
  <c r="E402" i="1"/>
  <c r="D28" i="8" s="1"/>
  <c r="D381" i="1"/>
  <c r="D418" i="1"/>
  <c r="H418" i="1"/>
  <c r="D492" i="1"/>
  <c r="H492" i="1"/>
  <c r="D604" i="1"/>
  <c r="D613" i="1" s="1"/>
  <c r="H604" i="1"/>
  <c r="G731" i="1"/>
  <c r="H731" i="1" s="1"/>
  <c r="H733" i="1" s="1"/>
  <c r="F827" i="1"/>
  <c r="F864" i="1"/>
  <c r="G901" i="1"/>
  <c r="G916" i="1" s="1"/>
  <c r="H916" i="1" s="1"/>
  <c r="H918" i="1" s="1"/>
  <c r="D938" i="1"/>
  <c r="H938" i="1"/>
  <c r="G1123" i="1"/>
  <c r="G1138" i="1" s="1"/>
  <c r="H1138" i="1" s="1"/>
  <c r="H1140" i="1" s="1"/>
  <c r="D17" i="6"/>
  <c r="E30" i="6"/>
  <c r="G174" i="1"/>
  <c r="H174" i="1" s="1"/>
  <c r="H176" i="1" s="1"/>
  <c r="D464" i="1"/>
  <c r="D716" i="1"/>
  <c r="H716" i="1"/>
  <c r="D901" i="1"/>
  <c r="H901" i="1"/>
  <c r="F951" i="1"/>
  <c r="G951" i="1" s="1"/>
  <c r="E938" i="1"/>
  <c r="D975" i="1"/>
  <c r="H975" i="1"/>
  <c r="D1012" i="1"/>
  <c r="H1012" i="1"/>
  <c r="G1012" i="1"/>
  <c r="G1027" i="1" s="1"/>
  <c r="H1027" i="1" s="1"/>
  <c r="H1029" i="1" s="1"/>
  <c r="F1049" i="1"/>
  <c r="H344" i="1"/>
  <c r="H365" i="1" s="1"/>
  <c r="G27" i="8" s="1"/>
  <c r="H381" i="1"/>
  <c r="H402" i="1" s="1"/>
  <c r="G28" i="8" s="1"/>
  <c r="E12" i="6"/>
  <c r="D12" i="6"/>
  <c r="D18" i="6"/>
  <c r="C12" i="6"/>
  <c r="C18" i="6"/>
  <c r="D33" i="6"/>
  <c r="F30" i="6"/>
  <c r="D26" i="6"/>
  <c r="B12" i="6"/>
  <c r="E61" i="1"/>
  <c r="F61" i="1" s="1"/>
  <c r="D20" i="6"/>
  <c r="D125" i="1"/>
  <c r="E125" i="1" s="1"/>
  <c r="F125" i="1" s="1"/>
  <c r="G125" i="1" s="1"/>
  <c r="H125" i="1" s="1"/>
  <c r="D120" i="1"/>
  <c r="E120" i="1" s="1"/>
  <c r="F120" i="1" s="1"/>
  <c r="G120" i="1" s="1"/>
  <c r="H120" i="1" s="1"/>
  <c r="E114" i="1"/>
  <c r="F114" i="1" s="1"/>
  <c r="G114" i="1" s="1"/>
  <c r="H114" i="1" s="1"/>
  <c r="D131" i="1"/>
  <c r="E131" i="1" s="1"/>
  <c r="F131" i="1" s="1"/>
  <c r="G131" i="1" s="1"/>
  <c r="H131" i="1" s="1"/>
  <c r="E97" i="1"/>
  <c r="F97" i="1" s="1"/>
  <c r="H144" i="1"/>
  <c r="G21" i="8" s="1"/>
  <c r="E134" i="1"/>
  <c r="F134" i="1" s="1"/>
  <c r="E17" i="6"/>
  <c r="D132" i="1"/>
  <c r="E132" i="1" s="1"/>
  <c r="D150" i="1"/>
  <c r="E170" i="1"/>
  <c r="F170" i="1" s="1"/>
  <c r="E157" i="1"/>
  <c r="E159" i="1" s="1"/>
  <c r="O191" i="1"/>
  <c r="G211" i="1"/>
  <c r="H211" i="1" s="1"/>
  <c r="H213" i="1" s="1"/>
  <c r="H268" i="1"/>
  <c r="H270" i="1" s="1"/>
  <c r="E19" i="6"/>
  <c r="B17" i="6"/>
  <c r="F17" i="6"/>
  <c r="B19" i="6"/>
  <c r="F19" i="6"/>
  <c r="B24" i="6"/>
  <c r="D28" i="6"/>
  <c r="E33" i="6"/>
  <c r="D58" i="1"/>
  <c r="E58" i="1" s="1"/>
  <c r="F58" i="1" s="1"/>
  <c r="G58" i="1" s="1"/>
  <c r="H58" i="1" s="1"/>
  <c r="F63" i="1"/>
  <c r="G63" i="1" s="1"/>
  <c r="D77" i="1"/>
  <c r="F99" i="1"/>
  <c r="G99" i="1" s="1"/>
  <c r="N154" i="1"/>
  <c r="P154" i="1"/>
  <c r="P191" i="1"/>
  <c r="H231" i="1"/>
  <c r="H233" i="1" s="1"/>
  <c r="E318" i="1"/>
  <c r="F318" i="1" s="1"/>
  <c r="G433" i="1"/>
  <c r="H433" i="1" s="1"/>
  <c r="H436" i="1" s="1"/>
  <c r="H439" i="1" s="1"/>
  <c r="G29" i="8" s="1"/>
  <c r="G470" i="1"/>
  <c r="H470" i="1" s="1"/>
  <c r="H472" i="1" s="1"/>
  <c r="H476" i="1" s="1"/>
  <c r="G30" i="8" s="1"/>
  <c r="E11" i="6"/>
  <c r="C17" i="6"/>
  <c r="E18" i="6"/>
  <c r="C19" i="6"/>
  <c r="B33" i="6"/>
  <c r="F33" i="6"/>
  <c r="C18" i="8"/>
  <c r="C4" i="8" s="1"/>
  <c r="D595" i="1"/>
  <c r="D633" i="1"/>
  <c r="D670" i="1"/>
  <c r="D520" i="1"/>
  <c r="D558" i="1"/>
  <c r="D409" i="1"/>
  <c r="D335" i="1"/>
  <c r="D298" i="1"/>
  <c r="D261" i="1"/>
  <c r="D483" i="1"/>
  <c r="D372" i="1"/>
  <c r="D224" i="1"/>
  <c r="D446" i="1"/>
  <c r="G65" i="1"/>
  <c r="H65" i="1" s="1"/>
  <c r="H67" i="1" s="1"/>
  <c r="G101" i="1"/>
  <c r="H101" i="1" s="1"/>
  <c r="H103" i="1" s="1"/>
  <c r="O154" i="1"/>
  <c r="F157" i="1"/>
  <c r="F159" i="1" s="1"/>
  <c r="D187" i="1"/>
  <c r="E207" i="1"/>
  <c r="F207" i="1" s="1"/>
  <c r="F320" i="1"/>
  <c r="G320" i="1" s="1"/>
  <c r="G324" i="1" s="1"/>
  <c r="G328" i="1" s="1"/>
  <c r="F26" i="8" s="1"/>
  <c r="B18" i="6"/>
  <c r="C33" i="6"/>
  <c r="E41" i="1"/>
  <c r="D47" i="1"/>
  <c r="D52" i="1"/>
  <c r="D59" i="1"/>
  <c r="E59" i="1" s="1"/>
  <c r="E67" i="1" s="1"/>
  <c r="E71" i="1" s="1"/>
  <c r="D19" i="8" s="1"/>
  <c r="D95" i="1"/>
  <c r="E95" i="1" s="1"/>
  <c r="E103" i="1" s="1"/>
  <c r="E107" i="1" s="1"/>
  <c r="D20" i="8" s="1"/>
  <c r="N191" i="1"/>
  <c r="K190" i="1" s="1"/>
  <c r="F196" i="1"/>
  <c r="F209" i="1" s="1"/>
  <c r="G209" i="1" s="1"/>
  <c r="G213" i="1" s="1"/>
  <c r="G217" i="1" s="1"/>
  <c r="F23" i="8" s="1"/>
  <c r="D213" i="1"/>
  <c r="D217" i="1" s="1"/>
  <c r="C23" i="8" s="1"/>
  <c r="E205" i="1"/>
  <c r="D242" i="1"/>
  <c r="G285" i="1"/>
  <c r="H285" i="1" s="1"/>
  <c r="H287" i="1" s="1"/>
  <c r="H291" i="1" s="1"/>
  <c r="G25" i="8" s="1"/>
  <c r="F365" i="1"/>
  <c r="E27" i="8" s="1"/>
  <c r="F402" i="1"/>
  <c r="E28" i="8" s="1"/>
  <c r="D472" i="1"/>
  <c r="D476" i="1" s="1"/>
  <c r="C30" i="8" s="1"/>
  <c r="E464" i="1"/>
  <c r="E231" i="1"/>
  <c r="E233" i="1" s="1"/>
  <c r="E244" i="1" s="1"/>
  <c r="F244" i="1" s="1"/>
  <c r="E640" i="1"/>
  <c r="H640" i="1"/>
  <c r="D640" i="1"/>
  <c r="G640" i="1"/>
  <c r="F640" i="1"/>
  <c r="D268" i="1"/>
  <c r="D270" i="1" s="1"/>
  <c r="D316" i="1"/>
  <c r="D427" i="1"/>
  <c r="E429" i="1"/>
  <c r="F429" i="1" s="1"/>
  <c r="F436" i="1" s="1"/>
  <c r="F439" i="1" s="1"/>
  <c r="E29" i="8" s="1"/>
  <c r="G621" i="1"/>
  <c r="G565" i="1"/>
  <c r="G567" i="1" s="1"/>
  <c r="F565" i="1"/>
  <c r="F567" i="1" s="1"/>
  <c r="E565" i="1"/>
  <c r="E567" i="1" s="1"/>
  <c r="E578" i="1" s="1"/>
  <c r="F578" i="1" s="1"/>
  <c r="F584" i="1" s="1"/>
  <c r="F588" i="1" s="1"/>
  <c r="E33" i="8" s="1"/>
  <c r="H565" i="1"/>
  <c r="H567" i="1" s="1"/>
  <c r="D565" i="1"/>
  <c r="D567" i="1" s="1"/>
  <c r="D168" i="1"/>
  <c r="F231" i="1"/>
  <c r="F233" i="1" s="1"/>
  <c r="H641" i="1"/>
  <c r="D641" i="1"/>
  <c r="G641" i="1"/>
  <c r="F641" i="1"/>
  <c r="E641" i="1"/>
  <c r="E268" i="1"/>
  <c r="E270" i="1" s="1"/>
  <c r="F677" i="1"/>
  <c r="E677" i="1"/>
  <c r="E679" i="1" s="1"/>
  <c r="H677" i="1"/>
  <c r="D677" i="1"/>
  <c r="D679" i="1" s="1"/>
  <c r="D688" i="1" s="1"/>
  <c r="G677" i="1"/>
  <c r="E466" i="1"/>
  <c r="F466" i="1" s="1"/>
  <c r="F472" i="1" s="1"/>
  <c r="F476" i="1" s="1"/>
  <c r="E30" i="8" s="1"/>
  <c r="H550" i="1"/>
  <c r="G32" i="8" s="1"/>
  <c r="H625" i="1"/>
  <c r="G34" i="8" s="1"/>
  <c r="G231" i="1"/>
  <c r="G233" i="1" s="1"/>
  <c r="G248" i="1" s="1"/>
  <c r="H248" i="1" s="1"/>
  <c r="H250" i="1" s="1"/>
  <c r="F268" i="1"/>
  <c r="F270" i="1" s="1"/>
  <c r="F283" i="1" s="1"/>
  <c r="G283" i="1" s="1"/>
  <c r="E678" i="1"/>
  <c r="H678" i="1"/>
  <c r="D678" i="1"/>
  <c r="G678" i="1"/>
  <c r="F678" i="1"/>
  <c r="G507" i="1"/>
  <c r="E492" i="1"/>
  <c r="E505" i="1" s="1"/>
  <c r="D503" i="1"/>
  <c r="D501" i="1"/>
  <c r="G546" i="1"/>
  <c r="G582" i="1"/>
  <c r="H582" i="1" s="1"/>
  <c r="H584" i="1" s="1"/>
  <c r="H588" i="1" s="1"/>
  <c r="G33" i="8" s="1"/>
  <c r="D538" i="1"/>
  <c r="E540" i="1"/>
  <c r="F540" i="1" s="1"/>
  <c r="F546" i="1" s="1"/>
  <c r="F550" i="1" s="1"/>
  <c r="E32" i="8" s="1"/>
  <c r="G625" i="1"/>
  <c r="F34" i="8" s="1"/>
  <c r="E764" i="1"/>
  <c r="F764" i="1" s="1"/>
  <c r="G807" i="1"/>
  <c r="D848" i="1"/>
  <c r="C40" i="8" s="1"/>
  <c r="D836" i="1"/>
  <c r="E836" i="1" s="1"/>
  <c r="F766" i="1"/>
  <c r="G766" i="1" s="1"/>
  <c r="G770" i="1" s="1"/>
  <c r="F914" i="1"/>
  <c r="G914" i="1" s="1"/>
  <c r="G918" i="1" s="1"/>
  <c r="G550" i="1"/>
  <c r="F32" i="8" s="1"/>
  <c r="E615" i="1"/>
  <c r="F615" i="1" s="1"/>
  <c r="F621" i="1" s="1"/>
  <c r="F625" i="1" s="1"/>
  <c r="E34" i="8" s="1"/>
  <c r="D725" i="1"/>
  <c r="E725" i="1" s="1"/>
  <c r="D753" i="1"/>
  <c r="H753" i="1"/>
  <c r="D799" i="1"/>
  <c r="E799" i="1" s="1"/>
  <c r="E807" i="1" s="1"/>
  <c r="E811" i="1" s="1"/>
  <c r="D39" i="8" s="1"/>
  <c r="G790" i="1"/>
  <c r="G805" i="1" s="1"/>
  <c r="H805" i="1" s="1"/>
  <c r="H807" i="1" s="1"/>
  <c r="D844" i="1"/>
  <c r="E875" i="1"/>
  <c r="F875" i="1" s="1"/>
  <c r="E727" i="1"/>
  <c r="F727" i="1" s="1"/>
  <c r="F733" i="1" s="1"/>
  <c r="F737" i="1" s="1"/>
  <c r="E37" i="8" s="1"/>
  <c r="D762" i="1"/>
  <c r="E762" i="1" s="1"/>
  <c r="E770" i="1" s="1"/>
  <c r="E774" i="1" s="1"/>
  <c r="D38" i="8" s="1"/>
  <c r="G955" i="1"/>
  <c r="D873" i="1"/>
  <c r="E873" i="1" s="1"/>
  <c r="E912" i="1"/>
  <c r="F912" i="1" s="1"/>
  <c r="F918" i="1" s="1"/>
  <c r="F922" i="1" s="1"/>
  <c r="E42" i="8" s="1"/>
  <c r="D984" i="1"/>
  <c r="E1012" i="1"/>
  <c r="F1062" i="1"/>
  <c r="G1062" i="1" s="1"/>
  <c r="G1066" i="1" s="1"/>
  <c r="D1066" i="1"/>
  <c r="D1070" i="1" s="1"/>
  <c r="C46" i="8" s="1"/>
  <c r="E1134" i="1"/>
  <c r="F1134" i="1" s="1"/>
  <c r="F877" i="1"/>
  <c r="G877" i="1" s="1"/>
  <c r="G881" i="1" s="1"/>
  <c r="E986" i="1"/>
  <c r="F986" i="1" s="1"/>
  <c r="D1021" i="1"/>
  <c r="F1136" i="1"/>
  <c r="G1136" i="1" s="1"/>
  <c r="G1140" i="1" s="1"/>
  <c r="D1123" i="1"/>
  <c r="D1132" i="1" s="1"/>
  <c r="E1132" i="1" s="1"/>
  <c r="H1123" i="1"/>
  <c r="D1140" i="1"/>
  <c r="D1144" i="1" s="1"/>
  <c r="C48" i="8" s="1"/>
  <c r="E838" i="1"/>
  <c r="F838" i="1" s="1"/>
  <c r="F840" i="1"/>
  <c r="G840" i="1" s="1"/>
  <c r="G844" i="1" s="1"/>
  <c r="D947" i="1"/>
  <c r="E947" i="1" s="1"/>
  <c r="E955" i="1" s="1"/>
  <c r="E959" i="1" s="1"/>
  <c r="D43" i="8" s="1"/>
  <c r="F988" i="1"/>
  <c r="G988" i="1" s="1"/>
  <c r="G992" i="1" s="1"/>
  <c r="D1095" i="1"/>
  <c r="F1099" i="1"/>
  <c r="G1099" i="1" s="1"/>
  <c r="E801" i="1"/>
  <c r="F801" i="1" s="1"/>
  <c r="F807" i="1" s="1"/>
  <c r="F811" i="1" s="1"/>
  <c r="E39" i="8" s="1"/>
  <c r="D910" i="1"/>
  <c r="E910" i="1" s="1"/>
  <c r="E918" i="1" s="1"/>
  <c r="E922" i="1" s="1"/>
  <c r="D42" i="8" s="1"/>
  <c r="E949" i="1"/>
  <c r="F949" i="1" s="1"/>
  <c r="F955" i="1" s="1"/>
  <c r="F959" i="1" s="1"/>
  <c r="E43" i="8" s="1"/>
  <c r="E1060" i="1"/>
  <c r="F1060" i="1" s="1"/>
  <c r="G1086" i="1"/>
  <c r="G1101" i="1" s="1"/>
  <c r="H1101" i="1" s="1"/>
  <c r="H1103" i="1" s="1"/>
  <c r="E613" i="1" l="1"/>
  <c r="D621" i="1"/>
  <c r="D625" i="1" s="1"/>
  <c r="C34" i="8" s="1"/>
  <c r="F1066" i="1"/>
  <c r="F1070" i="1" s="1"/>
  <c r="E46" i="8" s="1"/>
  <c r="D955" i="1"/>
  <c r="D959" i="1" s="1"/>
  <c r="C43" i="8" s="1"/>
  <c r="E503" i="1"/>
  <c r="F503" i="1" s="1"/>
  <c r="F509" i="1" s="1"/>
  <c r="F513" i="1" s="1"/>
  <c r="E31" i="8" s="1"/>
  <c r="F844" i="1"/>
  <c r="F848" i="1" s="1"/>
  <c r="E40" i="8" s="1"/>
  <c r="D807" i="1"/>
  <c r="D811" i="1" s="1"/>
  <c r="C39" i="8" s="1"/>
  <c r="D770" i="1"/>
  <c r="D774" i="1" s="1"/>
  <c r="C38" i="8" s="1"/>
  <c r="G679" i="1"/>
  <c r="G694" i="1" s="1"/>
  <c r="H694" i="1" s="1"/>
  <c r="H696" i="1" s="1"/>
  <c r="H254" i="1"/>
  <c r="G24" i="8" s="1"/>
  <c r="C13" i="6"/>
  <c r="C14" i="6" s="1"/>
  <c r="F7" i="8"/>
  <c r="G103" i="1"/>
  <c r="G107" i="1" s="1"/>
  <c r="F20" i="8" s="1"/>
  <c r="F140" i="1"/>
  <c r="F144" i="1" s="1"/>
  <c r="E21" i="8" s="1"/>
  <c r="F992" i="1"/>
  <c r="F996" i="1" s="1"/>
  <c r="E44" i="8" s="1"/>
  <c r="E881" i="1"/>
  <c r="E885" i="1" s="1"/>
  <c r="D41" i="8" s="1"/>
  <c r="E6" i="8"/>
  <c r="G1103" i="1"/>
  <c r="F1103" i="1"/>
  <c r="F1107" i="1" s="1"/>
  <c r="E47" i="8" s="1"/>
  <c r="G584" i="1"/>
  <c r="G588" i="1" s="1"/>
  <c r="F33" i="8" s="1"/>
  <c r="F6" i="8" s="1"/>
  <c r="E642" i="1"/>
  <c r="G436" i="1"/>
  <c r="G439" i="1" s="1"/>
  <c r="F29" i="8" s="1"/>
  <c r="C20" i="6"/>
  <c r="K152" i="1"/>
  <c r="E140" i="1"/>
  <c r="E144" i="1" s="1"/>
  <c r="D21" i="8" s="1"/>
  <c r="G7" i="8"/>
  <c r="G696" i="1"/>
  <c r="G700" i="1" s="1"/>
  <c r="F36" i="8" s="1"/>
  <c r="D494" i="1"/>
  <c r="E494" i="1" s="1"/>
  <c r="F494" i="1" s="1"/>
  <c r="G494" i="1" s="1"/>
  <c r="H494" i="1" s="1"/>
  <c r="E483" i="1"/>
  <c r="F483" i="1" s="1"/>
  <c r="G483" i="1" s="1"/>
  <c r="H483" i="1" s="1"/>
  <c r="D500" i="1"/>
  <c r="E500" i="1" s="1"/>
  <c r="F500" i="1" s="1"/>
  <c r="G500" i="1" s="1"/>
  <c r="H500" i="1" s="1"/>
  <c r="D489" i="1"/>
  <c r="E489" i="1" s="1"/>
  <c r="F489" i="1" s="1"/>
  <c r="G489" i="1" s="1"/>
  <c r="H489" i="1" s="1"/>
  <c r="D650" i="1"/>
  <c r="E650" i="1" s="1"/>
  <c r="F650" i="1" s="1"/>
  <c r="G650" i="1" s="1"/>
  <c r="H650" i="1" s="1"/>
  <c r="E633" i="1"/>
  <c r="F633" i="1" s="1"/>
  <c r="G633" i="1" s="1"/>
  <c r="H633" i="1" s="1"/>
  <c r="D644" i="1"/>
  <c r="E644" i="1" s="1"/>
  <c r="F644" i="1" s="1"/>
  <c r="G644" i="1" s="1"/>
  <c r="H644" i="1" s="1"/>
  <c r="D639" i="1"/>
  <c r="E639" i="1" s="1"/>
  <c r="F639" i="1" s="1"/>
  <c r="G639" i="1" s="1"/>
  <c r="H639" i="1" s="1"/>
  <c r="E1023" i="1"/>
  <c r="F1023" i="1" s="1"/>
  <c r="F1029" i="1" s="1"/>
  <c r="F1033" i="1" s="1"/>
  <c r="E45" i="8" s="1"/>
  <c r="E690" i="1"/>
  <c r="F690" i="1" s="1"/>
  <c r="F696" i="1" s="1"/>
  <c r="G6" i="8"/>
  <c r="F679" i="1"/>
  <c r="D250" i="1"/>
  <c r="D254" i="1" s="1"/>
  <c r="C24" i="8" s="1"/>
  <c r="E242" i="1"/>
  <c r="E250" i="1" s="1"/>
  <c r="E254" i="1" s="1"/>
  <c r="D24" i="8" s="1"/>
  <c r="E1066" i="1"/>
  <c r="E1070" i="1" s="1"/>
  <c r="D46" i="8" s="1"/>
  <c r="G472" i="1"/>
  <c r="G476" i="1" s="1"/>
  <c r="F30" i="8" s="1"/>
  <c r="E150" i="1"/>
  <c r="F150" i="1" s="1"/>
  <c r="G150" i="1" s="1"/>
  <c r="H150" i="1" s="1"/>
  <c r="D167" i="1"/>
  <c r="E167" i="1" s="1"/>
  <c r="F167" i="1" s="1"/>
  <c r="G167" i="1" s="1"/>
  <c r="H167" i="1" s="1"/>
  <c r="D156" i="1"/>
  <c r="E156" i="1" s="1"/>
  <c r="F156" i="1" s="1"/>
  <c r="G156" i="1" s="1"/>
  <c r="H156" i="1" s="1"/>
  <c r="D161" i="1"/>
  <c r="E161" i="1" s="1"/>
  <c r="F161" i="1" s="1"/>
  <c r="G161" i="1" s="1"/>
  <c r="H161" i="1" s="1"/>
  <c r="E20" i="6"/>
  <c r="K188" i="1"/>
  <c r="K151" i="1"/>
  <c r="F67" i="1"/>
  <c r="F71" i="1" s="1"/>
  <c r="E19" i="8" s="1"/>
  <c r="F1140" i="1"/>
  <c r="F1144" i="1" s="1"/>
  <c r="E48" i="8" s="1"/>
  <c r="E733" i="1"/>
  <c r="E737" i="1" s="1"/>
  <c r="D37" i="8" s="1"/>
  <c r="D733" i="1"/>
  <c r="D737" i="1" s="1"/>
  <c r="C37" i="8" s="1"/>
  <c r="D324" i="1"/>
  <c r="D328" i="1" s="1"/>
  <c r="C26" i="8" s="1"/>
  <c r="E316" i="1"/>
  <c r="E324" i="1" s="1"/>
  <c r="E328" i="1" s="1"/>
  <c r="D26" i="8" s="1"/>
  <c r="D7" i="8" s="1"/>
  <c r="F642" i="1"/>
  <c r="D415" i="1"/>
  <c r="E409" i="1"/>
  <c r="F409" i="1" s="1"/>
  <c r="G409" i="1" s="1"/>
  <c r="H409" i="1" s="1"/>
  <c r="D881" i="1"/>
  <c r="D885" i="1" s="1"/>
  <c r="C41" i="8" s="1"/>
  <c r="D176" i="1"/>
  <c r="D180" i="1" s="1"/>
  <c r="C22" i="8" s="1"/>
  <c r="E168" i="1"/>
  <c r="E176" i="1" s="1"/>
  <c r="E180" i="1" s="1"/>
  <c r="D22" i="8" s="1"/>
  <c r="G287" i="1"/>
  <c r="G291" i="1" s="1"/>
  <c r="F25" i="8" s="1"/>
  <c r="G642" i="1"/>
  <c r="E1021" i="1"/>
  <c r="D1029" i="1"/>
  <c r="D1033" i="1" s="1"/>
  <c r="C45" i="8" s="1"/>
  <c r="E984" i="1"/>
  <c r="E992" i="1" s="1"/>
  <c r="E996" i="1" s="1"/>
  <c r="D44" i="8" s="1"/>
  <c r="D992" i="1"/>
  <c r="D996" i="1" s="1"/>
  <c r="C44" i="8" s="1"/>
  <c r="E653" i="1"/>
  <c r="F653" i="1" s="1"/>
  <c r="F659" i="1" s="1"/>
  <c r="F770" i="1"/>
  <c r="F774" i="1" s="1"/>
  <c r="E38" i="8" s="1"/>
  <c r="D696" i="1"/>
  <c r="D700" i="1" s="1"/>
  <c r="C36" i="8" s="1"/>
  <c r="E688" i="1"/>
  <c r="E696" i="1" s="1"/>
  <c r="E700" i="1" s="1"/>
  <c r="D36" i="8" s="1"/>
  <c r="D576" i="1"/>
  <c r="E281" i="1"/>
  <c r="F281" i="1" s="1"/>
  <c r="F287" i="1" s="1"/>
  <c r="F291" i="1" s="1"/>
  <c r="E25" i="8" s="1"/>
  <c r="F246" i="1"/>
  <c r="G246" i="1" s="1"/>
  <c r="G250" i="1" s="1"/>
  <c r="G254" i="1" s="1"/>
  <c r="F24" i="8" s="1"/>
  <c r="D642" i="1"/>
  <c r="D235" i="1"/>
  <c r="E235" i="1" s="1"/>
  <c r="F235" i="1" s="1"/>
  <c r="G235" i="1" s="1"/>
  <c r="H235" i="1" s="1"/>
  <c r="D230" i="1"/>
  <c r="E230" i="1" s="1"/>
  <c r="F230" i="1" s="1"/>
  <c r="G230" i="1" s="1"/>
  <c r="H230" i="1" s="1"/>
  <c r="E224" i="1"/>
  <c r="F224" i="1" s="1"/>
  <c r="G224" i="1" s="1"/>
  <c r="H224" i="1" s="1"/>
  <c r="D241" i="1"/>
  <c r="E241" i="1" s="1"/>
  <c r="F241" i="1" s="1"/>
  <c r="G241" i="1" s="1"/>
  <c r="H241" i="1" s="1"/>
  <c r="E298" i="1"/>
  <c r="F298" i="1" s="1"/>
  <c r="G298" i="1" s="1"/>
  <c r="H298" i="1" s="1"/>
  <c r="D315" i="1"/>
  <c r="E315" i="1" s="1"/>
  <c r="F315" i="1" s="1"/>
  <c r="G315" i="1" s="1"/>
  <c r="H315" i="1" s="1"/>
  <c r="D309" i="1"/>
  <c r="E309" i="1" s="1"/>
  <c r="F309" i="1" s="1"/>
  <c r="G309" i="1" s="1"/>
  <c r="H309" i="1" s="1"/>
  <c r="D304" i="1"/>
  <c r="E304" i="1" s="1"/>
  <c r="F304" i="1" s="1"/>
  <c r="G304" i="1" s="1"/>
  <c r="H304" i="1" s="1"/>
  <c r="D537" i="1"/>
  <c r="E537" i="1" s="1"/>
  <c r="F537" i="1" s="1"/>
  <c r="G537" i="1" s="1"/>
  <c r="H537" i="1" s="1"/>
  <c r="E520" i="1"/>
  <c r="F520" i="1" s="1"/>
  <c r="G520" i="1" s="1"/>
  <c r="H520" i="1" s="1"/>
  <c r="D531" i="1"/>
  <c r="E531" i="1" s="1"/>
  <c r="F531" i="1" s="1"/>
  <c r="G531" i="1" s="1"/>
  <c r="H531" i="1" s="1"/>
  <c r="D526" i="1"/>
  <c r="E526" i="1" s="1"/>
  <c r="F526" i="1" s="1"/>
  <c r="G526" i="1" s="1"/>
  <c r="H526" i="1" s="1"/>
  <c r="F324" i="1"/>
  <c r="F328" i="1" s="1"/>
  <c r="E26" i="8" s="1"/>
  <c r="E7" i="8" s="1"/>
  <c r="E1095" i="1"/>
  <c r="E1103" i="1" s="1"/>
  <c r="E1107" i="1" s="1"/>
  <c r="D47" i="8" s="1"/>
  <c r="D1103" i="1"/>
  <c r="D1107" i="1" s="1"/>
  <c r="C47" i="8" s="1"/>
  <c r="E1140" i="1"/>
  <c r="E1144" i="1" s="1"/>
  <c r="D48" i="8" s="1"/>
  <c r="F881" i="1"/>
  <c r="F885" i="1" s="1"/>
  <c r="E41" i="8" s="1"/>
  <c r="D918" i="1"/>
  <c r="D922" i="1" s="1"/>
  <c r="C42" i="8" s="1"/>
  <c r="E844" i="1"/>
  <c r="E848" i="1" s="1"/>
  <c r="D40" i="8" s="1"/>
  <c r="D546" i="1"/>
  <c r="D550" i="1" s="1"/>
  <c r="C32" i="8" s="1"/>
  <c r="E538" i="1"/>
  <c r="E546" i="1" s="1"/>
  <c r="E550" i="1" s="1"/>
  <c r="D32" i="8" s="1"/>
  <c r="D509" i="1"/>
  <c r="D513" i="1" s="1"/>
  <c r="C31" i="8" s="1"/>
  <c r="E501" i="1"/>
  <c r="E509" i="1" s="1"/>
  <c r="E513" i="1" s="1"/>
  <c r="D31" i="8" s="1"/>
  <c r="G509" i="1"/>
  <c r="G513" i="1" s="1"/>
  <c r="F31" i="8" s="1"/>
  <c r="H507" i="1"/>
  <c r="H509" i="1" s="1"/>
  <c r="H513" i="1" s="1"/>
  <c r="G31" i="8" s="1"/>
  <c r="E621" i="1"/>
  <c r="E625" i="1" s="1"/>
  <c r="D34" i="8" s="1"/>
  <c r="H679" i="1"/>
  <c r="D436" i="1"/>
  <c r="D439" i="1" s="1"/>
  <c r="C29" i="8" s="1"/>
  <c r="E427" i="1"/>
  <c r="E436" i="1" s="1"/>
  <c r="E439" i="1" s="1"/>
  <c r="D29" i="8" s="1"/>
  <c r="D279" i="1"/>
  <c r="H642" i="1"/>
  <c r="E472" i="1"/>
  <c r="E476" i="1" s="1"/>
  <c r="D30" i="8" s="1"/>
  <c r="E213" i="1"/>
  <c r="E217" i="1" s="1"/>
  <c r="D23" i="8" s="1"/>
  <c r="D18" i="8"/>
  <c r="D4" i="8" s="1"/>
  <c r="E52" i="1"/>
  <c r="E47" i="1"/>
  <c r="F41" i="1"/>
  <c r="D204" i="1"/>
  <c r="E204" i="1" s="1"/>
  <c r="F204" i="1" s="1"/>
  <c r="G204" i="1" s="1"/>
  <c r="H204" i="1" s="1"/>
  <c r="E187" i="1"/>
  <c r="F187" i="1" s="1"/>
  <c r="G187" i="1" s="1"/>
  <c r="H187" i="1" s="1"/>
  <c r="D193" i="1"/>
  <c r="E193" i="1" s="1"/>
  <c r="F193" i="1" s="1"/>
  <c r="G193" i="1" s="1"/>
  <c r="H193" i="1" s="1"/>
  <c r="D198" i="1"/>
  <c r="E198" i="1" s="1"/>
  <c r="F198" i="1" s="1"/>
  <c r="G198" i="1" s="1"/>
  <c r="H198" i="1" s="1"/>
  <c r="D383" i="1"/>
  <c r="E383" i="1" s="1"/>
  <c r="F383" i="1" s="1"/>
  <c r="G383" i="1" s="1"/>
  <c r="H383" i="1" s="1"/>
  <c r="D378" i="1"/>
  <c r="E378" i="1" s="1"/>
  <c r="F378" i="1" s="1"/>
  <c r="G378" i="1" s="1"/>
  <c r="H378" i="1" s="1"/>
  <c r="E372" i="1"/>
  <c r="F372" i="1" s="1"/>
  <c r="G372" i="1" s="1"/>
  <c r="H372" i="1" s="1"/>
  <c r="D389" i="1"/>
  <c r="E389" i="1" s="1"/>
  <c r="F389" i="1" s="1"/>
  <c r="G389" i="1" s="1"/>
  <c r="H389" i="1" s="1"/>
  <c r="D346" i="1"/>
  <c r="E346" i="1" s="1"/>
  <c r="F346" i="1" s="1"/>
  <c r="G346" i="1" s="1"/>
  <c r="H346" i="1" s="1"/>
  <c r="D341" i="1"/>
  <c r="E341" i="1" s="1"/>
  <c r="F341" i="1" s="1"/>
  <c r="G341" i="1" s="1"/>
  <c r="H341" i="1" s="1"/>
  <c r="E335" i="1"/>
  <c r="F335" i="1" s="1"/>
  <c r="G335" i="1" s="1"/>
  <c r="H335" i="1" s="1"/>
  <c r="D352" i="1"/>
  <c r="E352" i="1" s="1"/>
  <c r="F352" i="1" s="1"/>
  <c r="G352" i="1" s="1"/>
  <c r="H352" i="1" s="1"/>
  <c r="D687" i="1"/>
  <c r="E687" i="1" s="1"/>
  <c r="F687" i="1" s="1"/>
  <c r="G687" i="1" s="1"/>
  <c r="H687" i="1" s="1"/>
  <c r="E670" i="1"/>
  <c r="F670" i="1" s="1"/>
  <c r="G670" i="1" s="1"/>
  <c r="H670" i="1" s="1"/>
  <c r="D681" i="1"/>
  <c r="E681" i="1" s="1"/>
  <c r="F681" i="1" s="1"/>
  <c r="G681" i="1" s="1"/>
  <c r="H681" i="1" s="1"/>
  <c r="D676" i="1"/>
  <c r="E676" i="1" s="1"/>
  <c r="F676" i="1" s="1"/>
  <c r="G676" i="1" s="1"/>
  <c r="H676" i="1" s="1"/>
  <c r="F172" i="1"/>
  <c r="D88" i="1"/>
  <c r="E88" i="1" s="1"/>
  <c r="F88" i="1" s="1"/>
  <c r="G88" i="1" s="1"/>
  <c r="H88" i="1" s="1"/>
  <c r="D83" i="1"/>
  <c r="E83" i="1" s="1"/>
  <c r="F83" i="1" s="1"/>
  <c r="G83" i="1" s="1"/>
  <c r="H83" i="1" s="1"/>
  <c r="E77" i="1"/>
  <c r="F77" i="1" s="1"/>
  <c r="G77" i="1" s="1"/>
  <c r="H77" i="1" s="1"/>
  <c r="D94" i="1"/>
  <c r="E94" i="1" s="1"/>
  <c r="F94" i="1" s="1"/>
  <c r="G94" i="1" s="1"/>
  <c r="H94" i="1" s="1"/>
  <c r="F20" i="6"/>
  <c r="D140" i="1"/>
  <c r="D144" i="1" s="1"/>
  <c r="C21" i="8" s="1"/>
  <c r="F103" i="1"/>
  <c r="F107" i="1" s="1"/>
  <c r="E20" i="8" s="1"/>
  <c r="D67" i="1"/>
  <c r="D71" i="1" s="1"/>
  <c r="C19" i="8" s="1"/>
  <c r="K189" i="1"/>
  <c r="K153" i="1"/>
  <c r="D13" i="6"/>
  <c r="D14" i="6" s="1"/>
  <c r="G67" i="1"/>
  <c r="G71" i="1" s="1"/>
  <c r="F19" i="8" s="1"/>
  <c r="B20" i="6"/>
  <c r="D103" i="1"/>
  <c r="D107" i="1" s="1"/>
  <c r="C20" i="8" s="1"/>
  <c r="E27" i="6"/>
  <c r="F213" i="1"/>
  <c r="F217" i="1" s="1"/>
  <c r="E23" i="8" s="1"/>
  <c r="D463" i="1"/>
  <c r="E463" i="1" s="1"/>
  <c r="F463" i="1" s="1"/>
  <c r="G463" i="1" s="1"/>
  <c r="H463" i="1" s="1"/>
  <c r="D457" i="1"/>
  <c r="E457" i="1" s="1"/>
  <c r="F457" i="1" s="1"/>
  <c r="G457" i="1" s="1"/>
  <c r="H457" i="1" s="1"/>
  <c r="D452" i="1"/>
  <c r="E452" i="1" s="1"/>
  <c r="F452" i="1" s="1"/>
  <c r="G452" i="1" s="1"/>
  <c r="H452" i="1" s="1"/>
  <c r="E446" i="1"/>
  <c r="F446" i="1" s="1"/>
  <c r="G446" i="1" s="1"/>
  <c r="H446" i="1" s="1"/>
  <c r="D272" i="1"/>
  <c r="E272" i="1" s="1"/>
  <c r="F272" i="1" s="1"/>
  <c r="G272" i="1" s="1"/>
  <c r="H272" i="1" s="1"/>
  <c r="D267" i="1"/>
  <c r="E267" i="1" s="1"/>
  <c r="F267" i="1" s="1"/>
  <c r="G267" i="1" s="1"/>
  <c r="H267" i="1" s="1"/>
  <c r="E261" i="1"/>
  <c r="F261" i="1" s="1"/>
  <c r="G261" i="1" s="1"/>
  <c r="H261" i="1" s="1"/>
  <c r="D278" i="1"/>
  <c r="E278" i="1" s="1"/>
  <c r="F278" i="1" s="1"/>
  <c r="G278" i="1" s="1"/>
  <c r="H278" i="1" s="1"/>
  <c r="D569" i="1"/>
  <c r="E569" i="1" s="1"/>
  <c r="F569" i="1" s="1"/>
  <c r="G569" i="1" s="1"/>
  <c r="H569" i="1" s="1"/>
  <c r="D564" i="1"/>
  <c r="E564" i="1" s="1"/>
  <c r="F564" i="1" s="1"/>
  <c r="G564" i="1" s="1"/>
  <c r="H564" i="1" s="1"/>
  <c r="D575" i="1"/>
  <c r="E575" i="1" s="1"/>
  <c r="F575" i="1" s="1"/>
  <c r="G575" i="1" s="1"/>
  <c r="H575" i="1" s="1"/>
  <c r="E558" i="1"/>
  <c r="F558" i="1" s="1"/>
  <c r="G558" i="1" s="1"/>
  <c r="H558" i="1" s="1"/>
  <c r="D606" i="1"/>
  <c r="E606" i="1" s="1"/>
  <c r="F606" i="1" s="1"/>
  <c r="G606" i="1" s="1"/>
  <c r="H606" i="1" s="1"/>
  <c r="D601" i="1"/>
  <c r="E601" i="1" s="1"/>
  <c r="F601" i="1" s="1"/>
  <c r="G601" i="1" s="1"/>
  <c r="H601" i="1" s="1"/>
  <c r="D612" i="1"/>
  <c r="E612" i="1" s="1"/>
  <c r="F612" i="1" s="1"/>
  <c r="G612" i="1" s="1"/>
  <c r="H612" i="1" s="1"/>
  <c r="E595" i="1"/>
  <c r="F595" i="1" s="1"/>
  <c r="G595" i="1" s="1"/>
  <c r="H595" i="1" s="1"/>
  <c r="F176" i="1"/>
  <c r="F180" i="1" s="1"/>
  <c r="E22" i="8" s="1"/>
  <c r="H700" i="1" l="1"/>
  <c r="G36" i="8" s="1"/>
  <c r="F700" i="1"/>
  <c r="E36" i="8" s="1"/>
  <c r="E18" i="8"/>
  <c r="E4" i="8" s="1"/>
  <c r="F52" i="1"/>
  <c r="F47" i="1"/>
  <c r="G41" i="1"/>
  <c r="D651" i="1"/>
  <c r="G657" i="1"/>
  <c r="B13" i="6"/>
  <c r="B14" i="6" s="1"/>
  <c r="K154" i="1"/>
  <c r="F250" i="1"/>
  <c r="F254" i="1" s="1"/>
  <c r="E24" i="8" s="1"/>
  <c r="D25" i="6"/>
  <c r="K191" i="1"/>
  <c r="E13" i="6"/>
  <c r="E14" i="6" s="1"/>
  <c r="E415" i="1"/>
  <c r="F415" i="1" s="1"/>
  <c r="G415" i="1" s="1"/>
  <c r="H415" i="1" s="1"/>
  <c r="D420" i="1"/>
  <c r="C25" i="6"/>
  <c r="G172" i="1"/>
  <c r="G176" i="1" s="1"/>
  <c r="G180" i="1" s="1"/>
  <c r="F22" i="8" s="1"/>
  <c r="D27" i="6"/>
  <c r="D287" i="1"/>
  <c r="D291" i="1" s="1"/>
  <c r="C25" i="8" s="1"/>
  <c r="E279" i="1"/>
  <c r="E287" i="1" s="1"/>
  <c r="E291" i="1" s="1"/>
  <c r="D25" i="8" s="1"/>
  <c r="D584" i="1"/>
  <c r="D588" i="1" s="1"/>
  <c r="C33" i="8" s="1"/>
  <c r="C6" i="8" s="1"/>
  <c r="E576" i="1"/>
  <c r="E584" i="1" s="1"/>
  <c r="E588" i="1" s="1"/>
  <c r="D33" i="8" s="1"/>
  <c r="D6" i="8" s="1"/>
  <c r="E1029" i="1"/>
  <c r="E1033" i="1" s="1"/>
  <c r="D45" i="8" s="1"/>
  <c r="F663" i="1"/>
  <c r="E35" i="8" s="1"/>
  <c r="D31" i="6" l="1"/>
  <c r="D36" i="6" s="1"/>
  <c r="E5" i="8"/>
  <c r="F18" i="8"/>
  <c r="F4" i="8" s="1"/>
  <c r="G52" i="1"/>
  <c r="G47" i="1"/>
  <c r="H41" i="1"/>
  <c r="D659" i="1"/>
  <c r="D663" i="1" s="1"/>
  <c r="C35" i="8" s="1"/>
  <c r="C5" i="8" s="1"/>
  <c r="E651" i="1"/>
  <c r="E659" i="1" s="1"/>
  <c r="E663" i="1" s="1"/>
  <c r="D35" i="8" s="1"/>
  <c r="D5" i="8" s="1"/>
  <c r="B23" i="6"/>
  <c r="B31" i="6" s="1"/>
  <c r="B36" i="6" s="1"/>
  <c r="C23" i="6"/>
  <c r="C31" i="6" s="1"/>
  <c r="C36" i="6" s="1"/>
  <c r="D426" i="1"/>
  <c r="E426" i="1" s="1"/>
  <c r="F426" i="1" s="1"/>
  <c r="G426" i="1" s="1"/>
  <c r="H426" i="1" s="1"/>
  <c r="E420" i="1"/>
  <c r="F420" i="1" s="1"/>
  <c r="G420" i="1" s="1"/>
  <c r="H420" i="1" s="1"/>
  <c r="H188" i="1"/>
  <c r="H191" i="1" s="1"/>
  <c r="H217" i="1" s="1"/>
  <c r="G23" i="8" s="1"/>
  <c r="H78" i="1"/>
  <c r="H81" i="1" s="1"/>
  <c r="H107" i="1" s="1"/>
  <c r="G20" i="8" s="1"/>
  <c r="H151" i="1"/>
  <c r="H154" i="1" s="1"/>
  <c r="H42" i="1"/>
  <c r="H45" i="1" s="1"/>
  <c r="G659" i="1"/>
  <c r="G663" i="1" s="1"/>
  <c r="F35" i="8" s="1"/>
  <c r="F5" i="8" s="1"/>
  <c r="H657" i="1"/>
  <c r="E29" i="6"/>
  <c r="E31" i="6" s="1"/>
  <c r="E36" i="6" s="1"/>
  <c r="G18" i="8" l="1"/>
  <c r="G4" i="8" s="1"/>
  <c r="H52" i="1"/>
  <c r="H47" i="1"/>
  <c r="H71" i="1"/>
  <c r="G19" i="8" s="1"/>
  <c r="F12" i="6"/>
  <c r="H157" i="1"/>
  <c r="H159" i="1" s="1"/>
  <c r="F13" i="6" s="1"/>
  <c r="H659" i="1"/>
  <c r="H663" i="1" s="1"/>
  <c r="G35" i="8" s="1"/>
  <c r="F29" i="6"/>
  <c r="F31" i="6" s="1"/>
  <c r="G5" i="8" l="1"/>
  <c r="H180" i="1"/>
  <c r="G22" i="8" s="1"/>
  <c r="F14" i="6"/>
  <c r="F36" i="6" s="1"/>
</calcChain>
</file>

<file path=xl/sharedStrings.xml><?xml version="1.0" encoding="utf-8"?>
<sst xmlns="http://schemas.openxmlformats.org/spreadsheetml/2006/main" count="860" uniqueCount="190">
  <si>
    <t>Eligible</t>
  </si>
  <si>
    <t>Not Eligible</t>
  </si>
  <si>
    <t>---</t>
  </si>
  <si>
    <t>Reporting Entity:</t>
  </si>
  <si>
    <t>Facility Name:</t>
  </si>
  <si>
    <t>Reporting Date:</t>
  </si>
  <si>
    <t>Distributed Generation Bonus</t>
  </si>
  <si>
    <t>Quantity Required for Compliance</t>
  </si>
  <si>
    <t>Start Year</t>
  </si>
  <si>
    <t>WA State RCW 19.285 Requirement</t>
  </si>
  <si>
    <t>Facility 19</t>
  </si>
  <si>
    <t>Facility 20</t>
  </si>
  <si>
    <t>Facility 21</t>
  </si>
  <si>
    <t>Facility 22</t>
  </si>
  <si>
    <t>Facility 23</t>
  </si>
  <si>
    <t>Facility 24</t>
  </si>
  <si>
    <t>Facility 25</t>
  </si>
  <si>
    <t>Facility 26</t>
  </si>
  <si>
    <t>Facility 27</t>
  </si>
  <si>
    <t>Facility 28</t>
  </si>
  <si>
    <t>Facility 29</t>
  </si>
  <si>
    <t>Facility 30</t>
  </si>
  <si>
    <t>Extra Apprenticeship Credit</t>
  </si>
  <si>
    <t>Delivered Load to Retail Customers (MWh)</t>
  </si>
  <si>
    <t>Adjustment for Events Beyond Control</t>
  </si>
  <si>
    <t>Facility WREGIS ID:</t>
  </si>
  <si>
    <t>Extra Apprenticeship Credit Eligibility:</t>
  </si>
  <si>
    <t>Distributed Generation Bonus Eligibility:</t>
  </si>
  <si>
    <t>Sales and Transfers</t>
  </si>
  <si>
    <t>Net Surplus Adjustments</t>
  </si>
  <si>
    <t>RCW 19.285 Compliance Need</t>
  </si>
  <si>
    <t>Eligible Quantity Acquired</t>
  </si>
  <si>
    <t>Percent of Qualifying MWh Allocated to WA</t>
  </si>
  <si>
    <t>MWh Allocated to WA Compliance</t>
  </si>
  <si>
    <t>Eligible MWh Available for RCW 19.285 Compliance</t>
  </si>
  <si>
    <t>Bonus Incentives Transferred</t>
  </si>
  <si>
    <t>Total Quantity Available for RCW 19.285 Compliance</t>
  </si>
  <si>
    <t>Percent of MWh Qualifying Under RCW 19.285</t>
  </si>
  <si>
    <t>Contribution to RCW 19.285 Compliance</t>
  </si>
  <si>
    <t>RCW 19.285 Compliance Surplus / (Deficit)</t>
  </si>
  <si>
    <t>Extra Apprenticeship Labor Bonus</t>
  </si>
  <si>
    <t>Bonus Incentive Eligibility</t>
  </si>
  <si>
    <t>REC Sales / Transfers</t>
  </si>
  <si>
    <t>Qualifying MWh Allocated to WA</t>
  </si>
  <si>
    <t>Checklist Item</t>
  </si>
  <si>
    <t>Cell/Row Description</t>
  </si>
  <si>
    <t>Units</t>
  </si>
  <si>
    <t>Cell/Row</t>
  </si>
  <si>
    <t>Comments</t>
  </si>
  <si>
    <t>Text</t>
  </si>
  <si>
    <t>Year</t>
  </si>
  <si>
    <t>Reporting Entity</t>
  </si>
  <si>
    <t>Reporting Date</t>
  </si>
  <si>
    <t>Delivered Load to Retail Customers</t>
  </si>
  <si>
    <t>MWh</t>
  </si>
  <si>
    <t>Enter the name of the reporting entity</t>
  </si>
  <si>
    <t xml:space="preserve">Enter the MWh delivered to customers </t>
  </si>
  <si>
    <t>Enter "X" When Complete</t>
  </si>
  <si>
    <t>Enter the date the report is submitted</t>
  </si>
  <si>
    <t>Quantity of RECs Sold</t>
  </si>
  <si>
    <t>Facility Name</t>
  </si>
  <si>
    <t>B2:B31</t>
  </si>
  <si>
    <t>Enter the name of the qualifying facility or contract</t>
  </si>
  <si>
    <t>WREGIS ID</t>
  </si>
  <si>
    <t>C2:C31</t>
  </si>
  <si>
    <t>Enter the WREGIS ID for the qualifying facility</t>
  </si>
  <si>
    <t>Extra Apprenticeship Credit Eligibility</t>
  </si>
  <si>
    <t>Toggle</t>
  </si>
  <si>
    <t>D2:D31</t>
  </si>
  <si>
    <t>E2:E31</t>
  </si>
  <si>
    <t>For facilities that qualify for extra apprenticeship credits select "Eligible". Select "Not Eligible for non-qualifying facilities.</t>
  </si>
  <si>
    <t>For facilities that qualify for distributed generation select "Eligible". Select "Not Eligible for non-qualifying facilities.</t>
  </si>
  <si>
    <t>Total MWh Produced from Facility</t>
  </si>
  <si>
    <t>Number</t>
  </si>
  <si>
    <t>Percent of MWh Qualifying</t>
  </si>
  <si>
    <t>D39:F39</t>
  </si>
  <si>
    <t>Quantity of RECs from MWh Sold</t>
  </si>
  <si>
    <t>%</t>
  </si>
  <si>
    <t>Percent of Qualifying MWh Allocated to WA State Compliance</t>
  </si>
  <si>
    <t>D51:F51</t>
  </si>
  <si>
    <t>2011 Surplus Applied to 2012</t>
  </si>
  <si>
    <t>2012 Surplus Applied to 2011</t>
  </si>
  <si>
    <t>2012 Surplus Applied to 2013</t>
  </si>
  <si>
    <t>2013 Surplus Applied to 2012</t>
  </si>
  <si>
    <t>Enter the amount of RECs procured in 2011 used for compliance in 2012</t>
  </si>
  <si>
    <t>Enter the amount of RECs procured in 2012 used for compliance in 2011</t>
  </si>
  <si>
    <t>Enter the amount of RECs procured in 2012 used for compliance in 2013</t>
  </si>
  <si>
    <t>Enter the amount of RECs procured in 2013 used for compliance in 2012</t>
  </si>
  <si>
    <t>Distributed Generation Eligibility</t>
  </si>
  <si>
    <t>Enter the annual amount of transferred RECs procured from bonus incentives</t>
  </si>
  <si>
    <t>Enter the percent of qualifying MWh used for compliance with RCW 19.285. Used for facilities that are utilized for RPS compliance in two or more states.</t>
  </si>
  <si>
    <t>Enter the percent of MWh produced that are eligible for meeting RCW 19.285</t>
  </si>
  <si>
    <t>Enter the annual MWh output from the qualifying facility</t>
  </si>
  <si>
    <t>"Facility Detail" Worksheet</t>
  </si>
  <si>
    <t>General Instructions:</t>
  </si>
  <si>
    <t>White shading indicate formulated cells</t>
  </si>
  <si>
    <t>Yellow shading indicate cells where inputs are entered</t>
  </si>
  <si>
    <t>Green shading indicate cells with dropdown lists</t>
  </si>
  <si>
    <t>Blue shading indicates summary calculations</t>
  </si>
  <si>
    <t>Grey shading indicates cells where information is not required</t>
  </si>
  <si>
    <t>Enter the annual amount of RECs sold.  For Multi-Jurisdictional Utilities, enter in annual WA allocated amount of RECs sold.</t>
  </si>
  <si>
    <t>Bonus Incentives Not Realized</t>
  </si>
  <si>
    <t>Total Sold / Transferred / Unrealized</t>
  </si>
  <si>
    <t>D40:F40</t>
  </si>
  <si>
    <t>D41:F41</t>
  </si>
  <si>
    <t>D52:F52</t>
  </si>
  <si>
    <t>E58</t>
  </si>
  <si>
    <t>Enter the annual MWh not produced due to events beyond control as outlined in RCW 19.285.040 (2)(i)</t>
  </si>
  <si>
    <t>Enter the annual number of bonus incentives that were not realized</t>
  </si>
  <si>
    <t>B2</t>
  </si>
  <si>
    <t>B4</t>
  </si>
  <si>
    <t>B7:E7</t>
  </si>
  <si>
    <t>Adjustments</t>
  </si>
  <si>
    <t>D50:F50</t>
  </si>
  <si>
    <t>D56</t>
  </si>
  <si>
    <t>E57</t>
  </si>
  <si>
    <t>F59</t>
  </si>
  <si>
    <t>D62:F62</t>
  </si>
  <si>
    <t>Facility Types</t>
  </si>
  <si>
    <t>Wind</t>
  </si>
  <si>
    <t>Solar</t>
  </si>
  <si>
    <t>Geothermal</t>
  </si>
  <si>
    <t>Landfill Gas</t>
  </si>
  <si>
    <t>Wave, Ocean, Tidal</t>
  </si>
  <si>
    <t>Biomass</t>
  </si>
  <si>
    <t>Sewage Treatment Gas</t>
  </si>
  <si>
    <t>Water (Incremental Hydro)</t>
  </si>
  <si>
    <t>Facility Type</t>
  </si>
  <si>
    <t>F2:F31</t>
  </si>
  <si>
    <t>Select the generation type for the qualifying facility</t>
  </si>
  <si>
    <t>Compliance Contribution by Generation Type</t>
  </si>
  <si>
    <t>Non REC Eligible Generation</t>
  </si>
  <si>
    <t>Biodiesel Fuel</t>
  </si>
  <si>
    <t>Total Quantity from Non REC Eligible Generation</t>
  </si>
  <si>
    <t>Quantity from Non REC Eligible Generation</t>
  </si>
  <si>
    <t>"Compliance Summary" Worksheet</t>
  </si>
  <si>
    <t>Instructions in this section identify the input locations for the 1st facility found in the "Facility Detail" worksheet.  Inputs for facilities 2 through 30, also found in the "Facility Detail" worksheet, are identical to facility 1.</t>
  </si>
  <si>
    <t>Online Date:</t>
  </si>
  <si>
    <t>In both the "Compliance Summary" and "Facility Detail" worksheets, utilities may need to protect commercially sensitive information by use of the CONFIDENTIAL designation.</t>
  </si>
  <si>
    <t>Wild Horse</t>
  </si>
  <si>
    <t>Hopkins Ridge</t>
  </si>
  <si>
    <t>Klondike III</t>
  </si>
  <si>
    <t>W183</t>
  </si>
  <si>
    <t>W184</t>
  </si>
  <si>
    <t>W237</t>
  </si>
  <si>
    <t>Wild Horse Phase II</t>
  </si>
  <si>
    <t>Hopkins Ridge Phase II</t>
  </si>
  <si>
    <t>W1364</t>
  </si>
  <si>
    <t>W1382</t>
  </si>
  <si>
    <t>W2669</t>
  </si>
  <si>
    <t>W2670</t>
  </si>
  <si>
    <t>Lower Snake River - Dodge Junction</t>
  </si>
  <si>
    <t>Lower Snake River - Phalen Gulch</t>
  </si>
  <si>
    <t>Wanapum Fish Bypass</t>
  </si>
  <si>
    <t>Baker River Project</t>
  </si>
  <si>
    <t>Snoqualmie Falls Project</t>
  </si>
  <si>
    <t>X</t>
  </si>
  <si>
    <t>Not Available</t>
  </si>
  <si>
    <t>Attachment 3</t>
  </si>
  <si>
    <t>Instructions in the section are for the cells B2:F31.  Each row represents a different facility.  FIRST UPDATE cell B1053 For Start Year</t>
  </si>
  <si>
    <t>W4865</t>
  </si>
  <si>
    <t>W4866</t>
  </si>
  <si>
    <t>Not Applicable</t>
  </si>
  <si>
    <t>Puget Sound Energy</t>
  </si>
  <si>
    <t>ATTACHMENT 3</t>
  </si>
  <si>
    <t>Klondike 1--REC only**</t>
  </si>
  <si>
    <t>Stateline WA Wind--REC Only **</t>
  </si>
  <si>
    <t>Horse Butte Wind--REC only **</t>
  </si>
  <si>
    <t>Grand View 5 East--REC Only**</t>
  </si>
  <si>
    <t>ID Solar 1 -- REC Only **</t>
  </si>
  <si>
    <t>Grand View 2 West--REC Only **</t>
  </si>
  <si>
    <t>Condon Wind Power -- REC Only **</t>
  </si>
  <si>
    <t>Condon Wind Power Phase II -- REC Only **</t>
  </si>
  <si>
    <t>W238</t>
  </si>
  <si>
    <t>W248</t>
  </si>
  <si>
    <t>W3260</t>
  </si>
  <si>
    <t>W5069</t>
  </si>
  <si>
    <t>W5070</t>
  </si>
  <si>
    <t>W5076</t>
  </si>
  <si>
    <t>W774</t>
  </si>
  <si>
    <t>W833</t>
  </si>
  <si>
    <t>Use of Wanapum Fish  Bypass for RPS Compliance will be dependent upon Grant County filing WREGIS registration.   To-date Grant County has not filed Wanapum in WREGIS.</t>
  </si>
  <si>
    <t>PUGET SOUND ENERGY - 2019 RPS REPORT</t>
  </si>
  <si>
    <t>PUGET SOUND ENERGY 2019 RPS REPORT</t>
  </si>
  <si>
    <t>Actual Retirements for RPS Compliance</t>
  </si>
  <si>
    <t xml:space="preserve">Actual Retirements for RPS Compliance </t>
  </si>
  <si>
    <r>
      <t xml:space="preserve">** REC purchase only, no generation provided with purchase - </t>
    </r>
    <r>
      <rPr>
        <b/>
        <sz val="11"/>
        <rFont val="Calibri"/>
        <family val="2"/>
      </rPr>
      <t>Actual Retirements for RPS Compliance</t>
    </r>
  </si>
  <si>
    <r>
      <t>** REC purchase only, no generation provided with purchase -</t>
    </r>
    <r>
      <rPr>
        <b/>
        <sz val="11"/>
        <rFont val="Calibri"/>
        <family val="2"/>
      </rPr>
      <t xml:space="preserve"> Actual Retirements for RPS Compliance</t>
    </r>
  </si>
  <si>
    <t>2019 generation estimated based on 3 year average of generation at this facility. Baker estimated RPS Eligible generation based on Incremental Hydro Calculation Method 2.   Baker Project WREGIS Registration was completed June, 2016</t>
  </si>
  <si>
    <t>2019 generation estimated based on 3 year average of generation at this facility. Snoqualmie Falls Project estimated RPS Eligible generation based on Incremental Hydro Calculation Method 2.  Snoqualmie Falls Project WREGIS Registration was completed June,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</si>
</sst>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00"/>
    <numFmt numFmtId="167" formatCode="[$-409]d\-mmm\-yy;@"/>
    <numFmt numFmtId="168" formatCode="0.0%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24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166" fontId="3" fillId="0" borderId="0">
      <alignment horizontal="left" wrapText="1"/>
    </xf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0" fontId="5" fillId="0" borderId="0" xfId="0" applyFont="1"/>
    <xf numFmtId="164" fontId="5" fillId="0" borderId="0" xfId="1" applyNumberFormat="1" applyFont="1"/>
    <xf numFmtId="0" fontId="4" fillId="0" borderId="4" xfId="0" applyFont="1" applyBorder="1"/>
    <xf numFmtId="0" fontId="6" fillId="0" borderId="0" xfId="0" applyFont="1"/>
    <xf numFmtId="164" fontId="4" fillId="2" borderId="5" xfId="1" applyNumberFormat="1" applyFont="1" applyFill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0" fontId="8" fillId="0" borderId="0" xfId="0" applyFont="1"/>
    <xf numFmtId="164" fontId="4" fillId="0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quotePrefix="1" applyFont="1" applyFill="1" applyBorder="1"/>
    <xf numFmtId="164" fontId="5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4" fillId="0" borderId="0" xfId="5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4" fillId="0" borderId="0" xfId="0" applyFont="1" applyBorder="1"/>
    <xf numFmtId="164" fontId="4" fillId="0" borderId="0" xfId="1" applyNumberFormat="1" applyFont="1" applyBorder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4" borderId="0" xfId="1" applyNumberFormat="1" applyFont="1" applyFill="1" applyBorder="1"/>
    <xf numFmtId="164" fontId="5" fillId="0" borderId="13" xfId="1" applyNumberFormat="1" applyFont="1" applyBorder="1"/>
    <xf numFmtId="0" fontId="6" fillId="0" borderId="0" xfId="0" applyFont="1" applyBorder="1"/>
    <xf numFmtId="0" fontId="8" fillId="0" borderId="7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6" fillId="0" borderId="0" xfId="0" applyFont="1" applyFill="1" applyBorder="1"/>
    <xf numFmtId="164" fontId="9" fillId="6" borderId="17" xfId="1" applyNumberFormat="1" applyFont="1" applyFill="1" applyBorder="1"/>
    <xf numFmtId="164" fontId="5" fillId="5" borderId="0" xfId="1" applyNumberFormat="1" applyFont="1" applyFill="1" applyBorder="1"/>
    <xf numFmtId="164" fontId="4" fillId="2" borderId="18" xfId="1" applyNumberFormat="1" applyFont="1" applyFill="1" applyBorder="1"/>
    <xf numFmtId="9" fontId="4" fillId="2" borderId="12" xfId="5" applyFont="1" applyFill="1" applyBorder="1"/>
    <xf numFmtId="9" fontId="4" fillId="2" borderId="18" xfId="5" applyFont="1" applyFill="1" applyBorder="1"/>
    <xf numFmtId="164" fontId="4" fillId="0" borderId="1" xfId="1" applyNumberFormat="1" applyFont="1" applyFill="1" applyBorder="1"/>
    <xf numFmtId="164" fontId="4" fillId="0" borderId="11" xfId="1" applyNumberFormat="1" applyFont="1" applyFill="1" applyBorder="1"/>
    <xf numFmtId="164" fontId="4" fillId="0" borderId="12" xfId="1" applyNumberFormat="1" applyFont="1" applyBorder="1"/>
    <xf numFmtId="164" fontId="4" fillId="0" borderId="18" xfId="1" applyNumberFormat="1" applyFont="1" applyBorder="1"/>
    <xf numFmtId="164" fontId="4" fillId="0" borderId="2" xfId="1" applyNumberFormat="1" applyFont="1" applyFill="1" applyBorder="1"/>
    <xf numFmtId="164" fontId="4" fillId="0" borderId="19" xfId="1" applyNumberFormat="1" applyFont="1" applyFill="1" applyBorder="1"/>
    <xf numFmtId="164" fontId="4" fillId="0" borderId="12" xfId="1" applyNumberFormat="1" applyFont="1" applyFill="1" applyBorder="1"/>
    <xf numFmtId="0" fontId="9" fillId="0" borderId="0" xfId="0" applyFont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/>
    <xf numFmtId="0" fontId="4" fillId="0" borderId="20" xfId="0" applyFont="1" applyBorder="1"/>
    <xf numFmtId="0" fontId="5" fillId="0" borderId="0" xfId="0" applyFont="1" applyAlignment="1">
      <alignment horizontal="left" indent="2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20" xfId="0" applyBorder="1" applyAlignment="1"/>
    <xf numFmtId="0" fontId="4" fillId="0" borderId="20" xfId="0" applyFont="1" applyBorder="1" applyAlignment="1">
      <alignment horizontal="left" indent="2"/>
    </xf>
    <xf numFmtId="0" fontId="10" fillId="0" borderId="0" xfId="0" applyFont="1"/>
    <xf numFmtId="166" fontId="9" fillId="6" borderId="7" xfId="4" applyFont="1" applyFill="1" applyBorder="1" applyAlignment="1">
      <alignment horizontal="center" vertical="center" wrapText="1"/>
    </xf>
    <xf numFmtId="166" fontId="4" fillId="0" borderId="7" xfId="4" applyFont="1" applyBorder="1" applyAlignment="1">
      <alignment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66" fontId="4" fillId="0" borderId="7" xfId="4" applyFont="1" applyBorder="1" applyAlignment="1">
      <alignment horizontal="center" vertical="center" wrapText="1"/>
    </xf>
    <xf numFmtId="166" fontId="4" fillId="0" borderId="7" xfId="4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 indent="2" shrinkToFit="1"/>
    </xf>
    <xf numFmtId="166" fontId="4" fillId="0" borderId="7" xfId="4" applyFont="1" applyFill="1" applyBorder="1" applyAlignment="1">
      <alignment vertical="center" wrapText="1"/>
    </xf>
    <xf numFmtId="9" fontId="4" fillId="0" borderId="12" xfId="5" applyFont="1" applyBorder="1" applyAlignment="1">
      <alignment horizontal="center"/>
    </xf>
    <xf numFmtId="9" fontId="4" fillId="0" borderId="18" xfId="5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2" borderId="16" xfId="1" applyNumberFormat="1" applyFont="1" applyFill="1" applyBorder="1"/>
    <xf numFmtId="164" fontId="4" fillId="2" borderId="17" xfId="1" applyNumberFormat="1" applyFont="1" applyFill="1" applyBorder="1"/>
    <xf numFmtId="0" fontId="4" fillId="0" borderId="0" xfId="0" applyFont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4" fillId="2" borderId="9" xfId="0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6" xfId="0" applyFont="1" applyBorder="1"/>
    <xf numFmtId="164" fontId="14" fillId="0" borderId="1" xfId="1" applyNumberFormat="1" applyFont="1" applyBorder="1"/>
    <xf numFmtId="164" fontId="14" fillId="0" borderId="2" xfId="1" applyNumberFormat="1" applyFont="1" applyBorder="1"/>
    <xf numFmtId="164" fontId="14" fillId="0" borderId="3" xfId="1" applyNumberFormat="1" applyFont="1" applyBorder="1"/>
    <xf numFmtId="0" fontId="14" fillId="0" borderId="8" xfId="0" applyFont="1" applyBorder="1"/>
    <xf numFmtId="164" fontId="14" fillId="0" borderId="10" xfId="1" applyNumberFormat="1" applyFont="1" applyBorder="1"/>
    <xf numFmtId="164" fontId="14" fillId="0" borderId="5" xfId="1" applyNumberFormat="1" applyFont="1" applyBorder="1"/>
    <xf numFmtId="164" fontId="14" fillId="0" borderId="19" xfId="1" applyNumberFormat="1" applyFont="1" applyBorder="1"/>
    <xf numFmtId="0" fontId="14" fillId="0" borderId="9" xfId="0" applyFont="1" applyBorder="1"/>
    <xf numFmtId="164" fontId="14" fillId="0" borderId="11" xfId="1" applyNumberFormat="1" applyFont="1" applyBorder="1"/>
    <xf numFmtId="164" fontId="14" fillId="0" borderId="12" xfId="1" applyNumberFormat="1" applyFont="1" applyBorder="1"/>
    <xf numFmtId="164" fontId="14" fillId="0" borderId="18" xfId="1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164" fontId="17" fillId="0" borderId="0" xfId="1" applyNumberFormat="1" applyFont="1"/>
    <xf numFmtId="166" fontId="4" fillId="0" borderId="13" xfId="4" applyFont="1" applyBorder="1" applyAlignment="1">
      <alignment horizontal="center" vertical="center" wrapText="1"/>
    </xf>
    <xf numFmtId="1" fontId="4" fillId="0" borderId="13" xfId="4" applyNumberFormat="1" applyFont="1" applyBorder="1" applyAlignment="1">
      <alignment horizontal="center" vertical="center" wrapText="1"/>
    </xf>
    <xf numFmtId="166" fontId="4" fillId="0" borderId="13" xfId="4" applyFont="1" applyBorder="1" applyAlignment="1">
      <alignment vertical="center"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7" fontId="4" fillId="2" borderId="19" xfId="0" applyNumberFormat="1" applyFont="1" applyFill="1" applyBorder="1" applyAlignment="1">
      <alignment horizontal="center"/>
    </xf>
    <xf numFmtId="167" fontId="4" fillId="2" borderId="1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164" fontId="4" fillId="0" borderId="21" xfId="1" applyNumberFormat="1" applyFont="1" applyBorder="1"/>
    <xf numFmtId="164" fontId="4" fillId="0" borderId="23" xfId="1" applyNumberFormat="1" applyFont="1" applyBorder="1"/>
    <xf numFmtId="164" fontId="4" fillId="2" borderId="24" xfId="1" applyNumberFormat="1" applyFont="1" applyFill="1" applyBorder="1"/>
    <xf numFmtId="164" fontId="9" fillId="6" borderId="24" xfId="1" applyNumberFormat="1" applyFont="1" applyFill="1" applyBorder="1"/>
    <xf numFmtId="164" fontId="4" fillId="7" borderId="5" xfId="1" applyNumberFormat="1" applyFont="1" applyFill="1" applyBorder="1"/>
    <xf numFmtId="164" fontId="4" fillId="7" borderId="10" xfId="1" applyNumberFormat="1" applyFont="1" applyFill="1" applyBorder="1"/>
    <xf numFmtId="164" fontId="4" fillId="7" borderId="11" xfId="1" applyNumberFormat="1" applyFont="1" applyFill="1" applyBorder="1"/>
    <xf numFmtId="164" fontId="4" fillId="7" borderId="12" xfId="1" applyNumberFormat="1" applyFont="1" applyFill="1" applyBorder="1"/>
    <xf numFmtId="164" fontId="4" fillId="7" borderId="2" xfId="1" applyNumberFormat="1" applyFont="1" applyFill="1" applyBorder="1"/>
    <xf numFmtId="164" fontId="4" fillId="7" borderId="3" xfId="1" applyNumberFormat="1" applyFont="1" applyFill="1" applyBorder="1"/>
    <xf numFmtId="164" fontId="4" fillId="7" borderId="19" xfId="1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6" fillId="0" borderId="0" xfId="0" applyFont="1" applyFill="1"/>
    <xf numFmtId="164" fontId="5" fillId="0" borderId="0" xfId="1" applyNumberFormat="1" applyFont="1" applyAlignment="1">
      <alignment horizontal="right"/>
    </xf>
    <xf numFmtId="0" fontId="18" fillId="0" borderId="0" xfId="0" applyFont="1"/>
    <xf numFmtId="0" fontId="4" fillId="3" borderId="5" xfId="0" applyFont="1" applyFill="1" applyBorder="1" applyAlignment="1">
      <alignment horizontal="center" wrapText="1"/>
    </xf>
    <xf numFmtId="0" fontId="12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4" borderId="0" xfId="1" applyNumberFormat="1" applyFont="1" applyFill="1" applyBorder="1"/>
    <xf numFmtId="9" fontId="4" fillId="2" borderId="5" xfId="5" applyNumberFormat="1" applyFont="1" applyFill="1" applyBorder="1"/>
    <xf numFmtId="9" fontId="4" fillId="2" borderId="19" xfId="5" applyNumberFormat="1" applyFont="1" applyFill="1" applyBorder="1"/>
    <xf numFmtId="164" fontId="4" fillId="0" borderId="10" xfId="1" applyNumberFormat="1" applyFont="1" applyFill="1" applyBorder="1"/>
    <xf numFmtId="168" fontId="4" fillId="2" borderId="5" xfId="5" applyNumberFormat="1" applyFont="1" applyFill="1" applyBorder="1"/>
    <xf numFmtId="168" fontId="4" fillId="2" borderId="19" xfId="5" applyNumberFormat="1" applyFont="1" applyFill="1" applyBorder="1"/>
    <xf numFmtId="164" fontId="4" fillId="2" borderId="5" xfId="1" applyNumberFormat="1" applyFont="1" applyFill="1" applyBorder="1" applyAlignment="1"/>
    <xf numFmtId="164" fontId="4" fillId="2" borderId="19" xfId="1" applyNumberFormat="1" applyFont="1" applyFill="1" applyBorder="1" applyAlignment="1"/>
    <xf numFmtId="164" fontId="4" fillId="2" borderId="12" xfId="1" applyNumberFormat="1" applyFont="1" applyFill="1" applyBorder="1" applyAlignment="1"/>
    <xf numFmtId="164" fontId="4" fillId="2" borderId="18" xfId="1" applyNumberFormat="1" applyFont="1" applyFill="1" applyBorder="1" applyAlignment="1"/>
    <xf numFmtId="164" fontId="5" fillId="0" borderId="0" xfId="0" applyNumberFormat="1" applyFont="1"/>
    <xf numFmtId="164" fontId="4" fillId="2" borderId="28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9" fontId="4" fillId="0" borderId="11" xfId="5" applyFont="1" applyBorder="1" applyAlignment="1">
      <alignment horizontal="center"/>
    </xf>
    <xf numFmtId="164" fontId="4" fillId="0" borderId="27" xfId="1" applyNumberFormat="1" applyFont="1" applyFill="1" applyBorder="1"/>
    <xf numFmtId="164" fontId="4" fillId="0" borderId="28" xfId="1" applyNumberFormat="1" applyFont="1" applyFill="1" applyBorder="1"/>
    <xf numFmtId="164" fontId="4" fillId="0" borderId="29" xfId="1" applyNumberFormat="1" applyFont="1" applyFill="1" applyBorder="1"/>
    <xf numFmtId="164" fontId="4" fillId="0" borderId="11" xfId="1" applyNumberFormat="1" applyFont="1" applyBorder="1"/>
    <xf numFmtId="164" fontId="4" fillId="0" borderId="18" xfId="1" applyNumberFormat="1" applyFont="1" applyFill="1" applyBorder="1"/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2" borderId="27" xfId="1" applyNumberFormat="1" applyFont="1" applyFill="1" applyBorder="1"/>
    <xf numFmtId="164" fontId="4" fillId="7" borderId="28" xfId="1" applyNumberFormat="1" applyFont="1" applyFill="1" applyBorder="1"/>
    <xf numFmtId="164" fontId="4" fillId="7" borderId="29" xfId="1" applyNumberFormat="1" applyFont="1" applyFill="1" applyBorder="1"/>
    <xf numFmtId="164" fontId="4" fillId="0" borderId="32" xfId="1" applyNumberFormat="1" applyFont="1" applyBorder="1"/>
    <xf numFmtId="164" fontId="4" fillId="0" borderId="33" xfId="1" applyNumberFormat="1" applyFont="1" applyBorder="1"/>
    <xf numFmtId="164" fontId="4" fillId="0" borderId="30" xfId="1" applyNumberFormat="1" applyFont="1" applyBorder="1"/>
    <xf numFmtId="164" fontId="9" fillId="6" borderId="33" xfId="1" applyNumberFormat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19" fillId="0" borderId="0" xfId="0" applyFont="1"/>
    <xf numFmtId="0" fontId="4" fillId="0" borderId="0" xfId="0" applyFont="1" applyBorder="1" applyAlignment="1"/>
    <xf numFmtId="164" fontId="20" fillId="4" borderId="0" xfId="1" applyNumberFormat="1" applyFont="1" applyFill="1" applyBorder="1"/>
    <xf numFmtId="164" fontId="21" fillId="0" borderId="0" xfId="1" applyNumberFormat="1" applyFont="1"/>
    <xf numFmtId="164" fontId="21" fillId="4" borderId="0" xfId="1" applyNumberFormat="1" applyFont="1" applyFill="1" applyBorder="1"/>
    <xf numFmtId="164" fontId="21" fillId="0" borderId="0" xfId="1" applyNumberFormat="1" applyFont="1" applyBorder="1"/>
    <xf numFmtId="0" fontId="4" fillId="0" borderId="4" xfId="0" applyFont="1" applyFill="1" applyBorder="1"/>
    <xf numFmtId="9" fontId="4" fillId="0" borderId="10" xfId="5" applyNumberFormat="1" applyFont="1" applyFill="1" applyBorder="1"/>
    <xf numFmtId="9" fontId="4" fillId="0" borderId="11" xfId="5" applyFont="1" applyFill="1" applyBorder="1"/>
    <xf numFmtId="164" fontId="5" fillId="0" borderId="13" xfId="1" applyNumberFormat="1" applyFont="1" applyFill="1" applyBorder="1"/>
    <xf numFmtId="164" fontId="4" fillId="0" borderId="1" xfId="1" applyNumberFormat="1" applyFont="1" applyFill="1" applyBorder="1" applyAlignment="1"/>
    <xf numFmtId="164" fontId="4" fillId="0" borderId="10" xfId="1" applyNumberFormat="1" applyFont="1" applyFill="1" applyBorder="1" applyAlignment="1"/>
    <xf numFmtId="164" fontId="4" fillId="0" borderId="11" xfId="1" applyNumberFormat="1" applyFont="1" applyFill="1" applyBorder="1" applyAlignment="1"/>
    <xf numFmtId="164" fontId="4" fillId="0" borderId="15" xfId="1" applyNumberFormat="1" applyFont="1" applyFill="1" applyBorder="1"/>
    <xf numFmtId="164" fontId="9" fillId="0" borderId="24" xfId="1" applyNumberFormat="1" applyFont="1" applyFill="1" applyBorder="1"/>
    <xf numFmtId="0" fontId="14" fillId="0" borderId="6" xfId="3" applyFont="1" applyBorder="1"/>
    <xf numFmtId="164" fontId="14" fillId="9" borderId="1" xfId="1" applyNumberFormat="1" applyFont="1" applyFill="1" applyBorder="1"/>
    <xf numFmtId="164" fontId="14" fillId="9" borderId="2" xfId="1" applyNumberFormat="1" applyFont="1" applyFill="1" applyBorder="1"/>
    <xf numFmtId="164" fontId="14" fillId="9" borderId="3" xfId="1" applyNumberFormat="1" applyFont="1" applyFill="1" applyBorder="1"/>
    <xf numFmtId="164" fontId="14" fillId="9" borderId="10" xfId="1" applyNumberFormat="1" applyFont="1" applyFill="1" applyBorder="1"/>
    <xf numFmtId="164" fontId="14" fillId="9" borderId="5" xfId="1" applyNumberFormat="1" applyFont="1" applyFill="1" applyBorder="1"/>
    <xf numFmtId="164" fontId="14" fillId="9" borderId="19" xfId="1" applyNumberFormat="1" applyFont="1" applyFill="1" applyBorder="1"/>
    <xf numFmtId="164" fontId="14" fillId="10" borderId="5" xfId="1" applyNumberFormat="1" applyFont="1" applyFill="1" applyBorder="1"/>
    <xf numFmtId="164" fontId="14" fillId="10" borderId="19" xfId="1" applyNumberFormat="1" applyFont="1" applyFill="1" applyBorder="1"/>
    <xf numFmtId="43" fontId="4" fillId="0" borderId="0" xfId="0" applyNumberFormat="1" applyFont="1"/>
    <xf numFmtId="43" fontId="4" fillId="2" borderId="12" xfId="1" applyNumberFormat="1" applyFont="1" applyFill="1" applyBorder="1" applyAlignment="1"/>
    <xf numFmtId="17" fontId="4" fillId="0" borderId="0" xfId="0" applyNumberFormat="1" applyFont="1"/>
    <xf numFmtId="164" fontId="4" fillId="0" borderId="0" xfId="0" applyNumberFormat="1" applyFont="1"/>
    <xf numFmtId="164" fontId="9" fillId="6" borderId="30" xfId="1" applyNumberFormat="1" applyFont="1" applyFill="1" applyBorder="1"/>
    <xf numFmtId="0" fontId="4" fillId="0" borderId="0" xfId="0" applyFont="1" applyAlignment="1">
      <alignment horizontal="left" vertical="center" wrapText="1"/>
    </xf>
    <xf numFmtId="164" fontId="4" fillId="2" borderId="29" xfId="1" applyNumberFormat="1" applyFont="1" applyFill="1" applyBorder="1"/>
    <xf numFmtId="3" fontId="22" fillId="0" borderId="0" xfId="0" applyNumberFormat="1" applyFont="1"/>
    <xf numFmtId="0" fontId="19" fillId="0" borderId="0" xfId="0" applyFont="1" applyAlignment="1">
      <alignment horizontal="center"/>
    </xf>
    <xf numFmtId="166" fontId="9" fillId="0" borderId="25" xfId="4" applyFont="1" applyBorder="1" applyAlignment="1">
      <alignment vertical="center" wrapText="1"/>
    </xf>
    <xf numFmtId="166" fontId="9" fillId="0" borderId="26" xfId="4" applyFont="1" applyBorder="1" applyAlignment="1">
      <alignment vertical="center" wrapText="1"/>
    </xf>
    <xf numFmtId="166" fontId="9" fillId="0" borderId="14" xfId="4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2 2" xfId="7"/>
    <cellStyle name="Normal" xfId="0" builtinId="0"/>
    <cellStyle name="Normal 2" xfId="3"/>
    <cellStyle name="Normal 3" xfId="6"/>
    <cellStyle name="Normal 3 2" xfId="8"/>
    <cellStyle name="Normal_Inputs PSM 14-9_TEMPLATE" xfId="4"/>
    <cellStyle name="Percent" xfId="5" builtinId="5"/>
  </cellStyles>
  <dxfs count="3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H14" sqref="H14"/>
    </sheetView>
  </sheetViews>
  <sheetFormatPr defaultRowHeight="12.75" x14ac:dyDescent="0.2"/>
  <sheetData>
    <row r="2" spans="1:12" ht="12" customHeight="1" x14ac:dyDescent="0.2">
      <c r="H2" s="178" t="s">
        <v>182</v>
      </c>
      <c r="I2" s="178"/>
      <c r="J2" s="178"/>
      <c r="K2" s="178"/>
      <c r="L2" s="178"/>
    </row>
    <row r="7" spans="1:12" x14ac:dyDescent="0.2">
      <c r="C7" s="210"/>
      <c r="D7" s="210"/>
      <c r="E7" s="210"/>
      <c r="F7" s="210"/>
      <c r="G7" s="210"/>
    </row>
    <row r="8" spans="1:12" ht="30.75" x14ac:dyDescent="0.45">
      <c r="A8" s="142"/>
      <c r="B8" s="142"/>
      <c r="C8" s="142"/>
      <c r="D8" s="142" t="s">
        <v>158</v>
      </c>
      <c r="E8" s="142"/>
      <c r="F8" s="142"/>
    </row>
  </sheetData>
  <mergeCells count="1">
    <mergeCell ref="C7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showGridLines="0" topLeftCell="A28" zoomScaleNormal="100" workbookViewId="0">
      <selection activeCell="C36" sqref="C36"/>
    </sheetView>
  </sheetViews>
  <sheetFormatPr defaultColWidth="9.140625" defaultRowHeight="12.75" x14ac:dyDescent="0.2"/>
  <cols>
    <col min="1" max="1" width="17.140625" style="71" customWidth="1"/>
    <col min="2" max="2" width="10.85546875" style="71" customWidth="1"/>
    <col min="3" max="3" width="25.140625" style="71" customWidth="1"/>
    <col min="4" max="4" width="13.42578125" style="71" customWidth="1"/>
    <col min="5" max="5" width="12.28515625" style="71" customWidth="1"/>
    <col min="6" max="6" width="40" style="71" customWidth="1"/>
    <col min="7" max="16384" width="9.140625" style="71"/>
  </cols>
  <sheetData>
    <row r="2" spans="1:6" ht="21" x14ac:dyDescent="0.35">
      <c r="A2" s="13" t="s">
        <v>94</v>
      </c>
    </row>
    <row r="3" spans="1:6" ht="15" x14ac:dyDescent="0.25">
      <c r="A3" s="1" t="s">
        <v>99</v>
      </c>
    </row>
    <row r="4" spans="1:6" ht="15" x14ac:dyDescent="0.25">
      <c r="A4" s="1" t="s">
        <v>96</v>
      </c>
    </row>
    <row r="5" spans="1:6" ht="15" x14ac:dyDescent="0.25">
      <c r="A5" s="1" t="s">
        <v>97</v>
      </c>
    </row>
    <row r="6" spans="1:6" ht="15" x14ac:dyDescent="0.25">
      <c r="A6" s="1" t="s">
        <v>95</v>
      </c>
    </row>
    <row r="7" spans="1:6" ht="15" x14ac:dyDescent="0.25">
      <c r="A7" s="1" t="s">
        <v>98</v>
      </c>
    </row>
    <row r="9" spans="1:6" ht="21" x14ac:dyDescent="0.35">
      <c r="A9" s="13" t="s">
        <v>135</v>
      </c>
    </row>
    <row r="11" spans="1:6" ht="30.75" customHeight="1" x14ac:dyDescent="0.2">
      <c r="A11" s="72" t="s">
        <v>57</v>
      </c>
      <c r="B11" s="72" t="s">
        <v>44</v>
      </c>
      <c r="C11" s="72" t="s">
        <v>45</v>
      </c>
      <c r="D11" s="72" t="s">
        <v>46</v>
      </c>
      <c r="E11" s="72" t="s">
        <v>47</v>
      </c>
      <c r="F11" s="72" t="s">
        <v>48</v>
      </c>
    </row>
    <row r="12" spans="1:6" ht="15" x14ac:dyDescent="0.2">
      <c r="A12" s="75" t="s">
        <v>156</v>
      </c>
      <c r="B12" s="74">
        <v>1</v>
      </c>
      <c r="C12" s="73" t="s">
        <v>51</v>
      </c>
      <c r="D12" s="75" t="s">
        <v>49</v>
      </c>
      <c r="E12" s="75" t="s">
        <v>109</v>
      </c>
      <c r="F12" s="73" t="s">
        <v>55</v>
      </c>
    </row>
    <row r="13" spans="1:6" ht="15" x14ac:dyDescent="0.2">
      <c r="A13" s="75" t="s">
        <v>156</v>
      </c>
      <c r="B13" s="74">
        <v>2</v>
      </c>
      <c r="C13" s="73" t="s">
        <v>52</v>
      </c>
      <c r="D13" s="75" t="s">
        <v>50</v>
      </c>
      <c r="E13" s="76" t="s">
        <v>110</v>
      </c>
      <c r="F13" s="73" t="s">
        <v>58</v>
      </c>
    </row>
    <row r="14" spans="1:6" ht="30" x14ac:dyDescent="0.2">
      <c r="A14" s="75"/>
      <c r="B14" s="74">
        <v>3</v>
      </c>
      <c r="C14" s="73" t="s">
        <v>53</v>
      </c>
      <c r="D14" s="75" t="s">
        <v>54</v>
      </c>
      <c r="E14" s="76" t="s">
        <v>111</v>
      </c>
      <c r="F14" s="73" t="s">
        <v>56</v>
      </c>
    </row>
    <row r="18" spans="1:6" ht="21" x14ac:dyDescent="0.35">
      <c r="A18" s="13" t="s">
        <v>93</v>
      </c>
    </row>
    <row r="20" spans="1:6" ht="31.5" x14ac:dyDescent="0.2">
      <c r="A20" s="72" t="s">
        <v>57</v>
      </c>
      <c r="B20" s="72" t="s">
        <v>44</v>
      </c>
      <c r="C20" s="72" t="s">
        <v>45</v>
      </c>
      <c r="D20" s="72" t="s">
        <v>46</v>
      </c>
      <c r="E20" s="72" t="s">
        <v>47</v>
      </c>
      <c r="F20" s="72" t="s">
        <v>48</v>
      </c>
    </row>
    <row r="21" spans="1:6" ht="27" customHeight="1" x14ac:dyDescent="0.2">
      <c r="A21" s="211" t="s">
        <v>159</v>
      </c>
      <c r="B21" s="212"/>
      <c r="C21" s="212"/>
      <c r="D21" s="212"/>
      <c r="E21" s="212"/>
      <c r="F21" s="213"/>
    </row>
    <row r="22" spans="1:6" ht="30" x14ac:dyDescent="0.2">
      <c r="A22" s="75" t="s">
        <v>156</v>
      </c>
      <c r="B22" s="74">
        <v>1</v>
      </c>
      <c r="C22" s="73" t="s">
        <v>60</v>
      </c>
      <c r="D22" s="75" t="s">
        <v>49</v>
      </c>
      <c r="E22" s="75" t="s">
        <v>61</v>
      </c>
      <c r="F22" s="73" t="s">
        <v>62</v>
      </c>
    </row>
    <row r="23" spans="1:6" ht="30" x14ac:dyDescent="0.2">
      <c r="A23" s="75" t="s">
        <v>156</v>
      </c>
      <c r="B23" s="74">
        <f>B22+1</f>
        <v>2</v>
      </c>
      <c r="C23" s="73" t="s">
        <v>63</v>
      </c>
      <c r="D23" s="75" t="s">
        <v>49</v>
      </c>
      <c r="E23" s="76" t="s">
        <v>64</v>
      </c>
      <c r="F23" s="73" t="s">
        <v>65</v>
      </c>
    </row>
    <row r="24" spans="1:6" ht="30" x14ac:dyDescent="0.2">
      <c r="A24" s="75" t="s">
        <v>156</v>
      </c>
      <c r="B24" s="74">
        <f>B23+1</f>
        <v>3</v>
      </c>
      <c r="C24" s="73" t="s">
        <v>127</v>
      </c>
      <c r="D24" s="75" t="s">
        <v>67</v>
      </c>
      <c r="E24" s="76" t="s">
        <v>68</v>
      </c>
      <c r="F24" s="73" t="s">
        <v>129</v>
      </c>
    </row>
    <row r="25" spans="1:6" ht="60" x14ac:dyDescent="0.2">
      <c r="A25" s="75" t="s">
        <v>156</v>
      </c>
      <c r="B25" s="74">
        <f>B24+1</f>
        <v>4</v>
      </c>
      <c r="C25" s="73" t="s">
        <v>66</v>
      </c>
      <c r="D25" s="75" t="s">
        <v>67</v>
      </c>
      <c r="E25" s="76" t="s">
        <v>69</v>
      </c>
      <c r="F25" s="73" t="s">
        <v>70</v>
      </c>
    </row>
    <row r="26" spans="1:6" ht="45" x14ac:dyDescent="0.2">
      <c r="A26" s="75" t="s">
        <v>156</v>
      </c>
      <c r="B26" s="74">
        <f>B25+1</f>
        <v>5</v>
      </c>
      <c r="C26" s="73" t="s">
        <v>88</v>
      </c>
      <c r="D26" s="75" t="s">
        <v>67</v>
      </c>
      <c r="E26" s="75" t="s">
        <v>128</v>
      </c>
      <c r="F26" s="73" t="s">
        <v>71</v>
      </c>
    </row>
    <row r="27" spans="1:6" ht="15" x14ac:dyDescent="0.2">
      <c r="A27" s="110"/>
      <c r="B27" s="111"/>
      <c r="C27" s="112"/>
      <c r="D27" s="110"/>
      <c r="E27" s="110"/>
      <c r="F27" s="112"/>
    </row>
    <row r="28" spans="1:6" ht="31.5" x14ac:dyDescent="0.2">
      <c r="A28" s="72" t="s">
        <v>57</v>
      </c>
      <c r="B28" s="72" t="s">
        <v>44</v>
      </c>
      <c r="C28" s="72" t="s">
        <v>45</v>
      </c>
      <c r="D28" s="72" t="s">
        <v>46</v>
      </c>
      <c r="E28" s="72" t="s">
        <v>47</v>
      </c>
      <c r="F28" s="72" t="s">
        <v>48</v>
      </c>
    </row>
    <row r="29" spans="1:6" ht="48.75" customHeight="1" x14ac:dyDescent="0.2">
      <c r="A29" s="211" t="s">
        <v>136</v>
      </c>
      <c r="B29" s="212"/>
      <c r="C29" s="212"/>
      <c r="D29" s="212"/>
      <c r="E29" s="212"/>
      <c r="F29" s="213"/>
    </row>
    <row r="30" spans="1:6" ht="30" x14ac:dyDescent="0.2">
      <c r="A30" s="75"/>
      <c r="B30" s="74">
        <f>B26+1</f>
        <v>6</v>
      </c>
      <c r="C30" s="73" t="s">
        <v>72</v>
      </c>
      <c r="D30" s="75" t="s">
        <v>73</v>
      </c>
      <c r="E30" s="75" t="s">
        <v>75</v>
      </c>
      <c r="F30" s="73" t="s">
        <v>92</v>
      </c>
    </row>
    <row r="31" spans="1:6" ht="30" x14ac:dyDescent="0.2">
      <c r="A31" s="75"/>
      <c r="B31" s="74">
        <f t="shared" ref="B31:B40" si="0">B30+1</f>
        <v>7</v>
      </c>
      <c r="C31" s="73" t="s">
        <v>74</v>
      </c>
      <c r="D31" s="75" t="s">
        <v>77</v>
      </c>
      <c r="E31" s="75" t="s">
        <v>103</v>
      </c>
      <c r="F31" s="73" t="s">
        <v>91</v>
      </c>
    </row>
    <row r="32" spans="1:6" ht="60" x14ac:dyDescent="0.2">
      <c r="A32" s="75"/>
      <c r="B32" s="74">
        <f t="shared" si="0"/>
        <v>8</v>
      </c>
      <c r="C32" s="73" t="s">
        <v>78</v>
      </c>
      <c r="D32" s="75" t="s">
        <v>77</v>
      </c>
      <c r="E32" s="75" t="s">
        <v>104</v>
      </c>
      <c r="F32" s="73" t="s">
        <v>90</v>
      </c>
    </row>
    <row r="33" spans="1:6" ht="45" x14ac:dyDescent="0.2">
      <c r="A33" s="75"/>
      <c r="B33" s="74">
        <f t="shared" si="0"/>
        <v>9</v>
      </c>
      <c r="C33" s="73" t="s">
        <v>76</v>
      </c>
      <c r="D33" s="75" t="s">
        <v>73</v>
      </c>
      <c r="E33" s="75" t="s">
        <v>113</v>
      </c>
      <c r="F33" s="73" t="s">
        <v>100</v>
      </c>
    </row>
    <row r="34" spans="1:6" ht="30" x14ac:dyDescent="0.2">
      <c r="A34" s="75"/>
      <c r="B34" s="74">
        <f t="shared" si="0"/>
        <v>10</v>
      </c>
      <c r="C34" s="73" t="s">
        <v>35</v>
      </c>
      <c r="D34" s="75" t="s">
        <v>73</v>
      </c>
      <c r="E34" s="75" t="s">
        <v>79</v>
      </c>
      <c r="F34" s="73" t="s">
        <v>89</v>
      </c>
    </row>
    <row r="35" spans="1:6" ht="30" x14ac:dyDescent="0.2">
      <c r="A35" s="75"/>
      <c r="B35" s="74">
        <f t="shared" si="0"/>
        <v>11</v>
      </c>
      <c r="C35" s="73" t="s">
        <v>101</v>
      </c>
      <c r="D35" s="75" t="s">
        <v>73</v>
      </c>
      <c r="E35" s="75" t="s">
        <v>105</v>
      </c>
      <c r="F35" s="80" t="s">
        <v>108</v>
      </c>
    </row>
    <row r="36" spans="1:6" ht="30" x14ac:dyDescent="0.2">
      <c r="A36" s="75"/>
      <c r="B36" s="74">
        <f t="shared" si="0"/>
        <v>12</v>
      </c>
      <c r="C36" s="73" t="s">
        <v>80</v>
      </c>
      <c r="D36" s="75" t="s">
        <v>73</v>
      </c>
      <c r="E36" s="75" t="s">
        <v>114</v>
      </c>
      <c r="F36" s="73" t="s">
        <v>84</v>
      </c>
    </row>
    <row r="37" spans="1:6" ht="30" x14ac:dyDescent="0.2">
      <c r="A37" s="75"/>
      <c r="B37" s="74">
        <f t="shared" si="0"/>
        <v>13</v>
      </c>
      <c r="C37" s="73" t="s">
        <v>81</v>
      </c>
      <c r="D37" s="75" t="s">
        <v>73</v>
      </c>
      <c r="E37" s="75" t="s">
        <v>115</v>
      </c>
      <c r="F37" s="73" t="s">
        <v>85</v>
      </c>
    </row>
    <row r="38" spans="1:6" ht="30" x14ac:dyDescent="0.2">
      <c r="A38" s="75"/>
      <c r="B38" s="74">
        <f t="shared" si="0"/>
        <v>14</v>
      </c>
      <c r="C38" s="73" t="s">
        <v>82</v>
      </c>
      <c r="D38" s="75" t="s">
        <v>73</v>
      </c>
      <c r="E38" s="75" t="s">
        <v>106</v>
      </c>
      <c r="F38" s="73" t="s">
        <v>86</v>
      </c>
    </row>
    <row r="39" spans="1:6" ht="30" x14ac:dyDescent="0.2">
      <c r="A39" s="75"/>
      <c r="B39" s="74">
        <f t="shared" si="0"/>
        <v>15</v>
      </c>
      <c r="C39" s="73" t="s">
        <v>83</v>
      </c>
      <c r="D39" s="75" t="s">
        <v>73</v>
      </c>
      <c r="E39" s="75" t="s">
        <v>116</v>
      </c>
      <c r="F39" s="73" t="s">
        <v>87</v>
      </c>
    </row>
    <row r="40" spans="1:6" ht="45" x14ac:dyDescent="0.2">
      <c r="A40" s="75"/>
      <c r="B40" s="74">
        <f t="shared" si="0"/>
        <v>16</v>
      </c>
      <c r="C40" s="73" t="s">
        <v>24</v>
      </c>
      <c r="D40" s="75" t="s">
        <v>73</v>
      </c>
      <c r="E40" s="75" t="s">
        <v>117</v>
      </c>
      <c r="F40" s="80" t="s">
        <v>107</v>
      </c>
    </row>
  </sheetData>
  <mergeCells count="2">
    <mergeCell ref="A29:F29"/>
    <mergeCell ref="A21:F21"/>
  </mergeCells>
  <phoneticPr fontId="7" type="noConversion"/>
  <conditionalFormatting sqref="A12:A14 A21:A27 A29:A40">
    <cfRule type="cellIs" dxfId="2" priority="1" stopIfTrue="1" operator="equal">
      <formula>"X"</formula>
    </cfRule>
    <cfRule type="cellIs" dxfId="1" priority="2" stopIfTrue="1" operator="equal">
      <formula>"x"</formula>
    </cfRule>
  </conditionalFormatting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2:J44"/>
  <sheetViews>
    <sheetView showGridLines="0" topLeftCell="A91" zoomScale="75" zoomScaleNormal="75" zoomScaleSheetLayoutView="115" workbookViewId="0">
      <selection activeCell="F9" sqref="F9"/>
    </sheetView>
  </sheetViews>
  <sheetFormatPr defaultColWidth="12.140625" defaultRowHeight="15" x14ac:dyDescent="0.25"/>
  <cols>
    <col min="1" max="1" width="64.140625" style="1" customWidth="1"/>
    <col min="2" max="6" width="18.42578125" style="1" customWidth="1"/>
    <col min="7" max="7" width="16.5703125" style="1" customWidth="1"/>
    <col min="8" max="8" width="3.28515625" style="1" customWidth="1"/>
    <col min="9" max="16384" width="12.140625" style="1"/>
  </cols>
  <sheetData>
    <row r="2" spans="1:10" ht="21" x14ac:dyDescent="0.35">
      <c r="A2" s="13" t="s">
        <v>3</v>
      </c>
      <c r="C2" s="218" t="s">
        <v>163</v>
      </c>
      <c r="D2" s="219"/>
      <c r="E2" s="220"/>
    </row>
    <row r="4" spans="1:10" ht="18.75" x14ac:dyDescent="0.3">
      <c r="A4" s="9" t="s">
        <v>5</v>
      </c>
      <c r="C4" s="215">
        <v>43617</v>
      </c>
      <c r="D4" s="216"/>
      <c r="E4" s="217"/>
    </row>
    <row r="6" spans="1:10" ht="18.75" x14ac:dyDescent="0.3">
      <c r="A6" s="9" t="s">
        <v>30</v>
      </c>
      <c r="B6" s="2">
        <f>'Facility Detail'!$B$1159</f>
        <v>2015</v>
      </c>
      <c r="C6" s="2">
        <f>B6+1</f>
        <v>2016</v>
      </c>
      <c r="D6" s="2">
        <f>C6+1</f>
        <v>2017</v>
      </c>
      <c r="E6" s="132">
        <f>D6+1</f>
        <v>2018</v>
      </c>
      <c r="F6" s="132">
        <f>E6+1</f>
        <v>2019</v>
      </c>
      <c r="I6" s="21"/>
      <c r="J6" s="21"/>
    </row>
    <row r="7" spans="1:10" x14ac:dyDescent="0.25">
      <c r="A7" s="70" t="s">
        <v>23</v>
      </c>
      <c r="B7" s="156">
        <v>20509764</v>
      </c>
      <c r="C7" s="156">
        <v>20448423</v>
      </c>
      <c r="D7" s="156">
        <v>21316397</v>
      </c>
      <c r="E7" s="156">
        <v>20697195</v>
      </c>
      <c r="F7" s="157" t="s">
        <v>162</v>
      </c>
      <c r="H7" s="14"/>
      <c r="I7" s="14"/>
      <c r="J7" s="14"/>
    </row>
    <row r="8" spans="1:10" ht="15.75" x14ac:dyDescent="0.25">
      <c r="A8" s="70" t="s">
        <v>9</v>
      </c>
      <c r="B8" s="158">
        <v>0.03</v>
      </c>
      <c r="C8" s="81">
        <v>0.03</v>
      </c>
      <c r="D8" s="81">
        <v>0.09</v>
      </c>
      <c r="E8" s="81">
        <v>0.09</v>
      </c>
      <c r="F8" s="82">
        <v>0.09</v>
      </c>
      <c r="G8" s="22"/>
      <c r="H8" s="22"/>
      <c r="I8" s="209"/>
      <c r="J8" s="22"/>
    </row>
    <row r="9" spans="1:10" x14ac:dyDescent="0.25">
      <c r="A9" s="63" t="s">
        <v>7</v>
      </c>
      <c r="B9" s="84"/>
      <c r="C9" s="83">
        <v>1848542.085</v>
      </c>
      <c r="D9" s="83">
        <f xml:space="preserve"> IF( SUM(B7:C7) = 0, 0, AVERAGE(B7:C7) * D8 )</f>
        <v>1843118.415</v>
      </c>
      <c r="E9" s="84">
        <f xml:space="preserve"> IF( SUM(C7:D7) = 0, 0, AVERAGE(C7:D7) * E8 )</f>
        <v>1879416.9</v>
      </c>
      <c r="F9" s="84">
        <f xml:space="preserve"> IF( SUM(D7:E7) = 0, 0, AVERAGE(D7:E7) * F8 )</f>
        <v>1890611.64</v>
      </c>
      <c r="G9" s="22"/>
      <c r="H9" s="22"/>
      <c r="I9" s="22"/>
      <c r="J9" s="22"/>
    </row>
    <row r="10" spans="1:10" x14ac:dyDescent="0.25">
      <c r="G10" s="23"/>
      <c r="H10" s="23"/>
      <c r="I10" s="23"/>
      <c r="J10" s="23"/>
    </row>
    <row r="11" spans="1:10" ht="18.75" x14ac:dyDescent="0.3">
      <c r="A11" s="9" t="s">
        <v>31</v>
      </c>
      <c r="B11" s="2">
        <f>'Facility Detail'!$B$1159</f>
        <v>2015</v>
      </c>
      <c r="C11" s="2">
        <v>2015</v>
      </c>
      <c r="D11" s="2">
        <v>2016</v>
      </c>
      <c r="E11" s="2">
        <f>B11+3</f>
        <v>2018</v>
      </c>
      <c r="F11" s="2">
        <f>B11+4</f>
        <v>2019</v>
      </c>
      <c r="G11" s="23"/>
      <c r="H11" s="23"/>
      <c r="I11" s="23"/>
      <c r="J11" s="23"/>
    </row>
    <row r="12" spans="1:10" x14ac:dyDescent="0.25">
      <c r="A12" s="70" t="s">
        <v>43</v>
      </c>
      <c r="B12" s="159">
        <f>SUMIFS('Facility Detail'!D:D,'Facility Detail'!$B:$B,"Eligible MWh Available for RCW 19.285 Compliance")</f>
        <v>1931010.9479999999</v>
      </c>
      <c r="C12" s="160">
        <f>SUMIFS('Facility Detail'!E:E,'Facility Detail'!$B:$B,"Eligible MWh Available for RCW 19.285 Compliance")</f>
        <v>2205548.3790000002</v>
      </c>
      <c r="D12" s="160">
        <f>SUMIFS('Facility Detail'!F:F,'Facility Detail'!$B:$B,"Eligible MWh Available for RCW 19.285 Compliance")</f>
        <v>1934234</v>
      </c>
      <c r="E12" s="160">
        <f>SUMIFS('Facility Detail'!G:G,'Facility Detail'!$B:$B,"Eligible MWh Available for RCW 19.285 Compliance")</f>
        <v>2175902</v>
      </c>
      <c r="F12" s="161">
        <f>SUMIFS('Facility Detail'!H:H,'Facility Detail'!$B:$B,"Eligible MWh Available for RCW 19.285 Compliance")</f>
        <v>554418.00363636366</v>
      </c>
      <c r="G12" s="24"/>
      <c r="H12" s="24"/>
      <c r="I12" s="24"/>
      <c r="J12" s="24"/>
    </row>
    <row r="13" spans="1:10" x14ac:dyDescent="0.25">
      <c r="A13" s="70" t="s">
        <v>134</v>
      </c>
      <c r="B13" s="162">
        <f>SUMIFS('Facility Detail'!D:D,'Facility Detail'!$B:$B,"Total Quantity from Non REC Eligible Generation")</f>
        <v>166885.6</v>
      </c>
      <c r="C13" s="53">
        <f>SUMIFS('Facility Detail'!E:E,'Facility Detail'!$B:$B,"Total Quantity from Non REC Eligible Generation")</f>
        <v>195474.6</v>
      </c>
      <c r="D13" s="57">
        <f>SUMIFS('Facility Detail'!F:F,'Facility Detail'!$B:$B,"Total Quantity from Non REC Eligible Generation")</f>
        <v>162488.00000000003</v>
      </c>
      <c r="E13" s="57">
        <f>SUMIFS('Facility Detail'!G:G,'Facility Detail'!$B:$B,"Total Quantity from Non REC Eligible Generation")</f>
        <v>196504.6</v>
      </c>
      <c r="F13" s="163">
        <f>SUMIFS('Facility Detail'!H:H,'Facility Detail'!$B:$B,"Total Quantity from Non REC Eligible Generation")</f>
        <v>40284.982774856406</v>
      </c>
      <c r="G13" s="24"/>
      <c r="H13" s="24"/>
      <c r="I13" s="24"/>
      <c r="J13" s="24"/>
    </row>
    <row r="14" spans="1:10" x14ac:dyDescent="0.25">
      <c r="A14" s="63" t="s">
        <v>36</v>
      </c>
      <c r="B14" s="47">
        <f>SUM(B12:B13)</f>
        <v>2097896.548</v>
      </c>
      <c r="C14" s="47">
        <f>SUM(C12:C13)</f>
        <v>2401022.9790000003</v>
      </c>
      <c r="D14" s="47">
        <f>SUM(D12:D13)</f>
        <v>2096722</v>
      </c>
      <c r="E14" s="47">
        <f>SUM(E12:E13)</f>
        <v>2372406.6</v>
      </c>
      <c r="F14" s="47">
        <f>SUM(F12:F13)</f>
        <v>594702.98641122004</v>
      </c>
      <c r="G14" s="24"/>
      <c r="H14" s="24"/>
      <c r="I14" s="24"/>
      <c r="J14" s="24"/>
    </row>
    <row r="15" spans="1:10" x14ac:dyDescent="0.25">
      <c r="A15" s="6"/>
      <c r="B15" s="47"/>
      <c r="C15" s="47"/>
      <c r="D15" s="47"/>
      <c r="E15" s="47"/>
      <c r="F15" s="47"/>
      <c r="G15" s="24"/>
      <c r="H15" s="24"/>
      <c r="I15" s="24"/>
      <c r="J15" s="24"/>
    </row>
    <row r="16" spans="1:10" ht="18.75" x14ac:dyDescent="0.3">
      <c r="A16" s="42" t="s">
        <v>28</v>
      </c>
      <c r="B16" s="2">
        <f>'Facility Detail'!$B$1159</f>
        <v>2015</v>
      </c>
      <c r="C16" s="2">
        <f>B16+1</f>
        <v>2016</v>
      </c>
      <c r="D16" s="2">
        <f>C16+1</f>
        <v>2017</v>
      </c>
      <c r="E16" s="2">
        <f>D16+1</f>
        <v>2018</v>
      </c>
      <c r="F16" s="2">
        <f>E16+1</f>
        <v>2019</v>
      </c>
      <c r="G16" s="24"/>
      <c r="H16" s="24"/>
      <c r="I16" s="24"/>
      <c r="J16" s="24"/>
    </row>
    <row r="17" spans="1:10" x14ac:dyDescent="0.25">
      <c r="A17" s="87" t="str">
        <f>'Facility Detail'!B53</f>
        <v>Quantity of RECs Sold</v>
      </c>
      <c r="B17" s="175">
        <f>-SUMIFS('Facility Detail'!D:D,'Facility Detail'!$B:$B,$A17)</f>
        <v>-238199</v>
      </c>
      <c r="C17" s="164">
        <f>-SUMIFS('Facility Detail'!E:E,'Facility Detail'!$B:$B,$A17)</f>
        <v>-521270</v>
      </c>
      <c r="D17" s="164">
        <f>-SUMIFS('Facility Detail'!F:F,'Facility Detail'!$B:$B,$A17)</f>
        <v>-175982</v>
      </c>
      <c r="E17" s="164">
        <f>-SUMIFS('Facility Detail'!G:G,'Facility Detail'!$B:$B,$A17)</f>
        <v>-307874</v>
      </c>
      <c r="F17" s="165">
        <f>-SUMIFS('Facility Detail'!H:H,'Facility Detail'!$B:$B,$A17)</f>
        <v>0</v>
      </c>
      <c r="G17" s="14"/>
      <c r="H17" s="14"/>
      <c r="I17" s="14"/>
      <c r="J17" s="14"/>
    </row>
    <row r="18" spans="1:10" x14ac:dyDescent="0.25">
      <c r="A18" s="79" t="str">
        <f>'Facility Detail'!B54</f>
        <v>Bonus Incentives Transferred</v>
      </c>
      <c r="B18" s="176">
        <f>-SUMIFS('Facility Detail'!D:D,'Facility Detail'!$B:$B,$A18)</f>
        <v>0</v>
      </c>
      <c r="C18" s="166">
        <f>-SUMIFS('Facility Detail'!E:E,'Facility Detail'!$B:$B,$A18)</f>
        <v>0</v>
      </c>
      <c r="D18" s="166">
        <f>-SUMIFS('Facility Detail'!F:F,'Facility Detail'!$B:$B,$A18)</f>
        <v>0</v>
      </c>
      <c r="E18" s="166">
        <f>-SUMIFS('Facility Detail'!G:G,'Facility Detail'!$B:$B,$A18)</f>
        <v>0</v>
      </c>
      <c r="F18" s="167">
        <f>-SUMIFS('Facility Detail'!H:H,'Facility Detail'!$B:$B,$A18)</f>
        <v>0</v>
      </c>
      <c r="G18" s="14"/>
      <c r="H18" s="14"/>
      <c r="I18" s="14"/>
      <c r="J18" s="14"/>
    </row>
    <row r="19" spans="1:10" x14ac:dyDescent="0.25">
      <c r="A19" s="79" t="str">
        <f>'Facility Detail'!B55</f>
        <v>Bonus Incentives Not Realized</v>
      </c>
      <c r="B19" s="177">
        <f>-SUMIFS('Facility Detail'!D:D,'Facility Detail'!$B:$B,$A19)</f>
        <v>-4546.3999999999996</v>
      </c>
      <c r="C19" s="59">
        <f>-SUMIFS('Facility Detail'!E:E,'Facility Detail'!$B:$B,$A19)</f>
        <v>0</v>
      </c>
      <c r="D19" s="59">
        <f>-SUMIFS('Facility Detail'!F:F,'Facility Detail'!$B:$B,$A19)</f>
        <v>0</v>
      </c>
      <c r="E19" s="59">
        <f>-SUMIFS('Facility Detail'!G:G,'Facility Detail'!$B:$B,$A19)</f>
        <v>0</v>
      </c>
      <c r="F19" s="60">
        <f>-SUMIFS('Facility Detail'!H:H,'Facility Detail'!$B:$B,$A19)</f>
        <v>0</v>
      </c>
      <c r="G19" s="14"/>
      <c r="H19" s="14"/>
      <c r="I19" s="14"/>
      <c r="J19" s="14"/>
    </row>
    <row r="20" spans="1:10" x14ac:dyDescent="0.25">
      <c r="A20" s="63" t="str">
        <f>'Facility Detail'!B56</f>
        <v>Total Sold / Transferred / Unrealized</v>
      </c>
      <c r="B20" s="19">
        <f>SUM(B17:B19)</f>
        <v>-242745.4</v>
      </c>
      <c r="C20" s="19">
        <f>SUM(C17:C19)</f>
        <v>-521270</v>
      </c>
      <c r="D20" s="19">
        <f>SUM(D17:D19)</f>
        <v>-175982</v>
      </c>
      <c r="E20" s="19">
        <f>SUM(E17:E19)</f>
        <v>-307874</v>
      </c>
      <c r="F20" s="19">
        <f>SUM(F17:F19)</f>
        <v>0</v>
      </c>
      <c r="G20" s="19"/>
      <c r="H20" s="19"/>
      <c r="I20" s="19"/>
      <c r="J20" s="19"/>
    </row>
    <row r="21" spans="1:10" x14ac:dyDescent="0.25"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18.75" x14ac:dyDescent="0.3">
      <c r="A22" s="9" t="s">
        <v>112</v>
      </c>
      <c r="B22" s="2">
        <f>'Facility Detail'!$B$1159</f>
        <v>2015</v>
      </c>
      <c r="C22" s="2">
        <f>B22+1</f>
        <v>2016</v>
      </c>
      <c r="D22" s="2">
        <f>C22+1</f>
        <v>2017</v>
      </c>
      <c r="E22" s="2">
        <f>D22+1</f>
        <v>2018</v>
      </c>
      <c r="F22" s="2">
        <f>E22+1</f>
        <v>2019</v>
      </c>
      <c r="G22" s="14"/>
      <c r="H22" s="14"/>
      <c r="I22" s="14"/>
      <c r="J22" s="14"/>
    </row>
    <row r="23" spans="1:10" x14ac:dyDescent="0.25">
      <c r="A23" s="87" t="str">
        <f xml:space="preserve"> 'Facility Detail'!$B$1159 &amp; " Surplus Applied to " &amp; ( 'Facility Detail'!$B$1159 + 1 )</f>
        <v>2015 Surplus Applied to 2016</v>
      </c>
      <c r="B23" s="168">
        <f>-SUMIFS('Facility Detail'!D:D,'Facility Detail'!$B:$B,$A23)</f>
        <v>-1757710.2000000002</v>
      </c>
      <c r="C23" s="160">
        <f>SUMIFS('Facility Detail'!E:E,'Facility Detail'!$B:$B,$A23)</f>
        <v>1757710.2000000002</v>
      </c>
      <c r="D23" s="169"/>
      <c r="E23" s="169"/>
      <c r="F23" s="170"/>
      <c r="G23" s="14"/>
      <c r="H23" s="14"/>
      <c r="I23" s="14"/>
      <c r="J23" s="14"/>
    </row>
    <row r="24" spans="1:10" x14ac:dyDescent="0.25">
      <c r="A24" s="87" t="str">
        <f xml:space="preserve"> ( 'Facility Detail'!$B$1159 + 1 ) &amp; " Surplus Applied to " &amp; ( 'Facility Detail'!$B$1159 )</f>
        <v>2016 Surplus Applied to 2015</v>
      </c>
      <c r="B24" s="148">
        <f>SUMIFS('Facility Detail'!D:D,'Facility Detail'!$B:$B,$A24)</f>
        <v>0</v>
      </c>
      <c r="C24" s="10">
        <f>-SUMIFS('Facility Detail'!E:E,'Facility Detail'!$B:$B,$A24)</f>
        <v>0</v>
      </c>
      <c r="D24" s="125"/>
      <c r="E24" s="125"/>
      <c r="F24" s="131"/>
      <c r="G24" s="14"/>
      <c r="H24" s="14"/>
      <c r="I24" s="14"/>
      <c r="J24" s="14"/>
    </row>
    <row r="25" spans="1:10" x14ac:dyDescent="0.25">
      <c r="A25" s="87" t="str">
        <f xml:space="preserve"> ( 'Facility Detail'!$B$1159 + 1 ) &amp; " Surplus Applied to " &amp; ( 'Facility Detail'!$B$1159 + 2 )</f>
        <v>2016 Surplus Applied to 2017</v>
      </c>
      <c r="B25" s="126"/>
      <c r="C25" s="10">
        <f>-SUMIFS('Facility Detail'!E:E,'Facility Detail'!$B:$B,$A25)</f>
        <v>-1760728.6</v>
      </c>
      <c r="D25" s="61">
        <f>SUMIFS('Facility Detail'!F:F,'Facility Detail'!$B:$B,$A25)</f>
        <v>1760728.6</v>
      </c>
      <c r="E25" s="125"/>
      <c r="F25" s="131"/>
      <c r="G25" s="14"/>
      <c r="H25" s="14"/>
      <c r="I25" s="14"/>
      <c r="J25" s="14"/>
    </row>
    <row r="26" spans="1:10" x14ac:dyDescent="0.25">
      <c r="A26" s="87" t="str">
        <f xml:space="preserve"> ( 'Facility Detail'!$B$1159 + 2 ) &amp; " Surplus Applied to " &amp; ( 'Facility Detail'!$B$1159 + 1 )</f>
        <v>2017 Surplus Applied to 2016</v>
      </c>
      <c r="B26" s="126"/>
      <c r="C26" s="61">
        <f>SUMIFS('Facility Detail'!E:E,'Facility Detail'!$B:$B,$A26)</f>
        <v>0</v>
      </c>
      <c r="D26" s="10">
        <f>-SUMIFS('Facility Detail'!F:F,'Facility Detail'!$B:$B,$A26)</f>
        <v>0</v>
      </c>
      <c r="E26" s="125"/>
      <c r="F26" s="131"/>
      <c r="G26" s="14"/>
      <c r="H26" s="14"/>
      <c r="I26" s="14"/>
      <c r="J26" s="14"/>
    </row>
    <row r="27" spans="1:10" x14ac:dyDescent="0.25">
      <c r="A27" s="87" t="str">
        <f xml:space="preserve"> ( 'Facility Detail'!$B$1159 + 2 ) &amp; " Surplus Applied to " &amp; ( 'Facility Detail'!$B$1159 + 3 )</f>
        <v>2017 Surplus Applied to 2018</v>
      </c>
      <c r="B27" s="126"/>
      <c r="C27" s="125"/>
      <c r="D27" s="10">
        <f>-SUMIFS('Facility Detail'!F:F,'Facility Detail'!$B:$B,$A27)</f>
        <v>-1771252</v>
      </c>
      <c r="E27" s="61">
        <f>SUMIFS('Facility Detail'!F:F,'Facility Detail'!$B:$B,$A27)</f>
        <v>1771252</v>
      </c>
      <c r="F27" s="131"/>
      <c r="G27" s="14"/>
      <c r="H27" s="14"/>
      <c r="I27" s="14"/>
      <c r="J27" s="14"/>
    </row>
    <row r="28" spans="1:10" x14ac:dyDescent="0.25">
      <c r="A28" s="87" t="str">
        <f xml:space="preserve"> ( 'Facility Detail'!$B$1159 + 3 ) &amp; " Surplus Applied to " &amp; ( 'Facility Detail'!$B$1159 + 2 )</f>
        <v>2018 Surplus Applied to 2017</v>
      </c>
      <c r="B28" s="126"/>
      <c r="C28" s="125"/>
      <c r="D28" s="61">
        <f>SUMIFS('Facility Detail'!F:F,'Facility Detail'!$B:$B,$A28)</f>
        <v>0</v>
      </c>
      <c r="E28" s="10">
        <f>-SUMIFS('Facility Detail'!G:G,'Facility Detail'!$B:$B,$A28)</f>
        <v>0</v>
      </c>
      <c r="F28" s="131"/>
      <c r="G28" s="14"/>
      <c r="H28" s="14"/>
      <c r="I28" s="14"/>
      <c r="J28" s="14"/>
    </row>
    <row r="29" spans="1:10" x14ac:dyDescent="0.25">
      <c r="A29" s="87" t="str">
        <f xml:space="preserve"> ( 'Facility Detail'!$B$1159 + 3 ) &amp; " Surplus Applied to " &amp; ( 'Facility Detail'!$B$1159 + 4 )</f>
        <v>2018 Surplus Applied to 2019</v>
      </c>
      <c r="B29" s="126"/>
      <c r="C29" s="125"/>
      <c r="D29" s="125"/>
      <c r="E29" s="10">
        <f>-SUMIFS('Facility Detail'!G:G,'Facility Detail'!$B:$B,$A29)</f>
        <v>-1939038.6</v>
      </c>
      <c r="F29" s="56">
        <f>SUMIFS('Facility Detail'!H:H,'Facility Detail'!$B:$B,$A29)</f>
        <v>1939038.6</v>
      </c>
      <c r="G29" s="14"/>
      <c r="H29" s="14"/>
      <c r="I29" s="14"/>
      <c r="J29" s="14"/>
    </row>
    <row r="30" spans="1:10" x14ac:dyDescent="0.25">
      <c r="A30" s="87" t="str">
        <f xml:space="preserve"> ( 'Facility Detail'!$B$1159 + 4 ) &amp; " Surplus Applied to " &amp; ( 'Facility Detail'!$B$1159 + 3 )</f>
        <v>2019 Surplus Applied to 2018</v>
      </c>
      <c r="B30" s="127"/>
      <c r="C30" s="128"/>
      <c r="D30" s="128"/>
      <c r="E30" s="57">
        <f>SUMIFS('Facility Detail'!G:G,'Facility Detail'!$B:$B,$A30)</f>
        <v>0</v>
      </c>
      <c r="F30" s="48">
        <f>SUMIFS('Facility Detail'!H:H,'Facility Detail'!$B:$B,$A30)</f>
        <v>0</v>
      </c>
      <c r="G30" s="14"/>
      <c r="H30" s="14"/>
      <c r="I30" s="14"/>
      <c r="J30" s="14"/>
    </row>
    <row r="31" spans="1:10" x14ac:dyDescent="0.25">
      <c r="A31" s="63" t="s">
        <v>29</v>
      </c>
      <c r="B31" s="47">
        <f>SUM(B23:B30)</f>
        <v>-1757710.2000000002</v>
      </c>
      <c r="C31" s="47">
        <f>SUM(C23:C30)</f>
        <v>-3018.3999999999069</v>
      </c>
      <c r="D31" s="47">
        <f>SUM(D23:D30)</f>
        <v>-10523.399999999907</v>
      </c>
      <c r="E31" s="47">
        <f>SUM(E23:E30)</f>
        <v>-167786.60000000009</v>
      </c>
      <c r="F31" s="47">
        <f>SUM(F23:F30)</f>
        <v>1939038.6</v>
      </c>
      <c r="G31" s="14"/>
      <c r="H31" s="14"/>
      <c r="I31" s="14"/>
      <c r="J31" s="14"/>
    </row>
    <row r="32" spans="1:10" x14ac:dyDescent="0.25">
      <c r="B32" s="47"/>
      <c r="C32" s="47"/>
      <c r="D32" s="47"/>
      <c r="E32" s="47"/>
      <c r="F32" s="47"/>
      <c r="G32" s="14"/>
      <c r="H32" s="14"/>
      <c r="I32" s="14"/>
      <c r="J32" s="14"/>
    </row>
    <row r="33" spans="1:10" x14ac:dyDescent="0.25">
      <c r="A33" s="88" t="s">
        <v>24</v>
      </c>
      <c r="B33" s="171">
        <f>SUMIFS('Facility Detail'!D:D,'Facility Detail'!$B:$B,$A33)</f>
        <v>0</v>
      </c>
      <c r="C33" s="172">
        <f>SUMIFS('Facility Detail'!E:E,'Facility Detail'!$B:$B,$A33)</f>
        <v>0</v>
      </c>
      <c r="D33" s="172">
        <f>SUMIFS('Facility Detail'!F:F,'Facility Detail'!$B:$B,$A33)</f>
        <v>0</v>
      </c>
      <c r="E33" s="172">
        <f>SUMIFS('Facility Detail'!G:G,'Facility Detail'!$B:$B,$A33)</f>
        <v>0</v>
      </c>
      <c r="F33" s="173">
        <f>SUMIFS('Facility Detail'!H:H,'Facility Detail'!$B:$B,$A33)</f>
        <v>0</v>
      </c>
      <c r="G33" s="14"/>
      <c r="H33" s="14"/>
      <c r="I33" s="14"/>
      <c r="J33" s="14"/>
    </row>
    <row r="34" spans="1:10" x14ac:dyDescent="0.25">
      <c r="B34" s="47"/>
      <c r="C34" s="47"/>
      <c r="D34" s="47"/>
      <c r="E34" s="47"/>
      <c r="F34" s="47"/>
      <c r="G34" s="14"/>
      <c r="H34" s="14"/>
      <c r="I34" s="14"/>
      <c r="J34" s="14"/>
    </row>
    <row r="35" spans="1:10" x14ac:dyDescent="0.25">
      <c r="B35" s="2">
        <f>'Facility Detail'!$B$1159</f>
        <v>2015</v>
      </c>
      <c r="C35" s="2">
        <f>B35+1</f>
        <v>2016</v>
      </c>
      <c r="D35" s="2">
        <f>B35+2</f>
        <v>2017</v>
      </c>
      <c r="E35" s="2">
        <f>B35+3</f>
        <v>2018</v>
      </c>
      <c r="F35" s="2">
        <f>B35+4</f>
        <v>2019</v>
      </c>
      <c r="G35" s="14"/>
      <c r="H35" s="14"/>
      <c r="I35" s="14"/>
      <c r="J35" s="14"/>
    </row>
    <row r="36" spans="1:10" ht="32.25" customHeight="1" x14ac:dyDescent="0.25">
      <c r="A36" s="58" t="s">
        <v>39</v>
      </c>
      <c r="B36" s="174">
        <f>B14 + B20 - B9 + B31 + B33</f>
        <v>97440.947999999858</v>
      </c>
      <c r="C36" s="174">
        <f>C14 + C20 - C9 + C31 + C33</f>
        <v>28192.494000000414</v>
      </c>
      <c r="D36" s="174">
        <f>D14 + D20 - D9 + D31 + D33</f>
        <v>67098.185000000056</v>
      </c>
      <c r="E36" s="174">
        <f>E14 + E20 - E9 + E31 + E33</f>
        <v>17329.100000000093</v>
      </c>
      <c r="F36" s="174">
        <f>F14 + F20 - F9 + F31 + F33</f>
        <v>643129.94641122036</v>
      </c>
      <c r="G36" s="20"/>
      <c r="H36" s="20"/>
      <c r="I36" s="20"/>
      <c r="J36" s="20"/>
    </row>
    <row r="38" spans="1:10" ht="31.5" customHeight="1" x14ac:dyDescent="0.25">
      <c r="A38" s="214"/>
      <c r="B38" s="214"/>
      <c r="C38" s="214"/>
      <c r="D38" s="214"/>
    </row>
    <row r="41" spans="1:10" ht="30.75" customHeight="1" x14ac:dyDescent="0.25">
      <c r="A41" s="214" t="s">
        <v>138</v>
      </c>
      <c r="B41" s="214"/>
      <c r="C41" s="214"/>
      <c r="D41" s="214"/>
    </row>
    <row r="44" spans="1:10" x14ac:dyDescent="0.25">
      <c r="C44" s="155"/>
    </row>
  </sheetData>
  <mergeCells count="4">
    <mergeCell ref="A41:D41"/>
    <mergeCell ref="A38:D38"/>
    <mergeCell ref="C4:E4"/>
    <mergeCell ref="C2:E2"/>
  </mergeCells>
  <phoneticPr fontId="7" type="noConversion"/>
  <conditionalFormatting sqref="B36:J36">
    <cfRule type="cellIs" dxfId="0" priority="4" stopIfTrue="1" operator="lessThan">
      <formula>0</formula>
    </cfRule>
  </conditionalFormatting>
  <pageMargins left="0.75" right="0.75" top="1" bottom="1" header="0.5" footer="0.5"/>
  <pageSetup scale="65" fitToWidth="0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1172"/>
  <sheetViews>
    <sheetView showGridLines="0" zoomScale="70" zoomScaleNormal="70" workbookViewId="0">
      <selection activeCell="E112" sqref="E112"/>
    </sheetView>
  </sheetViews>
  <sheetFormatPr defaultColWidth="9.140625" defaultRowHeight="15" outlineLevelRow="1" outlineLevelCol="1" x14ac:dyDescent="0.25"/>
  <cols>
    <col min="1" max="1" width="5.28515625" style="1" customWidth="1"/>
    <col min="2" max="2" width="33.28515625" style="1" customWidth="1"/>
    <col min="3" max="3" width="56" style="1" bestFit="1" customWidth="1"/>
    <col min="4" max="4" width="23.140625" style="136" customWidth="1" outlineLevel="1"/>
    <col min="5" max="7" width="23.140625" style="1" customWidth="1"/>
    <col min="8" max="9" width="18.85546875" style="1" customWidth="1"/>
    <col min="10" max="10" width="9.140625" style="1"/>
    <col min="11" max="11" width="11.140625" style="1" bestFit="1" customWidth="1"/>
    <col min="12" max="12" width="9.140625" style="1"/>
    <col min="13" max="13" width="10.140625" style="1" bestFit="1" customWidth="1"/>
    <col min="14" max="14" width="10.5703125" style="1" bestFit="1" customWidth="1"/>
    <col min="15" max="15" width="10.140625" style="1" bestFit="1" customWidth="1"/>
    <col min="16" max="16" width="10.5703125" style="1" bestFit="1" customWidth="1"/>
    <col min="17" max="16384" width="9.140625" style="1"/>
  </cols>
  <sheetData>
    <row r="1" spans="2:8" s="6" customFormat="1" ht="23.45" customHeight="1" x14ac:dyDescent="0.25">
      <c r="B1" s="6" t="s">
        <v>182</v>
      </c>
      <c r="H1" s="6" t="s">
        <v>164</v>
      </c>
    </row>
    <row r="2" spans="2:8" s="6" customFormat="1" ht="23.45" customHeight="1" x14ac:dyDescent="0.25"/>
    <row r="3" spans="2:8" ht="47.25" x14ac:dyDescent="0.25">
      <c r="B3" s="35" t="s">
        <v>4</v>
      </c>
      <c r="C3" s="35" t="s">
        <v>25</v>
      </c>
      <c r="D3" s="35"/>
      <c r="E3" s="35" t="s">
        <v>127</v>
      </c>
      <c r="F3" s="35" t="s">
        <v>26</v>
      </c>
      <c r="G3" s="35" t="s">
        <v>27</v>
      </c>
      <c r="H3" s="35" t="s">
        <v>137</v>
      </c>
    </row>
    <row r="4" spans="2:8" x14ac:dyDescent="0.25">
      <c r="B4" s="26" t="s">
        <v>139</v>
      </c>
      <c r="C4" s="37" t="s">
        <v>142</v>
      </c>
      <c r="D4" s="37"/>
      <c r="E4" s="29" t="s">
        <v>119</v>
      </c>
      <c r="F4" s="29" t="s">
        <v>1</v>
      </c>
      <c r="G4" s="113" t="s">
        <v>2</v>
      </c>
      <c r="H4" s="116"/>
    </row>
    <row r="5" spans="2:8" x14ac:dyDescent="0.25">
      <c r="B5" s="27" t="s">
        <v>140</v>
      </c>
      <c r="C5" s="38" t="s">
        <v>143</v>
      </c>
      <c r="D5" s="38"/>
      <c r="E5" s="30" t="s">
        <v>119</v>
      </c>
      <c r="F5" s="30" t="s">
        <v>1</v>
      </c>
      <c r="G5" s="114" t="s">
        <v>2</v>
      </c>
      <c r="H5" s="117"/>
    </row>
    <row r="6" spans="2:8" x14ac:dyDescent="0.25">
      <c r="B6" s="27" t="s">
        <v>141</v>
      </c>
      <c r="C6" s="38" t="s">
        <v>144</v>
      </c>
      <c r="D6" s="38"/>
      <c r="E6" s="30" t="s">
        <v>119</v>
      </c>
      <c r="F6" s="30" t="s">
        <v>1</v>
      </c>
      <c r="G6" s="114" t="s">
        <v>2</v>
      </c>
      <c r="H6" s="117"/>
    </row>
    <row r="7" spans="2:8" x14ac:dyDescent="0.25">
      <c r="B7" s="27" t="s">
        <v>145</v>
      </c>
      <c r="C7" s="38" t="s">
        <v>147</v>
      </c>
      <c r="D7" s="38"/>
      <c r="E7" s="30" t="s">
        <v>119</v>
      </c>
      <c r="F7" s="30" t="s">
        <v>0</v>
      </c>
      <c r="G7" s="114" t="s">
        <v>2</v>
      </c>
      <c r="H7" s="117"/>
    </row>
    <row r="8" spans="2:8" x14ac:dyDescent="0.25">
      <c r="B8" s="27" t="s">
        <v>146</v>
      </c>
      <c r="C8" s="38" t="s">
        <v>148</v>
      </c>
      <c r="D8" s="38"/>
      <c r="E8" s="30" t="s">
        <v>119</v>
      </c>
      <c r="F8" s="30" t="s">
        <v>1</v>
      </c>
      <c r="G8" s="114" t="s">
        <v>2</v>
      </c>
      <c r="H8" s="117"/>
    </row>
    <row r="9" spans="2:8" x14ac:dyDescent="0.25">
      <c r="B9" s="119" t="s">
        <v>151</v>
      </c>
      <c r="C9" s="38" t="s">
        <v>149</v>
      </c>
      <c r="D9" s="38"/>
      <c r="E9" s="30" t="s">
        <v>119</v>
      </c>
      <c r="F9" s="30" t="s">
        <v>0</v>
      </c>
      <c r="G9" s="114" t="s">
        <v>2</v>
      </c>
      <c r="H9" s="117"/>
    </row>
    <row r="10" spans="2:8" x14ac:dyDescent="0.25">
      <c r="B10" s="119" t="s">
        <v>152</v>
      </c>
      <c r="C10" s="38" t="s">
        <v>150</v>
      </c>
      <c r="D10" s="38"/>
      <c r="E10" s="30" t="s">
        <v>119</v>
      </c>
      <c r="F10" s="30" t="s">
        <v>0</v>
      </c>
      <c r="G10" s="114" t="s">
        <v>2</v>
      </c>
      <c r="H10" s="117"/>
    </row>
    <row r="11" spans="2:8" ht="30" x14ac:dyDescent="0.25">
      <c r="B11" s="27" t="s">
        <v>153</v>
      </c>
      <c r="C11" s="38" t="s">
        <v>157</v>
      </c>
      <c r="D11" s="38"/>
      <c r="E11" s="141" t="s">
        <v>126</v>
      </c>
      <c r="F11" s="30" t="s">
        <v>1</v>
      </c>
      <c r="G11" s="114" t="s">
        <v>2</v>
      </c>
      <c r="H11" s="117"/>
    </row>
    <row r="12" spans="2:8" ht="30" x14ac:dyDescent="0.25">
      <c r="B12" s="27" t="s">
        <v>154</v>
      </c>
      <c r="C12" s="38" t="s">
        <v>160</v>
      </c>
      <c r="D12" s="38"/>
      <c r="E12" s="141" t="s">
        <v>126</v>
      </c>
      <c r="F12" s="30" t="s">
        <v>1</v>
      </c>
      <c r="G12" s="114" t="s">
        <v>2</v>
      </c>
      <c r="H12" s="117"/>
    </row>
    <row r="13" spans="2:8" ht="30" x14ac:dyDescent="0.25">
      <c r="B13" s="27" t="s">
        <v>155</v>
      </c>
      <c r="C13" s="38" t="s">
        <v>161</v>
      </c>
      <c r="D13" s="38"/>
      <c r="E13" s="141" t="s">
        <v>126</v>
      </c>
      <c r="F13" s="30" t="s">
        <v>1</v>
      </c>
      <c r="G13" s="114" t="s">
        <v>2</v>
      </c>
      <c r="H13" s="117"/>
    </row>
    <row r="14" spans="2:8" x14ac:dyDescent="0.25">
      <c r="B14" s="27" t="str">
        <f>+C407</f>
        <v>Klondike 1--REC only**</v>
      </c>
      <c r="C14" s="38" t="s">
        <v>173</v>
      </c>
      <c r="D14" s="38"/>
      <c r="E14" s="30" t="s">
        <v>119</v>
      </c>
      <c r="F14" s="30" t="s">
        <v>1</v>
      </c>
      <c r="G14" s="114" t="s">
        <v>2</v>
      </c>
      <c r="H14" s="117"/>
    </row>
    <row r="15" spans="2:8" x14ac:dyDescent="0.25">
      <c r="B15" s="27" t="str">
        <f>+C444</f>
        <v>Stateline WA Wind--REC Only **</v>
      </c>
      <c r="C15" s="38" t="s">
        <v>174</v>
      </c>
      <c r="D15" s="38"/>
      <c r="E15" s="30" t="s">
        <v>119</v>
      </c>
      <c r="F15" s="30" t="s">
        <v>1</v>
      </c>
      <c r="G15" s="114" t="s">
        <v>2</v>
      </c>
      <c r="H15" s="117"/>
    </row>
    <row r="16" spans="2:8" x14ac:dyDescent="0.25">
      <c r="B16" s="27" t="str">
        <f>+C481</f>
        <v>Horse Butte Wind--REC only **</v>
      </c>
      <c r="C16" s="38" t="s">
        <v>175</v>
      </c>
      <c r="D16" s="38"/>
      <c r="E16" s="30" t="s">
        <v>119</v>
      </c>
      <c r="F16" s="30" t="s">
        <v>1</v>
      </c>
      <c r="G16" s="114" t="s">
        <v>2</v>
      </c>
      <c r="H16" s="117"/>
    </row>
    <row r="17" spans="2:8" x14ac:dyDescent="0.25">
      <c r="B17" s="27" t="str">
        <f>+C518</f>
        <v>Grand View 5 East--REC Only**</v>
      </c>
      <c r="C17" s="38" t="s">
        <v>176</v>
      </c>
      <c r="D17" s="38"/>
      <c r="E17" s="30" t="s">
        <v>120</v>
      </c>
      <c r="F17" s="30" t="s">
        <v>1</v>
      </c>
      <c r="G17" s="114" t="s">
        <v>2</v>
      </c>
      <c r="H17" s="117"/>
    </row>
    <row r="18" spans="2:8" x14ac:dyDescent="0.25">
      <c r="B18" s="27" t="str">
        <f>+C556</f>
        <v>Grand View 2 West--REC Only **</v>
      </c>
      <c r="C18" s="38" t="s">
        <v>177</v>
      </c>
      <c r="D18" s="38"/>
      <c r="E18" s="30" t="s">
        <v>120</v>
      </c>
      <c r="F18" s="30" t="s">
        <v>1</v>
      </c>
      <c r="G18" s="114" t="s">
        <v>2</v>
      </c>
      <c r="H18" s="117"/>
    </row>
    <row r="19" spans="2:8" x14ac:dyDescent="0.25">
      <c r="B19" s="27" t="str">
        <f>+C593</f>
        <v>ID Solar 1 -- REC Only **</v>
      </c>
      <c r="C19" s="38" t="s">
        <v>178</v>
      </c>
      <c r="D19" s="38"/>
      <c r="E19" s="30" t="s">
        <v>120</v>
      </c>
      <c r="F19" s="30" t="s">
        <v>1</v>
      </c>
      <c r="G19" s="114" t="s">
        <v>2</v>
      </c>
      <c r="H19" s="117"/>
    </row>
    <row r="20" spans="2:8" x14ac:dyDescent="0.25">
      <c r="B20" s="27" t="str">
        <f>+C631</f>
        <v>Condon Wind Power -- REC Only **</v>
      </c>
      <c r="C20" s="38" t="s">
        <v>179</v>
      </c>
      <c r="D20" s="38"/>
      <c r="E20" s="30" t="s">
        <v>119</v>
      </c>
      <c r="F20" s="30" t="s">
        <v>1</v>
      </c>
      <c r="G20" s="114" t="s">
        <v>2</v>
      </c>
      <c r="H20" s="117"/>
    </row>
    <row r="21" spans="2:8" x14ac:dyDescent="0.25">
      <c r="B21" s="27" t="str">
        <f>+C668</f>
        <v>Condon Wind Power Phase II -- REC Only **</v>
      </c>
      <c r="C21" s="38" t="s">
        <v>180</v>
      </c>
      <c r="D21" s="38"/>
      <c r="E21" s="30" t="s">
        <v>119</v>
      </c>
      <c r="F21" s="30" t="s">
        <v>1</v>
      </c>
      <c r="G21" s="114" t="s">
        <v>2</v>
      </c>
      <c r="H21" s="117"/>
    </row>
    <row r="22" spans="2:8" x14ac:dyDescent="0.25">
      <c r="B22" s="27" t="s">
        <v>10</v>
      </c>
      <c r="C22" s="38"/>
      <c r="D22" s="38"/>
      <c r="E22" s="30"/>
      <c r="F22" s="30" t="s">
        <v>2</v>
      </c>
      <c r="G22" s="114" t="s">
        <v>2</v>
      </c>
      <c r="H22" s="117"/>
    </row>
    <row r="23" spans="2:8" x14ac:dyDescent="0.25">
      <c r="B23" s="27" t="s">
        <v>11</v>
      </c>
      <c r="C23" s="38"/>
      <c r="D23" s="38"/>
      <c r="E23" s="30"/>
      <c r="F23" s="30" t="s">
        <v>2</v>
      </c>
      <c r="G23" s="114" t="s">
        <v>2</v>
      </c>
      <c r="H23" s="117"/>
    </row>
    <row r="24" spans="2:8" x14ac:dyDescent="0.25">
      <c r="B24" s="27" t="s">
        <v>12</v>
      </c>
      <c r="C24" s="38"/>
      <c r="D24" s="38"/>
      <c r="E24" s="30"/>
      <c r="F24" s="30" t="s">
        <v>2</v>
      </c>
      <c r="G24" s="114" t="s">
        <v>2</v>
      </c>
      <c r="H24" s="117"/>
    </row>
    <row r="25" spans="2:8" x14ac:dyDescent="0.25">
      <c r="B25" s="27" t="s">
        <v>13</v>
      </c>
      <c r="C25" s="38"/>
      <c r="D25" s="38"/>
      <c r="E25" s="30"/>
      <c r="F25" s="30" t="s">
        <v>2</v>
      </c>
      <c r="G25" s="114" t="s">
        <v>2</v>
      </c>
      <c r="H25" s="117"/>
    </row>
    <row r="26" spans="2:8" x14ac:dyDescent="0.25">
      <c r="B26" s="27" t="s">
        <v>14</v>
      </c>
      <c r="C26" s="38"/>
      <c r="D26" s="38"/>
      <c r="E26" s="30"/>
      <c r="F26" s="30" t="s">
        <v>2</v>
      </c>
      <c r="G26" s="114" t="s">
        <v>2</v>
      </c>
      <c r="H26" s="117"/>
    </row>
    <row r="27" spans="2:8" x14ac:dyDescent="0.25">
      <c r="B27" s="27" t="s">
        <v>15</v>
      </c>
      <c r="C27" s="38"/>
      <c r="D27" s="38"/>
      <c r="E27" s="30"/>
      <c r="F27" s="30" t="s">
        <v>2</v>
      </c>
      <c r="G27" s="114" t="s">
        <v>2</v>
      </c>
      <c r="H27" s="117"/>
    </row>
    <row r="28" spans="2:8" x14ac:dyDescent="0.25">
      <c r="B28" s="27" t="s">
        <v>16</v>
      </c>
      <c r="C28" s="38"/>
      <c r="D28" s="38"/>
      <c r="E28" s="30"/>
      <c r="F28" s="30" t="s">
        <v>2</v>
      </c>
      <c r="G28" s="114" t="s">
        <v>2</v>
      </c>
      <c r="H28" s="117"/>
    </row>
    <row r="29" spans="2:8" x14ac:dyDescent="0.25">
      <c r="B29" s="27" t="s">
        <v>17</v>
      </c>
      <c r="C29" s="38"/>
      <c r="D29" s="38"/>
      <c r="E29" s="30"/>
      <c r="F29" s="30" t="s">
        <v>2</v>
      </c>
      <c r="G29" s="114" t="s">
        <v>2</v>
      </c>
      <c r="H29" s="117"/>
    </row>
    <row r="30" spans="2:8" x14ac:dyDescent="0.25">
      <c r="B30" s="27" t="s">
        <v>18</v>
      </c>
      <c r="C30" s="38"/>
      <c r="D30" s="38"/>
      <c r="E30" s="30"/>
      <c r="F30" s="30" t="s">
        <v>2</v>
      </c>
      <c r="G30" s="114" t="s">
        <v>2</v>
      </c>
      <c r="H30" s="117"/>
    </row>
    <row r="31" spans="2:8" x14ac:dyDescent="0.25">
      <c r="B31" s="27" t="s">
        <v>19</v>
      </c>
      <c r="C31" s="38"/>
      <c r="D31" s="38"/>
      <c r="E31" s="30"/>
      <c r="F31" s="30" t="s">
        <v>2</v>
      </c>
      <c r="G31" s="114" t="s">
        <v>2</v>
      </c>
      <c r="H31" s="117"/>
    </row>
    <row r="32" spans="2:8" x14ac:dyDescent="0.25">
      <c r="B32" s="27" t="s">
        <v>20</v>
      </c>
      <c r="C32" s="38"/>
      <c r="D32" s="38"/>
      <c r="E32" s="30"/>
      <c r="F32" s="30" t="s">
        <v>2</v>
      </c>
      <c r="G32" s="114" t="s">
        <v>2</v>
      </c>
      <c r="H32" s="117"/>
    </row>
    <row r="33" spans="1:16" x14ac:dyDescent="0.25">
      <c r="B33" s="28" t="s">
        <v>21</v>
      </c>
      <c r="C33" s="39"/>
      <c r="D33" s="39"/>
      <c r="E33" s="31"/>
      <c r="F33" s="31" t="s">
        <v>2</v>
      </c>
      <c r="G33" s="115" t="s">
        <v>2</v>
      </c>
      <c r="H33" s="118"/>
    </row>
    <row r="34" spans="1:16" x14ac:dyDescent="0.25">
      <c r="B34" s="25"/>
      <c r="D34" s="1"/>
    </row>
    <row r="35" spans="1:16" ht="31.5" customHeight="1" x14ac:dyDescent="0.25">
      <c r="B35" s="214" t="s">
        <v>138</v>
      </c>
      <c r="C35" s="214"/>
      <c r="D35" s="214"/>
      <c r="E35" s="214"/>
      <c r="F35" s="214"/>
      <c r="I35" s="33"/>
    </row>
    <row r="36" spans="1:16" ht="31.5" customHeight="1" x14ac:dyDescent="0.25">
      <c r="B36" s="207"/>
      <c r="C36" s="207"/>
      <c r="D36" s="207"/>
      <c r="E36" s="207"/>
      <c r="F36" s="207"/>
      <c r="I36" s="33"/>
    </row>
    <row r="37" spans="1:16" ht="31.5" customHeight="1" x14ac:dyDescent="0.25">
      <c r="B37" s="207"/>
      <c r="C37" s="207"/>
      <c r="D37" s="207"/>
      <c r="E37" s="207"/>
      <c r="F37" s="207"/>
      <c r="I37" s="33"/>
    </row>
    <row r="38" spans="1:16" s="33" customFormat="1" x14ac:dyDescent="0.25"/>
    <row r="39" spans="1:16" ht="21" x14ac:dyDescent="0.35">
      <c r="A39" s="13" t="s">
        <v>4</v>
      </c>
      <c r="C39" s="43" t="str">
        <f>B4</f>
        <v>Wild Horse</v>
      </c>
      <c r="D39" s="43"/>
      <c r="E39" s="23"/>
      <c r="F39" s="23"/>
    </row>
    <row r="40" spans="1:16" x14ac:dyDescent="0.25">
      <c r="D40" s="1"/>
      <c r="H40" s="120"/>
    </row>
    <row r="41" spans="1:16" ht="18.75" x14ac:dyDescent="0.3">
      <c r="A41" s="9" t="s">
        <v>33</v>
      </c>
      <c r="D41" s="2">
        <f>B1159</f>
        <v>2015</v>
      </c>
      <c r="E41" s="2">
        <f>D41+1</f>
        <v>2016</v>
      </c>
      <c r="F41" s="132">
        <f>E41+1</f>
        <v>2017</v>
      </c>
      <c r="G41" s="132">
        <f>F41+1</f>
        <v>2018</v>
      </c>
      <c r="H41" s="132">
        <f>G41+1</f>
        <v>2019</v>
      </c>
    </row>
    <row r="42" spans="1:16" x14ac:dyDescent="0.25">
      <c r="B42" s="67" t="str">
        <f>"Total MWh Produced / Purchased from " &amp; C39</f>
        <v>Total MWh Produced / Purchased from Wild Horse</v>
      </c>
      <c r="C42" s="62"/>
      <c r="D42" s="4">
        <v>512757</v>
      </c>
      <c r="E42" s="4">
        <v>564671</v>
      </c>
      <c r="F42" s="4">
        <v>516263</v>
      </c>
      <c r="G42" s="4">
        <v>537534</v>
      </c>
      <c r="H42" s="5">
        <f>K45-K154</f>
        <v>124094.64612571802</v>
      </c>
      <c r="J42" s="204">
        <v>43466</v>
      </c>
      <c r="K42" s="1">
        <v>46412.03</v>
      </c>
      <c r="M42" s="205">
        <f>D42</f>
        <v>512757</v>
      </c>
      <c r="N42" s="205">
        <f>E42</f>
        <v>564671</v>
      </c>
      <c r="O42" s="205">
        <f>F42</f>
        <v>516263</v>
      </c>
      <c r="P42" s="205">
        <f>G42</f>
        <v>537534</v>
      </c>
    </row>
    <row r="43" spans="1:16" x14ac:dyDescent="0.25">
      <c r="B43" s="67" t="s">
        <v>37</v>
      </c>
      <c r="C43" s="62"/>
      <c r="D43" s="146">
        <v>1</v>
      </c>
      <c r="E43" s="146">
        <v>1</v>
      </c>
      <c r="F43" s="146">
        <v>1</v>
      </c>
      <c r="G43" s="146">
        <v>1</v>
      </c>
      <c r="H43" s="147">
        <v>1</v>
      </c>
      <c r="J43" s="204">
        <v>43497</v>
      </c>
      <c r="K43" s="1">
        <v>42113.73</v>
      </c>
    </row>
    <row r="44" spans="1:16" x14ac:dyDescent="0.25">
      <c r="B44" s="67" t="s">
        <v>32</v>
      </c>
      <c r="C44" s="62"/>
      <c r="D44" s="49">
        <v>1</v>
      </c>
      <c r="E44" s="49">
        <v>1</v>
      </c>
      <c r="F44" s="49">
        <v>1</v>
      </c>
      <c r="G44" s="49">
        <v>1</v>
      </c>
      <c r="H44" s="50">
        <v>1</v>
      </c>
      <c r="J44" s="204">
        <v>43525</v>
      </c>
      <c r="K44" s="1">
        <v>65147.19</v>
      </c>
    </row>
    <row r="45" spans="1:16" x14ac:dyDescent="0.25">
      <c r="B45" s="64" t="s">
        <v>34</v>
      </c>
      <c r="C45" s="65"/>
      <c r="D45" s="145">
        <f>D42*D43*D44</f>
        <v>512757</v>
      </c>
      <c r="E45" s="145">
        <f>E42*E43*E44</f>
        <v>564671</v>
      </c>
      <c r="F45" s="145">
        <f>F42*F43*F44</f>
        <v>516263</v>
      </c>
      <c r="G45" s="145">
        <f>G42*G43*G44</f>
        <v>537534</v>
      </c>
      <c r="H45" s="145">
        <f>H42*H43*H44</f>
        <v>124094.64612571802</v>
      </c>
      <c r="K45" s="1">
        <f>SUM(K42:K44)</f>
        <v>153672.95000000001</v>
      </c>
    </row>
    <row r="46" spans="1:16" x14ac:dyDescent="0.25">
      <c r="B46" s="23"/>
      <c r="C46" s="33"/>
      <c r="D46" s="181"/>
      <c r="E46" s="181"/>
      <c r="F46" s="181"/>
      <c r="G46" s="181"/>
      <c r="H46" s="180"/>
    </row>
    <row r="47" spans="1:16" ht="18.75" x14ac:dyDescent="0.3">
      <c r="A47" s="45" t="s">
        <v>131</v>
      </c>
      <c r="C47" s="33"/>
      <c r="D47" s="2">
        <f>D41</f>
        <v>2015</v>
      </c>
      <c r="E47" s="2">
        <f>E41</f>
        <v>2016</v>
      </c>
      <c r="F47" s="2">
        <f>F41</f>
        <v>2017</v>
      </c>
      <c r="G47" s="2">
        <f>G41</f>
        <v>2018</v>
      </c>
      <c r="H47" s="2">
        <f>H41</f>
        <v>2019</v>
      </c>
    </row>
    <row r="48" spans="1:16" x14ac:dyDescent="0.25">
      <c r="B48" s="67" t="s">
        <v>22</v>
      </c>
      <c r="C48" s="62"/>
      <c r="D48" s="11">
        <f>IF( $F4 = "Eligible", D45 * 'Facility Detail'!$B$1156, 0 )</f>
        <v>0</v>
      </c>
      <c r="E48" s="121">
        <f>IF( $F4 = "Eligible", E45 * 'Facility Detail'!$B$1156, 0 )</f>
        <v>0</v>
      </c>
      <c r="F48" s="121">
        <f>IF( $F4 = "Eligible", F45 * 'Facility Detail'!$B$1156, 0 )</f>
        <v>0</v>
      </c>
      <c r="G48" s="121">
        <f>IF( $F4 = "Eligible", G45 * 'Facility Detail'!$B$1156, 0 )</f>
        <v>0</v>
      </c>
      <c r="H48" s="12">
        <f>IF( $F4 = "Eligible", H45 * 'Facility Detail'!$B$1156, 0 )</f>
        <v>0</v>
      </c>
    </row>
    <row r="49" spans="1:8" x14ac:dyDescent="0.25">
      <c r="B49" s="67" t="s">
        <v>6</v>
      </c>
      <c r="C49" s="62"/>
      <c r="D49" s="53">
        <f>IF( $G4 = "Eligible", D45, 0 )</f>
        <v>0</v>
      </c>
      <c r="E49" s="122">
        <f>IF( $G4 = "Eligible", E45, 0 )</f>
        <v>0</v>
      </c>
      <c r="F49" s="122">
        <f>IF( $G4 = "Eligible", F45, 0 )</f>
        <v>0</v>
      </c>
      <c r="G49" s="122">
        <f>IF( $G4 = "Eligible", G45, 0 )</f>
        <v>0</v>
      </c>
      <c r="H49" s="54">
        <f>IF( $G4 = "Eligible", H45, 0 )</f>
        <v>0</v>
      </c>
    </row>
    <row r="50" spans="1:8" x14ac:dyDescent="0.25">
      <c r="B50" s="66" t="s">
        <v>133</v>
      </c>
      <c r="C50" s="65"/>
      <c r="D50" s="41">
        <f>SUM(D48:D49)</f>
        <v>0</v>
      </c>
      <c r="E50" s="41">
        <f>SUM(E48:E49)</f>
        <v>0</v>
      </c>
      <c r="F50" s="41">
        <f>SUM(F48:F49)</f>
        <v>0</v>
      </c>
      <c r="G50" s="41">
        <f>SUM(G48:G49)</f>
        <v>0</v>
      </c>
      <c r="H50" s="41">
        <f>SUM(H48:H49)</f>
        <v>0</v>
      </c>
    </row>
    <row r="51" spans="1:8" x14ac:dyDescent="0.25">
      <c r="B51" s="33"/>
      <c r="C51" s="33"/>
      <c r="D51" s="183"/>
      <c r="E51" s="183"/>
      <c r="F51" s="183"/>
      <c r="G51" s="183"/>
      <c r="H51" s="34"/>
    </row>
    <row r="52" spans="1:8" ht="18.75" x14ac:dyDescent="0.3">
      <c r="A52" s="42" t="s">
        <v>42</v>
      </c>
      <c r="C52" s="33"/>
      <c r="D52" s="2">
        <f>D41</f>
        <v>2015</v>
      </c>
      <c r="E52" s="2">
        <f>E41</f>
        <v>2016</v>
      </c>
      <c r="F52" s="2">
        <f>F41</f>
        <v>2017</v>
      </c>
      <c r="G52" s="2">
        <f>G41</f>
        <v>2018</v>
      </c>
      <c r="H52" s="2">
        <f>H41</f>
        <v>2019</v>
      </c>
    </row>
    <row r="53" spans="1:8" x14ac:dyDescent="0.25">
      <c r="B53" s="67" t="s">
        <v>59</v>
      </c>
      <c r="C53" s="33"/>
      <c r="D53" s="4">
        <v>43254</v>
      </c>
      <c r="E53" s="4">
        <v>258677</v>
      </c>
      <c r="F53" s="4">
        <v>44385</v>
      </c>
      <c r="G53" s="4">
        <v>68932</v>
      </c>
      <c r="H53" s="5">
        <v>0</v>
      </c>
    </row>
    <row r="54" spans="1:8" x14ac:dyDescent="0.25">
      <c r="B54" s="68" t="s">
        <v>35</v>
      </c>
      <c r="C54" s="77"/>
      <c r="D54" s="151"/>
      <c r="E54" s="151"/>
      <c r="F54" s="151"/>
      <c r="G54" s="151"/>
      <c r="H54" s="152"/>
    </row>
    <row r="55" spans="1:8" x14ac:dyDescent="0.25">
      <c r="B55" s="78" t="s">
        <v>101</v>
      </c>
      <c r="C55" s="77"/>
      <c r="D55" s="153"/>
      <c r="E55" s="153"/>
      <c r="F55" s="153"/>
      <c r="G55" s="153"/>
      <c r="H55" s="154"/>
    </row>
    <row r="56" spans="1:8" x14ac:dyDescent="0.25">
      <c r="B56" s="36" t="s">
        <v>102</v>
      </c>
      <c r="D56" s="7">
        <f>SUM(D53:D55)</f>
        <v>43254</v>
      </c>
      <c r="E56" s="7">
        <f>SUM(E53:E55)</f>
        <v>258677</v>
      </c>
      <c r="F56" s="7">
        <f>SUM(F53:F55)</f>
        <v>44385</v>
      </c>
      <c r="G56" s="7">
        <f>SUM(G53:G55)</f>
        <v>68932</v>
      </c>
      <c r="H56" s="7">
        <f>SUM(H53:H55)</f>
        <v>0</v>
      </c>
    </row>
    <row r="57" spans="1:8" x14ac:dyDescent="0.25">
      <c r="B57" s="6"/>
      <c r="D57" s="181"/>
      <c r="E57" s="181"/>
      <c r="F57" s="181"/>
      <c r="G57" s="181"/>
      <c r="H57" s="7"/>
    </row>
    <row r="58" spans="1:8" ht="18.75" x14ac:dyDescent="0.3">
      <c r="A58" s="9" t="s">
        <v>112</v>
      </c>
      <c r="D58" s="2">
        <f>D41</f>
        <v>2015</v>
      </c>
      <c r="E58" s="2">
        <f>D58+1</f>
        <v>2016</v>
      </c>
      <c r="F58" s="2">
        <f>E58+1</f>
        <v>2017</v>
      </c>
      <c r="G58" s="2">
        <f>F58+1</f>
        <v>2018</v>
      </c>
      <c r="H58" s="2">
        <f>G58+1</f>
        <v>2019</v>
      </c>
    </row>
    <row r="59" spans="1:8" x14ac:dyDescent="0.25">
      <c r="B59" s="67" t="str">
        <f>( 'Facility Detail'!$B$1159) &amp; " Surplus Applied to " &amp; ( 'Facility Detail'!$B$1159 + 1 )</f>
        <v>2015 Surplus Applied to 2016</v>
      </c>
      <c r="C59" s="33"/>
      <c r="D59" s="3">
        <f>D45+D50-D56</f>
        <v>469503</v>
      </c>
      <c r="E59" s="55">
        <f>D59</f>
        <v>469503</v>
      </c>
      <c r="F59" s="129"/>
      <c r="G59" s="129"/>
      <c r="H59" s="130"/>
    </row>
    <row r="60" spans="1:8" x14ac:dyDescent="0.25">
      <c r="B60" s="67" t="str">
        <f xml:space="preserve"> ( 'Facility Detail'!$B$1159 + 1 ) &amp; " Surplus Applied to " &amp; ( 'Facility Detail'!$B$1159 )</f>
        <v>2016 Surplus Applied to 2015</v>
      </c>
      <c r="C60" s="33"/>
      <c r="D60" s="148">
        <f>E60</f>
        <v>0</v>
      </c>
      <c r="E60" s="10">
        <v>0</v>
      </c>
      <c r="F60" s="125"/>
      <c r="G60" s="125"/>
      <c r="H60" s="131"/>
    </row>
    <row r="61" spans="1:8" x14ac:dyDescent="0.25">
      <c r="B61" s="133" t="str">
        <f xml:space="preserve"> ( 'Facility Detail'!$B$1159 + 1 ) &amp; " Surplus Applied to " &amp; ( 'Facility Detail'!$B$1159 + 2 )</f>
        <v>2016 Surplus Applied to 2017</v>
      </c>
      <c r="C61" s="33"/>
      <c r="D61" s="126"/>
      <c r="E61" s="10">
        <f>E45+E50-E56</f>
        <v>305994</v>
      </c>
      <c r="F61" s="61">
        <f>E61</f>
        <v>305994</v>
      </c>
      <c r="G61" s="125"/>
      <c r="H61" s="131"/>
    </row>
    <row r="62" spans="1:8" x14ac:dyDescent="0.25">
      <c r="B62" s="133" t="str">
        <f xml:space="preserve"> ( 'Facility Detail'!$B$1159 + 2 ) &amp; " Surplus Applied to " &amp; ( 'Facility Detail'!$B$1159 + 1 )</f>
        <v>2017 Surplus Applied to 2016</v>
      </c>
      <c r="C62" s="33"/>
      <c r="D62" s="126"/>
      <c r="E62" s="61">
        <f>F62</f>
        <v>0</v>
      </c>
      <c r="F62" s="10">
        <v>0</v>
      </c>
      <c r="G62" s="125"/>
      <c r="H62" s="131"/>
    </row>
    <row r="63" spans="1:8" x14ac:dyDescent="0.25">
      <c r="B63" s="179" t="str">
        <f xml:space="preserve"> ( 'Facility Detail'!$B$1159 + 2 ) &amp; " Surplus Applied to " &amp; ( 'Facility Detail'!$B$1159 + 3 )</f>
        <v>2017 Surplus Applied to 2018</v>
      </c>
      <c r="C63" s="33"/>
      <c r="D63" s="126"/>
      <c r="E63" s="125"/>
      <c r="F63" s="10">
        <f>F45+F50-F56</f>
        <v>471878</v>
      </c>
      <c r="G63" s="61">
        <f>F63</f>
        <v>471878</v>
      </c>
      <c r="H63" s="131"/>
    </row>
    <row r="64" spans="1:8" x14ac:dyDescent="0.25">
      <c r="B64" s="179" t="str">
        <f xml:space="preserve"> ( 'Facility Detail'!$B$1159 + 3 ) &amp; " Surplus Applied to " &amp; ( 'Facility Detail'!$B$1159 + 2 )</f>
        <v>2018 Surplus Applied to 2017</v>
      </c>
      <c r="C64" s="33"/>
      <c r="D64" s="126"/>
      <c r="E64" s="125"/>
      <c r="F64" s="61">
        <f>G64</f>
        <v>0</v>
      </c>
      <c r="G64" s="10">
        <v>0</v>
      </c>
      <c r="H64" s="131"/>
    </row>
    <row r="65" spans="1:16" x14ac:dyDescent="0.25">
      <c r="B65" s="179" t="str">
        <f xml:space="preserve"> ( 'Facility Detail'!$B$1159 + 3 ) &amp; " Surplus Applied to " &amp; ( 'Facility Detail'!$B$1159 + 4 )</f>
        <v>2018 Surplus Applied to 2019</v>
      </c>
      <c r="C65" s="33"/>
      <c r="D65" s="126"/>
      <c r="E65" s="125"/>
      <c r="F65" s="125"/>
      <c r="G65" s="10">
        <f>G45+G50-G56</f>
        <v>468602</v>
      </c>
      <c r="H65" s="56">
        <f>G65</f>
        <v>468602</v>
      </c>
    </row>
    <row r="66" spans="1:16" x14ac:dyDescent="0.25">
      <c r="B66" s="179" t="str">
        <f xml:space="preserve"> ( 'Facility Detail'!$B$1159 + 4 ) &amp; " Surplus Applied to " &amp; ( 'Facility Detail'!$B$1159 + 3 )</f>
        <v>2019 Surplus Applied to 2018</v>
      </c>
      <c r="C66" s="33"/>
      <c r="D66" s="127"/>
      <c r="E66" s="128"/>
      <c r="F66" s="128"/>
      <c r="G66" s="57">
        <f>H66</f>
        <v>0</v>
      </c>
      <c r="H66" s="48">
        <v>0</v>
      </c>
    </row>
    <row r="67" spans="1:16" x14ac:dyDescent="0.25">
      <c r="B67" s="134" t="s">
        <v>29</v>
      </c>
      <c r="D67" s="7">
        <f>D60-D59</f>
        <v>-469503</v>
      </c>
      <c r="E67" s="7">
        <f>E59+E62-E60-E61</f>
        <v>163509</v>
      </c>
      <c r="F67" s="7">
        <f>F61+F64-F62-F63</f>
        <v>-165884</v>
      </c>
      <c r="G67" s="7">
        <f>G63+G66-G64-G65</f>
        <v>3276</v>
      </c>
      <c r="H67" s="7">
        <f>H65 - H66</f>
        <v>468602</v>
      </c>
    </row>
    <row r="68" spans="1:16" x14ac:dyDescent="0.25">
      <c r="B68" s="135"/>
      <c r="D68" s="7"/>
      <c r="E68" s="7"/>
      <c r="F68" s="7"/>
      <c r="G68" s="7"/>
      <c r="H68" s="7"/>
    </row>
    <row r="69" spans="1:16" x14ac:dyDescent="0.25">
      <c r="B69" s="64" t="s">
        <v>24</v>
      </c>
      <c r="C69" s="62"/>
      <c r="D69" s="85"/>
      <c r="E69" s="123"/>
      <c r="F69" s="123"/>
      <c r="G69" s="123"/>
      <c r="H69" s="86"/>
    </row>
    <row r="70" spans="1:16" x14ac:dyDescent="0.25">
      <c r="B70" s="135"/>
      <c r="D70" s="7"/>
      <c r="E70" s="7"/>
      <c r="F70" s="7"/>
      <c r="G70" s="7"/>
      <c r="H70" s="7"/>
    </row>
    <row r="71" spans="1:16" ht="18.75" x14ac:dyDescent="0.3">
      <c r="A71" s="42" t="s">
        <v>38</v>
      </c>
      <c r="B71" s="136"/>
      <c r="C71" s="62"/>
      <c r="D71" s="124">
        <f>D45+D50-D56+D67+D69</f>
        <v>0</v>
      </c>
      <c r="E71" s="124">
        <f>E45+E50-E56+E67+E69</f>
        <v>469503</v>
      </c>
      <c r="F71" s="124">
        <f>F45+F50-F56+F67+F69</f>
        <v>305994</v>
      </c>
      <c r="G71" s="124">
        <f>G45+G50-G56+G67+G69</f>
        <v>471878</v>
      </c>
      <c r="H71" s="206">
        <f>H45+H50-H56+H67+H69</f>
        <v>592696.64612571802</v>
      </c>
    </row>
    <row r="72" spans="1:16" s="136" customFormat="1" x14ac:dyDescent="0.25">
      <c r="B72" s="135"/>
      <c r="C72" s="143" t="s">
        <v>185</v>
      </c>
      <c r="D72" s="144"/>
      <c r="E72" s="144">
        <v>469503</v>
      </c>
      <c r="F72" s="32">
        <v>238895</v>
      </c>
      <c r="G72" s="32"/>
      <c r="H72" s="32"/>
    </row>
    <row r="73" spans="1:16" x14ac:dyDescent="0.25">
      <c r="B73" s="136"/>
      <c r="D73" s="1"/>
    </row>
    <row r="74" spans="1:16" x14ac:dyDescent="0.25">
      <c r="B74" s="23"/>
      <c r="C74" s="33"/>
      <c r="D74" s="33"/>
      <c r="E74" s="33"/>
      <c r="F74" s="33"/>
      <c r="G74" s="33"/>
      <c r="H74" s="33"/>
    </row>
    <row r="75" spans="1:16" ht="21" x14ac:dyDescent="0.35">
      <c r="A75" s="13" t="s">
        <v>4</v>
      </c>
      <c r="B75" s="137"/>
      <c r="C75" s="43" t="str">
        <f>B5</f>
        <v>Hopkins Ridge</v>
      </c>
      <c r="D75" s="23"/>
      <c r="E75" s="23"/>
    </row>
    <row r="76" spans="1:16" x14ac:dyDescent="0.25">
      <c r="B76" s="136"/>
      <c r="D76" s="1"/>
    </row>
    <row r="77" spans="1:16" ht="18.75" x14ac:dyDescent="0.3">
      <c r="A77" s="9" t="s">
        <v>33</v>
      </c>
      <c r="B77" s="138"/>
      <c r="D77" s="2">
        <f>D41</f>
        <v>2015</v>
      </c>
      <c r="E77" s="2">
        <f>D77+1</f>
        <v>2016</v>
      </c>
      <c r="F77" s="132">
        <f>E77+1</f>
        <v>2017</v>
      </c>
      <c r="G77" s="132">
        <f>F77+1</f>
        <v>2018</v>
      </c>
      <c r="H77" s="132">
        <f>G77+1</f>
        <v>2019</v>
      </c>
    </row>
    <row r="78" spans="1:16" x14ac:dyDescent="0.25">
      <c r="B78" s="133" t="str">
        <f>"Total MWh Produced / Purchased from " &amp; C75</f>
        <v>Total MWh Produced / Purchased from Hopkins Ridge</v>
      </c>
      <c r="C78" s="62"/>
      <c r="D78" s="4">
        <v>348166</v>
      </c>
      <c r="E78" s="4">
        <v>398058</v>
      </c>
      <c r="F78" s="4">
        <v>329544</v>
      </c>
      <c r="G78" s="4">
        <v>392020</v>
      </c>
      <c r="H78" s="5">
        <f>K81-K191</f>
        <v>85804.750352005634</v>
      </c>
      <c r="J78" s="204">
        <v>43466</v>
      </c>
      <c r="K78" s="1">
        <v>23313.55</v>
      </c>
      <c r="M78" s="205">
        <f>D78</f>
        <v>348166</v>
      </c>
      <c r="N78" s="205">
        <f>E78</f>
        <v>398058</v>
      </c>
      <c r="O78" s="205">
        <f>F78</f>
        <v>329544</v>
      </c>
      <c r="P78" s="205">
        <f>G78</f>
        <v>392020</v>
      </c>
    </row>
    <row r="79" spans="1:16" x14ac:dyDescent="0.25">
      <c r="B79" s="133" t="s">
        <v>37</v>
      </c>
      <c r="C79" s="62"/>
      <c r="D79" s="146">
        <v>1</v>
      </c>
      <c r="E79" s="146">
        <v>1</v>
      </c>
      <c r="F79" s="146">
        <v>1</v>
      </c>
      <c r="G79" s="146">
        <v>1</v>
      </c>
      <c r="H79" s="147">
        <v>1</v>
      </c>
      <c r="J79" s="204">
        <v>43497</v>
      </c>
      <c r="K79" s="1">
        <v>21968.21</v>
      </c>
    </row>
    <row r="80" spans="1:16" x14ac:dyDescent="0.25">
      <c r="B80" s="133" t="s">
        <v>32</v>
      </c>
      <c r="C80" s="62"/>
      <c r="D80" s="49">
        <v>1</v>
      </c>
      <c r="E80" s="49">
        <v>1</v>
      </c>
      <c r="F80" s="49">
        <v>1</v>
      </c>
      <c r="G80" s="49">
        <v>1</v>
      </c>
      <c r="H80" s="50">
        <v>1</v>
      </c>
      <c r="J80" s="204">
        <v>43525</v>
      </c>
      <c r="K80" s="1">
        <v>44856.32</v>
      </c>
    </row>
    <row r="81" spans="1:11" x14ac:dyDescent="0.25">
      <c r="B81" s="64" t="s">
        <v>34</v>
      </c>
      <c r="C81" s="65"/>
      <c r="D81" s="145">
        <f>D78*D79*D80</f>
        <v>348166</v>
      </c>
      <c r="E81" s="145">
        <f>E78*E79*E80</f>
        <v>398058</v>
      </c>
      <c r="F81" s="145">
        <f>F78*F79*F80</f>
        <v>329544</v>
      </c>
      <c r="G81" s="145">
        <f>G78*G79*G80</f>
        <v>392020</v>
      </c>
      <c r="H81" s="145">
        <f>H78*H79*H80</f>
        <v>85804.750352005634</v>
      </c>
      <c r="K81" s="1">
        <f>SUM(K78:K80)</f>
        <v>90138.079999999987</v>
      </c>
    </row>
    <row r="82" spans="1:11" x14ac:dyDescent="0.25">
      <c r="B82" s="23"/>
      <c r="C82" s="33"/>
      <c r="D82" s="182"/>
      <c r="E82" s="182"/>
      <c r="F82" s="182"/>
      <c r="G82" s="181"/>
      <c r="H82" s="40"/>
    </row>
    <row r="83" spans="1:11" ht="18.75" x14ac:dyDescent="0.3">
      <c r="A83" s="45" t="s">
        <v>131</v>
      </c>
      <c r="B83" s="136"/>
      <c r="C83" s="33"/>
      <c r="D83" s="2">
        <f>D77</f>
        <v>2015</v>
      </c>
      <c r="E83" s="2">
        <f>D83+1</f>
        <v>2016</v>
      </c>
      <c r="F83" s="2">
        <f>E83+1</f>
        <v>2017</v>
      </c>
      <c r="G83" s="2">
        <f>F83+1</f>
        <v>2018</v>
      </c>
      <c r="H83" s="2">
        <f>G83+1</f>
        <v>2019</v>
      </c>
    </row>
    <row r="84" spans="1:11" x14ac:dyDescent="0.25">
      <c r="B84" s="133" t="s">
        <v>22</v>
      </c>
      <c r="C84" s="62"/>
      <c r="D84" s="11">
        <f>IF( $F5 = "Eligible",D81 * 'Facility Detail'!$B$1156, 0 )</f>
        <v>0</v>
      </c>
      <c r="E84" s="121">
        <f>IF( $F5 = "Eligible",E81 * 'Facility Detail'!$B$1156, 0 )</f>
        <v>0</v>
      </c>
      <c r="F84" s="121">
        <f>IF( $F5 = "Eligible",F81 * 'Facility Detail'!$B$1156, 0 )</f>
        <v>0</v>
      </c>
      <c r="G84" s="121">
        <f>IF( $F5 = "Eligible",G81 * 'Facility Detail'!$B$1156, 0 )</f>
        <v>0</v>
      </c>
      <c r="H84" s="12">
        <f>IF( $F5 = "Eligible",H81 * 'Facility Detail'!$B$1156, 0 )</f>
        <v>0</v>
      </c>
    </row>
    <row r="85" spans="1:11" x14ac:dyDescent="0.25">
      <c r="B85" s="133" t="s">
        <v>6</v>
      </c>
      <c r="C85" s="62"/>
      <c r="D85" s="53">
        <f>IF( $G5 = "Eligible", D81, 0 )</f>
        <v>0</v>
      </c>
      <c r="E85" s="122">
        <f>IF( $G5 = "Eligible", E81, 0 )</f>
        <v>0</v>
      </c>
      <c r="F85" s="122">
        <f>IF( $G5 = "Eligible", F81, 0 )</f>
        <v>0</v>
      </c>
      <c r="G85" s="122">
        <f>IF( $G5 = "Eligible", G81, 0 )</f>
        <v>0</v>
      </c>
      <c r="H85" s="54">
        <f>IF( $G5 = "Eligible", H81, 0 )</f>
        <v>0</v>
      </c>
    </row>
    <row r="86" spans="1:11" x14ac:dyDescent="0.25">
      <c r="B86" s="64" t="s">
        <v>133</v>
      </c>
      <c r="C86" s="65"/>
      <c r="D86" s="41">
        <f>SUM(D84:D85)</f>
        <v>0</v>
      </c>
      <c r="E86" s="41">
        <f>SUM(E84:E85)</f>
        <v>0</v>
      </c>
      <c r="F86" s="41">
        <f>SUM(F84:F85)</f>
        <v>0</v>
      </c>
      <c r="G86" s="41">
        <f>SUM(G84:G85)</f>
        <v>0</v>
      </c>
      <c r="H86" s="41">
        <f>SUM(H84:H85)</f>
        <v>0</v>
      </c>
    </row>
    <row r="87" spans="1:11" x14ac:dyDescent="0.25">
      <c r="B87" s="23"/>
      <c r="C87" s="33"/>
      <c r="D87" s="183"/>
      <c r="E87" s="183"/>
      <c r="F87" s="183"/>
      <c r="G87" s="183"/>
      <c r="H87" s="34"/>
    </row>
    <row r="88" spans="1:11" ht="18.75" x14ac:dyDescent="0.3">
      <c r="A88" s="42" t="s">
        <v>42</v>
      </c>
      <c r="B88" s="136"/>
      <c r="C88" s="33"/>
      <c r="D88" s="2">
        <f>D77</f>
        <v>2015</v>
      </c>
      <c r="E88" s="2">
        <f>D88+1</f>
        <v>2016</v>
      </c>
      <c r="F88" s="2">
        <f>E88+1</f>
        <v>2017</v>
      </c>
      <c r="G88" s="2">
        <f>F88+1</f>
        <v>2018</v>
      </c>
      <c r="H88" s="2">
        <f>G88+1</f>
        <v>2019</v>
      </c>
    </row>
    <row r="89" spans="1:11" x14ac:dyDescent="0.25">
      <c r="B89" s="133" t="s">
        <v>59</v>
      </c>
      <c r="C89" s="62"/>
      <c r="D89" s="4">
        <v>109781</v>
      </c>
      <c r="E89" s="4">
        <v>190560</v>
      </c>
      <c r="F89" s="4">
        <v>74400</v>
      </c>
      <c r="G89" s="4">
        <f>96162+75000</f>
        <v>171162</v>
      </c>
      <c r="H89" s="5">
        <v>0</v>
      </c>
    </row>
    <row r="90" spans="1:11" x14ac:dyDescent="0.25">
      <c r="B90" s="78" t="s">
        <v>35</v>
      </c>
      <c r="C90" s="69"/>
      <c r="D90" s="151"/>
      <c r="E90" s="151"/>
      <c r="F90" s="151"/>
      <c r="G90" s="151"/>
      <c r="H90" s="152"/>
    </row>
    <row r="91" spans="1:11" x14ac:dyDescent="0.25">
      <c r="B91" s="78" t="s">
        <v>101</v>
      </c>
      <c r="C91" s="77"/>
      <c r="D91" s="153"/>
      <c r="E91" s="153"/>
      <c r="F91" s="153"/>
      <c r="G91" s="153"/>
      <c r="H91" s="154"/>
    </row>
    <row r="92" spans="1:11" x14ac:dyDescent="0.25">
      <c r="B92" s="134" t="s">
        <v>102</v>
      </c>
      <c r="D92" s="7">
        <f>SUM(D89:D91)</f>
        <v>109781</v>
      </c>
      <c r="E92" s="7">
        <f>SUM(E89:E91)</f>
        <v>190560</v>
      </c>
      <c r="F92" s="7">
        <f>SUM(F89:F91)</f>
        <v>74400</v>
      </c>
      <c r="G92" s="7">
        <f>SUM(G89:G91)</f>
        <v>171162</v>
      </c>
      <c r="H92" s="7">
        <f>SUM(H89:H91)</f>
        <v>0</v>
      </c>
    </row>
    <row r="93" spans="1:11" x14ac:dyDescent="0.25">
      <c r="B93" s="135"/>
      <c r="D93" s="181"/>
      <c r="E93" s="181"/>
      <c r="F93" s="181"/>
      <c r="G93" s="181"/>
      <c r="H93" s="7"/>
    </row>
    <row r="94" spans="1:11" ht="18.75" x14ac:dyDescent="0.3">
      <c r="A94" s="9" t="s">
        <v>112</v>
      </c>
      <c r="B94" s="136"/>
      <c r="D94" s="2">
        <f>D77</f>
        <v>2015</v>
      </c>
      <c r="E94" s="2">
        <f>D94+1</f>
        <v>2016</v>
      </c>
      <c r="F94" s="2">
        <f>E94+1</f>
        <v>2017</v>
      </c>
      <c r="G94" s="2">
        <f>F94+1</f>
        <v>2018</v>
      </c>
      <c r="H94" s="2">
        <f>G94+1</f>
        <v>2019</v>
      </c>
    </row>
    <row r="95" spans="1:11" x14ac:dyDescent="0.25">
      <c r="B95" s="67" t="str">
        <f>( 'Facility Detail'!$B$1159) &amp; " Surplus Applied to " &amp; ( 'Facility Detail'!$B$1159 + 1 )</f>
        <v>2015 Surplus Applied to 2016</v>
      </c>
      <c r="C95" s="33"/>
      <c r="D95" s="3">
        <f>D81+D86-D92</f>
        <v>238385</v>
      </c>
      <c r="E95" s="55">
        <f>D95</f>
        <v>238385</v>
      </c>
      <c r="F95" s="129"/>
      <c r="G95" s="129"/>
      <c r="H95" s="130"/>
    </row>
    <row r="96" spans="1:11" x14ac:dyDescent="0.25">
      <c r="B96" s="67" t="str">
        <f xml:space="preserve"> ( 'Facility Detail'!$B$1159 + 1 ) &amp; " Surplus Applied to " &amp; ( 'Facility Detail'!$B$1159 )</f>
        <v>2016 Surplus Applied to 2015</v>
      </c>
      <c r="C96" s="33"/>
      <c r="D96" s="148">
        <f>E96</f>
        <v>0</v>
      </c>
      <c r="E96" s="10">
        <v>0</v>
      </c>
      <c r="F96" s="125"/>
      <c r="G96" s="125"/>
      <c r="H96" s="131"/>
    </row>
    <row r="97" spans="1:8" x14ac:dyDescent="0.25">
      <c r="B97" s="133" t="str">
        <f xml:space="preserve"> ( 'Facility Detail'!$B$1159 + 1 ) &amp; " Surplus Applied to " &amp; ( 'Facility Detail'!$B$1159 + 2 )</f>
        <v>2016 Surplus Applied to 2017</v>
      </c>
      <c r="C97" s="33"/>
      <c r="D97" s="126"/>
      <c r="E97" s="10">
        <f>E81+E86-E92</f>
        <v>207498</v>
      </c>
      <c r="F97" s="61">
        <f>E97</f>
        <v>207498</v>
      </c>
      <c r="G97" s="125"/>
      <c r="H97" s="131"/>
    </row>
    <row r="98" spans="1:8" x14ac:dyDescent="0.25">
      <c r="B98" s="133" t="str">
        <f xml:space="preserve"> ( 'Facility Detail'!$B$1159 + 2 ) &amp; " Surplus Applied to " &amp; ( 'Facility Detail'!$B$1159 + 1 )</f>
        <v>2017 Surplus Applied to 2016</v>
      </c>
      <c r="C98" s="33"/>
      <c r="D98" s="126"/>
      <c r="E98" s="61">
        <f>F98</f>
        <v>0</v>
      </c>
      <c r="F98" s="10">
        <v>0</v>
      </c>
      <c r="G98" s="125"/>
      <c r="H98" s="131"/>
    </row>
    <row r="99" spans="1:8" x14ac:dyDescent="0.25">
      <c r="B99" s="179" t="str">
        <f xml:space="preserve"> ( 'Facility Detail'!$B$1159 + 2 ) &amp; " Surplus Applied to " &amp; ( 'Facility Detail'!$B$1159 + 3 )</f>
        <v>2017 Surplus Applied to 2018</v>
      </c>
      <c r="C99" s="33"/>
      <c r="D99" s="126"/>
      <c r="E99" s="125"/>
      <c r="F99" s="10">
        <f>F81+F86-F92</f>
        <v>255144</v>
      </c>
      <c r="G99" s="61">
        <f>F99</f>
        <v>255144</v>
      </c>
      <c r="H99" s="131"/>
    </row>
    <row r="100" spans="1:8" x14ac:dyDescent="0.25">
      <c r="B100" s="179" t="str">
        <f xml:space="preserve"> ( 'Facility Detail'!$B$1159 + 3 ) &amp; " Surplus Applied to " &amp; ( 'Facility Detail'!$B$1159 + 2 )</f>
        <v>2018 Surplus Applied to 2017</v>
      </c>
      <c r="C100" s="33"/>
      <c r="D100" s="126"/>
      <c r="E100" s="125"/>
      <c r="F100" s="61">
        <f>G100</f>
        <v>0</v>
      </c>
      <c r="G100" s="10">
        <v>0</v>
      </c>
      <c r="H100" s="131"/>
    </row>
    <row r="101" spans="1:8" x14ac:dyDescent="0.25">
      <c r="B101" s="179" t="str">
        <f xml:space="preserve"> ( 'Facility Detail'!$B$1159 + 3 ) &amp; " Surplus Applied to " &amp; ( 'Facility Detail'!$B$1159 + 4 )</f>
        <v>2018 Surplus Applied to 2019</v>
      </c>
      <c r="C101" s="33"/>
      <c r="D101" s="126"/>
      <c r="E101" s="125"/>
      <c r="F101" s="125"/>
      <c r="G101" s="10">
        <f>G81+G86-G92</f>
        <v>220858</v>
      </c>
      <c r="H101" s="56">
        <f>G101</f>
        <v>220858</v>
      </c>
    </row>
    <row r="102" spans="1:8" x14ac:dyDescent="0.25">
      <c r="B102" s="179" t="str">
        <f xml:space="preserve"> ( 'Facility Detail'!$B$1159 + 4 ) &amp; " Surplus Applied to " &amp; ( 'Facility Detail'!$B$1159 + 3 )</f>
        <v>2019 Surplus Applied to 2018</v>
      </c>
      <c r="C102" s="33"/>
      <c r="D102" s="127"/>
      <c r="E102" s="128"/>
      <c r="F102" s="128"/>
      <c r="G102" s="57">
        <f>H102</f>
        <v>0</v>
      </c>
      <c r="H102" s="48">
        <v>0</v>
      </c>
    </row>
    <row r="103" spans="1:8" x14ac:dyDescent="0.25">
      <c r="B103" s="134" t="s">
        <v>29</v>
      </c>
      <c r="D103" s="7">
        <f>D96-D95</f>
        <v>-238385</v>
      </c>
      <c r="E103" s="7">
        <f>E95+E98-E96-E97</f>
        <v>30887</v>
      </c>
      <c r="F103" s="7">
        <f>F97+F100-F98-F99</f>
        <v>-47646</v>
      </c>
      <c r="G103" s="7">
        <f>G99+G102-G100-G101</f>
        <v>34286</v>
      </c>
      <c r="H103" s="7">
        <f>H101 - H102</f>
        <v>220858</v>
      </c>
    </row>
    <row r="104" spans="1:8" x14ac:dyDescent="0.25">
      <c r="B104" s="135"/>
      <c r="D104" s="7"/>
      <c r="E104" s="7"/>
      <c r="F104" s="7"/>
      <c r="G104" s="7"/>
      <c r="H104" s="7"/>
    </row>
    <row r="105" spans="1:8" x14ac:dyDescent="0.25">
      <c r="B105" s="64" t="s">
        <v>24</v>
      </c>
      <c r="C105" s="62"/>
      <c r="D105" s="85"/>
      <c r="E105" s="123"/>
      <c r="F105" s="123"/>
      <c r="G105" s="123"/>
      <c r="H105" s="86"/>
    </row>
    <row r="106" spans="1:8" x14ac:dyDescent="0.25">
      <c r="B106" s="135"/>
      <c r="D106" s="7"/>
      <c r="E106" s="7"/>
      <c r="F106" s="7"/>
      <c r="G106" s="7"/>
      <c r="H106" s="7"/>
    </row>
    <row r="107" spans="1:8" ht="18.75" x14ac:dyDescent="0.3">
      <c r="A107" s="42" t="s">
        <v>38</v>
      </c>
      <c r="B107" s="136"/>
      <c r="C107" s="62"/>
      <c r="D107" s="124">
        <f>D81+D86-D92+D103+D105</f>
        <v>0</v>
      </c>
      <c r="E107" s="124">
        <f>E81+E86-E92+E103+E105</f>
        <v>238385</v>
      </c>
      <c r="F107" s="124">
        <f>F81+F86-F92+F103+F105</f>
        <v>207498</v>
      </c>
      <c r="G107" s="124">
        <f>G81+G86-G92+G103+G105</f>
        <v>255144</v>
      </c>
      <c r="H107" s="206">
        <f>H81+H86-H92+H103+H105</f>
        <v>306662.75035200565</v>
      </c>
    </row>
    <row r="108" spans="1:8" x14ac:dyDescent="0.25">
      <c r="B108" s="135"/>
      <c r="C108" s="143" t="s">
        <v>184</v>
      </c>
      <c r="D108" s="7"/>
      <c r="E108" s="7">
        <v>238385</v>
      </c>
      <c r="F108" s="32">
        <v>207498</v>
      </c>
      <c r="G108" s="32"/>
      <c r="H108" s="32"/>
    </row>
    <row r="109" spans="1:8" s="33" customFormat="1" x14ac:dyDescent="0.25">
      <c r="B109" s="23"/>
    </row>
    <row r="110" spans="1:8" x14ac:dyDescent="0.25">
      <c r="A110" s="33"/>
      <c r="B110" s="23"/>
      <c r="C110" s="33"/>
      <c r="D110" s="33"/>
      <c r="E110" s="33"/>
      <c r="F110" s="33"/>
      <c r="G110" s="33"/>
      <c r="H110" s="33"/>
    </row>
    <row r="111" spans="1:8" x14ac:dyDescent="0.25">
      <c r="B111" s="23"/>
      <c r="C111" s="33"/>
      <c r="D111" s="33"/>
      <c r="E111" s="33"/>
      <c r="F111" s="33"/>
      <c r="G111" s="33"/>
      <c r="H111" s="33"/>
    </row>
    <row r="112" spans="1:8" ht="21" x14ac:dyDescent="0.35">
      <c r="A112" s="13" t="s">
        <v>4</v>
      </c>
      <c r="B112" s="137"/>
      <c r="C112" s="43" t="str">
        <f>B6</f>
        <v>Klondike III</v>
      </c>
      <c r="D112" s="23"/>
      <c r="E112" s="23"/>
    </row>
    <row r="113" spans="1:11" x14ac:dyDescent="0.25">
      <c r="B113" s="136"/>
      <c r="D113" s="1"/>
    </row>
    <row r="114" spans="1:11" ht="18.75" x14ac:dyDescent="0.3">
      <c r="A114" s="9" t="s">
        <v>33</v>
      </c>
      <c r="B114" s="138"/>
      <c r="D114" s="2">
        <f>D41</f>
        <v>2015</v>
      </c>
      <c r="E114" s="2">
        <f>D114+1</f>
        <v>2016</v>
      </c>
      <c r="F114" s="132">
        <f>E114+1</f>
        <v>2017</v>
      </c>
      <c r="G114" s="132">
        <f>F114+1</f>
        <v>2018</v>
      </c>
      <c r="H114" s="132">
        <f>G114+1</f>
        <v>2019</v>
      </c>
    </row>
    <row r="115" spans="1:11" x14ac:dyDescent="0.25">
      <c r="B115" s="133" t="str">
        <f>"Total MWh Produced / Purchased from " &amp; C112</f>
        <v>Total MWh Produced / Purchased from Klondike III</v>
      </c>
      <c r="C115" s="62"/>
      <c r="D115" s="4">
        <v>121605</v>
      </c>
      <c r="E115" s="4">
        <v>127238</v>
      </c>
      <c r="F115" s="4">
        <v>110618</v>
      </c>
      <c r="G115" s="4">
        <v>119438</v>
      </c>
      <c r="H115" s="5">
        <f>K118</f>
        <v>22838.363636363636</v>
      </c>
      <c r="J115" s="204">
        <v>43466</v>
      </c>
      <c r="K115" s="1">
        <v>5920.818181818182</v>
      </c>
    </row>
    <row r="116" spans="1:11" x14ac:dyDescent="0.25">
      <c r="B116" s="133" t="s">
        <v>37</v>
      </c>
      <c r="C116" s="62"/>
      <c r="D116" s="146">
        <v>1</v>
      </c>
      <c r="E116" s="146">
        <v>1</v>
      </c>
      <c r="F116" s="146">
        <v>1</v>
      </c>
      <c r="G116" s="146">
        <v>1</v>
      </c>
      <c r="H116" s="147">
        <v>1</v>
      </c>
      <c r="J116" s="204">
        <v>43497</v>
      </c>
      <c r="K116" s="1">
        <v>7356.181818181818</v>
      </c>
    </row>
    <row r="117" spans="1:11" x14ac:dyDescent="0.25">
      <c r="B117" s="133" t="s">
        <v>32</v>
      </c>
      <c r="C117" s="62"/>
      <c r="D117" s="49">
        <v>1</v>
      </c>
      <c r="E117" s="49">
        <v>1</v>
      </c>
      <c r="F117" s="49">
        <v>1</v>
      </c>
      <c r="G117" s="49">
        <v>1</v>
      </c>
      <c r="H117" s="50">
        <v>1</v>
      </c>
      <c r="J117" s="204">
        <v>43525</v>
      </c>
      <c r="K117" s="1">
        <v>9561.363636363636</v>
      </c>
    </row>
    <row r="118" spans="1:11" x14ac:dyDescent="0.25">
      <c r="B118" s="64" t="s">
        <v>34</v>
      </c>
      <c r="C118" s="65"/>
      <c r="D118" s="145">
        <f xml:space="preserve"> D115 * D116 * D117</f>
        <v>121605</v>
      </c>
      <c r="E118" s="145">
        <f xml:space="preserve"> E115 * E116 * E117</f>
        <v>127238</v>
      </c>
      <c r="F118" s="145">
        <f xml:space="preserve"> F115 * F116 * F117</f>
        <v>110618</v>
      </c>
      <c r="G118" s="145">
        <f xml:space="preserve"> G115 * G116 * G117</f>
        <v>119438</v>
      </c>
      <c r="H118" s="145">
        <f xml:space="preserve"> H115 * H116 * H117</f>
        <v>22838.363636363636</v>
      </c>
      <c r="K118" s="1">
        <f>SUM(K115:K117)</f>
        <v>22838.363636363636</v>
      </c>
    </row>
    <row r="119" spans="1:11" x14ac:dyDescent="0.25">
      <c r="B119" s="23"/>
      <c r="C119" s="33"/>
      <c r="D119" s="182"/>
      <c r="E119" s="182"/>
      <c r="F119" s="182"/>
      <c r="G119" s="181"/>
      <c r="H119" s="40"/>
    </row>
    <row r="120" spans="1:11" ht="18.75" x14ac:dyDescent="0.3">
      <c r="A120" s="45" t="s">
        <v>131</v>
      </c>
      <c r="B120" s="136"/>
      <c r="C120" s="33"/>
      <c r="D120" s="2">
        <f>D114</f>
        <v>2015</v>
      </c>
      <c r="E120" s="2">
        <f>D120+1</f>
        <v>2016</v>
      </c>
      <c r="F120" s="2">
        <f>E120+1</f>
        <v>2017</v>
      </c>
      <c r="G120" s="2">
        <f>F120+1</f>
        <v>2018</v>
      </c>
      <c r="H120" s="2">
        <f>G120+1</f>
        <v>2019</v>
      </c>
    </row>
    <row r="121" spans="1:11" x14ac:dyDescent="0.25">
      <c r="B121" s="133" t="s">
        <v>22</v>
      </c>
      <c r="C121" s="62"/>
      <c r="D121" s="11">
        <f>IF( $F6 = "Eligible", D118 * 'Facility Detail'!$B$1156, 0 )</f>
        <v>0</v>
      </c>
      <c r="E121" s="121">
        <f>IF( $F6 = "Eligible", E118 * 'Facility Detail'!$B$1156, 0 )</f>
        <v>0</v>
      </c>
      <c r="F121" s="121">
        <f>IF( $F6 = "Eligible", F118 * 'Facility Detail'!$B$1156, 0 )</f>
        <v>0</v>
      </c>
      <c r="G121" s="121">
        <f>IF( $F6 = "Eligible", G118 * 'Facility Detail'!$B$1156, 0 )</f>
        <v>0</v>
      </c>
      <c r="H121" s="12">
        <f>IF( $F6 = "Eligible", H118 * 'Facility Detail'!$B$1156, 0 )</f>
        <v>0</v>
      </c>
    </row>
    <row r="122" spans="1:11" x14ac:dyDescent="0.25">
      <c r="B122" s="133" t="s">
        <v>6</v>
      </c>
      <c r="C122" s="62"/>
      <c r="D122" s="53">
        <f>IF( $G6 = "Eligible", D118, 0 )</f>
        <v>0</v>
      </c>
      <c r="E122" s="122">
        <f>IF( $G6 = "Eligible", E118, 0 )</f>
        <v>0</v>
      </c>
      <c r="F122" s="122">
        <f>IF( $G6 = "Eligible", F118, 0 )</f>
        <v>0</v>
      </c>
      <c r="G122" s="122">
        <f>IF( $G6 = "Eligible", G118, 0 )</f>
        <v>0</v>
      </c>
      <c r="H122" s="54">
        <f>IF( $G6 = "Eligible", H118, 0 )</f>
        <v>0</v>
      </c>
    </row>
    <row r="123" spans="1:11" x14ac:dyDescent="0.25">
      <c r="B123" s="64" t="s">
        <v>133</v>
      </c>
      <c r="C123" s="65"/>
      <c r="D123" s="41">
        <f>SUM(D121:D122)</f>
        <v>0</v>
      </c>
      <c r="E123" s="41">
        <f>SUM(E121:E122)</f>
        <v>0</v>
      </c>
      <c r="F123" s="41">
        <f>SUM(F121:F122)</f>
        <v>0</v>
      </c>
      <c r="G123" s="41">
        <f>SUM(G121:G122)</f>
        <v>0</v>
      </c>
      <c r="H123" s="41">
        <f>SUM(H121:H122)</f>
        <v>0</v>
      </c>
    </row>
    <row r="124" spans="1:11" x14ac:dyDescent="0.25">
      <c r="B124" s="23"/>
      <c r="C124" s="33"/>
      <c r="D124" s="183"/>
      <c r="E124" s="183"/>
      <c r="F124" s="183"/>
      <c r="G124" s="183"/>
      <c r="H124" s="34"/>
    </row>
    <row r="125" spans="1:11" ht="18.75" x14ac:dyDescent="0.3">
      <c r="A125" s="42" t="s">
        <v>42</v>
      </c>
      <c r="B125" s="136"/>
      <c r="C125" s="33"/>
      <c r="D125" s="2">
        <f>D114</f>
        <v>2015</v>
      </c>
      <c r="E125" s="2">
        <f>D125+1</f>
        <v>2016</v>
      </c>
      <c r="F125" s="2">
        <f>E125+1</f>
        <v>2017</v>
      </c>
      <c r="G125" s="2">
        <f>F125+1</f>
        <v>2018</v>
      </c>
      <c r="H125" s="2">
        <f>G125+1</f>
        <v>2019</v>
      </c>
    </row>
    <row r="126" spans="1:11" x14ac:dyDescent="0.25">
      <c r="B126" s="133" t="s">
        <v>59</v>
      </c>
      <c r="C126" s="62"/>
      <c r="D126" s="4">
        <v>60697</v>
      </c>
      <c r="E126" s="4">
        <v>62849</v>
      </c>
      <c r="F126" s="4">
        <v>57197</v>
      </c>
      <c r="G126" s="4">
        <v>57609</v>
      </c>
      <c r="H126" s="5">
        <v>0</v>
      </c>
    </row>
    <row r="127" spans="1:11" x14ac:dyDescent="0.25">
      <c r="B127" s="78" t="s">
        <v>35</v>
      </c>
      <c r="C127" s="69"/>
      <c r="D127" s="151"/>
      <c r="E127" s="151"/>
      <c r="F127" s="151"/>
      <c r="G127" s="151"/>
      <c r="H127" s="152"/>
    </row>
    <row r="128" spans="1:11" x14ac:dyDescent="0.25">
      <c r="B128" s="78" t="s">
        <v>101</v>
      </c>
      <c r="C128" s="77"/>
      <c r="D128" s="153"/>
      <c r="E128" s="153"/>
      <c r="F128" s="153"/>
      <c r="G128" s="153"/>
      <c r="H128" s="154"/>
    </row>
    <row r="129" spans="1:8" x14ac:dyDescent="0.25">
      <c r="B129" s="134" t="s">
        <v>102</v>
      </c>
      <c r="D129" s="7">
        <f>SUM(D126:D128)</f>
        <v>60697</v>
      </c>
      <c r="E129" s="7">
        <f>SUM(E126:E128)</f>
        <v>62849</v>
      </c>
      <c r="F129" s="7">
        <f>SUM(F126:F128)</f>
        <v>57197</v>
      </c>
      <c r="G129" s="7">
        <f>SUM(G126:G128)</f>
        <v>57609</v>
      </c>
      <c r="H129" s="7">
        <f>SUM(H126:H128)</f>
        <v>0</v>
      </c>
    </row>
    <row r="130" spans="1:8" x14ac:dyDescent="0.25">
      <c r="B130" s="135"/>
      <c r="D130" s="181"/>
      <c r="E130" s="181"/>
      <c r="F130" s="181"/>
      <c r="G130" s="181"/>
      <c r="H130" s="7"/>
    </row>
    <row r="131" spans="1:8" ht="18.75" x14ac:dyDescent="0.3">
      <c r="A131" s="9" t="s">
        <v>112</v>
      </c>
      <c r="B131" s="136"/>
      <c r="D131" s="2">
        <f>D114</f>
        <v>2015</v>
      </c>
      <c r="E131" s="2">
        <f>D131+1</f>
        <v>2016</v>
      </c>
      <c r="F131" s="2">
        <f>E131+1</f>
        <v>2017</v>
      </c>
      <c r="G131" s="2">
        <f>F131+1</f>
        <v>2018</v>
      </c>
      <c r="H131" s="2">
        <f>G131+1</f>
        <v>2019</v>
      </c>
    </row>
    <row r="132" spans="1:8" x14ac:dyDescent="0.25">
      <c r="B132" s="67" t="str">
        <f>( 'Facility Detail'!$B$1159) &amp; " Surplus Applied to " &amp; ( 'Facility Detail'!$B$1159 + 1 )</f>
        <v>2015 Surplus Applied to 2016</v>
      </c>
      <c r="C132" s="33"/>
      <c r="D132" s="3">
        <f>D118+D123-D129</f>
        <v>60908</v>
      </c>
      <c r="E132" s="55">
        <f>D132</f>
        <v>60908</v>
      </c>
      <c r="F132" s="129"/>
      <c r="G132" s="129"/>
      <c r="H132" s="130"/>
    </row>
    <row r="133" spans="1:8" x14ac:dyDescent="0.25">
      <c r="B133" s="67" t="str">
        <f xml:space="preserve"> ( 'Facility Detail'!$B$1159 + 1 ) &amp; " Surplus Applied to " &amp; ( 'Facility Detail'!$B$1159 )</f>
        <v>2016 Surplus Applied to 2015</v>
      </c>
      <c r="C133" s="33"/>
      <c r="D133" s="148">
        <f>E133</f>
        <v>0</v>
      </c>
      <c r="E133" s="10">
        <v>0</v>
      </c>
      <c r="F133" s="125"/>
      <c r="G133" s="125"/>
      <c r="H133" s="131"/>
    </row>
    <row r="134" spans="1:8" x14ac:dyDescent="0.25">
      <c r="B134" s="133" t="str">
        <f xml:space="preserve"> ( 'Facility Detail'!$B$1159 + 1 ) &amp; " Surplus Applied to " &amp; ( 'Facility Detail'!$B$1159 + 2 )</f>
        <v>2016 Surplus Applied to 2017</v>
      </c>
      <c r="C134" s="33"/>
      <c r="D134" s="126"/>
      <c r="E134" s="10">
        <f>E118+E123-E129</f>
        <v>64389</v>
      </c>
      <c r="F134" s="61">
        <f>E134</f>
        <v>64389</v>
      </c>
      <c r="G134" s="125"/>
      <c r="H134" s="131"/>
    </row>
    <row r="135" spans="1:8" x14ac:dyDescent="0.25">
      <c r="B135" s="133" t="str">
        <f xml:space="preserve"> ( 'Facility Detail'!$B$1159 + 2 ) &amp; " Surplus Applied to " &amp; ( 'Facility Detail'!$B$1159 + 1 )</f>
        <v>2017 Surplus Applied to 2016</v>
      </c>
      <c r="C135" s="33"/>
      <c r="D135" s="126"/>
      <c r="E135" s="61">
        <f>F135</f>
        <v>0</v>
      </c>
      <c r="F135" s="10">
        <v>0</v>
      </c>
      <c r="G135" s="125"/>
      <c r="H135" s="131"/>
    </row>
    <row r="136" spans="1:8" x14ac:dyDescent="0.25">
      <c r="B136" s="179" t="str">
        <f xml:space="preserve"> ( 'Facility Detail'!$B$1159 + 2 ) &amp; " Surplus Applied to " &amp; ( 'Facility Detail'!$B$1159 + 3 )</f>
        <v>2017 Surplus Applied to 2018</v>
      </c>
      <c r="C136" s="33"/>
      <c r="D136" s="126"/>
      <c r="E136" s="125"/>
      <c r="F136" s="10">
        <f>F118+F123-F129</f>
        <v>53421</v>
      </c>
      <c r="G136" s="61">
        <f>F136</f>
        <v>53421</v>
      </c>
      <c r="H136" s="131"/>
    </row>
    <row r="137" spans="1:8" x14ac:dyDescent="0.25">
      <c r="B137" s="179" t="str">
        <f xml:space="preserve"> ( 'Facility Detail'!$B$1159 + 3 ) &amp; " Surplus Applied to " &amp; ( 'Facility Detail'!$B$1159 + 2 )</f>
        <v>2018 Surplus Applied to 2017</v>
      </c>
      <c r="C137" s="33"/>
      <c r="D137" s="126"/>
      <c r="E137" s="125"/>
      <c r="F137" s="61">
        <f>G137</f>
        <v>0</v>
      </c>
      <c r="G137" s="10">
        <v>0</v>
      </c>
      <c r="H137" s="131"/>
    </row>
    <row r="138" spans="1:8" x14ac:dyDescent="0.25">
      <c r="B138" s="179" t="str">
        <f xml:space="preserve"> ( 'Facility Detail'!$B$1159 + 3 ) &amp; " Surplus Applied to " &amp; ( 'Facility Detail'!$B$1159 + 4 )</f>
        <v>2018 Surplus Applied to 2019</v>
      </c>
      <c r="C138" s="33"/>
      <c r="D138" s="126"/>
      <c r="E138" s="125"/>
      <c r="F138" s="125"/>
      <c r="G138" s="10">
        <f>G118+G123-G129</f>
        <v>61829</v>
      </c>
      <c r="H138" s="56">
        <f>G138</f>
        <v>61829</v>
      </c>
    </row>
    <row r="139" spans="1:8" x14ac:dyDescent="0.25">
      <c r="B139" s="179" t="str">
        <f xml:space="preserve"> ( 'Facility Detail'!$B$1159 + 4 ) &amp; " Surplus Applied to " &amp; ( 'Facility Detail'!$B$1159 + 3 )</f>
        <v>2019 Surplus Applied to 2018</v>
      </c>
      <c r="C139" s="33"/>
      <c r="D139" s="127"/>
      <c r="E139" s="128"/>
      <c r="F139" s="128"/>
      <c r="G139" s="57">
        <f>H139</f>
        <v>0</v>
      </c>
      <c r="H139" s="48">
        <v>0</v>
      </c>
    </row>
    <row r="140" spans="1:8" x14ac:dyDescent="0.25">
      <c r="B140" s="134" t="s">
        <v>29</v>
      </c>
      <c r="D140" s="7">
        <f>D133-D132</f>
        <v>-60908</v>
      </c>
      <c r="E140" s="7">
        <f>E132+E135-E133-E134</f>
        <v>-3481</v>
      </c>
      <c r="F140" s="7">
        <f>F134+F137-F135-F136</f>
        <v>10968</v>
      </c>
      <c r="G140" s="7">
        <f>G136+G139-G137-G138</f>
        <v>-8408</v>
      </c>
      <c r="H140" s="7">
        <f>H138 - H139</f>
        <v>61829</v>
      </c>
    </row>
    <row r="141" spans="1:8" x14ac:dyDescent="0.25">
      <c r="B141" s="135"/>
      <c r="D141" s="7"/>
      <c r="E141" s="7"/>
      <c r="F141" s="7"/>
      <c r="G141" s="7"/>
      <c r="H141" s="7"/>
    </row>
    <row r="142" spans="1:8" x14ac:dyDescent="0.25">
      <c r="B142" s="64" t="s">
        <v>24</v>
      </c>
      <c r="C142" s="62"/>
      <c r="D142" s="85"/>
      <c r="E142" s="123"/>
      <c r="F142" s="123"/>
      <c r="G142" s="123"/>
      <c r="H142" s="86"/>
    </row>
    <row r="143" spans="1:8" x14ac:dyDescent="0.25">
      <c r="B143" s="135"/>
      <c r="D143" s="7"/>
      <c r="E143" s="7"/>
      <c r="F143" s="7"/>
      <c r="G143" s="7"/>
      <c r="H143" s="7"/>
    </row>
    <row r="144" spans="1:8" ht="18.75" x14ac:dyDescent="0.3">
      <c r="A144" s="42" t="s">
        <v>38</v>
      </c>
      <c r="B144" s="136"/>
      <c r="C144" s="62"/>
      <c r="D144" s="124">
        <f>D118+D123-D129+D140+D142</f>
        <v>0</v>
      </c>
      <c r="E144" s="124">
        <f>E118+E123-E129+E140+E142</f>
        <v>60908</v>
      </c>
      <c r="F144" s="124">
        <f>F118+F123-F129+F140+F142</f>
        <v>64389</v>
      </c>
      <c r="G144" s="124">
        <f>G118+G123-G129+G140+G142</f>
        <v>53421</v>
      </c>
      <c r="H144" s="206">
        <f>H118+H123-H129+H140+H142</f>
        <v>84667.363636363632</v>
      </c>
    </row>
    <row r="145" spans="1:16" x14ac:dyDescent="0.25">
      <c r="B145" s="135"/>
      <c r="C145" s="143" t="s">
        <v>184</v>
      </c>
      <c r="D145" s="7"/>
      <c r="E145" s="7">
        <v>32714</v>
      </c>
      <c r="F145" s="32">
        <v>64389</v>
      </c>
      <c r="G145" s="32"/>
      <c r="H145" s="32"/>
    </row>
    <row r="146" spans="1:16" x14ac:dyDescent="0.25">
      <c r="B146" s="136"/>
      <c r="D146" s="1"/>
    </row>
    <row r="147" spans="1:16" x14ac:dyDescent="0.25">
      <c r="B147" s="23"/>
      <c r="C147" s="33"/>
      <c r="D147" s="33"/>
      <c r="E147" s="33"/>
      <c r="F147" s="33"/>
      <c r="G147" s="33"/>
      <c r="H147" s="33"/>
    </row>
    <row r="148" spans="1:16" ht="21" x14ac:dyDescent="0.35">
      <c r="A148" s="13" t="s">
        <v>4</v>
      </c>
      <c r="B148" s="137"/>
      <c r="C148" s="43" t="str">
        <f>B7</f>
        <v>Wild Horse Phase II</v>
      </c>
      <c r="D148" s="23"/>
      <c r="E148" s="23"/>
    </row>
    <row r="149" spans="1:16" x14ac:dyDescent="0.25">
      <c r="B149" s="136"/>
      <c r="D149" s="1"/>
    </row>
    <row r="150" spans="1:16" ht="18.75" x14ac:dyDescent="0.3">
      <c r="A150" s="9" t="s">
        <v>33</v>
      </c>
      <c r="B150" s="138"/>
      <c r="D150" s="2">
        <f>D41</f>
        <v>2015</v>
      </c>
      <c r="E150" s="2">
        <f>D150+1</f>
        <v>2016</v>
      </c>
      <c r="F150" s="132">
        <f>E150+1</f>
        <v>2017</v>
      </c>
      <c r="G150" s="132">
        <f>F150+1</f>
        <v>2018</v>
      </c>
      <c r="H150" s="132">
        <f>G150+1</f>
        <v>2019</v>
      </c>
    </row>
    <row r="151" spans="1:16" x14ac:dyDescent="0.25">
      <c r="B151" s="133" t="str">
        <f>"Total MWh Produced / Purchased from " &amp; C148</f>
        <v>Total MWh Produced / Purchased from Wild Horse Phase II</v>
      </c>
      <c r="C151" s="62"/>
      <c r="D151" s="4">
        <v>98693</v>
      </c>
      <c r="E151" s="4">
        <v>108686</v>
      </c>
      <c r="F151" s="4">
        <v>99368</v>
      </c>
      <c r="G151" s="4">
        <v>103462</v>
      </c>
      <c r="H151" s="5">
        <f>K154</f>
        <v>29578.303874281984</v>
      </c>
      <c r="J151" s="204">
        <v>43466</v>
      </c>
      <c r="K151" s="1">
        <f>K42*AVERAGE(M$154:P$154)</f>
        <v>8933.1865286785451</v>
      </c>
      <c r="M151" s="205">
        <f>D151</f>
        <v>98693</v>
      </c>
      <c r="N151" s="205">
        <f>E151</f>
        <v>108686</v>
      </c>
      <c r="O151" s="205">
        <f>F151</f>
        <v>99368</v>
      </c>
      <c r="P151" s="205">
        <f>G151</f>
        <v>103462</v>
      </c>
    </row>
    <row r="152" spans="1:16" x14ac:dyDescent="0.25">
      <c r="B152" s="133" t="s">
        <v>37</v>
      </c>
      <c r="C152" s="62"/>
      <c r="D152" s="146">
        <v>1</v>
      </c>
      <c r="E152" s="146">
        <v>1</v>
      </c>
      <c r="F152" s="146">
        <v>1</v>
      </c>
      <c r="G152" s="146">
        <v>1</v>
      </c>
      <c r="H152" s="147">
        <v>1</v>
      </c>
      <c r="J152" s="204">
        <v>43497</v>
      </c>
      <c r="K152" s="1">
        <f>K43*AVERAGE(M$154:P$154)</f>
        <v>8105.8683601731173</v>
      </c>
    </row>
    <row r="153" spans="1:16" x14ac:dyDescent="0.25">
      <c r="B153" s="133" t="s">
        <v>32</v>
      </c>
      <c r="C153" s="62"/>
      <c r="D153" s="49">
        <v>1</v>
      </c>
      <c r="E153" s="49">
        <v>1</v>
      </c>
      <c r="F153" s="49">
        <v>1</v>
      </c>
      <c r="G153" s="49">
        <v>1</v>
      </c>
      <c r="H153" s="50">
        <v>1</v>
      </c>
      <c r="J153" s="204">
        <v>43525</v>
      </c>
      <c r="K153" s="1">
        <f>K44*AVERAGE(M$154:P$154)</f>
        <v>12539.24898543032</v>
      </c>
      <c r="M153" s="205">
        <f>M42+M151</f>
        <v>611450</v>
      </c>
      <c r="N153" s="205">
        <f>N42+N151</f>
        <v>673357</v>
      </c>
      <c r="O153" s="205">
        <f>O42+O151</f>
        <v>615631</v>
      </c>
      <c r="P153" s="205">
        <f>P42+P151</f>
        <v>640996</v>
      </c>
    </row>
    <row r="154" spans="1:16" x14ac:dyDescent="0.25">
      <c r="B154" s="64" t="s">
        <v>34</v>
      </c>
      <c r="C154" s="65"/>
      <c r="D154" s="145">
        <f xml:space="preserve"> D151 * D152 * D153</f>
        <v>98693</v>
      </c>
      <c r="E154" s="145">
        <f xml:space="preserve"> E151 * E152 * E153</f>
        <v>108686</v>
      </c>
      <c r="F154" s="145">
        <f xml:space="preserve"> F151 * F152 * F153</f>
        <v>99368</v>
      </c>
      <c r="G154" s="145">
        <f xml:space="preserve"> G151 * G152 * G153</f>
        <v>103462</v>
      </c>
      <c r="H154" s="145">
        <f xml:space="preserve"> H151 * H152 * H153</f>
        <v>29578.303874281984</v>
      </c>
      <c r="K154" s="1">
        <f>SUM(K151:K153)</f>
        <v>29578.303874281984</v>
      </c>
      <c r="M154" s="1">
        <f>M151/M42</f>
        <v>0.19247518805204025</v>
      </c>
      <c r="N154" s="1">
        <f>N151/N42</f>
        <v>0.19247668111165617</v>
      </c>
      <c r="O154" s="1">
        <f>O151/O42</f>
        <v>0.19247554056750144</v>
      </c>
      <c r="P154" s="1">
        <f>P151/P42</f>
        <v>0.19247526668080531</v>
      </c>
    </row>
    <row r="155" spans="1:16" x14ac:dyDescent="0.25">
      <c r="B155" s="23"/>
      <c r="C155" s="33"/>
      <c r="D155" s="182"/>
      <c r="E155" s="182"/>
      <c r="F155" s="182"/>
      <c r="G155" s="181"/>
      <c r="H155" s="40"/>
    </row>
    <row r="156" spans="1:16" ht="18.75" x14ac:dyDescent="0.3">
      <c r="A156" s="45" t="s">
        <v>131</v>
      </c>
      <c r="B156" s="136"/>
      <c r="C156" s="33"/>
      <c r="D156" s="2">
        <f>D150</f>
        <v>2015</v>
      </c>
      <c r="E156" s="2">
        <f>D156+1</f>
        <v>2016</v>
      </c>
      <c r="F156" s="2">
        <f>E156+1</f>
        <v>2017</v>
      </c>
      <c r="G156" s="2">
        <f>F156+1</f>
        <v>2018</v>
      </c>
      <c r="H156" s="2">
        <f>G156+1</f>
        <v>2019</v>
      </c>
    </row>
    <row r="157" spans="1:16" x14ac:dyDescent="0.25">
      <c r="B157" s="133" t="s">
        <v>22</v>
      </c>
      <c r="C157" s="62"/>
      <c r="D157" s="11">
        <f>IF( $F7 = "Eligible",D154 * 'Facility Detail'!$B$1156, 0 )</f>
        <v>19738.600000000002</v>
      </c>
      <c r="E157" s="121">
        <f>IF( $F7 = "Eligible",E154 * 'Facility Detail'!$B$1156, 0 )</f>
        <v>21737.200000000001</v>
      </c>
      <c r="F157" s="121">
        <f>IF( $F7 = "Eligible",F154 * 'Facility Detail'!$B$1156, 0 )</f>
        <v>19873.600000000002</v>
      </c>
      <c r="G157" s="121">
        <f>IF( $F7 = "Eligible",G154 * 'Facility Detail'!$B$1156, 0 )</f>
        <v>20692.400000000001</v>
      </c>
      <c r="H157" s="12">
        <f>IF( $F7 = "Eligible",H154 * 'Facility Detail'!$B$1156, 0 )</f>
        <v>5915.6607748563974</v>
      </c>
    </row>
    <row r="158" spans="1:16" x14ac:dyDescent="0.25">
      <c r="B158" s="133" t="s">
        <v>6</v>
      </c>
      <c r="C158" s="62"/>
      <c r="D158" s="53">
        <f>IF( $G7 = "Eligible", D154, 0 )</f>
        <v>0</v>
      </c>
      <c r="E158" s="122">
        <f>IF( $G7 = "Eligible", E154, 0 )</f>
        <v>0</v>
      </c>
      <c r="F158" s="122">
        <f>IF( $G7 = "Eligible", F154, 0 )</f>
        <v>0</v>
      </c>
      <c r="G158" s="122">
        <f>IF( $G7 = "Eligible", G154, 0 )</f>
        <v>0</v>
      </c>
      <c r="H158" s="54">
        <f>IF( $G7 = "Eligible", H154, 0 )</f>
        <v>0</v>
      </c>
    </row>
    <row r="159" spans="1:16" x14ac:dyDescent="0.25">
      <c r="B159" s="64" t="s">
        <v>133</v>
      </c>
      <c r="C159" s="65"/>
      <c r="D159" s="41">
        <f>SUM(D157:D158)</f>
        <v>19738.600000000002</v>
      </c>
      <c r="E159" s="41">
        <f>SUM(E157:E158)</f>
        <v>21737.200000000001</v>
      </c>
      <c r="F159" s="41">
        <f>SUM(F157:F158)</f>
        <v>19873.600000000002</v>
      </c>
      <c r="G159" s="41">
        <f>SUM(G157:G158)</f>
        <v>20692.400000000001</v>
      </c>
      <c r="H159" s="41">
        <f>SUM(H157:H158)</f>
        <v>5915.6607748563974</v>
      </c>
    </row>
    <row r="160" spans="1:16" x14ac:dyDescent="0.25">
      <c r="B160" s="23"/>
      <c r="C160" s="33"/>
      <c r="D160" s="183"/>
      <c r="E160" s="183"/>
      <c r="F160" s="183"/>
      <c r="G160" s="183"/>
      <c r="H160" s="34"/>
    </row>
    <row r="161" spans="1:8" ht="18.75" x14ac:dyDescent="0.3">
      <c r="A161" s="42" t="s">
        <v>42</v>
      </c>
      <c r="B161" s="136"/>
      <c r="C161" s="33"/>
      <c r="D161" s="2">
        <f>D150</f>
        <v>2015</v>
      </c>
      <c r="E161" s="2">
        <f>D161+1</f>
        <v>2016</v>
      </c>
      <c r="F161" s="2">
        <f>E161+1</f>
        <v>2017</v>
      </c>
      <c r="G161" s="2">
        <f>F161+1</f>
        <v>2018</v>
      </c>
      <c r="H161" s="2">
        <f>G161+1</f>
        <v>2019</v>
      </c>
    </row>
    <row r="162" spans="1:8" x14ac:dyDescent="0.25">
      <c r="B162" s="133" t="s">
        <v>59</v>
      </c>
      <c r="C162" s="62"/>
      <c r="D162" s="4">
        <v>10000</v>
      </c>
      <c r="E162" s="4">
        <v>0</v>
      </c>
      <c r="F162" s="4">
        <v>0</v>
      </c>
      <c r="G162" s="4">
        <v>0</v>
      </c>
      <c r="H162" s="5">
        <v>0</v>
      </c>
    </row>
    <row r="163" spans="1:8" x14ac:dyDescent="0.25">
      <c r="B163" s="78" t="s">
        <v>35</v>
      </c>
      <c r="C163" s="69"/>
      <c r="D163" s="151"/>
      <c r="E163" s="151"/>
      <c r="F163" s="151"/>
      <c r="G163" s="151"/>
      <c r="H163" s="152"/>
    </row>
    <row r="164" spans="1:8" x14ac:dyDescent="0.25">
      <c r="B164" s="78" t="s">
        <v>101</v>
      </c>
      <c r="C164" s="77"/>
      <c r="D164" s="153">
        <f>D162*B1156</f>
        <v>2000</v>
      </c>
      <c r="E164" s="153">
        <f>E162*0.2</f>
        <v>0</v>
      </c>
      <c r="F164" s="153"/>
      <c r="G164" s="153"/>
      <c r="H164" s="154"/>
    </row>
    <row r="165" spans="1:8" x14ac:dyDescent="0.25">
      <c r="B165" s="134" t="s">
        <v>102</v>
      </c>
      <c r="D165" s="7">
        <f>SUM(D162:D164)</f>
        <v>12000</v>
      </c>
      <c r="E165" s="7">
        <f>SUM(E162:E164)</f>
        <v>0</v>
      </c>
      <c r="F165" s="7">
        <f>SUM(F162:F164)</f>
        <v>0</v>
      </c>
      <c r="G165" s="7">
        <f>SUM(G162:G164)</f>
        <v>0</v>
      </c>
      <c r="H165" s="7">
        <f>SUM(H162:H164)</f>
        <v>0</v>
      </c>
    </row>
    <row r="166" spans="1:8" x14ac:dyDescent="0.25">
      <c r="B166" s="135"/>
      <c r="D166" s="181"/>
      <c r="E166" s="181"/>
      <c r="F166" s="181"/>
      <c r="G166" s="181"/>
      <c r="H166" s="7"/>
    </row>
    <row r="167" spans="1:8" ht="18.75" x14ac:dyDescent="0.3">
      <c r="A167" s="9" t="s">
        <v>112</v>
      </c>
      <c r="B167" s="136"/>
      <c r="D167" s="2">
        <f>D150</f>
        <v>2015</v>
      </c>
      <c r="E167" s="2">
        <f>D167+1</f>
        <v>2016</v>
      </c>
      <c r="F167" s="2">
        <f>E167+1</f>
        <v>2017</v>
      </c>
      <c r="G167" s="2">
        <f>F167+1</f>
        <v>2018</v>
      </c>
      <c r="H167" s="2">
        <f>G167+1</f>
        <v>2019</v>
      </c>
    </row>
    <row r="168" spans="1:8" x14ac:dyDescent="0.25">
      <c r="B168" s="67" t="str">
        <f>( 'Facility Detail'!$B$1159) &amp; " Surplus Applied to " &amp; ( 'Facility Detail'!$B$1159 + 1 )</f>
        <v>2015 Surplus Applied to 2016</v>
      </c>
      <c r="C168" s="33"/>
      <c r="D168" s="3">
        <f>D154+D159-D165</f>
        <v>106431.6</v>
      </c>
      <c r="E168" s="55">
        <f>D168</f>
        <v>106431.6</v>
      </c>
      <c r="F168" s="129"/>
      <c r="G168" s="129"/>
      <c r="H168" s="130"/>
    </row>
    <row r="169" spans="1:8" x14ac:dyDescent="0.25">
      <c r="B169" s="67" t="str">
        <f xml:space="preserve"> ( 'Facility Detail'!$B$1159 + 1 ) &amp; " Surplus Applied to " &amp; ( 'Facility Detail'!$B$1159 )</f>
        <v>2016 Surplus Applied to 2015</v>
      </c>
      <c r="C169" s="33"/>
      <c r="D169" s="148">
        <v>0</v>
      </c>
      <c r="E169" s="10">
        <v>0</v>
      </c>
      <c r="F169" s="125"/>
      <c r="G169" s="125"/>
      <c r="H169" s="131"/>
    </row>
    <row r="170" spans="1:8" x14ac:dyDescent="0.25">
      <c r="B170" s="133" t="str">
        <f xml:space="preserve"> ( 'Facility Detail'!$B$1159 + 1 ) &amp; " Surplus Applied to " &amp; ( 'Facility Detail'!$B$1159 + 2 )</f>
        <v>2016 Surplus Applied to 2017</v>
      </c>
      <c r="C170" s="33"/>
      <c r="D170" s="126"/>
      <c r="E170" s="10">
        <f>E154+E159-E165</f>
        <v>130423.2</v>
      </c>
      <c r="F170" s="61">
        <f>E170</f>
        <v>130423.2</v>
      </c>
      <c r="G170" s="125"/>
      <c r="H170" s="131"/>
    </row>
    <row r="171" spans="1:8" x14ac:dyDescent="0.25">
      <c r="B171" s="133" t="str">
        <f xml:space="preserve"> ( 'Facility Detail'!$B$1159 + 2 ) &amp; " Surplus Applied to " &amp; ( 'Facility Detail'!$B$1159 + 1 )</f>
        <v>2017 Surplus Applied to 2016</v>
      </c>
      <c r="C171" s="33"/>
      <c r="D171" s="126"/>
      <c r="E171" s="61">
        <v>0</v>
      </c>
      <c r="F171" s="10">
        <v>0</v>
      </c>
      <c r="G171" s="125"/>
      <c r="H171" s="131"/>
    </row>
    <row r="172" spans="1:8" x14ac:dyDescent="0.25">
      <c r="B172" s="179" t="str">
        <f xml:space="preserve"> ( 'Facility Detail'!$B$1159 + 2 ) &amp; " Surplus Applied to " &amp; ( 'Facility Detail'!$B$1159 + 3 )</f>
        <v>2017 Surplus Applied to 2018</v>
      </c>
      <c r="C172" s="33"/>
      <c r="D172" s="126"/>
      <c r="E172" s="125"/>
      <c r="F172" s="10">
        <f>F154+F159-F165</f>
        <v>119241.60000000001</v>
      </c>
      <c r="G172" s="61">
        <f>F172</f>
        <v>119241.60000000001</v>
      </c>
      <c r="H172" s="131"/>
    </row>
    <row r="173" spans="1:8" x14ac:dyDescent="0.25">
      <c r="B173" s="179" t="str">
        <f xml:space="preserve"> ( 'Facility Detail'!$B$1159 + 3 ) &amp; " Surplus Applied to " &amp; ( 'Facility Detail'!$B$1159 + 2 )</f>
        <v>2018 Surplus Applied to 2017</v>
      </c>
      <c r="C173" s="33"/>
      <c r="D173" s="126"/>
      <c r="E173" s="125"/>
      <c r="F173" s="61">
        <v>0</v>
      </c>
      <c r="G173" s="10"/>
      <c r="H173" s="131"/>
    </row>
    <row r="174" spans="1:8" x14ac:dyDescent="0.25">
      <c r="B174" s="179" t="str">
        <f xml:space="preserve"> ( 'Facility Detail'!$B$1159 + 3 ) &amp; " Surplus Applied to " &amp; ( 'Facility Detail'!$B$1159 + 4 )</f>
        <v>2018 Surplus Applied to 2019</v>
      </c>
      <c r="C174" s="33"/>
      <c r="D174" s="126"/>
      <c r="E174" s="125"/>
      <c r="F174" s="125"/>
      <c r="G174" s="10">
        <f>G154+G159-G165</f>
        <v>124154.4</v>
      </c>
      <c r="H174" s="56">
        <f>G174</f>
        <v>124154.4</v>
      </c>
    </row>
    <row r="175" spans="1:8" x14ac:dyDescent="0.25">
      <c r="B175" s="179" t="str">
        <f xml:space="preserve"> ( 'Facility Detail'!$B$1159 + 4 ) &amp; " Surplus Applied to " &amp; ( 'Facility Detail'!$B$1159 + 3 )</f>
        <v>2019 Surplus Applied to 2018</v>
      </c>
      <c r="C175" s="33"/>
      <c r="D175" s="127"/>
      <c r="E175" s="128"/>
      <c r="F175" s="128"/>
      <c r="G175" s="57">
        <v>0</v>
      </c>
      <c r="H175" s="48">
        <v>0</v>
      </c>
    </row>
    <row r="176" spans="1:8" x14ac:dyDescent="0.25">
      <c r="B176" s="134" t="s">
        <v>29</v>
      </c>
      <c r="D176" s="7">
        <f>D169-D168</f>
        <v>-106431.6</v>
      </c>
      <c r="E176" s="7">
        <f>E168+E171-E169-E170</f>
        <v>-23991.599999999991</v>
      </c>
      <c r="F176" s="7">
        <f>F170+F173-F171-F172</f>
        <v>11181.599999999991</v>
      </c>
      <c r="G176" s="7">
        <f>G172+G175-G173-G174</f>
        <v>-4912.7999999999884</v>
      </c>
      <c r="H176" s="7">
        <f>H174 - H175</f>
        <v>124154.4</v>
      </c>
    </row>
    <row r="177" spans="1:16" x14ac:dyDescent="0.25">
      <c r="B177" s="135"/>
      <c r="D177" s="7"/>
      <c r="E177" s="7"/>
      <c r="F177" s="7"/>
      <c r="G177" s="7"/>
      <c r="H177" s="7"/>
    </row>
    <row r="178" spans="1:16" x14ac:dyDescent="0.25">
      <c r="B178" s="64" t="s">
        <v>24</v>
      </c>
      <c r="C178" s="62"/>
      <c r="D178" s="85"/>
      <c r="E178" s="123"/>
      <c r="F178" s="123"/>
      <c r="G178" s="123"/>
      <c r="H178" s="86"/>
    </row>
    <row r="179" spans="1:16" x14ac:dyDescent="0.25">
      <c r="B179" s="135"/>
      <c r="D179" s="7"/>
      <c r="E179" s="7"/>
      <c r="F179" s="7"/>
      <c r="G179" s="7"/>
      <c r="H179" s="7"/>
    </row>
    <row r="180" spans="1:16" ht="18.75" x14ac:dyDescent="0.3">
      <c r="A180" s="42" t="s">
        <v>38</v>
      </c>
      <c r="B180" s="136"/>
      <c r="C180" s="62"/>
      <c r="D180" s="124">
        <f>D154+D159-D165+D176+D178</f>
        <v>0</v>
      </c>
      <c r="E180" s="124">
        <f>E154+E159-E165+E176+E178</f>
        <v>106431.6</v>
      </c>
      <c r="F180" s="124">
        <f>F154+F159-F165+F176+F178</f>
        <v>130423.2</v>
      </c>
      <c r="G180" s="124">
        <f>G154+G159-G165+G176+G178</f>
        <v>119241.60000000001</v>
      </c>
      <c r="H180" s="206">
        <f>H154+H159-H165+H176+H178</f>
        <v>159648.36464913838</v>
      </c>
    </row>
    <row r="181" spans="1:16" x14ac:dyDescent="0.25">
      <c r="B181" s="135"/>
      <c r="C181" s="143" t="s">
        <v>184</v>
      </c>
      <c r="D181" s="7"/>
      <c r="E181" s="7">
        <v>106432</v>
      </c>
      <c r="F181" s="32">
        <v>108686</v>
      </c>
      <c r="G181" s="32"/>
      <c r="H181" s="32"/>
    </row>
    <row r="182" spans="1:16" s="33" customFormat="1" x14ac:dyDescent="0.25">
      <c r="B182" s="23"/>
    </row>
    <row r="183" spans="1:16" x14ac:dyDescent="0.25">
      <c r="A183" s="33"/>
      <c r="B183" s="23"/>
      <c r="C183" s="33"/>
      <c r="D183" s="33"/>
      <c r="E183" s="33"/>
      <c r="F183" s="33"/>
      <c r="G183" s="33"/>
      <c r="H183" s="33"/>
    </row>
    <row r="184" spans="1:16" x14ac:dyDescent="0.25">
      <c r="B184" s="23"/>
      <c r="C184" s="33"/>
      <c r="D184" s="33"/>
      <c r="E184" s="33"/>
      <c r="F184" s="33"/>
      <c r="G184" s="33"/>
      <c r="H184" s="33"/>
    </row>
    <row r="185" spans="1:16" ht="21" x14ac:dyDescent="0.35">
      <c r="A185" s="13" t="s">
        <v>4</v>
      </c>
      <c r="B185" s="137"/>
      <c r="C185" s="43" t="str">
        <f>B8</f>
        <v>Hopkins Ridge Phase II</v>
      </c>
      <c r="D185" s="23"/>
      <c r="E185" s="23"/>
    </row>
    <row r="186" spans="1:16" x14ac:dyDescent="0.25">
      <c r="B186" s="136"/>
      <c r="D186" s="1"/>
    </row>
    <row r="187" spans="1:16" ht="18.75" x14ac:dyDescent="0.3">
      <c r="A187" s="9" t="s">
        <v>33</v>
      </c>
      <c r="B187" s="138"/>
      <c r="D187" s="2">
        <f>D41</f>
        <v>2015</v>
      </c>
      <c r="E187" s="2">
        <f>D187+1</f>
        <v>2016</v>
      </c>
      <c r="F187" s="132">
        <f>E187+1</f>
        <v>2017</v>
      </c>
      <c r="G187" s="132">
        <f>F187+1</f>
        <v>2018</v>
      </c>
      <c r="H187" s="132">
        <f>G187+1</f>
        <v>2019</v>
      </c>
    </row>
    <row r="188" spans="1:16" x14ac:dyDescent="0.25">
      <c r="B188" s="133" t="str">
        <f>"Total MWh Produced / Purchased from " &amp; C185</f>
        <v>Total MWh Produced / Purchased from Hopkins Ridge Phase II</v>
      </c>
      <c r="C188" s="62"/>
      <c r="D188" s="4">
        <v>16614</v>
      </c>
      <c r="E188" s="4">
        <v>19184</v>
      </c>
      <c r="F188" s="4">
        <v>15881</v>
      </c>
      <c r="G188" s="4">
        <v>18893</v>
      </c>
      <c r="H188" s="5">
        <f>K191</f>
        <v>4333.329647994351</v>
      </c>
      <c r="J188" s="204">
        <v>43466</v>
      </c>
      <c r="K188" s="1">
        <f>K78*AVERAGE(M$191:P$191)</f>
        <v>1120.7837732398859</v>
      </c>
      <c r="M188" s="205">
        <f>D188</f>
        <v>16614</v>
      </c>
      <c r="N188" s="205">
        <f>E188</f>
        <v>19184</v>
      </c>
      <c r="O188" s="205">
        <f>F188</f>
        <v>15881</v>
      </c>
      <c r="P188" s="205">
        <f>G188</f>
        <v>18893</v>
      </c>
    </row>
    <row r="189" spans="1:16" x14ac:dyDescent="0.25">
      <c r="B189" s="133" t="s">
        <v>37</v>
      </c>
      <c r="C189" s="62"/>
      <c r="D189" s="146">
        <v>1</v>
      </c>
      <c r="E189" s="146">
        <v>1</v>
      </c>
      <c r="F189" s="146">
        <v>1</v>
      </c>
      <c r="G189" s="146">
        <v>1</v>
      </c>
      <c r="H189" s="147">
        <v>1</v>
      </c>
      <c r="J189" s="204">
        <v>43497</v>
      </c>
      <c r="K189" s="1">
        <f>K79*AVERAGE(M$191:P$191)</f>
        <v>1056.107426587808</v>
      </c>
    </row>
    <row r="190" spans="1:16" x14ac:dyDescent="0.25">
      <c r="B190" s="133" t="s">
        <v>32</v>
      </c>
      <c r="C190" s="62"/>
      <c r="D190" s="49">
        <v>1</v>
      </c>
      <c r="E190" s="49">
        <v>1</v>
      </c>
      <c r="F190" s="49">
        <v>1</v>
      </c>
      <c r="G190" s="49">
        <v>1</v>
      </c>
      <c r="H190" s="50">
        <v>1</v>
      </c>
      <c r="J190" s="204">
        <v>43525</v>
      </c>
      <c r="K190" s="1">
        <f>K80*AVERAGE(M$191:P$191)</f>
        <v>2156.4384481666566</v>
      </c>
      <c r="M190" s="205">
        <f>M78+M188</f>
        <v>364780</v>
      </c>
      <c r="N190" s="205">
        <f>N78+N188</f>
        <v>417242</v>
      </c>
      <c r="O190" s="205">
        <f>O78+O188</f>
        <v>345425</v>
      </c>
      <c r="P190" s="205">
        <f>P78+P188</f>
        <v>410913</v>
      </c>
    </row>
    <row r="191" spans="1:16" x14ac:dyDescent="0.25">
      <c r="B191" s="64" t="s">
        <v>34</v>
      </c>
      <c r="C191" s="65"/>
      <c r="D191" s="145">
        <f xml:space="preserve"> D188 * D189 * D190</f>
        <v>16614</v>
      </c>
      <c r="E191" s="145">
        <f xml:space="preserve"> E188 * E189 * E190</f>
        <v>19184</v>
      </c>
      <c r="F191" s="145">
        <f xml:space="preserve"> F188 * F189 * F190</f>
        <v>15881</v>
      </c>
      <c r="G191" s="145">
        <f xml:space="preserve"> G188 * G189 * G190</f>
        <v>18893</v>
      </c>
      <c r="H191" s="145">
        <f xml:space="preserve"> H188 * H189 * H190</f>
        <v>4333.329647994351</v>
      </c>
      <c r="K191" s="1">
        <f>SUM(K188:K190)</f>
        <v>4333.329647994351</v>
      </c>
      <c r="M191" s="1">
        <f>M188/M78</f>
        <v>4.7718616981554773E-2</v>
      </c>
      <c r="N191" s="1">
        <f>N188/N78</f>
        <v>4.8193981781549419E-2</v>
      </c>
      <c r="O191" s="1">
        <f>O188/O78</f>
        <v>4.8190833394023254E-2</v>
      </c>
      <c r="P191" s="1">
        <f>P188/P78</f>
        <v>4.8193969695423701E-2</v>
      </c>
    </row>
    <row r="192" spans="1:16" x14ac:dyDescent="0.25">
      <c r="B192" s="23"/>
      <c r="C192" s="33"/>
      <c r="D192" s="182"/>
      <c r="E192" s="182"/>
      <c r="F192" s="182"/>
      <c r="G192" s="181"/>
      <c r="H192" s="40"/>
    </row>
    <row r="193" spans="1:8" ht="18.75" x14ac:dyDescent="0.3">
      <c r="A193" s="45" t="s">
        <v>131</v>
      </c>
      <c r="B193" s="136"/>
      <c r="C193" s="33"/>
      <c r="D193" s="2">
        <f>D187</f>
        <v>2015</v>
      </c>
      <c r="E193" s="2">
        <f>D193+1</f>
        <v>2016</v>
      </c>
      <c r="F193" s="2">
        <f>E193+1</f>
        <v>2017</v>
      </c>
      <c r="G193" s="2">
        <f>F193+1</f>
        <v>2018</v>
      </c>
      <c r="H193" s="2">
        <f>G193+1</f>
        <v>2019</v>
      </c>
    </row>
    <row r="194" spans="1:8" x14ac:dyDescent="0.25">
      <c r="B194" s="133" t="s">
        <v>22</v>
      </c>
      <c r="C194" s="62"/>
      <c r="D194" s="11">
        <f>IF( $F8 = "Eligible", D191 * 'Facility Detail'!$B$1156, 0 )</f>
        <v>0</v>
      </c>
      <c r="E194" s="121">
        <f>IF( $F8 = "Eligible", E191 * 'Facility Detail'!$B$1156, 0 )</f>
        <v>0</v>
      </c>
      <c r="F194" s="121">
        <f>IF( $F8 = "Eligible", F191 * 'Facility Detail'!$B$1156, 0 )</f>
        <v>0</v>
      </c>
      <c r="G194" s="121">
        <f>IF( $F8 = "Eligible", G191 * 'Facility Detail'!$B$1156, 0 )</f>
        <v>0</v>
      </c>
      <c r="H194" s="12">
        <f>IF( $F8 = "Eligible", H191 * 'Facility Detail'!$B$1156, 0 )</f>
        <v>0</v>
      </c>
    </row>
    <row r="195" spans="1:8" x14ac:dyDescent="0.25">
      <c r="B195" s="133" t="s">
        <v>6</v>
      </c>
      <c r="C195" s="62"/>
      <c r="D195" s="53">
        <f>IF( $G8 = "Eligible", D191, 0 )</f>
        <v>0</v>
      </c>
      <c r="E195" s="122">
        <f>IF( $G8 = "Eligible", E191, 0 )</f>
        <v>0</v>
      </c>
      <c r="F195" s="122">
        <f>IF( $G8 = "Eligible", F191, 0 )</f>
        <v>0</v>
      </c>
      <c r="G195" s="122">
        <f>IF( $G8 = "Eligible", G191, 0 )</f>
        <v>0</v>
      </c>
      <c r="H195" s="54">
        <f>IF( $G8 = "Eligible", H191, 0 )</f>
        <v>0</v>
      </c>
    </row>
    <row r="196" spans="1:8" x14ac:dyDescent="0.25">
      <c r="B196" s="64" t="s">
        <v>133</v>
      </c>
      <c r="C196" s="65"/>
      <c r="D196" s="41">
        <f>SUM(D194:D195)</f>
        <v>0</v>
      </c>
      <c r="E196" s="41">
        <f>SUM(E194:E195)</f>
        <v>0</v>
      </c>
      <c r="F196" s="41">
        <f>SUM(F194:F195)</f>
        <v>0</v>
      </c>
      <c r="G196" s="41">
        <f>SUM(G194:G195)</f>
        <v>0</v>
      </c>
      <c r="H196" s="41">
        <f>SUM(H194:H195)</f>
        <v>0</v>
      </c>
    </row>
    <row r="197" spans="1:8" x14ac:dyDescent="0.25">
      <c r="B197" s="23"/>
      <c r="C197" s="33"/>
      <c r="D197" s="183"/>
      <c r="E197" s="183"/>
      <c r="F197" s="183"/>
      <c r="G197" s="183"/>
      <c r="H197" s="34"/>
    </row>
    <row r="198" spans="1:8" ht="18.75" x14ac:dyDescent="0.3">
      <c r="A198" s="42" t="s">
        <v>42</v>
      </c>
      <c r="B198" s="136"/>
      <c r="C198" s="33"/>
      <c r="D198" s="2">
        <f>D187</f>
        <v>2015</v>
      </c>
      <c r="E198" s="2">
        <f>D198+1</f>
        <v>2016</v>
      </c>
      <c r="F198" s="2">
        <f>E198+1</f>
        <v>2017</v>
      </c>
      <c r="G198" s="2">
        <f>F198+1</f>
        <v>2018</v>
      </c>
      <c r="H198" s="2">
        <f>G198+1</f>
        <v>2019</v>
      </c>
    </row>
    <row r="199" spans="1:8" x14ac:dyDescent="0.25">
      <c r="B199" s="133" t="s">
        <v>59</v>
      </c>
      <c r="C199" s="62"/>
      <c r="D199" s="4">
        <v>1735</v>
      </c>
      <c r="E199" s="4">
        <v>9184</v>
      </c>
      <c r="F199" s="4">
        <v>0</v>
      </c>
      <c r="G199" s="4">
        <v>10171</v>
      </c>
      <c r="H199" s="5">
        <v>0</v>
      </c>
    </row>
    <row r="200" spans="1:8" x14ac:dyDescent="0.25">
      <c r="B200" s="78" t="s">
        <v>35</v>
      </c>
      <c r="C200" s="69"/>
      <c r="D200" s="151"/>
      <c r="E200" s="151"/>
      <c r="F200" s="151"/>
      <c r="G200" s="151"/>
      <c r="H200" s="152"/>
    </row>
    <row r="201" spans="1:8" x14ac:dyDescent="0.25">
      <c r="B201" s="78" t="s">
        <v>101</v>
      </c>
      <c r="C201" s="77"/>
      <c r="D201" s="153"/>
      <c r="E201" s="153"/>
      <c r="F201" s="153"/>
      <c r="G201" s="153"/>
      <c r="H201" s="154"/>
    </row>
    <row r="202" spans="1:8" x14ac:dyDescent="0.25">
      <c r="B202" s="134" t="s">
        <v>102</v>
      </c>
      <c r="D202" s="7">
        <f>SUM(D199:D201)</f>
        <v>1735</v>
      </c>
      <c r="E202" s="7">
        <f>SUM(E199:E201)</f>
        <v>9184</v>
      </c>
      <c r="F202" s="7">
        <f>SUM(F199:F201)</f>
        <v>0</v>
      </c>
      <c r="G202" s="7">
        <f>SUM(G199:G201)</f>
        <v>10171</v>
      </c>
      <c r="H202" s="7">
        <f>SUM(H199:H201)</f>
        <v>0</v>
      </c>
    </row>
    <row r="203" spans="1:8" x14ac:dyDescent="0.25">
      <c r="B203" s="135"/>
      <c r="D203" s="181"/>
      <c r="E203" s="181"/>
      <c r="F203" s="181"/>
      <c r="G203" s="181"/>
      <c r="H203" s="7"/>
    </row>
    <row r="204" spans="1:8" ht="18.75" x14ac:dyDescent="0.3">
      <c r="A204" s="9" t="s">
        <v>112</v>
      </c>
      <c r="B204" s="136"/>
      <c r="D204" s="2">
        <f>D187</f>
        <v>2015</v>
      </c>
      <c r="E204" s="2">
        <f>D204+1</f>
        <v>2016</v>
      </c>
      <c r="F204" s="2">
        <f>E204+1</f>
        <v>2017</v>
      </c>
      <c r="G204" s="2">
        <f>F204+1</f>
        <v>2018</v>
      </c>
      <c r="H204" s="2">
        <f>G204+1</f>
        <v>2019</v>
      </c>
    </row>
    <row r="205" spans="1:8" x14ac:dyDescent="0.25">
      <c r="B205" s="67" t="str">
        <f>( 'Facility Detail'!$B$1159) &amp; " Surplus Applied to " &amp; ( 'Facility Detail'!$B$1159 + 1 )</f>
        <v>2015 Surplus Applied to 2016</v>
      </c>
      <c r="C205" s="33"/>
      <c r="D205" s="3">
        <f>D191+D196-D202</f>
        <v>14879</v>
      </c>
      <c r="E205" s="55">
        <f>D205</f>
        <v>14879</v>
      </c>
      <c r="F205" s="129"/>
      <c r="G205" s="129"/>
      <c r="H205" s="130"/>
    </row>
    <row r="206" spans="1:8" x14ac:dyDescent="0.25">
      <c r="B206" s="67" t="str">
        <f xml:space="preserve"> ( 'Facility Detail'!$B$1159 + 1 ) &amp; " Surplus Applied to " &amp; ( 'Facility Detail'!$B$1159 )</f>
        <v>2016 Surplus Applied to 2015</v>
      </c>
      <c r="C206" s="33"/>
      <c r="D206" s="148">
        <v>0</v>
      </c>
      <c r="E206" s="10">
        <v>0</v>
      </c>
      <c r="F206" s="125"/>
      <c r="G206" s="125"/>
      <c r="H206" s="131"/>
    </row>
    <row r="207" spans="1:8" x14ac:dyDescent="0.25">
      <c r="B207" s="133" t="str">
        <f xml:space="preserve"> ( 'Facility Detail'!$B$1159 + 1 ) &amp; " Surplus Applied to " &amp; ( 'Facility Detail'!$B$1159 + 2 )</f>
        <v>2016 Surplus Applied to 2017</v>
      </c>
      <c r="C207" s="33"/>
      <c r="D207" s="126"/>
      <c r="E207" s="10">
        <f>E191+E196-E202</f>
        <v>10000</v>
      </c>
      <c r="F207" s="61">
        <f>E207</f>
        <v>10000</v>
      </c>
      <c r="G207" s="125"/>
      <c r="H207" s="131"/>
    </row>
    <row r="208" spans="1:8" x14ac:dyDescent="0.25">
      <c r="B208" s="133" t="str">
        <f xml:space="preserve"> ( 'Facility Detail'!$B$1159 + 2 ) &amp; " Surplus Applied to " &amp; ( 'Facility Detail'!$B$1159 + 1 )</f>
        <v>2017 Surplus Applied to 2016</v>
      </c>
      <c r="C208" s="33"/>
      <c r="D208" s="126"/>
      <c r="E208" s="61">
        <v>0</v>
      </c>
      <c r="F208" s="10">
        <v>0</v>
      </c>
      <c r="G208" s="125"/>
      <c r="H208" s="131"/>
    </row>
    <row r="209" spans="1:8" x14ac:dyDescent="0.25">
      <c r="B209" s="179" t="str">
        <f xml:space="preserve"> ( 'Facility Detail'!$B$1159 + 2 ) &amp; " Surplus Applied to " &amp; ( 'Facility Detail'!$B$1159 + 3 )</f>
        <v>2017 Surplus Applied to 2018</v>
      </c>
      <c r="C209" s="33"/>
      <c r="D209" s="126"/>
      <c r="E209" s="125"/>
      <c r="F209" s="10">
        <f>F191+F196-F202</f>
        <v>15881</v>
      </c>
      <c r="G209" s="61">
        <f>F209</f>
        <v>15881</v>
      </c>
      <c r="H209" s="131"/>
    </row>
    <row r="210" spans="1:8" x14ac:dyDescent="0.25">
      <c r="B210" s="179" t="str">
        <f xml:space="preserve"> ( 'Facility Detail'!$B$1159 + 3 ) &amp; " Surplus Applied to " &amp; ( 'Facility Detail'!$B$1159 + 2 )</f>
        <v>2018 Surplus Applied to 2017</v>
      </c>
      <c r="C210" s="33"/>
      <c r="D210" s="126"/>
      <c r="E210" s="125"/>
      <c r="F210" s="61">
        <v>0</v>
      </c>
      <c r="G210" s="10"/>
      <c r="H210" s="131"/>
    </row>
    <row r="211" spans="1:8" x14ac:dyDescent="0.25">
      <c r="B211" s="179" t="str">
        <f xml:space="preserve"> ( 'Facility Detail'!$B$1159 + 3 ) &amp; " Surplus Applied to " &amp; ( 'Facility Detail'!$B$1159 + 4 )</f>
        <v>2018 Surplus Applied to 2019</v>
      </c>
      <c r="C211" s="33"/>
      <c r="D211" s="126"/>
      <c r="E211" s="125"/>
      <c r="F211" s="125"/>
      <c r="G211" s="10">
        <f>G191+G196-G202</f>
        <v>8722</v>
      </c>
      <c r="H211" s="56">
        <f>G211</f>
        <v>8722</v>
      </c>
    </row>
    <row r="212" spans="1:8" x14ac:dyDescent="0.25">
      <c r="B212" s="179" t="str">
        <f xml:space="preserve"> ( 'Facility Detail'!$B$1159 + 4 ) &amp; " Surplus Applied to " &amp; ( 'Facility Detail'!$B$1159 + 3 )</f>
        <v>2019 Surplus Applied to 2018</v>
      </c>
      <c r="C212" s="33"/>
      <c r="D212" s="127"/>
      <c r="E212" s="128"/>
      <c r="F212" s="128"/>
      <c r="G212" s="57">
        <v>0</v>
      </c>
      <c r="H212" s="48">
        <v>0</v>
      </c>
    </row>
    <row r="213" spans="1:8" x14ac:dyDescent="0.25">
      <c r="B213" s="134" t="s">
        <v>29</v>
      </c>
      <c r="D213" s="7">
        <f>D206-D205</f>
        <v>-14879</v>
      </c>
      <c r="E213" s="7">
        <f>E205+E208-E206-E207</f>
        <v>4879</v>
      </c>
      <c r="F213" s="7">
        <f>F207+F210-F208-F209</f>
        <v>-5881</v>
      </c>
      <c r="G213" s="7">
        <f>G209+G212-G210-G211</f>
        <v>7159</v>
      </c>
      <c r="H213" s="7">
        <f>H211 - H212</f>
        <v>8722</v>
      </c>
    </row>
    <row r="214" spans="1:8" x14ac:dyDescent="0.25">
      <c r="B214" s="135"/>
      <c r="D214" s="7"/>
      <c r="E214" s="7"/>
      <c r="F214" s="7"/>
      <c r="G214" s="7"/>
      <c r="H214" s="7"/>
    </row>
    <row r="215" spans="1:8" x14ac:dyDescent="0.25">
      <c r="B215" s="64" t="s">
        <v>24</v>
      </c>
      <c r="C215" s="62"/>
      <c r="D215" s="85"/>
      <c r="E215" s="123"/>
      <c r="F215" s="123"/>
      <c r="G215" s="123"/>
      <c r="H215" s="86"/>
    </row>
    <row r="216" spans="1:8" x14ac:dyDescent="0.25">
      <c r="B216" s="135"/>
      <c r="D216" s="7"/>
      <c r="E216" s="7"/>
      <c r="F216" s="7"/>
      <c r="G216" s="7"/>
      <c r="H216" s="7"/>
    </row>
    <row r="217" spans="1:8" ht="18.75" x14ac:dyDescent="0.3">
      <c r="A217" s="42" t="s">
        <v>38</v>
      </c>
      <c r="B217" s="136"/>
      <c r="C217" s="62"/>
      <c r="D217" s="124">
        <f>D191+D196-D202+D213+D215</f>
        <v>0</v>
      </c>
      <c r="E217" s="124">
        <f>E191+E196-E202+E213+E215</f>
        <v>14879</v>
      </c>
      <c r="F217" s="124">
        <f>F191+F196-F202+F213+F215</f>
        <v>10000</v>
      </c>
      <c r="G217" s="124">
        <f>G191+G196-G202+G213+G215</f>
        <v>15881</v>
      </c>
      <c r="H217" s="206">
        <f>H191+H196-H202+H213+H215</f>
        <v>13055.329647994351</v>
      </c>
    </row>
    <row r="218" spans="1:8" x14ac:dyDescent="0.25">
      <c r="B218" s="135"/>
      <c r="C218" s="139" t="s">
        <v>184</v>
      </c>
      <c r="D218" s="7"/>
      <c r="E218" s="7">
        <v>14879</v>
      </c>
      <c r="F218" s="32">
        <v>10000</v>
      </c>
      <c r="G218" s="32"/>
      <c r="H218" s="32"/>
    </row>
    <row r="219" spans="1:8" x14ac:dyDescent="0.25">
      <c r="B219" s="136"/>
      <c r="D219" s="1"/>
    </row>
    <row r="220" spans="1:8" s="33" customFormat="1" x14ac:dyDescent="0.25">
      <c r="B220" s="23"/>
    </row>
    <row r="221" spans="1:8" x14ac:dyDescent="0.25">
      <c r="B221" s="23"/>
      <c r="C221" s="33"/>
      <c r="D221" s="33"/>
      <c r="E221" s="33"/>
      <c r="F221" s="33"/>
      <c r="G221" s="33"/>
      <c r="H221" s="33"/>
    </row>
    <row r="222" spans="1:8" ht="21" x14ac:dyDescent="0.35">
      <c r="A222" s="13" t="s">
        <v>4</v>
      </c>
      <c r="B222" s="137"/>
      <c r="C222" s="43" t="str">
        <f>B9</f>
        <v>Lower Snake River - Dodge Junction</v>
      </c>
      <c r="D222" s="23"/>
      <c r="E222" s="23"/>
    </row>
    <row r="223" spans="1:8" x14ac:dyDescent="0.25">
      <c r="B223" s="136"/>
      <c r="D223" s="1"/>
    </row>
    <row r="224" spans="1:8" ht="18.75" x14ac:dyDescent="0.3">
      <c r="A224" s="9" t="s">
        <v>33</v>
      </c>
      <c r="B224" s="138"/>
      <c r="D224" s="2">
        <f>D41</f>
        <v>2015</v>
      </c>
      <c r="E224" s="2">
        <f>D224+1</f>
        <v>2016</v>
      </c>
      <c r="F224" s="132">
        <f>E224+1</f>
        <v>2017</v>
      </c>
      <c r="G224" s="132">
        <f>F224+1</f>
        <v>2018</v>
      </c>
      <c r="H224" s="132">
        <f>G224+1</f>
        <v>2019</v>
      </c>
    </row>
    <row r="225" spans="1:11" x14ac:dyDescent="0.25">
      <c r="B225" s="133" t="str">
        <f>"Total MWh Produced / Purchased from " &amp; C222</f>
        <v>Total MWh Produced / Purchased from Lower Snake River - Dodge Junction</v>
      </c>
      <c r="C225" s="62"/>
      <c r="D225" s="4">
        <v>421560</v>
      </c>
      <c r="E225" s="4">
        <v>500734</v>
      </c>
      <c r="F225" s="4">
        <v>413806</v>
      </c>
      <c r="G225" s="4">
        <v>508243</v>
      </c>
      <c r="H225" s="5">
        <f>K228</f>
        <v>100434.88</v>
      </c>
      <c r="J225" s="204">
        <v>43466</v>
      </c>
      <c r="K225" s="1">
        <v>24541.54</v>
      </c>
    </row>
    <row r="226" spans="1:11" x14ac:dyDescent="0.25">
      <c r="B226" s="133" t="s">
        <v>37</v>
      </c>
      <c r="C226" s="62"/>
      <c r="D226" s="146">
        <v>1</v>
      </c>
      <c r="E226" s="146">
        <v>1</v>
      </c>
      <c r="F226" s="146">
        <v>1</v>
      </c>
      <c r="G226" s="146">
        <v>1</v>
      </c>
      <c r="H226" s="147">
        <v>1</v>
      </c>
      <c r="J226" s="204">
        <v>43497</v>
      </c>
      <c r="K226" s="1">
        <v>24934.46</v>
      </c>
    </row>
    <row r="227" spans="1:11" x14ac:dyDescent="0.25">
      <c r="B227" s="133" t="s">
        <v>32</v>
      </c>
      <c r="C227" s="62"/>
      <c r="D227" s="49">
        <v>1</v>
      </c>
      <c r="E227" s="49">
        <v>1</v>
      </c>
      <c r="F227" s="49">
        <v>1</v>
      </c>
      <c r="G227" s="49">
        <v>1</v>
      </c>
      <c r="H227" s="50">
        <v>1</v>
      </c>
      <c r="J227" s="204">
        <v>43525</v>
      </c>
      <c r="K227" s="1">
        <v>50958.879999999997</v>
      </c>
    </row>
    <row r="228" spans="1:11" x14ac:dyDescent="0.25">
      <c r="B228" s="64" t="s">
        <v>34</v>
      </c>
      <c r="C228" s="65"/>
      <c r="D228" s="145">
        <f xml:space="preserve"> D225 * D226 * D227</f>
        <v>421560</v>
      </c>
      <c r="E228" s="145">
        <f xml:space="preserve"> E225 * E226 * E227</f>
        <v>500734</v>
      </c>
      <c r="F228" s="145">
        <f xml:space="preserve"> F225 * F226 * F227</f>
        <v>413806</v>
      </c>
      <c r="G228" s="145">
        <f xml:space="preserve"> G225 * G226 * G227</f>
        <v>508243</v>
      </c>
      <c r="H228" s="145">
        <f xml:space="preserve"> H225 * H226 * H227</f>
        <v>100434.88</v>
      </c>
      <c r="K228" s="1">
        <f>SUM(K225:K227)</f>
        <v>100434.88</v>
      </c>
    </row>
    <row r="229" spans="1:11" x14ac:dyDescent="0.25">
      <c r="B229" s="23"/>
      <c r="C229" s="33"/>
      <c r="D229" s="182"/>
      <c r="E229" s="182"/>
      <c r="F229" s="182"/>
      <c r="G229" s="181"/>
      <c r="H229" s="40"/>
    </row>
    <row r="230" spans="1:11" ht="18.75" x14ac:dyDescent="0.3">
      <c r="A230" s="45" t="s">
        <v>131</v>
      </c>
      <c r="B230" s="136"/>
      <c r="C230" s="33"/>
      <c r="D230" s="2">
        <f>D224</f>
        <v>2015</v>
      </c>
      <c r="E230" s="2">
        <f>D230+1</f>
        <v>2016</v>
      </c>
      <c r="F230" s="2">
        <f>E230+1</f>
        <v>2017</v>
      </c>
      <c r="G230" s="2">
        <f>F230+1</f>
        <v>2018</v>
      </c>
      <c r="H230" s="2">
        <f>G230+1</f>
        <v>2019</v>
      </c>
      <c r="I230" s="202"/>
    </row>
    <row r="231" spans="1:11" x14ac:dyDescent="0.25">
      <c r="B231" s="133" t="s">
        <v>22</v>
      </c>
      <c r="C231" s="62"/>
      <c r="D231" s="11">
        <f>IF( $F9 = "Eligible", D228 * 'Facility Detail'!$B$1156, 0 )</f>
        <v>84312</v>
      </c>
      <c r="E231" s="121">
        <f>IF( $F9 = "Eligible", E228 * 'Facility Detail'!$B$1156, 0 )</f>
        <v>100146.8</v>
      </c>
      <c r="F231" s="121">
        <f>IF( $F9 = "Eligible", F228 * 'Facility Detail'!$B$1156, 0 )</f>
        <v>82761.200000000012</v>
      </c>
      <c r="G231" s="121">
        <f>IF( $F9 = "Eligible", G228 * 'Facility Detail'!$B$1156, 0 )</f>
        <v>101648.6</v>
      </c>
      <c r="H231" s="12">
        <f>IF( $F9 = "Eligible", H228 * 'Facility Detail'!$B$1156, 0 )</f>
        <v>20086.976000000002</v>
      </c>
    </row>
    <row r="232" spans="1:11" x14ac:dyDescent="0.25">
      <c r="B232" s="133" t="s">
        <v>6</v>
      </c>
      <c r="C232" s="62"/>
      <c r="D232" s="53">
        <f>IF( $G9 = "Eligible", D228, 0 )</f>
        <v>0</v>
      </c>
      <c r="E232" s="122">
        <f>IF( $G9 = "Eligible", E228, 0 )</f>
        <v>0</v>
      </c>
      <c r="F232" s="122">
        <f>IF( $G9 = "Eligible", F228, 0 )</f>
        <v>0</v>
      </c>
      <c r="G232" s="122">
        <f>IF( $G9 = "Eligible", G228, 0 )</f>
        <v>0</v>
      </c>
      <c r="H232" s="54">
        <f>IF( $G9 = "Eligible", H228, 0 )</f>
        <v>0</v>
      </c>
    </row>
    <row r="233" spans="1:11" x14ac:dyDescent="0.25">
      <c r="B233" s="64" t="s">
        <v>133</v>
      </c>
      <c r="C233" s="65"/>
      <c r="D233" s="41">
        <f>SUM(D231:D232)</f>
        <v>84312</v>
      </c>
      <c r="E233" s="41">
        <f>SUM(E231:E232)</f>
        <v>100146.8</v>
      </c>
      <c r="F233" s="41">
        <f>SUM(F231:F232)</f>
        <v>82761.200000000012</v>
      </c>
      <c r="G233" s="41">
        <f>SUM(G231:G232)</f>
        <v>101648.6</v>
      </c>
      <c r="H233" s="41">
        <f>SUM(H231:H232)</f>
        <v>20086.976000000002</v>
      </c>
    </row>
    <row r="234" spans="1:11" x14ac:dyDescent="0.25">
      <c r="B234" s="23"/>
      <c r="C234" s="33"/>
      <c r="D234" s="183"/>
      <c r="E234" s="183"/>
      <c r="F234" s="183"/>
      <c r="G234" s="183"/>
      <c r="H234" s="34"/>
    </row>
    <row r="235" spans="1:11" ht="18.75" x14ac:dyDescent="0.3">
      <c r="A235" s="42" t="s">
        <v>42</v>
      </c>
      <c r="B235" s="136"/>
      <c r="C235" s="33"/>
      <c r="D235" s="2">
        <f>D224</f>
        <v>2015</v>
      </c>
      <c r="E235" s="2">
        <f>D235+1</f>
        <v>2016</v>
      </c>
      <c r="F235" s="2">
        <f>E235+1</f>
        <v>2017</v>
      </c>
      <c r="G235" s="2">
        <f>F235+1</f>
        <v>2018</v>
      </c>
      <c r="H235" s="2">
        <f>G235+1</f>
        <v>2019</v>
      </c>
    </row>
    <row r="236" spans="1:11" x14ac:dyDescent="0.25">
      <c r="B236" s="133" t="s">
        <v>59</v>
      </c>
      <c r="C236" s="62"/>
      <c r="D236" s="4">
        <v>0</v>
      </c>
      <c r="E236" s="4">
        <v>0</v>
      </c>
      <c r="F236" s="4">
        <v>0</v>
      </c>
      <c r="G236" s="4">
        <v>0</v>
      </c>
      <c r="H236" s="5">
        <v>0</v>
      </c>
    </row>
    <row r="237" spans="1:11" x14ac:dyDescent="0.25">
      <c r="B237" s="78" t="s">
        <v>35</v>
      </c>
      <c r="C237" s="69"/>
      <c r="D237" s="151"/>
      <c r="E237" s="151"/>
      <c r="F237" s="151"/>
      <c r="G237" s="151"/>
      <c r="H237" s="152"/>
    </row>
    <row r="238" spans="1:11" x14ac:dyDescent="0.25">
      <c r="B238" s="78" t="s">
        <v>101</v>
      </c>
      <c r="C238" s="77"/>
      <c r="D238" s="153">
        <f>D236*0.2</f>
        <v>0</v>
      </c>
      <c r="E238" s="153">
        <f>E236*0.2</f>
        <v>0</v>
      </c>
      <c r="F238" s="153">
        <f>F236*0.2</f>
        <v>0</v>
      </c>
      <c r="G238" s="153">
        <f>G236*0.2</f>
        <v>0</v>
      </c>
      <c r="H238" s="153">
        <f>H236*0.2</f>
        <v>0</v>
      </c>
    </row>
    <row r="239" spans="1:11" x14ac:dyDescent="0.25">
      <c r="B239" s="134" t="s">
        <v>102</v>
      </c>
      <c r="D239" s="7">
        <f>SUM(D236:D238)</f>
        <v>0</v>
      </c>
      <c r="E239" s="7">
        <f>SUM(E236:E238)</f>
        <v>0</v>
      </c>
      <c r="F239" s="7">
        <f>SUM(F236:F238)</f>
        <v>0</v>
      </c>
      <c r="G239" s="7">
        <f>SUM(G236:G238)</f>
        <v>0</v>
      </c>
      <c r="H239" s="7">
        <f>SUM(H236:H238)</f>
        <v>0</v>
      </c>
    </row>
    <row r="240" spans="1:11" x14ac:dyDescent="0.25">
      <c r="B240" s="135"/>
      <c r="D240" s="181"/>
      <c r="E240" s="181"/>
      <c r="F240" s="181"/>
      <c r="G240" s="181"/>
      <c r="H240" s="7"/>
    </row>
    <row r="241" spans="1:8" ht="18.75" x14ac:dyDescent="0.3">
      <c r="A241" s="9" t="s">
        <v>112</v>
      </c>
      <c r="B241" s="136"/>
      <c r="D241" s="2">
        <f>D224</f>
        <v>2015</v>
      </c>
      <c r="E241" s="2">
        <f>D241+1</f>
        <v>2016</v>
      </c>
      <c r="F241" s="2">
        <f>E241+1</f>
        <v>2017</v>
      </c>
      <c r="G241" s="2">
        <f>F241+1</f>
        <v>2018</v>
      </c>
      <c r="H241" s="2">
        <f>G241+1</f>
        <v>2019</v>
      </c>
    </row>
    <row r="242" spans="1:8" x14ac:dyDescent="0.25">
      <c r="B242" s="67" t="str">
        <f>( 'Facility Detail'!$B$1159) &amp; " Surplus Applied to " &amp; ( 'Facility Detail'!$B$1159 + 1 )</f>
        <v>2015 Surplus Applied to 2016</v>
      </c>
      <c r="C242" s="33"/>
      <c r="D242" s="3">
        <f>D228+D233-D239</f>
        <v>505872</v>
      </c>
      <c r="E242" s="55">
        <f>D242</f>
        <v>505872</v>
      </c>
      <c r="F242" s="129"/>
      <c r="G242" s="129"/>
      <c r="H242" s="130"/>
    </row>
    <row r="243" spans="1:8" x14ac:dyDescent="0.25">
      <c r="B243" s="67" t="str">
        <f xml:space="preserve"> ( 'Facility Detail'!$B$1159 + 1 ) &amp; " Surplus Applied to " &amp; ( 'Facility Detail'!$B$1159 )</f>
        <v>2016 Surplus Applied to 2015</v>
      </c>
      <c r="C243" s="33"/>
      <c r="D243" s="148">
        <f>E243</f>
        <v>0</v>
      </c>
      <c r="E243" s="10">
        <v>0</v>
      </c>
      <c r="F243" s="125"/>
      <c r="G243" s="125"/>
      <c r="H243" s="131"/>
    </row>
    <row r="244" spans="1:8" x14ac:dyDescent="0.25">
      <c r="B244" s="133" t="str">
        <f xml:space="preserve"> ( 'Facility Detail'!$B$1159 + 1 ) &amp; " Surplus Applied to " &amp; ( 'Facility Detail'!$B$1159 + 2 )</f>
        <v>2016 Surplus Applied to 2017</v>
      </c>
      <c r="C244" s="33"/>
      <c r="D244" s="126"/>
      <c r="E244" s="10">
        <f>E228+E233-E239</f>
        <v>600880.80000000005</v>
      </c>
      <c r="F244" s="61">
        <f>E244</f>
        <v>600880.80000000005</v>
      </c>
      <c r="G244" s="125"/>
      <c r="H244" s="131"/>
    </row>
    <row r="245" spans="1:8" x14ac:dyDescent="0.25">
      <c r="B245" s="133" t="str">
        <f xml:space="preserve"> ( 'Facility Detail'!$B$1159 + 2 ) &amp; " Surplus Applied to " &amp; ( 'Facility Detail'!$B$1159 + 1 )</f>
        <v>2017 Surplus Applied to 2016</v>
      </c>
      <c r="C245" s="33"/>
      <c r="D245" s="126"/>
      <c r="E245" s="61">
        <v>0</v>
      </c>
      <c r="F245" s="10">
        <v>0</v>
      </c>
      <c r="G245" s="125"/>
      <c r="H245" s="131"/>
    </row>
    <row r="246" spans="1:8" x14ac:dyDescent="0.25">
      <c r="B246" s="179" t="str">
        <f xml:space="preserve"> ( 'Facility Detail'!$B$1159 + 2 ) &amp; " Surplus Applied to " &amp; ( 'Facility Detail'!$B$1159 + 3 )</f>
        <v>2017 Surplus Applied to 2018</v>
      </c>
      <c r="C246" s="33"/>
      <c r="D246" s="126"/>
      <c r="E246" s="125"/>
      <c r="F246" s="10">
        <f>F228+F233-F239</f>
        <v>496567.2</v>
      </c>
      <c r="G246" s="61">
        <f>F246</f>
        <v>496567.2</v>
      </c>
      <c r="H246" s="131"/>
    </row>
    <row r="247" spans="1:8" x14ac:dyDescent="0.25">
      <c r="B247" s="179" t="str">
        <f xml:space="preserve"> ( 'Facility Detail'!$B$1159 + 3 ) &amp; " Surplus Applied to " &amp; ( 'Facility Detail'!$B$1159 + 2 )</f>
        <v>2018 Surplus Applied to 2017</v>
      </c>
      <c r="C247" s="33"/>
      <c r="D247" s="126"/>
      <c r="E247" s="125"/>
      <c r="F247" s="61">
        <v>0</v>
      </c>
      <c r="G247" s="10">
        <v>0</v>
      </c>
      <c r="H247" s="131"/>
    </row>
    <row r="248" spans="1:8" x14ac:dyDescent="0.25">
      <c r="B248" s="179" t="str">
        <f xml:space="preserve"> ( 'Facility Detail'!$B$1159 + 3 ) &amp; " Surplus Applied to " &amp; ( 'Facility Detail'!$B$1159 + 4 )</f>
        <v>2018 Surplus Applied to 2019</v>
      </c>
      <c r="C248" s="33"/>
      <c r="D248" s="126"/>
      <c r="E248" s="125"/>
      <c r="F248" s="125"/>
      <c r="G248" s="10">
        <f>G228+G233-G239</f>
        <v>609891.6</v>
      </c>
      <c r="H248" s="56">
        <f>G248</f>
        <v>609891.6</v>
      </c>
    </row>
    <row r="249" spans="1:8" x14ac:dyDescent="0.25">
      <c r="B249" s="179" t="str">
        <f xml:space="preserve"> ( 'Facility Detail'!$B$1159 + 4 ) &amp; " Surplus Applied to " &amp; ( 'Facility Detail'!$B$1159 + 3 )</f>
        <v>2019 Surplus Applied to 2018</v>
      </c>
      <c r="C249" s="33"/>
      <c r="D249" s="127"/>
      <c r="E249" s="128"/>
      <c r="F249" s="128"/>
      <c r="G249" s="57">
        <v>0</v>
      </c>
      <c r="H249" s="48">
        <v>0</v>
      </c>
    </row>
    <row r="250" spans="1:8" x14ac:dyDescent="0.25">
      <c r="B250" s="134" t="s">
        <v>29</v>
      </c>
      <c r="D250" s="7">
        <f>D243-D242</f>
        <v>-505872</v>
      </c>
      <c r="E250" s="7">
        <f>E242+E245-E243-E244</f>
        <v>-95008.800000000047</v>
      </c>
      <c r="F250" s="7">
        <f>F244+F247-F245-F246</f>
        <v>104313.60000000003</v>
      </c>
      <c r="G250" s="7">
        <f>G246+G249-G247-G248</f>
        <v>-113324.39999999997</v>
      </c>
      <c r="H250" s="7">
        <f>H248 - H249</f>
        <v>609891.6</v>
      </c>
    </row>
    <row r="251" spans="1:8" x14ac:dyDescent="0.25">
      <c r="B251" s="135"/>
      <c r="D251" s="7"/>
      <c r="E251" s="7"/>
      <c r="F251" s="7"/>
      <c r="G251" s="7"/>
      <c r="H251" s="7"/>
    </row>
    <row r="252" spans="1:8" x14ac:dyDescent="0.25">
      <c r="B252" s="64" t="s">
        <v>24</v>
      </c>
      <c r="C252" s="62"/>
      <c r="D252" s="85"/>
      <c r="E252" s="123"/>
      <c r="F252" s="123"/>
      <c r="G252" s="123"/>
      <c r="H252" s="86"/>
    </row>
    <row r="253" spans="1:8" x14ac:dyDescent="0.25">
      <c r="B253" s="135"/>
      <c r="D253" s="7"/>
      <c r="E253" s="7"/>
      <c r="F253" s="7"/>
      <c r="G253" s="7"/>
      <c r="H253" s="7"/>
    </row>
    <row r="254" spans="1:8" ht="18.75" x14ac:dyDescent="0.3">
      <c r="A254" s="42" t="s">
        <v>38</v>
      </c>
      <c r="B254" s="136"/>
      <c r="C254" s="62"/>
      <c r="D254" s="124">
        <f>D228+D233-D239+D250+D252</f>
        <v>0</v>
      </c>
      <c r="E254" s="124">
        <f>E228+E233-E239+E250+E252</f>
        <v>505872</v>
      </c>
      <c r="F254" s="124">
        <f>F228+F233-F239+F250+F252</f>
        <v>600880.80000000005</v>
      </c>
      <c r="G254" s="124">
        <f>G228+G233-G239+G250+G252</f>
        <v>496567.2</v>
      </c>
      <c r="H254" s="206">
        <f>H228+H233-H239+H250+H252</f>
        <v>730413.45600000001</v>
      </c>
    </row>
    <row r="255" spans="1:8" x14ac:dyDescent="0.25">
      <c r="B255" s="135"/>
      <c r="C255" s="139" t="s">
        <v>184</v>
      </c>
      <c r="D255" s="7">
        <v>323934</v>
      </c>
      <c r="E255" s="7">
        <v>323934</v>
      </c>
      <c r="F255" s="32">
        <v>500734</v>
      </c>
      <c r="G255" s="32"/>
      <c r="H255" s="32"/>
    </row>
    <row r="256" spans="1:8" s="33" customFormat="1" x14ac:dyDescent="0.25">
      <c r="B256" s="23"/>
      <c r="C256" s="139"/>
    </row>
    <row r="257" spans="1:11" x14ac:dyDescent="0.25">
      <c r="A257" s="33"/>
      <c r="B257" s="23"/>
      <c r="C257" s="33"/>
      <c r="D257" s="33"/>
      <c r="E257" s="33"/>
      <c r="F257" s="33"/>
      <c r="G257" s="33"/>
      <c r="H257" s="33"/>
    </row>
    <row r="258" spans="1:11" x14ac:dyDescent="0.25">
      <c r="B258" s="23"/>
      <c r="C258" s="33"/>
      <c r="D258" s="33"/>
      <c r="E258" s="33"/>
      <c r="F258" s="33"/>
      <c r="G258" s="33"/>
      <c r="H258" s="33"/>
    </row>
    <row r="259" spans="1:11" ht="21" x14ac:dyDescent="0.35">
      <c r="A259" s="13"/>
      <c r="B259" s="137"/>
      <c r="C259" s="43" t="str">
        <f>B10</f>
        <v>Lower Snake River - Phalen Gulch</v>
      </c>
      <c r="D259" s="23"/>
      <c r="E259" s="23"/>
    </row>
    <row r="260" spans="1:11" x14ac:dyDescent="0.25">
      <c r="B260" s="136"/>
      <c r="D260" s="1"/>
    </row>
    <row r="261" spans="1:11" ht="18.75" x14ac:dyDescent="0.3">
      <c r="A261" s="9" t="s">
        <v>33</v>
      </c>
      <c r="B261" s="138"/>
      <c r="D261" s="2">
        <f>D41</f>
        <v>2015</v>
      </c>
      <c r="E261" s="2">
        <f>D261+1</f>
        <v>2016</v>
      </c>
      <c r="F261" s="132">
        <f>E261+1</f>
        <v>2017</v>
      </c>
      <c r="G261" s="132">
        <f>F261+1</f>
        <v>2018</v>
      </c>
      <c r="H261" s="132">
        <f>G261+1</f>
        <v>2019</v>
      </c>
    </row>
    <row r="262" spans="1:11" x14ac:dyDescent="0.25">
      <c r="B262" s="133" t="str">
        <f>"Total MWh Produced / Purchased from " &amp; C259</f>
        <v>Total MWh Produced / Purchased from Lower Snake River - Phalen Gulch</v>
      </c>
      <c r="C262" s="62"/>
      <c r="D262" s="4">
        <v>314175</v>
      </c>
      <c r="E262" s="4">
        <v>367953</v>
      </c>
      <c r="F262" s="4">
        <v>299266</v>
      </c>
      <c r="G262" s="4">
        <v>370818</v>
      </c>
      <c r="H262" s="5">
        <f>K265</f>
        <v>71411.73000000001</v>
      </c>
      <c r="J262" s="204">
        <v>43466</v>
      </c>
      <c r="K262" s="1">
        <v>16179.32</v>
      </c>
    </row>
    <row r="263" spans="1:11" x14ac:dyDescent="0.25">
      <c r="B263" s="133" t="s">
        <v>37</v>
      </c>
      <c r="C263" s="62"/>
      <c r="D263" s="146">
        <v>1</v>
      </c>
      <c r="E263" s="146">
        <v>1</v>
      </c>
      <c r="F263" s="146">
        <v>1</v>
      </c>
      <c r="G263" s="146">
        <v>1</v>
      </c>
      <c r="H263" s="147">
        <v>1</v>
      </c>
      <c r="J263" s="204">
        <v>43497</v>
      </c>
      <c r="K263" s="1">
        <v>16624.93</v>
      </c>
    </row>
    <row r="264" spans="1:11" x14ac:dyDescent="0.25">
      <c r="B264" s="133" t="s">
        <v>32</v>
      </c>
      <c r="C264" s="62"/>
      <c r="D264" s="49">
        <v>1</v>
      </c>
      <c r="E264" s="49">
        <v>1</v>
      </c>
      <c r="F264" s="49">
        <v>1</v>
      </c>
      <c r="G264" s="49">
        <v>1</v>
      </c>
      <c r="H264" s="50">
        <v>1</v>
      </c>
      <c r="J264" s="204">
        <v>43525</v>
      </c>
      <c r="K264" s="1">
        <v>38607.480000000003</v>
      </c>
    </row>
    <row r="265" spans="1:11" x14ac:dyDescent="0.25">
      <c r="B265" s="64" t="s">
        <v>34</v>
      </c>
      <c r="C265" s="65"/>
      <c r="D265" s="145">
        <f xml:space="preserve"> D262 * D263 * D264</f>
        <v>314175</v>
      </c>
      <c r="E265" s="145">
        <f xml:space="preserve"> E262 * E263 * E264</f>
        <v>367953</v>
      </c>
      <c r="F265" s="145">
        <f xml:space="preserve"> F262 * F263 * F264</f>
        <v>299266</v>
      </c>
      <c r="G265" s="145">
        <f xml:space="preserve"> G262 * G263 * G264</f>
        <v>370818</v>
      </c>
      <c r="H265" s="145">
        <f xml:space="preserve"> H262 * H263 * H264</f>
        <v>71411.73000000001</v>
      </c>
      <c r="K265" s="1">
        <f>SUM(K262:K264)</f>
        <v>71411.73000000001</v>
      </c>
    </row>
    <row r="266" spans="1:11" x14ac:dyDescent="0.25">
      <c r="B266" s="23"/>
      <c r="C266" s="33"/>
      <c r="D266" s="182"/>
      <c r="E266" s="182"/>
      <c r="F266" s="182"/>
      <c r="G266" s="181"/>
      <c r="H266" s="40"/>
    </row>
    <row r="267" spans="1:11" ht="18.75" x14ac:dyDescent="0.3">
      <c r="A267" s="45" t="s">
        <v>131</v>
      </c>
      <c r="B267" s="136"/>
      <c r="C267" s="33"/>
      <c r="D267" s="2">
        <f>D261</f>
        <v>2015</v>
      </c>
      <c r="E267" s="2">
        <f>D267+1</f>
        <v>2016</v>
      </c>
      <c r="F267" s="2">
        <f>E267+1</f>
        <v>2017</v>
      </c>
      <c r="G267" s="2">
        <f>F267+1</f>
        <v>2018</v>
      </c>
      <c r="H267" s="2">
        <f>G267+1</f>
        <v>2019</v>
      </c>
    </row>
    <row r="268" spans="1:11" x14ac:dyDescent="0.25">
      <c r="B268" s="133" t="s">
        <v>22</v>
      </c>
      <c r="C268" s="62"/>
      <c r="D268" s="11">
        <f>IF( $F10 = "Eligible", D265 * 'Facility Detail'!$B$1156, 0 )</f>
        <v>62835</v>
      </c>
      <c r="E268" s="121">
        <f>IF( $F10 = "Eligible", E265 * 'Facility Detail'!$B$1156, 0 )</f>
        <v>73590.600000000006</v>
      </c>
      <c r="F268" s="121">
        <f>IF( $F10 = "Eligible", F265 * 'Facility Detail'!$B$1156, 0 )</f>
        <v>59853.200000000004</v>
      </c>
      <c r="G268" s="121">
        <f>IF( $F10 = "Eligible", G265 * 'Facility Detail'!$B$1156, 0 )</f>
        <v>74163.600000000006</v>
      </c>
      <c r="H268" s="121">
        <f>IF( $F10 = "Eligible", H265 * 'Facility Detail'!$B$1156, 0 )</f>
        <v>14282.346000000003</v>
      </c>
    </row>
    <row r="269" spans="1:11" x14ac:dyDescent="0.25">
      <c r="B269" s="133" t="s">
        <v>6</v>
      </c>
      <c r="C269" s="62"/>
      <c r="D269" s="53">
        <f>IF( $G10 = "Eligible", D265, 0 )</f>
        <v>0</v>
      </c>
      <c r="E269" s="53">
        <f>IF( $G10 = "Eligible", E265, 0 )</f>
        <v>0</v>
      </c>
      <c r="F269" s="53">
        <f>IF( $G10 = "Eligible", F265, 0 )</f>
        <v>0</v>
      </c>
      <c r="G269" s="122">
        <f>IF( $G10 = "Eligible", G265, 0 )</f>
        <v>0</v>
      </c>
      <c r="H269" s="53">
        <f>IF( $G10 = "Eligible", H265, 0 )</f>
        <v>0</v>
      </c>
    </row>
    <row r="270" spans="1:11" x14ac:dyDescent="0.25">
      <c r="B270" s="64" t="s">
        <v>133</v>
      </c>
      <c r="C270" s="65"/>
      <c r="D270" s="41">
        <f>SUM(D268:D269)</f>
        <v>62835</v>
      </c>
      <c r="E270" s="41">
        <f>SUM(E268:E269)</f>
        <v>73590.600000000006</v>
      </c>
      <c r="F270" s="41">
        <f>SUM(F268:F269)</f>
        <v>59853.200000000004</v>
      </c>
      <c r="G270" s="41">
        <f>SUM(G268:G269)</f>
        <v>74163.600000000006</v>
      </c>
      <c r="H270" s="41">
        <f>SUM(H268:H269)</f>
        <v>14282.346000000003</v>
      </c>
    </row>
    <row r="271" spans="1:11" x14ac:dyDescent="0.25">
      <c r="B271" s="23"/>
      <c r="C271" s="33"/>
      <c r="D271" s="183"/>
      <c r="E271" s="183"/>
      <c r="F271" s="183"/>
      <c r="G271" s="183"/>
      <c r="H271" s="34"/>
    </row>
    <row r="272" spans="1:11" ht="18.75" x14ac:dyDescent="0.3">
      <c r="A272" s="42" t="s">
        <v>42</v>
      </c>
      <c r="B272" s="136"/>
      <c r="C272" s="33"/>
      <c r="D272" s="2">
        <f>D261</f>
        <v>2015</v>
      </c>
      <c r="E272" s="2">
        <f>D272+1</f>
        <v>2016</v>
      </c>
      <c r="F272" s="2">
        <f>E272+1</f>
        <v>2017</v>
      </c>
      <c r="G272" s="2">
        <f>F272+1</f>
        <v>2018</v>
      </c>
      <c r="H272" s="2">
        <f>G272+1</f>
        <v>2019</v>
      </c>
    </row>
    <row r="273" spans="1:8" x14ac:dyDescent="0.25">
      <c r="B273" s="133" t="s">
        <v>59</v>
      </c>
      <c r="C273" s="62"/>
      <c r="D273" s="4">
        <v>12732</v>
      </c>
      <c r="E273" s="4">
        <v>0</v>
      </c>
      <c r="F273" s="4">
        <v>0</v>
      </c>
      <c r="G273" s="4">
        <v>0</v>
      </c>
      <c r="H273" s="5">
        <v>0</v>
      </c>
    </row>
    <row r="274" spans="1:8" x14ac:dyDescent="0.25">
      <c r="B274" s="78" t="s">
        <v>35</v>
      </c>
      <c r="C274" s="69"/>
      <c r="D274" s="151"/>
      <c r="E274" s="151"/>
      <c r="F274" s="151"/>
      <c r="G274" s="151"/>
      <c r="H274" s="152"/>
    </row>
    <row r="275" spans="1:8" x14ac:dyDescent="0.25">
      <c r="B275" s="78" t="s">
        <v>101</v>
      </c>
      <c r="C275" s="77"/>
      <c r="D275" s="203">
        <f>D273*$B$1156</f>
        <v>2546.4</v>
      </c>
      <c r="E275" s="203">
        <f>E273*$B$1156</f>
        <v>0</v>
      </c>
      <c r="F275" s="203">
        <f>F273*$B$1156</f>
        <v>0</v>
      </c>
      <c r="G275" s="153">
        <f>G273*$B$1156</f>
        <v>0</v>
      </c>
      <c r="H275" s="203">
        <f>H273*$B$1156</f>
        <v>0</v>
      </c>
    </row>
    <row r="276" spans="1:8" x14ac:dyDescent="0.25">
      <c r="B276" s="134" t="s">
        <v>102</v>
      </c>
      <c r="D276" s="7">
        <f>SUM(D273:D275)</f>
        <v>15278.4</v>
      </c>
      <c r="E276" s="7">
        <f>SUM(E273:E275)</f>
        <v>0</v>
      </c>
      <c r="F276" s="7">
        <f>SUM(F273:F275)</f>
        <v>0</v>
      </c>
      <c r="G276" s="7">
        <f>SUM(G273:G275)</f>
        <v>0</v>
      </c>
      <c r="H276" s="7">
        <f>SUM(H273:H275)</f>
        <v>0</v>
      </c>
    </row>
    <row r="277" spans="1:8" x14ac:dyDescent="0.25">
      <c r="B277" s="135"/>
      <c r="D277" s="181"/>
      <c r="E277" s="181"/>
      <c r="F277" s="181"/>
      <c r="G277" s="181"/>
      <c r="H277" s="7"/>
    </row>
    <row r="278" spans="1:8" ht="18.75" x14ac:dyDescent="0.3">
      <c r="A278" s="9" t="s">
        <v>112</v>
      </c>
      <c r="B278" s="136"/>
      <c r="D278" s="2">
        <f>D261</f>
        <v>2015</v>
      </c>
      <c r="E278" s="2">
        <f>D278+1</f>
        <v>2016</v>
      </c>
      <c r="F278" s="2">
        <f>E278+1</f>
        <v>2017</v>
      </c>
      <c r="G278" s="2">
        <f>F278+1</f>
        <v>2018</v>
      </c>
      <c r="H278" s="2">
        <f>G278+1</f>
        <v>2019</v>
      </c>
    </row>
    <row r="279" spans="1:8" x14ac:dyDescent="0.25">
      <c r="B279" s="67" t="str">
        <f>( 'Facility Detail'!$B$1159) &amp; " Surplus Applied to " &amp; ( 'Facility Detail'!$B$1159 + 1 )</f>
        <v>2015 Surplus Applied to 2016</v>
      </c>
      <c r="C279" s="33"/>
      <c r="D279" s="3">
        <f>D265+D270-D276</f>
        <v>361731.6</v>
      </c>
      <c r="E279" s="55">
        <f>D279</f>
        <v>361731.6</v>
      </c>
      <c r="F279" s="129"/>
      <c r="G279" s="129"/>
      <c r="H279" s="130"/>
    </row>
    <row r="280" spans="1:8" x14ac:dyDescent="0.25">
      <c r="B280" s="67" t="str">
        <f xml:space="preserve"> ( 'Facility Detail'!$B$1159 + 1 ) &amp; " Surplus Applied to " &amp; ( 'Facility Detail'!$B$1159 )</f>
        <v>2016 Surplus Applied to 2015</v>
      </c>
      <c r="C280" s="33"/>
      <c r="D280" s="148">
        <v>0</v>
      </c>
      <c r="E280" s="10">
        <v>0</v>
      </c>
      <c r="F280" s="125"/>
      <c r="G280" s="125"/>
      <c r="H280" s="131"/>
    </row>
    <row r="281" spans="1:8" x14ac:dyDescent="0.25">
      <c r="B281" s="133" t="str">
        <f xml:space="preserve"> ( 'Facility Detail'!$B$1159 + 1 ) &amp; " Surplus Applied to " &amp; ( 'Facility Detail'!$B$1159 + 2 )</f>
        <v>2016 Surplus Applied to 2017</v>
      </c>
      <c r="C281" s="33"/>
      <c r="D281" s="126"/>
      <c r="E281" s="10">
        <f>E265+E270-E276</f>
        <v>441543.6</v>
      </c>
      <c r="F281" s="61">
        <f>E281</f>
        <v>441543.6</v>
      </c>
      <c r="G281" s="125"/>
      <c r="H281" s="131"/>
    </row>
    <row r="282" spans="1:8" x14ac:dyDescent="0.25">
      <c r="B282" s="133" t="str">
        <f xml:space="preserve"> ( 'Facility Detail'!$B$1159 + 2 ) &amp; " Surplus Applied to " &amp; ( 'Facility Detail'!$B$1159 + 1 )</f>
        <v>2017 Surplus Applied to 2016</v>
      </c>
      <c r="C282" s="33"/>
      <c r="D282" s="126"/>
      <c r="E282" s="61">
        <v>0</v>
      </c>
      <c r="F282" s="10">
        <v>0</v>
      </c>
      <c r="G282" s="125"/>
      <c r="H282" s="131"/>
    </row>
    <row r="283" spans="1:8" x14ac:dyDescent="0.25">
      <c r="B283" s="179" t="str">
        <f xml:space="preserve"> ( 'Facility Detail'!$B$1159 + 2 ) &amp; " Surplus Applied to " &amp; ( 'Facility Detail'!$B$1159 + 3 )</f>
        <v>2017 Surplus Applied to 2018</v>
      </c>
      <c r="C283" s="33"/>
      <c r="D283" s="126"/>
      <c r="E283" s="125"/>
      <c r="F283" s="10">
        <f>F265+F270-F276</f>
        <v>359119.2</v>
      </c>
      <c r="G283" s="61">
        <f>F283</f>
        <v>359119.2</v>
      </c>
      <c r="H283" s="131"/>
    </row>
    <row r="284" spans="1:8" x14ac:dyDescent="0.25">
      <c r="B284" s="179" t="str">
        <f xml:space="preserve"> ( 'Facility Detail'!$B$1159 + 3 ) &amp; " Surplus Applied to " &amp; ( 'Facility Detail'!$B$1159 + 2 )</f>
        <v>2018 Surplus Applied to 2017</v>
      </c>
      <c r="C284" s="33"/>
      <c r="D284" s="126"/>
      <c r="E284" s="125"/>
      <c r="F284" s="61">
        <v>0</v>
      </c>
      <c r="G284" s="10">
        <v>0</v>
      </c>
      <c r="H284" s="131"/>
    </row>
    <row r="285" spans="1:8" x14ac:dyDescent="0.25">
      <c r="B285" s="179" t="str">
        <f xml:space="preserve"> ( 'Facility Detail'!$B$1159 + 3 ) &amp; " Surplus Applied to " &amp; ( 'Facility Detail'!$B$1159 + 4 )</f>
        <v>2018 Surplus Applied to 2019</v>
      </c>
      <c r="C285" s="33"/>
      <c r="D285" s="126"/>
      <c r="E285" s="125"/>
      <c r="F285" s="125"/>
      <c r="G285" s="10">
        <f>G265+G270-G276</f>
        <v>444981.6</v>
      </c>
      <c r="H285" s="56">
        <f>G285</f>
        <v>444981.6</v>
      </c>
    </row>
    <row r="286" spans="1:8" x14ac:dyDescent="0.25">
      <c r="B286" s="179" t="str">
        <f xml:space="preserve"> ( 'Facility Detail'!$B$1159 + 4 ) &amp; " Surplus Applied to " &amp; ( 'Facility Detail'!$B$1159 + 3 )</f>
        <v>2019 Surplus Applied to 2018</v>
      </c>
      <c r="C286" s="33"/>
      <c r="D286" s="127"/>
      <c r="E286" s="128"/>
      <c r="F286" s="128"/>
      <c r="G286" s="57">
        <v>0</v>
      </c>
      <c r="H286" s="48">
        <v>0</v>
      </c>
    </row>
    <row r="287" spans="1:8" x14ac:dyDescent="0.25">
      <c r="B287" s="134" t="s">
        <v>29</v>
      </c>
      <c r="D287" s="7">
        <f>D280-D279</f>
        <v>-361731.6</v>
      </c>
      <c r="E287" s="7">
        <f>E279+E282-E280-E281</f>
        <v>-79812</v>
      </c>
      <c r="F287" s="7">
        <f>F281+F284-F282-F283</f>
        <v>82424.399999999965</v>
      </c>
      <c r="G287" s="7">
        <f>G283+G286-G284-G285</f>
        <v>-85862.399999999965</v>
      </c>
      <c r="H287" s="7">
        <f>H285 - H286</f>
        <v>444981.6</v>
      </c>
    </row>
    <row r="288" spans="1:8" x14ac:dyDescent="0.25">
      <c r="B288" s="135"/>
      <c r="D288" s="7"/>
      <c r="E288" s="7"/>
      <c r="F288" s="7"/>
      <c r="G288" s="7"/>
      <c r="H288" s="7"/>
    </row>
    <row r="289" spans="1:8" x14ac:dyDescent="0.25">
      <c r="B289" s="64" t="s">
        <v>24</v>
      </c>
      <c r="C289" s="62"/>
      <c r="D289" s="85"/>
      <c r="E289" s="123"/>
      <c r="F289" s="123"/>
      <c r="G289" s="123"/>
      <c r="H289" s="86"/>
    </row>
    <row r="290" spans="1:8" x14ac:dyDescent="0.25">
      <c r="B290" s="135"/>
      <c r="D290" s="7"/>
      <c r="E290" s="7"/>
      <c r="F290" s="7"/>
      <c r="G290" s="7"/>
      <c r="H290" s="7"/>
    </row>
    <row r="291" spans="1:8" ht="18.75" x14ac:dyDescent="0.3">
      <c r="A291" s="42" t="s">
        <v>38</v>
      </c>
      <c r="B291" s="136"/>
      <c r="C291" s="62"/>
      <c r="D291" s="124">
        <f>D265+D270-D276+D287+D289</f>
        <v>0</v>
      </c>
      <c r="E291" s="124">
        <f>E265+E270-E276+E287+E289</f>
        <v>361731.6</v>
      </c>
      <c r="F291" s="124">
        <f>F265+F270-F276+F287+F289</f>
        <v>441543.6</v>
      </c>
      <c r="G291" s="124">
        <f>G265+G270-G276+G287+G289</f>
        <v>359119.2</v>
      </c>
      <c r="H291" s="206">
        <f>H265+H270-H276+H287+H289</f>
        <v>530675.67599999998</v>
      </c>
    </row>
    <row r="292" spans="1:8" x14ac:dyDescent="0.25">
      <c r="B292" s="135"/>
      <c r="C292" s="139" t="s">
        <v>184</v>
      </c>
      <c r="D292" s="7">
        <v>205228</v>
      </c>
      <c r="E292" s="7">
        <v>361732</v>
      </c>
      <c r="F292" s="32">
        <v>367953</v>
      </c>
      <c r="G292" s="32"/>
      <c r="H292" s="32"/>
    </row>
    <row r="293" spans="1:8" x14ac:dyDescent="0.25">
      <c r="B293" s="136"/>
      <c r="C293" s="139"/>
      <c r="D293" s="7"/>
    </row>
    <row r="294" spans="1:8" s="33" customFormat="1" x14ac:dyDescent="0.25">
      <c r="B294" s="23"/>
    </row>
    <row r="295" spans="1:8" x14ac:dyDescent="0.25">
      <c r="B295" s="23"/>
      <c r="C295" s="33"/>
      <c r="D295" s="33"/>
      <c r="E295" s="33"/>
      <c r="F295" s="33"/>
      <c r="G295" s="33"/>
      <c r="H295" s="33"/>
    </row>
    <row r="296" spans="1:8" ht="21" x14ac:dyDescent="0.35">
      <c r="A296" s="13" t="s">
        <v>4</v>
      </c>
      <c r="B296" s="137"/>
      <c r="C296" s="43" t="str">
        <f>B11</f>
        <v>Wanapum Fish Bypass</v>
      </c>
      <c r="D296" s="23"/>
      <c r="E296" s="23"/>
    </row>
    <row r="297" spans="1:8" x14ac:dyDescent="0.25">
      <c r="B297" s="136"/>
      <c r="D297" s="1"/>
    </row>
    <row r="298" spans="1:8" ht="18.75" x14ac:dyDescent="0.3">
      <c r="A298" s="9" t="s">
        <v>33</v>
      </c>
      <c r="B298" s="138"/>
      <c r="D298" s="2">
        <f>D41</f>
        <v>2015</v>
      </c>
      <c r="E298" s="2">
        <f>D298+1</f>
        <v>2016</v>
      </c>
      <c r="F298" s="132">
        <f>E298+1</f>
        <v>2017</v>
      </c>
      <c r="G298" s="132">
        <f>F298+1</f>
        <v>2018</v>
      </c>
      <c r="H298" s="132">
        <f>G298+1</f>
        <v>2019</v>
      </c>
    </row>
    <row r="299" spans="1:8" x14ac:dyDescent="0.25">
      <c r="B299" s="133" t="str">
        <f>"Total MWh Produced / Purchased from " &amp; C296</f>
        <v>Total MWh Produced / Purchased from Wanapum Fish Bypass</v>
      </c>
      <c r="C299" s="62"/>
      <c r="D299" s="4" t="s">
        <v>1</v>
      </c>
      <c r="E299" s="4" t="s">
        <v>1</v>
      </c>
      <c r="F299" s="4" t="s">
        <v>1</v>
      </c>
      <c r="G299" s="4" t="s">
        <v>1</v>
      </c>
      <c r="H299" s="5" t="s">
        <v>1</v>
      </c>
    </row>
    <row r="300" spans="1:8" x14ac:dyDescent="0.25">
      <c r="B300" s="133" t="s">
        <v>37</v>
      </c>
      <c r="C300" s="62"/>
      <c r="D300" s="146">
        <v>1</v>
      </c>
      <c r="E300" s="146">
        <v>1</v>
      </c>
      <c r="F300" s="146">
        <v>1</v>
      </c>
      <c r="G300" s="146">
        <v>1</v>
      </c>
      <c r="H300" s="147">
        <v>1</v>
      </c>
    </row>
    <row r="301" spans="1:8" x14ac:dyDescent="0.25">
      <c r="B301" s="133" t="s">
        <v>32</v>
      </c>
      <c r="C301" s="62"/>
      <c r="D301" s="49">
        <v>1</v>
      </c>
      <c r="E301" s="49">
        <v>1</v>
      </c>
      <c r="F301" s="49">
        <v>1</v>
      </c>
      <c r="G301" s="49">
        <v>1</v>
      </c>
      <c r="H301" s="50">
        <v>1</v>
      </c>
    </row>
    <row r="302" spans="1:8" x14ac:dyDescent="0.25">
      <c r="B302" s="64" t="s">
        <v>34</v>
      </c>
      <c r="C302" s="65"/>
      <c r="D302" s="145">
        <v>0</v>
      </c>
      <c r="E302" s="145">
        <v>0</v>
      </c>
      <c r="F302" s="145">
        <v>0</v>
      </c>
      <c r="G302" s="145">
        <v>0</v>
      </c>
      <c r="H302" s="145">
        <v>0</v>
      </c>
    </row>
    <row r="303" spans="1:8" x14ac:dyDescent="0.25">
      <c r="B303" s="23"/>
      <c r="C303" s="33"/>
      <c r="D303" s="40"/>
      <c r="E303" s="40"/>
      <c r="F303" s="40"/>
      <c r="G303" s="181"/>
      <c r="H303" s="40"/>
    </row>
    <row r="304" spans="1:8" ht="18.75" x14ac:dyDescent="0.3">
      <c r="A304" s="45" t="s">
        <v>131</v>
      </c>
      <c r="B304" s="136"/>
      <c r="C304" s="33"/>
      <c r="D304" s="2">
        <f>D298</f>
        <v>2015</v>
      </c>
      <c r="E304" s="2">
        <f>D304+1</f>
        <v>2016</v>
      </c>
      <c r="F304" s="2">
        <f>E304+1</f>
        <v>2017</v>
      </c>
      <c r="G304" s="2">
        <f>F304+1</f>
        <v>2018</v>
      </c>
      <c r="H304" s="2">
        <f>G304+1</f>
        <v>2019</v>
      </c>
    </row>
    <row r="305" spans="1:8" x14ac:dyDescent="0.25">
      <c r="B305" s="133" t="s">
        <v>22</v>
      </c>
      <c r="C305" s="62"/>
      <c r="D305" s="11">
        <f>IF( $F11 = "Eligible", D302 * 'Facility Detail'!$B$1156, 0 )</f>
        <v>0</v>
      </c>
      <c r="E305" s="121">
        <f>IF( $F11 = "Eligible", E302 * 'Facility Detail'!$B$1156, 0 )</f>
        <v>0</v>
      </c>
      <c r="F305" s="121">
        <f>IF( $F11 = "Eligible", F302 * 'Facility Detail'!$B$1156, 0 )</f>
        <v>0</v>
      </c>
      <c r="G305" s="121">
        <f>IF( $F11 = "Eligible", G302 * 'Facility Detail'!$B$1156, 0 )</f>
        <v>0</v>
      </c>
      <c r="H305" s="12">
        <f>IF( $F11 = "Eligible", H302 * 'Facility Detail'!$B$1156, 0 )</f>
        <v>0</v>
      </c>
    </row>
    <row r="306" spans="1:8" x14ac:dyDescent="0.25">
      <c r="B306" s="133" t="s">
        <v>6</v>
      </c>
      <c r="C306" s="62"/>
      <c r="D306" s="53">
        <f>IF( $G11 = "Eligible", D302, 0 )</f>
        <v>0</v>
      </c>
      <c r="E306" s="122">
        <f>IF( $G11 = "Eligible", E302, 0 )</f>
        <v>0</v>
      </c>
      <c r="F306" s="122">
        <f>IF( $G11 = "Eligible", F302, 0 )</f>
        <v>0</v>
      </c>
      <c r="G306" s="122">
        <f>IF( $G11 = "Eligible", G302, 0 )</f>
        <v>0</v>
      </c>
      <c r="H306" s="54">
        <f>IF( $G11 = "Eligible", H302, 0 )</f>
        <v>0</v>
      </c>
    </row>
    <row r="307" spans="1:8" x14ac:dyDescent="0.25">
      <c r="B307" s="64" t="s">
        <v>133</v>
      </c>
      <c r="C307" s="65"/>
      <c r="D307" s="41">
        <f>SUM(D305:D306)</f>
        <v>0</v>
      </c>
      <c r="E307" s="41">
        <f>SUM(E305:E306)</f>
        <v>0</v>
      </c>
      <c r="F307" s="41">
        <f>SUM(F305:F306)</f>
        <v>0</v>
      </c>
      <c r="G307" s="41">
        <f>SUM(G305:G306)</f>
        <v>0</v>
      </c>
      <c r="H307" s="41">
        <f>SUM(H305:H306)</f>
        <v>0</v>
      </c>
    </row>
    <row r="308" spans="1:8" x14ac:dyDescent="0.25">
      <c r="B308" s="23"/>
      <c r="C308" s="33"/>
      <c r="D308" s="34"/>
      <c r="E308" s="34"/>
      <c r="F308" s="34"/>
      <c r="G308" s="183"/>
      <c r="H308" s="34"/>
    </row>
    <row r="309" spans="1:8" ht="18.75" x14ac:dyDescent="0.3">
      <c r="A309" s="42" t="s">
        <v>42</v>
      </c>
      <c r="B309" s="136"/>
      <c r="C309" s="33"/>
      <c r="D309" s="2">
        <f>D298</f>
        <v>2015</v>
      </c>
      <c r="E309" s="2">
        <f>D309+1</f>
        <v>2016</v>
      </c>
      <c r="F309" s="2">
        <f>E309+1</f>
        <v>2017</v>
      </c>
      <c r="G309" s="2">
        <f>F309+1</f>
        <v>2018</v>
      </c>
      <c r="H309" s="2">
        <f>G309+1</f>
        <v>2019</v>
      </c>
    </row>
    <row r="310" spans="1:8" x14ac:dyDescent="0.25">
      <c r="B310" s="133" t="s">
        <v>59</v>
      </c>
      <c r="C310" s="62"/>
      <c r="D310" s="4"/>
      <c r="E310" s="4"/>
      <c r="F310" s="4"/>
      <c r="G310" s="4"/>
      <c r="H310" s="5"/>
    </row>
    <row r="311" spans="1:8" x14ac:dyDescent="0.25">
      <c r="B311" s="78" t="s">
        <v>35</v>
      </c>
      <c r="C311" s="69"/>
      <c r="D311" s="151"/>
      <c r="E311" s="151"/>
      <c r="F311" s="151"/>
      <c r="G311" s="151"/>
      <c r="H311" s="152"/>
    </row>
    <row r="312" spans="1:8" x14ac:dyDescent="0.25">
      <c r="B312" s="78" t="s">
        <v>101</v>
      </c>
      <c r="C312" s="77"/>
      <c r="D312" s="153"/>
      <c r="E312" s="153"/>
      <c r="F312" s="153"/>
      <c r="G312" s="153"/>
      <c r="H312" s="154"/>
    </row>
    <row r="313" spans="1:8" x14ac:dyDescent="0.25">
      <c r="B313" s="134" t="s">
        <v>102</v>
      </c>
      <c r="D313" s="7">
        <f>SUM(D310:D312)</f>
        <v>0</v>
      </c>
      <c r="E313" s="7">
        <f>SUM(E310:E312)</f>
        <v>0</v>
      </c>
      <c r="F313" s="7">
        <f>SUM(F310:F312)</f>
        <v>0</v>
      </c>
      <c r="G313" s="7">
        <f>SUM(G310:G312)</f>
        <v>0</v>
      </c>
      <c r="H313" s="7">
        <f>SUM(H310:H312)</f>
        <v>0</v>
      </c>
    </row>
    <row r="314" spans="1:8" x14ac:dyDescent="0.25">
      <c r="B314" s="135"/>
      <c r="D314" s="7"/>
      <c r="E314" s="7"/>
      <c r="F314" s="7"/>
      <c r="G314" s="181"/>
      <c r="H314" s="7"/>
    </row>
    <row r="315" spans="1:8" ht="18.75" x14ac:dyDescent="0.3">
      <c r="A315" s="9" t="s">
        <v>112</v>
      </c>
      <c r="B315" s="136"/>
      <c r="D315" s="2">
        <f>D298</f>
        <v>2015</v>
      </c>
      <c r="E315" s="2">
        <f>D315+1</f>
        <v>2016</v>
      </c>
      <c r="F315" s="2">
        <f>E315+1</f>
        <v>2017</v>
      </c>
      <c r="G315" s="2">
        <f>F315+1</f>
        <v>2018</v>
      </c>
      <c r="H315" s="2">
        <f>G315+1</f>
        <v>2019</v>
      </c>
    </row>
    <row r="316" spans="1:8" x14ac:dyDescent="0.25">
      <c r="B316" s="67" t="str">
        <f>( 'Facility Detail'!$B$1159) &amp; " Surplus Applied to " &amp; ( 'Facility Detail'!$B$1159 + 1 )</f>
        <v>2015 Surplus Applied to 2016</v>
      </c>
      <c r="C316" s="33"/>
      <c r="D316" s="3">
        <f>D302+D307-D313</f>
        <v>0</v>
      </c>
      <c r="E316" s="55">
        <f>D316</f>
        <v>0</v>
      </c>
      <c r="F316" s="129"/>
      <c r="G316" s="129"/>
      <c r="H316" s="130"/>
    </row>
    <row r="317" spans="1:8" x14ac:dyDescent="0.25">
      <c r="B317" s="67" t="str">
        <f xml:space="preserve"> ( 'Facility Detail'!$B$1159 + 1 ) &amp; " Surplus Applied to " &amp; ( 'Facility Detail'!$B$1159 )</f>
        <v>2016 Surplus Applied to 2015</v>
      </c>
      <c r="C317" s="33"/>
      <c r="D317" s="148">
        <v>0</v>
      </c>
      <c r="E317" s="10">
        <v>0</v>
      </c>
      <c r="F317" s="125"/>
      <c r="G317" s="125"/>
      <c r="H317" s="131"/>
    </row>
    <row r="318" spans="1:8" x14ac:dyDescent="0.25">
      <c r="B318" s="133" t="str">
        <f xml:space="preserve"> ( 'Facility Detail'!$B$1159 + 1 ) &amp; " Surplus Applied to " &amp; ( 'Facility Detail'!$B$1159 + 2 )</f>
        <v>2016 Surplus Applied to 2017</v>
      </c>
      <c r="C318" s="33"/>
      <c r="D318" s="126"/>
      <c r="E318" s="10">
        <f>E302+E307-E313</f>
        <v>0</v>
      </c>
      <c r="F318" s="61">
        <f>E318</f>
        <v>0</v>
      </c>
      <c r="G318" s="125"/>
      <c r="H318" s="131"/>
    </row>
    <row r="319" spans="1:8" x14ac:dyDescent="0.25">
      <c r="B319" s="133" t="str">
        <f xml:space="preserve"> ( 'Facility Detail'!$B$1159 + 2 ) &amp; " Surplus Applied to " &amp; ( 'Facility Detail'!$B$1159 + 1 )</f>
        <v>2017 Surplus Applied to 2016</v>
      </c>
      <c r="C319" s="33"/>
      <c r="D319" s="126"/>
      <c r="E319" s="61">
        <v>0</v>
      </c>
      <c r="F319" s="10">
        <v>0</v>
      </c>
      <c r="G319" s="125"/>
      <c r="H319" s="131"/>
    </row>
    <row r="320" spans="1:8" x14ac:dyDescent="0.25">
      <c r="B320" s="179" t="str">
        <f xml:space="preserve"> ( 'Facility Detail'!$B$1159 + 2 ) &amp; " Surplus Applied to " &amp; ( 'Facility Detail'!$B$1159 + 3 )</f>
        <v>2017 Surplus Applied to 2018</v>
      </c>
      <c r="C320" s="33"/>
      <c r="D320" s="126"/>
      <c r="E320" s="125"/>
      <c r="F320" s="10">
        <f>F302+F307-F313</f>
        <v>0</v>
      </c>
      <c r="G320" s="61">
        <f>F320</f>
        <v>0</v>
      </c>
      <c r="H320" s="131"/>
    </row>
    <row r="321" spans="1:11" x14ac:dyDescent="0.25">
      <c r="B321" s="179" t="str">
        <f xml:space="preserve"> ( 'Facility Detail'!$B$1159 + 3 ) &amp; " Surplus Applied to " &amp; ( 'Facility Detail'!$B$1159 + 2 )</f>
        <v>2018 Surplus Applied to 2017</v>
      </c>
      <c r="C321" s="33"/>
      <c r="D321" s="126"/>
      <c r="E321" s="125"/>
      <c r="F321" s="61">
        <v>0</v>
      </c>
      <c r="G321" s="10">
        <v>0</v>
      </c>
      <c r="H321" s="131"/>
    </row>
    <row r="322" spans="1:11" x14ac:dyDescent="0.25">
      <c r="B322" s="179" t="str">
        <f xml:space="preserve"> ( 'Facility Detail'!$B$1159 + 3 ) &amp; " Surplus Applied to " &amp; ( 'Facility Detail'!$B$1159 + 4 )</f>
        <v>2018 Surplus Applied to 2019</v>
      </c>
      <c r="C322" s="33"/>
      <c r="D322" s="126"/>
      <c r="E322" s="125"/>
      <c r="F322" s="125"/>
      <c r="G322" s="10">
        <f>G302+G307-G313</f>
        <v>0</v>
      </c>
      <c r="H322" s="56">
        <f>G322</f>
        <v>0</v>
      </c>
    </row>
    <row r="323" spans="1:11" x14ac:dyDescent="0.25">
      <c r="B323" s="179" t="str">
        <f xml:space="preserve"> ( 'Facility Detail'!$B$1159 + 4 ) &amp; " Surplus Applied to " &amp; ( 'Facility Detail'!$B$1159 + 3 )</f>
        <v>2019 Surplus Applied to 2018</v>
      </c>
      <c r="C323" s="33"/>
      <c r="D323" s="127"/>
      <c r="E323" s="128"/>
      <c r="F323" s="128"/>
      <c r="G323" s="57">
        <v>0</v>
      </c>
      <c r="H323" s="48">
        <v>0</v>
      </c>
    </row>
    <row r="324" spans="1:11" x14ac:dyDescent="0.25">
      <c r="B324" s="134" t="s">
        <v>29</v>
      </c>
      <c r="D324" s="7">
        <f>D317-D316</f>
        <v>0</v>
      </c>
      <c r="E324" s="7">
        <f>E316+E319-E317-E318</f>
        <v>0</v>
      </c>
      <c r="F324" s="7">
        <f>F318+F321-F319-F320</f>
        <v>0</v>
      </c>
      <c r="G324" s="7">
        <f>G320+G323-G321-G322</f>
        <v>0</v>
      </c>
      <c r="H324" s="7">
        <f>H322 - H323</f>
        <v>0</v>
      </c>
    </row>
    <row r="325" spans="1:11" x14ac:dyDescent="0.25">
      <c r="B325" s="135"/>
      <c r="D325" s="7"/>
      <c r="E325" s="7"/>
      <c r="F325" s="7"/>
      <c r="G325" s="7"/>
      <c r="H325" s="7"/>
    </row>
    <row r="326" spans="1:11" x14ac:dyDescent="0.25">
      <c r="B326" s="64" t="s">
        <v>24</v>
      </c>
      <c r="C326" s="62"/>
      <c r="D326" s="85"/>
      <c r="E326" s="123"/>
      <c r="F326" s="123"/>
      <c r="G326" s="123"/>
      <c r="H326" s="86"/>
    </row>
    <row r="327" spans="1:11" x14ac:dyDescent="0.25">
      <c r="B327" s="135"/>
      <c r="D327" s="7"/>
      <c r="E327" s="7"/>
      <c r="F327" s="7"/>
      <c r="G327" s="7"/>
      <c r="H327" s="7"/>
    </row>
    <row r="328" spans="1:11" ht="18.75" x14ac:dyDescent="0.3">
      <c r="A328" s="42" t="s">
        <v>38</v>
      </c>
      <c r="B328" s="136"/>
      <c r="C328" s="62"/>
      <c r="D328" s="124">
        <f xml:space="preserve"> D302 + D307 - D313 + D324 + D326</f>
        <v>0</v>
      </c>
      <c r="E328" s="124">
        <f xml:space="preserve"> E302 + E307 - E313 + E324 + E326</f>
        <v>0</v>
      </c>
      <c r="F328" s="124">
        <f xml:space="preserve"> F302 + F307 - F313 + F324 + F326</f>
        <v>0</v>
      </c>
      <c r="G328" s="124">
        <f xml:space="preserve"> G302 + G307 - G313 + G324 + G326</f>
        <v>0</v>
      </c>
      <c r="H328" s="206">
        <f xml:space="preserve"> H302 + H307 - H313 + H324 + H326</f>
        <v>0</v>
      </c>
    </row>
    <row r="329" spans="1:11" x14ac:dyDescent="0.25">
      <c r="A329" s="1" t="s">
        <v>181</v>
      </c>
      <c r="B329" s="135"/>
      <c r="D329" s="7"/>
      <c r="E329" s="7"/>
      <c r="F329" s="32"/>
      <c r="G329" s="32"/>
      <c r="H329" s="32"/>
    </row>
    <row r="330" spans="1:11" x14ac:dyDescent="0.25">
      <c r="B330" s="136"/>
      <c r="D330" s="1"/>
    </row>
    <row r="331" spans="1:11" s="33" customFormat="1" x14ac:dyDescent="0.25">
      <c r="B331" s="23"/>
    </row>
    <row r="332" spans="1:11" x14ac:dyDescent="0.25">
      <c r="B332" s="23"/>
      <c r="C332" s="33"/>
      <c r="D332" s="33"/>
      <c r="E332" s="33"/>
      <c r="F332" s="33"/>
      <c r="G332" s="33"/>
      <c r="H332" s="33"/>
    </row>
    <row r="333" spans="1:11" ht="21" x14ac:dyDescent="0.35">
      <c r="A333" s="13" t="s">
        <v>4</v>
      </c>
      <c r="B333" s="137"/>
      <c r="C333" s="43" t="str">
        <f>B12</f>
        <v>Baker River Project</v>
      </c>
      <c r="D333" s="23"/>
      <c r="E333" s="23"/>
    </row>
    <row r="334" spans="1:11" x14ac:dyDescent="0.25">
      <c r="B334" s="136"/>
      <c r="D334" s="1"/>
      <c r="I334" s="23"/>
    </row>
    <row r="335" spans="1:11" ht="18.75" x14ac:dyDescent="0.3">
      <c r="A335" s="9" t="s">
        <v>33</v>
      </c>
      <c r="B335" s="138"/>
      <c r="D335" s="2">
        <f>D41</f>
        <v>2015</v>
      </c>
      <c r="E335" s="2">
        <f>D335+1</f>
        <v>2016</v>
      </c>
      <c r="F335" s="132">
        <f>E335+1</f>
        <v>2017</v>
      </c>
      <c r="G335" s="132">
        <f>F335+1</f>
        <v>2018</v>
      </c>
      <c r="H335" s="132">
        <f>G335+1</f>
        <v>2019</v>
      </c>
      <c r="I335" s="23"/>
    </row>
    <row r="336" spans="1:11" x14ac:dyDescent="0.25">
      <c r="B336" s="133" t="str">
        <f>"Total MWh Produced / Purchased from " &amp; C333</f>
        <v>Total MWh Produced / Purchased from Baker River Project</v>
      </c>
      <c r="C336" s="62"/>
      <c r="D336" s="4">
        <v>308611</v>
      </c>
      <c r="E336" s="4">
        <v>358833</v>
      </c>
      <c r="F336" s="4">
        <v>313000</v>
      </c>
      <c r="G336" s="4">
        <v>385059</v>
      </c>
      <c r="H336" s="208">
        <v>350000</v>
      </c>
      <c r="I336" s="24"/>
      <c r="J336" s="204">
        <v>43466</v>
      </c>
      <c r="K336" s="1">
        <v>35800.53</v>
      </c>
    </row>
    <row r="337" spans="1:11" x14ac:dyDescent="0.25">
      <c r="B337" s="133" t="s">
        <v>37</v>
      </c>
      <c r="C337" s="62"/>
      <c r="D337" s="149">
        <v>0.28299999999999997</v>
      </c>
      <c r="E337" s="149">
        <v>0.28299999999999997</v>
      </c>
      <c r="F337" s="149">
        <v>0.28299999999999997</v>
      </c>
      <c r="G337" s="149">
        <v>0.28299999999999997</v>
      </c>
      <c r="H337" s="150">
        <v>0.28299999999999997</v>
      </c>
      <c r="I337" s="23"/>
      <c r="J337" s="204">
        <v>43497</v>
      </c>
      <c r="K337" s="1">
        <v>12517.58</v>
      </c>
    </row>
    <row r="338" spans="1:11" x14ac:dyDescent="0.25">
      <c r="B338" s="133" t="s">
        <v>32</v>
      </c>
      <c r="C338" s="62"/>
      <c r="D338" s="49">
        <v>1</v>
      </c>
      <c r="E338" s="49">
        <v>1</v>
      </c>
      <c r="F338" s="49">
        <v>1</v>
      </c>
      <c r="G338" s="49">
        <v>1</v>
      </c>
      <c r="H338" s="50">
        <v>1</v>
      </c>
      <c r="J338" s="204">
        <v>43525</v>
      </c>
      <c r="K338" s="1">
        <v>17505.45</v>
      </c>
    </row>
    <row r="339" spans="1:11" x14ac:dyDescent="0.25">
      <c r="B339" s="64" t="s">
        <v>34</v>
      </c>
      <c r="C339" s="65"/>
      <c r="D339" s="145">
        <f xml:space="preserve"> D336 * D337 * D338</f>
        <v>87336.912999999986</v>
      </c>
      <c r="E339" s="145">
        <f xml:space="preserve"> E336 * E337 * E338</f>
        <v>101549.73899999999</v>
      </c>
      <c r="F339" s="145">
        <f xml:space="preserve"> F336 * F337 * F338</f>
        <v>88578.999999999985</v>
      </c>
      <c r="G339" s="145">
        <f xml:space="preserve"> ROUNDDOWN(G336 * G337 * G338,0)</f>
        <v>108971</v>
      </c>
      <c r="H339" s="145">
        <f xml:space="preserve"> ROUNDDOWN(H336 * H337 * H338,0)</f>
        <v>99050</v>
      </c>
      <c r="K339" s="1">
        <f>SUM(K336:K338)</f>
        <v>65823.56</v>
      </c>
    </row>
    <row r="340" spans="1:11" x14ac:dyDescent="0.25">
      <c r="B340" s="23"/>
      <c r="C340" s="33"/>
      <c r="D340" s="182"/>
      <c r="E340" s="182"/>
      <c r="F340" s="182"/>
      <c r="G340" s="181"/>
      <c r="H340" s="40"/>
    </row>
    <row r="341" spans="1:11" ht="18.75" x14ac:dyDescent="0.3">
      <c r="A341" s="45" t="s">
        <v>131</v>
      </c>
      <c r="B341" s="136"/>
      <c r="C341" s="33"/>
      <c r="D341" s="2">
        <f>D335</f>
        <v>2015</v>
      </c>
      <c r="E341" s="2">
        <f>D341+1</f>
        <v>2016</v>
      </c>
      <c r="F341" s="2">
        <f>E341+1</f>
        <v>2017</v>
      </c>
      <c r="G341" s="2">
        <f>F341+1</f>
        <v>2018</v>
      </c>
      <c r="H341" s="2">
        <f>G341+1</f>
        <v>2019</v>
      </c>
    </row>
    <row r="342" spans="1:11" x14ac:dyDescent="0.25">
      <c r="B342" s="133" t="s">
        <v>22</v>
      </c>
      <c r="C342" s="62"/>
      <c r="D342" s="11">
        <f>IF( $F12 = "Eligible", D339 * 'Facility Detail'!$B$1156, 0 )</f>
        <v>0</v>
      </c>
      <c r="E342" s="121">
        <f>IF( $F12 = "Eligible", E339 * 'Facility Detail'!$B$1156, 0 )</f>
        <v>0</v>
      </c>
      <c r="F342" s="121">
        <f>IF( $F12 = "Eligible", F339 * 'Facility Detail'!$B$1156, 0 )</f>
        <v>0</v>
      </c>
      <c r="G342" s="121">
        <f>IF( $F12 = "Eligible", G339 * 'Facility Detail'!$B$1156, 0 )</f>
        <v>0</v>
      </c>
      <c r="H342" s="12">
        <f>IF( $F12 = "Eligible", H339 * 'Facility Detail'!$B$1156, 0 )</f>
        <v>0</v>
      </c>
    </row>
    <row r="343" spans="1:11" x14ac:dyDescent="0.25">
      <c r="B343" s="133" t="s">
        <v>6</v>
      </c>
      <c r="C343" s="62"/>
      <c r="D343" s="53">
        <f>IF( $G12 = "Eligible", D339, 0 )</f>
        <v>0</v>
      </c>
      <c r="E343" s="122">
        <f>IF( $G12 = "Eligible", E339, 0 )</f>
        <v>0</v>
      </c>
      <c r="F343" s="122">
        <f>IF( $G12 = "Eligible", F339, 0 )</f>
        <v>0</v>
      </c>
      <c r="G343" s="122">
        <f>IF( $G12 = "Eligible", G339, 0 )</f>
        <v>0</v>
      </c>
      <c r="H343" s="54">
        <f>IF( $G12 = "Eligible", H339, 0 )</f>
        <v>0</v>
      </c>
    </row>
    <row r="344" spans="1:11" x14ac:dyDescent="0.25">
      <c r="B344" s="64" t="s">
        <v>133</v>
      </c>
      <c r="C344" s="65"/>
      <c r="D344" s="41">
        <f>SUM(D342:D343)</f>
        <v>0</v>
      </c>
      <c r="E344" s="41">
        <f>SUM(E342:E343)</f>
        <v>0</v>
      </c>
      <c r="F344" s="41">
        <f>SUM(F342:F343)</f>
        <v>0</v>
      </c>
      <c r="G344" s="41">
        <f>SUM(G342:G343)</f>
        <v>0</v>
      </c>
      <c r="H344" s="41">
        <f>SUM(H342:H343)</f>
        <v>0</v>
      </c>
    </row>
    <row r="345" spans="1:11" x14ac:dyDescent="0.25">
      <c r="B345" s="23"/>
      <c r="C345" s="33"/>
      <c r="D345" s="183"/>
      <c r="E345" s="183"/>
      <c r="F345" s="183"/>
      <c r="G345" s="183"/>
      <c r="H345" s="34"/>
    </row>
    <row r="346" spans="1:11" ht="18.75" x14ac:dyDescent="0.3">
      <c r="A346" s="42" t="s">
        <v>42</v>
      </c>
      <c r="B346" s="136"/>
      <c r="C346" s="33"/>
      <c r="D346" s="2">
        <f>D335</f>
        <v>2015</v>
      </c>
      <c r="E346" s="2">
        <f>D346+1</f>
        <v>2016</v>
      </c>
      <c r="F346" s="2">
        <f>E346+1</f>
        <v>2017</v>
      </c>
      <c r="G346" s="2">
        <f>F346+1</f>
        <v>2018</v>
      </c>
      <c r="H346" s="2">
        <f>G346+1</f>
        <v>2019</v>
      </c>
    </row>
    <row r="347" spans="1:11" x14ac:dyDescent="0.25">
      <c r="B347" s="133" t="s">
        <v>59</v>
      </c>
      <c r="C347" s="62"/>
      <c r="D347" s="4"/>
      <c r="E347" s="4"/>
      <c r="F347" s="4"/>
      <c r="G347" s="4"/>
      <c r="H347" s="5"/>
    </row>
    <row r="348" spans="1:11" x14ac:dyDescent="0.25">
      <c r="B348" s="78" t="s">
        <v>35</v>
      </c>
      <c r="C348" s="69"/>
      <c r="D348" s="151"/>
      <c r="E348" s="151"/>
      <c r="F348" s="151"/>
      <c r="G348" s="151"/>
      <c r="H348" s="152"/>
    </row>
    <row r="349" spans="1:11" x14ac:dyDescent="0.25">
      <c r="B349" s="78" t="s">
        <v>101</v>
      </c>
      <c r="C349" s="77"/>
      <c r="D349" s="153"/>
      <c r="E349" s="153"/>
      <c r="F349" s="153"/>
      <c r="G349" s="153"/>
      <c r="H349" s="154"/>
    </row>
    <row r="350" spans="1:11" x14ac:dyDescent="0.25">
      <c r="B350" s="134" t="s">
        <v>102</v>
      </c>
      <c r="D350" s="7">
        <f>SUM(D347:D349)</f>
        <v>0</v>
      </c>
      <c r="E350" s="7">
        <f>SUM(E347:E349)</f>
        <v>0</v>
      </c>
      <c r="F350" s="7">
        <f>SUM(F347:F349)</f>
        <v>0</v>
      </c>
      <c r="G350" s="7">
        <f>SUM(G347:G349)</f>
        <v>0</v>
      </c>
      <c r="H350" s="7">
        <f>SUM(H347:H349)</f>
        <v>0</v>
      </c>
    </row>
    <row r="351" spans="1:11" x14ac:dyDescent="0.25">
      <c r="B351" s="135"/>
      <c r="D351" s="181"/>
      <c r="E351" s="181"/>
      <c r="F351" s="181"/>
      <c r="G351" s="181"/>
      <c r="H351" s="7"/>
    </row>
    <row r="352" spans="1:11" ht="18.75" x14ac:dyDescent="0.3">
      <c r="A352" s="9" t="s">
        <v>112</v>
      </c>
      <c r="B352" s="136"/>
      <c r="D352" s="2">
        <f>D335</f>
        <v>2015</v>
      </c>
      <c r="E352" s="2">
        <f>D352+1</f>
        <v>2016</v>
      </c>
      <c r="F352" s="2">
        <f>E352+1</f>
        <v>2017</v>
      </c>
      <c r="G352" s="2">
        <f>F352+1</f>
        <v>2018</v>
      </c>
      <c r="H352" s="2">
        <f>G352+1</f>
        <v>2019</v>
      </c>
    </row>
    <row r="353" spans="1:10" x14ac:dyDescent="0.25">
      <c r="B353" s="67" t="str">
        <f>( 'Facility Detail'!$B$1159) &amp; " Surplus Applied to " &amp; ( 'Facility Detail'!$B$1159 + 1 )</f>
        <v>2015 Surplus Applied to 2016</v>
      </c>
      <c r="C353" s="33"/>
      <c r="D353" s="3">
        <v>0</v>
      </c>
      <c r="E353" s="55">
        <f>D353</f>
        <v>0</v>
      </c>
      <c r="F353" s="129"/>
      <c r="G353" s="129"/>
      <c r="H353" s="130"/>
    </row>
    <row r="354" spans="1:10" x14ac:dyDescent="0.25">
      <c r="B354" s="67" t="str">
        <f xml:space="preserve"> ( 'Facility Detail'!$B$1159 + 1 ) &amp; " Surplus Applied to " &amp; ( 'Facility Detail'!$B$1159 )</f>
        <v>2016 Surplus Applied to 2015</v>
      </c>
      <c r="C354" s="33"/>
      <c r="D354" s="148">
        <v>0</v>
      </c>
      <c r="E354" s="10">
        <v>0</v>
      </c>
      <c r="F354" s="125"/>
      <c r="G354" s="125"/>
      <c r="H354" s="131"/>
    </row>
    <row r="355" spans="1:10" x14ac:dyDescent="0.25">
      <c r="B355" s="133" t="str">
        <f xml:space="preserve"> ( 'Facility Detail'!$B$1159 + 1 ) &amp; " Surplus Applied to " &amp; ( 'Facility Detail'!$B$1159 + 2 )</f>
        <v>2016 Surplus Applied to 2017</v>
      </c>
      <c r="C355" s="33"/>
      <c r="D355" s="126">
        <v>0</v>
      </c>
      <c r="E355" s="10">
        <v>0</v>
      </c>
      <c r="F355" s="61">
        <f>E355</f>
        <v>0</v>
      </c>
      <c r="G355" s="125"/>
      <c r="H355" s="131"/>
    </row>
    <row r="356" spans="1:10" x14ac:dyDescent="0.25">
      <c r="B356" s="133" t="str">
        <f xml:space="preserve"> ( 'Facility Detail'!$B$1159 + 2 ) &amp; " Surplus Applied to " &amp; ( 'Facility Detail'!$B$1159 + 1 )</f>
        <v>2017 Surplus Applied to 2016</v>
      </c>
      <c r="C356" s="33"/>
      <c r="D356" s="126"/>
      <c r="E356" s="61">
        <v>0</v>
      </c>
      <c r="F356" s="10">
        <v>0</v>
      </c>
      <c r="G356" s="125"/>
      <c r="H356" s="131"/>
    </row>
    <row r="357" spans="1:10" x14ac:dyDescent="0.25">
      <c r="B357" s="179" t="str">
        <f xml:space="preserve"> ( 'Facility Detail'!$B$1159 + 2 ) &amp; " Surplus Applied to " &amp; ( 'Facility Detail'!$B$1159 + 3 )</f>
        <v>2017 Surplus Applied to 2018</v>
      </c>
      <c r="C357" s="33"/>
      <c r="D357" s="126"/>
      <c r="E357" s="125"/>
      <c r="F357" s="10">
        <v>0</v>
      </c>
      <c r="G357" s="61">
        <f>F357</f>
        <v>0</v>
      </c>
      <c r="H357" s="131"/>
    </row>
    <row r="358" spans="1:10" x14ac:dyDescent="0.25">
      <c r="B358" s="179" t="str">
        <f xml:space="preserve"> ( 'Facility Detail'!$B$1159 + 3 ) &amp; " Surplus Applied to " &amp; ( 'Facility Detail'!$B$1159 + 2 )</f>
        <v>2018 Surplus Applied to 2017</v>
      </c>
      <c r="C358" s="33"/>
      <c r="D358" s="126"/>
      <c r="E358" s="125"/>
      <c r="F358" s="61">
        <v>0</v>
      </c>
      <c r="G358" s="10"/>
      <c r="H358" s="131"/>
    </row>
    <row r="359" spans="1:10" x14ac:dyDescent="0.25">
      <c r="B359" s="179" t="str">
        <f xml:space="preserve"> ( 'Facility Detail'!$B$1159 + 3 ) &amp; " Surplus Applied to " &amp; ( 'Facility Detail'!$B$1159 + 4 )</f>
        <v>2018 Surplus Applied to 2019</v>
      </c>
      <c r="C359" s="33"/>
      <c r="D359" s="126"/>
      <c r="E359" s="125"/>
      <c r="F359" s="125"/>
      <c r="G359" s="10">
        <v>0</v>
      </c>
      <c r="H359" s="56">
        <f>+G359</f>
        <v>0</v>
      </c>
    </row>
    <row r="360" spans="1:10" x14ac:dyDescent="0.25">
      <c r="B360" s="179" t="str">
        <f xml:space="preserve"> ( 'Facility Detail'!$B$1159 + 4 ) &amp; " Surplus Applied to " &amp; ( 'Facility Detail'!$B$1159 + 3 )</f>
        <v>2019 Surplus Applied to 2018</v>
      </c>
      <c r="C360" s="33"/>
      <c r="D360" s="127"/>
      <c r="E360" s="128"/>
      <c r="F360" s="128"/>
      <c r="G360" s="57">
        <v>0</v>
      </c>
      <c r="H360" s="48">
        <v>0</v>
      </c>
    </row>
    <row r="361" spans="1:10" x14ac:dyDescent="0.25">
      <c r="B361" s="134" t="s">
        <v>29</v>
      </c>
      <c r="D361" s="7">
        <f>D354-D353</f>
        <v>0</v>
      </c>
      <c r="E361" s="7">
        <f>E353+E356-E354-E355</f>
        <v>0</v>
      </c>
      <c r="F361" s="7">
        <f>F355+F358-F356-F357</f>
        <v>0</v>
      </c>
      <c r="G361" s="7">
        <f>G357+G360-G358-G359</f>
        <v>0</v>
      </c>
      <c r="H361" s="7">
        <f>H359 - H360</f>
        <v>0</v>
      </c>
    </row>
    <row r="362" spans="1:10" x14ac:dyDescent="0.25">
      <c r="B362" s="135"/>
      <c r="D362" s="7"/>
      <c r="E362" s="7"/>
      <c r="F362" s="7"/>
      <c r="G362" s="7"/>
      <c r="H362" s="7"/>
    </row>
    <row r="363" spans="1:10" x14ac:dyDescent="0.25">
      <c r="B363" s="64" t="s">
        <v>24</v>
      </c>
      <c r="C363" s="62"/>
      <c r="D363" s="85"/>
      <c r="E363" s="123"/>
      <c r="F363" s="123"/>
      <c r="G363" s="123"/>
      <c r="H363" s="86"/>
    </row>
    <row r="364" spans="1:10" x14ac:dyDescent="0.25">
      <c r="B364" s="135"/>
      <c r="D364" s="7"/>
      <c r="E364" s="7"/>
      <c r="F364" s="7"/>
      <c r="G364" s="7"/>
      <c r="H364" s="7"/>
    </row>
    <row r="365" spans="1:10" ht="18.75" x14ac:dyDescent="0.3">
      <c r="A365" s="42" t="s">
        <v>38</v>
      </c>
      <c r="B365" s="136"/>
      <c r="C365" s="62"/>
      <c r="D365" s="124">
        <f xml:space="preserve"> D339 + D344 - D350 + D361 + D363</f>
        <v>87336.912999999986</v>
      </c>
      <c r="E365" s="124">
        <f xml:space="preserve"> E339 + E344 - E350 + E361 + E363</f>
        <v>101549.73899999999</v>
      </c>
      <c r="F365" s="124">
        <f xml:space="preserve"> F339 + F344 - F350 + F361 + F363</f>
        <v>88578.999999999985</v>
      </c>
      <c r="G365" s="124">
        <f xml:space="preserve"> G339 + G344 - G350 + G361 + G363</f>
        <v>108971</v>
      </c>
      <c r="H365" s="206">
        <f xml:space="preserve"> H339 + H344 - H350 + H361 + H363</f>
        <v>99050</v>
      </c>
    </row>
    <row r="366" spans="1:10" x14ac:dyDescent="0.25">
      <c r="B366" s="135"/>
      <c r="C366" s="139" t="s">
        <v>184</v>
      </c>
      <c r="D366" s="7">
        <v>87337</v>
      </c>
      <c r="E366" s="7">
        <v>101550</v>
      </c>
      <c r="F366" s="7">
        <v>88579</v>
      </c>
      <c r="G366" s="7"/>
      <c r="H366" s="7"/>
    </row>
    <row r="367" spans="1:10" x14ac:dyDescent="0.25">
      <c r="A367" s="1" t="s">
        <v>188</v>
      </c>
      <c r="B367" s="136"/>
      <c r="D367" s="1"/>
    </row>
    <row r="368" spans="1:10" s="33" customFormat="1" x14ac:dyDescent="0.25">
      <c r="B368" s="23"/>
      <c r="I368" s="23"/>
      <c r="J368" s="23"/>
    </row>
    <row r="369" spans="1:11" x14ac:dyDescent="0.25">
      <c r="B369" s="23"/>
      <c r="C369" s="33"/>
      <c r="D369" s="33"/>
      <c r="E369" s="33"/>
      <c r="F369" s="33"/>
      <c r="G369" s="33"/>
      <c r="H369" s="33"/>
      <c r="I369" s="23"/>
      <c r="J369" s="23"/>
    </row>
    <row r="370" spans="1:11" ht="21" x14ac:dyDescent="0.35">
      <c r="A370" s="13" t="s">
        <v>4</v>
      </c>
      <c r="B370" s="137"/>
      <c r="C370" s="43" t="str">
        <f>B13</f>
        <v>Snoqualmie Falls Project</v>
      </c>
      <c r="D370" s="23"/>
      <c r="E370" s="23"/>
      <c r="I370" s="24"/>
      <c r="J370" s="23"/>
    </row>
    <row r="371" spans="1:11" x14ac:dyDescent="0.25">
      <c r="B371" s="136"/>
      <c r="D371" s="1"/>
      <c r="I371" s="23"/>
      <c r="J371" s="23"/>
    </row>
    <row r="372" spans="1:11" ht="18.75" x14ac:dyDescent="0.3">
      <c r="A372" s="9" t="s">
        <v>33</v>
      </c>
      <c r="B372" s="138"/>
      <c r="D372" s="2">
        <f>D41</f>
        <v>2015</v>
      </c>
      <c r="E372" s="2">
        <f>D372+1</f>
        <v>2016</v>
      </c>
      <c r="F372" s="132">
        <f>E372+1</f>
        <v>2017</v>
      </c>
      <c r="G372" s="132">
        <f>F372+1</f>
        <v>2018</v>
      </c>
      <c r="H372" s="132">
        <f>G372+1</f>
        <v>2019</v>
      </c>
    </row>
    <row r="373" spans="1:11" x14ac:dyDescent="0.25">
      <c r="B373" s="133" t="str">
        <f>"Total MWh Produced / Purchased from " &amp; C370</f>
        <v>Total MWh Produced / Purchased from Snoqualmie Falls Project</v>
      </c>
      <c r="C373" s="62"/>
      <c r="D373" s="4">
        <v>118871</v>
      </c>
      <c r="E373" s="4">
        <v>205584</v>
      </c>
      <c r="F373" s="4">
        <v>195400</v>
      </c>
      <c r="G373" s="4">
        <v>194398</v>
      </c>
      <c r="H373" s="5">
        <v>198500</v>
      </c>
      <c r="J373" s="204">
        <v>43466</v>
      </c>
      <c r="K373" s="1">
        <v>27594.51</v>
      </c>
    </row>
    <row r="374" spans="1:11" x14ac:dyDescent="0.25">
      <c r="B374" s="133" t="s">
        <v>37</v>
      </c>
      <c r="C374" s="62"/>
      <c r="D374" s="149">
        <v>8.5000000000000006E-2</v>
      </c>
      <c r="E374" s="149">
        <v>8.5000000000000006E-2</v>
      </c>
      <c r="F374" s="149">
        <v>8.5000000000000006E-2</v>
      </c>
      <c r="G374" s="149">
        <v>8.5000000000000006E-2</v>
      </c>
      <c r="H374" s="150">
        <v>8.5000000000000006E-2</v>
      </c>
      <c r="J374" s="204">
        <v>43497</v>
      </c>
      <c r="K374" s="1">
        <v>13158.51</v>
      </c>
    </row>
    <row r="375" spans="1:11" x14ac:dyDescent="0.25">
      <c r="B375" s="133" t="s">
        <v>32</v>
      </c>
      <c r="C375" s="62"/>
      <c r="D375" s="49">
        <v>1</v>
      </c>
      <c r="E375" s="49">
        <v>1</v>
      </c>
      <c r="F375" s="49">
        <v>1</v>
      </c>
      <c r="G375" s="49">
        <v>1</v>
      </c>
      <c r="H375" s="50">
        <v>1</v>
      </c>
      <c r="J375" s="204">
        <v>43525</v>
      </c>
      <c r="K375" s="1">
        <v>22786.02</v>
      </c>
    </row>
    <row r="376" spans="1:11" x14ac:dyDescent="0.25">
      <c r="B376" s="64" t="s">
        <v>34</v>
      </c>
      <c r="C376" s="65"/>
      <c r="D376" s="145">
        <f xml:space="preserve"> D373 * D374 * D375</f>
        <v>10104.035</v>
      </c>
      <c r="E376" s="145">
        <f xml:space="preserve"> E373 * E374 * E375</f>
        <v>17474.640000000003</v>
      </c>
      <c r="F376" s="145">
        <f xml:space="preserve"> F373 * F374 * F375</f>
        <v>16609</v>
      </c>
      <c r="G376" s="145">
        <f xml:space="preserve"> ROUNDDOWN(G373 * G374 * G375,0)</f>
        <v>16523</v>
      </c>
      <c r="H376" s="145">
        <f xml:space="preserve"> ROUNDDOWN(H373 * H374 * H375,0)</f>
        <v>16872</v>
      </c>
      <c r="K376" s="1">
        <f>SUM(K373:K375)</f>
        <v>63539.039999999994</v>
      </c>
    </row>
    <row r="377" spans="1:11" x14ac:dyDescent="0.25">
      <c r="B377" s="23"/>
      <c r="C377" s="33"/>
      <c r="D377" s="182"/>
      <c r="E377" s="182"/>
      <c r="F377" s="182"/>
      <c r="G377" s="181"/>
      <c r="H377" s="40"/>
    </row>
    <row r="378" spans="1:11" ht="18.75" x14ac:dyDescent="0.3">
      <c r="A378" s="45" t="s">
        <v>131</v>
      </c>
      <c r="B378" s="136"/>
      <c r="C378" s="33"/>
      <c r="D378" s="2">
        <f>D372</f>
        <v>2015</v>
      </c>
      <c r="E378" s="2">
        <f>D378+1</f>
        <v>2016</v>
      </c>
      <c r="F378" s="2">
        <f>E378+1</f>
        <v>2017</v>
      </c>
      <c r="G378" s="2">
        <f>F378+1</f>
        <v>2018</v>
      </c>
      <c r="H378" s="2">
        <f>G378+1</f>
        <v>2019</v>
      </c>
    </row>
    <row r="379" spans="1:11" x14ac:dyDescent="0.25">
      <c r="B379" s="133" t="s">
        <v>22</v>
      </c>
      <c r="C379" s="62"/>
      <c r="D379" s="11">
        <f>IF( $F13 = "Eligible", D376 * 'Facility Detail'!$B$1156, 0 )</f>
        <v>0</v>
      </c>
      <c r="E379" s="121">
        <f>IF( $F13 = "Eligible", E376 * 'Facility Detail'!$B$1156, 0 )</f>
        <v>0</v>
      </c>
      <c r="F379" s="121">
        <f>IF( $F13 = "Eligible", F376 * 'Facility Detail'!$B$1156, 0 )</f>
        <v>0</v>
      </c>
      <c r="G379" s="121">
        <f>IF( $F13 = "Eligible", G376 * 'Facility Detail'!$B$1156, 0 )</f>
        <v>0</v>
      </c>
      <c r="H379" s="12">
        <f>IF( $F13 = "Eligible", H376 * 'Facility Detail'!$B$1156, 0 )</f>
        <v>0</v>
      </c>
    </row>
    <row r="380" spans="1:11" x14ac:dyDescent="0.25">
      <c r="B380" s="133" t="s">
        <v>6</v>
      </c>
      <c r="C380" s="62"/>
      <c r="D380" s="53">
        <f>IF( $G13 = "Eligible", D376, 0 )</f>
        <v>0</v>
      </c>
      <c r="E380" s="122">
        <f>IF( $G13 = "Eligible", E376, 0 )</f>
        <v>0</v>
      </c>
      <c r="F380" s="122">
        <f>IF( $G13 = "Eligible", F376, 0 )</f>
        <v>0</v>
      </c>
      <c r="G380" s="122">
        <f>IF( $G13 = "Eligible", G376, 0 )</f>
        <v>0</v>
      </c>
      <c r="H380" s="54">
        <f>IF( $G13 = "Eligible", H376, 0 )</f>
        <v>0</v>
      </c>
    </row>
    <row r="381" spans="1:11" x14ac:dyDescent="0.25">
      <c r="B381" s="64" t="s">
        <v>133</v>
      </c>
      <c r="C381" s="65"/>
      <c r="D381" s="41">
        <f>SUM(D379:D380)</f>
        <v>0</v>
      </c>
      <c r="E381" s="41">
        <f>SUM(E379:E380)</f>
        <v>0</v>
      </c>
      <c r="F381" s="41">
        <f>SUM(F379:F380)</f>
        <v>0</v>
      </c>
      <c r="G381" s="41">
        <f>SUM(G379:G380)</f>
        <v>0</v>
      </c>
      <c r="H381" s="41">
        <f>SUM(H379:H380)</f>
        <v>0</v>
      </c>
    </row>
    <row r="382" spans="1:11" x14ac:dyDescent="0.25">
      <c r="B382" s="23"/>
      <c r="C382" s="33"/>
      <c r="D382" s="183"/>
      <c r="E382" s="183"/>
      <c r="F382" s="183"/>
      <c r="G382" s="183"/>
      <c r="H382" s="34"/>
    </row>
    <row r="383" spans="1:11" ht="18.75" x14ac:dyDescent="0.3">
      <c r="A383" s="42" t="s">
        <v>42</v>
      </c>
      <c r="B383" s="136"/>
      <c r="C383" s="33"/>
      <c r="D383" s="2">
        <f>D372</f>
        <v>2015</v>
      </c>
      <c r="E383" s="2">
        <f>D383+1</f>
        <v>2016</v>
      </c>
      <c r="F383" s="2">
        <f>E383+1</f>
        <v>2017</v>
      </c>
      <c r="G383" s="2">
        <f>F383+1</f>
        <v>2018</v>
      </c>
      <c r="H383" s="2">
        <f>G383+1</f>
        <v>2019</v>
      </c>
    </row>
    <row r="384" spans="1:11" x14ac:dyDescent="0.25">
      <c r="B384" s="133" t="s">
        <v>59</v>
      </c>
      <c r="C384" s="62"/>
      <c r="D384" s="4"/>
      <c r="E384" s="4"/>
      <c r="F384" s="4"/>
      <c r="G384" s="4"/>
      <c r="H384" s="5"/>
    </row>
    <row r="385" spans="1:8" x14ac:dyDescent="0.25">
      <c r="B385" s="78" t="s">
        <v>35</v>
      </c>
      <c r="C385" s="69"/>
      <c r="D385" s="151"/>
      <c r="E385" s="151"/>
      <c r="F385" s="151"/>
      <c r="G385" s="151"/>
      <c r="H385" s="152"/>
    </row>
    <row r="386" spans="1:8" x14ac:dyDescent="0.25">
      <c r="B386" s="78" t="s">
        <v>101</v>
      </c>
      <c r="C386" s="77"/>
      <c r="D386" s="153"/>
      <c r="E386" s="153"/>
      <c r="F386" s="153"/>
      <c r="G386" s="153"/>
      <c r="H386" s="154"/>
    </row>
    <row r="387" spans="1:8" x14ac:dyDescent="0.25">
      <c r="B387" s="134" t="s">
        <v>102</v>
      </c>
      <c r="D387" s="7">
        <f>SUM(D384:D386)</f>
        <v>0</v>
      </c>
      <c r="E387" s="7">
        <f>SUM(E384:E386)</f>
        <v>0</v>
      </c>
      <c r="F387" s="7">
        <f>SUM(F384:F386)</f>
        <v>0</v>
      </c>
      <c r="G387" s="7">
        <f>SUM(G384:G386)</f>
        <v>0</v>
      </c>
      <c r="H387" s="7">
        <f>SUM(H384:H386)</f>
        <v>0</v>
      </c>
    </row>
    <row r="388" spans="1:8" x14ac:dyDescent="0.25">
      <c r="B388" s="135"/>
      <c r="D388" s="181"/>
      <c r="E388" s="181"/>
      <c r="F388" s="181"/>
      <c r="G388" s="181"/>
      <c r="H388" s="7"/>
    </row>
    <row r="389" spans="1:8" ht="18.75" x14ac:dyDescent="0.3">
      <c r="A389" s="9" t="s">
        <v>112</v>
      </c>
      <c r="B389" s="136"/>
      <c r="D389" s="2">
        <f>D372</f>
        <v>2015</v>
      </c>
      <c r="E389" s="2">
        <f>D389+1</f>
        <v>2016</v>
      </c>
      <c r="F389" s="2">
        <f>E389+1</f>
        <v>2017</v>
      </c>
      <c r="G389" s="2">
        <f>F389+1</f>
        <v>2018</v>
      </c>
      <c r="H389" s="2">
        <f>G389+1</f>
        <v>2019</v>
      </c>
    </row>
    <row r="390" spans="1:8" x14ac:dyDescent="0.25">
      <c r="B390" s="67" t="str">
        <f>( 'Facility Detail'!$B$1159) &amp; " Surplus Applied to " &amp; ( 'Facility Detail'!$B$1159 + 1 )</f>
        <v>2015 Surplus Applied to 2016</v>
      </c>
      <c r="C390" s="33"/>
      <c r="D390" s="3">
        <v>0</v>
      </c>
      <c r="E390" s="55">
        <f>D390</f>
        <v>0</v>
      </c>
      <c r="F390" s="129"/>
      <c r="G390" s="129"/>
      <c r="H390" s="130"/>
    </row>
    <row r="391" spans="1:8" x14ac:dyDescent="0.25">
      <c r="B391" s="67" t="str">
        <f xml:space="preserve"> ( 'Facility Detail'!$B$1159 + 1 ) &amp; " Surplus Applied to " &amp; ( 'Facility Detail'!$B$1159 )</f>
        <v>2016 Surplus Applied to 2015</v>
      </c>
      <c r="C391" s="33"/>
      <c r="D391" s="148">
        <v>0</v>
      </c>
      <c r="E391" s="10">
        <v>0</v>
      </c>
      <c r="F391" s="125"/>
      <c r="G391" s="125"/>
      <c r="H391" s="131"/>
    </row>
    <row r="392" spans="1:8" x14ac:dyDescent="0.25">
      <c r="B392" s="133" t="str">
        <f xml:space="preserve"> ( 'Facility Detail'!$B$1159 + 1 ) &amp; " Surplus Applied to " &amp; ( 'Facility Detail'!$B$1159 + 2 )</f>
        <v>2016 Surplus Applied to 2017</v>
      </c>
      <c r="C392" s="33"/>
      <c r="D392" s="126"/>
      <c r="E392" s="10">
        <v>0</v>
      </c>
      <c r="F392" s="61">
        <f>E392</f>
        <v>0</v>
      </c>
      <c r="G392" s="125"/>
      <c r="H392" s="131"/>
    </row>
    <row r="393" spans="1:8" x14ac:dyDescent="0.25">
      <c r="B393" s="133" t="str">
        <f xml:space="preserve"> ( 'Facility Detail'!$B$1159 + 2 ) &amp; " Surplus Applied to " &amp; ( 'Facility Detail'!$B$1159 + 1 )</f>
        <v>2017 Surplus Applied to 2016</v>
      </c>
      <c r="C393" s="33"/>
      <c r="D393" s="126"/>
      <c r="E393" s="61">
        <v>0</v>
      </c>
      <c r="F393" s="10">
        <v>0</v>
      </c>
      <c r="G393" s="125"/>
      <c r="H393" s="131"/>
    </row>
    <row r="394" spans="1:8" x14ac:dyDescent="0.25">
      <c r="B394" s="179" t="str">
        <f xml:space="preserve"> ( 'Facility Detail'!$B$1159 + 2 ) &amp; " Surplus Applied to " &amp; ( 'Facility Detail'!$B$1159 + 3 )</f>
        <v>2017 Surplus Applied to 2018</v>
      </c>
      <c r="C394" s="33"/>
      <c r="D394" s="126"/>
      <c r="E394" s="125"/>
      <c r="F394" s="10">
        <v>0</v>
      </c>
      <c r="G394" s="61">
        <f>F394</f>
        <v>0</v>
      </c>
      <c r="H394" s="131"/>
    </row>
    <row r="395" spans="1:8" x14ac:dyDescent="0.25">
      <c r="B395" s="179" t="str">
        <f xml:space="preserve"> ( 'Facility Detail'!$B$1159 + 3 ) &amp; " Surplus Applied to " &amp; ( 'Facility Detail'!$B$1159 + 2 )</f>
        <v>2018 Surplus Applied to 2017</v>
      </c>
      <c r="C395" s="33"/>
      <c r="D395" s="126"/>
      <c r="E395" s="125"/>
      <c r="F395" s="61">
        <v>0</v>
      </c>
      <c r="G395" s="10">
        <v>0</v>
      </c>
      <c r="H395" s="131"/>
    </row>
    <row r="396" spans="1:8" x14ac:dyDescent="0.25">
      <c r="B396" s="179" t="str">
        <f xml:space="preserve"> ( 'Facility Detail'!$B$1159 + 3 ) &amp; " Surplus Applied to " &amp; ( 'Facility Detail'!$B$1159 + 4 )</f>
        <v>2018 Surplus Applied to 2019</v>
      </c>
      <c r="C396" s="33"/>
      <c r="D396" s="126"/>
      <c r="E396" s="125"/>
      <c r="F396" s="125"/>
      <c r="G396" s="10">
        <v>0</v>
      </c>
      <c r="H396" s="56">
        <f>+G396</f>
        <v>0</v>
      </c>
    </row>
    <row r="397" spans="1:8" x14ac:dyDescent="0.25">
      <c r="B397" s="179" t="str">
        <f xml:space="preserve"> ( 'Facility Detail'!$B$1159 + 4 ) &amp; " Surplus Applied to " &amp; ( 'Facility Detail'!$B$1159 + 3 )</f>
        <v>2019 Surplus Applied to 2018</v>
      </c>
      <c r="C397" s="33"/>
      <c r="D397" s="127"/>
      <c r="E397" s="128"/>
      <c r="F397" s="128"/>
      <c r="G397" s="57">
        <v>0</v>
      </c>
      <c r="H397" s="48">
        <v>0</v>
      </c>
    </row>
    <row r="398" spans="1:8" x14ac:dyDescent="0.25">
      <c r="B398" s="134" t="s">
        <v>29</v>
      </c>
      <c r="D398" s="7">
        <f>D391-D390</f>
        <v>0</v>
      </c>
      <c r="E398" s="7">
        <f>E390+E393-E391-E392</f>
        <v>0</v>
      </c>
      <c r="F398" s="7">
        <f>F392+F395-F393-F394</f>
        <v>0</v>
      </c>
      <c r="G398" s="7">
        <f>G394+G397-G395-G396</f>
        <v>0</v>
      </c>
      <c r="H398" s="7">
        <f>H396 - H397</f>
        <v>0</v>
      </c>
    </row>
    <row r="399" spans="1:8" x14ac:dyDescent="0.25">
      <c r="B399" s="135"/>
      <c r="D399" s="7"/>
      <c r="E399" s="7"/>
      <c r="F399" s="7"/>
      <c r="G399" s="7"/>
      <c r="H399" s="7"/>
    </row>
    <row r="400" spans="1:8" x14ac:dyDescent="0.25">
      <c r="B400" s="64" t="s">
        <v>24</v>
      </c>
      <c r="D400" s="85"/>
      <c r="E400" s="123"/>
      <c r="F400" s="123"/>
      <c r="G400" s="123"/>
      <c r="H400" s="86"/>
    </row>
    <row r="401" spans="1:8" x14ac:dyDescent="0.25">
      <c r="B401" s="135"/>
      <c r="D401" s="7"/>
      <c r="E401" s="7"/>
      <c r="F401" s="7"/>
      <c r="G401" s="7"/>
      <c r="H401" s="7"/>
    </row>
    <row r="402" spans="1:8" ht="18.75" x14ac:dyDescent="0.3">
      <c r="A402" s="42" t="s">
        <v>38</v>
      </c>
      <c r="B402" s="136"/>
      <c r="C402" s="62"/>
      <c r="D402" s="124">
        <f xml:space="preserve"> D376 + D381 - D387 + D398 + D400</f>
        <v>10104.035</v>
      </c>
      <c r="E402" s="124">
        <f xml:space="preserve"> E376 + E381 - E387 + E398 + E400</f>
        <v>17474.640000000003</v>
      </c>
      <c r="F402" s="124">
        <f xml:space="preserve"> F376 + F381 - F387 + F398 + F400</f>
        <v>16609</v>
      </c>
      <c r="G402" s="124">
        <f xml:space="preserve"> G376 + G381 - G387 + G398 + G400</f>
        <v>16523</v>
      </c>
      <c r="H402" s="206">
        <f xml:space="preserve"> H376 + H381 - H387 + H398 + H400</f>
        <v>16872</v>
      </c>
    </row>
    <row r="403" spans="1:8" x14ac:dyDescent="0.25">
      <c r="C403" s="139" t="s">
        <v>184</v>
      </c>
      <c r="D403" s="7">
        <v>10104</v>
      </c>
      <c r="E403" s="7">
        <v>17475</v>
      </c>
      <c r="F403" s="7">
        <v>16609</v>
      </c>
      <c r="G403" s="7"/>
      <c r="H403" s="7"/>
    </row>
    <row r="404" spans="1:8" x14ac:dyDescent="0.25">
      <c r="A404" s="1" t="s">
        <v>189</v>
      </c>
      <c r="B404" s="135"/>
      <c r="D404" s="7"/>
      <c r="E404" s="7"/>
      <c r="F404" s="32"/>
      <c r="G404" s="32"/>
      <c r="H404" s="32"/>
    </row>
    <row r="405" spans="1:8" x14ac:dyDescent="0.25">
      <c r="A405" s="33"/>
      <c r="B405" s="33"/>
      <c r="C405" s="33"/>
      <c r="D405" s="33"/>
      <c r="E405" s="33"/>
      <c r="F405" s="33"/>
      <c r="G405" s="33"/>
      <c r="H405" s="33"/>
    </row>
    <row r="406" spans="1:8" x14ac:dyDescent="0.25">
      <c r="B406" s="33"/>
      <c r="C406" s="33"/>
      <c r="D406" s="33"/>
      <c r="E406" s="33"/>
      <c r="F406" s="33"/>
      <c r="G406" s="33"/>
      <c r="H406" s="33"/>
    </row>
    <row r="407" spans="1:8" ht="21" x14ac:dyDescent="0.35">
      <c r="A407" s="13" t="s">
        <v>4</v>
      </c>
      <c r="B407" s="13"/>
      <c r="C407" s="43" t="s">
        <v>165</v>
      </c>
      <c r="D407" s="23"/>
      <c r="E407" s="23"/>
    </row>
    <row r="408" spans="1:8" x14ac:dyDescent="0.25">
      <c r="D408" s="1"/>
    </row>
    <row r="409" spans="1:8" ht="18.75" x14ac:dyDescent="0.3">
      <c r="A409" s="9" t="s">
        <v>33</v>
      </c>
      <c r="B409" s="9"/>
      <c r="D409" s="2">
        <f>D41</f>
        <v>2015</v>
      </c>
      <c r="E409" s="2">
        <f>D409+1</f>
        <v>2016</v>
      </c>
      <c r="F409" s="2">
        <f>E409+1</f>
        <v>2017</v>
      </c>
      <c r="G409" s="2">
        <f>F409+1</f>
        <v>2018</v>
      </c>
      <c r="H409" s="2">
        <f>G409+1</f>
        <v>2019</v>
      </c>
    </row>
    <row r="410" spans="1:8" x14ac:dyDescent="0.25">
      <c r="B410" s="67" t="str">
        <f>" Purchased from " &amp; C407</f>
        <v xml:space="preserve"> Purchased from Klondike 1--REC only**</v>
      </c>
      <c r="C410" s="62"/>
      <c r="D410" s="4"/>
      <c r="E410" s="4"/>
      <c r="F410" s="4">
        <v>968</v>
      </c>
      <c r="G410" s="4"/>
      <c r="H410" s="5"/>
    </row>
    <row r="411" spans="1:8" x14ac:dyDescent="0.25">
      <c r="B411" s="67" t="s">
        <v>37</v>
      </c>
      <c r="C411" s="62"/>
      <c r="D411" s="146"/>
      <c r="E411" s="146"/>
      <c r="F411" s="146">
        <v>1</v>
      </c>
      <c r="G411" s="146"/>
      <c r="H411" s="147"/>
    </row>
    <row r="412" spans="1:8" x14ac:dyDescent="0.25">
      <c r="B412" s="67" t="s">
        <v>32</v>
      </c>
      <c r="C412" s="62"/>
      <c r="D412" s="49"/>
      <c r="E412" s="49"/>
      <c r="F412" s="49">
        <v>1</v>
      </c>
      <c r="G412" s="49"/>
      <c r="H412" s="50"/>
    </row>
    <row r="413" spans="1:8" x14ac:dyDescent="0.25">
      <c r="B413" s="64" t="s">
        <v>34</v>
      </c>
      <c r="C413" s="65"/>
      <c r="D413" s="145">
        <f xml:space="preserve"> D410 * D411 * D412</f>
        <v>0</v>
      </c>
      <c r="E413" s="145">
        <f xml:space="preserve"> E410 * E411 * E412</f>
        <v>0</v>
      </c>
      <c r="F413" s="145">
        <f xml:space="preserve"> F410 * F411 * F412</f>
        <v>968</v>
      </c>
      <c r="G413" s="145"/>
      <c r="H413" s="145"/>
    </row>
    <row r="414" spans="1:8" x14ac:dyDescent="0.25">
      <c r="B414" s="23"/>
      <c r="C414" s="33"/>
      <c r="D414" s="40"/>
      <c r="E414" s="40"/>
      <c r="F414" s="40"/>
      <c r="G414" s="181"/>
      <c r="H414" s="40"/>
    </row>
    <row r="415" spans="1:8" ht="18.75" x14ac:dyDescent="0.3">
      <c r="A415" s="45" t="s">
        <v>131</v>
      </c>
      <c r="C415" s="33"/>
      <c r="D415" s="2">
        <f>D409</f>
        <v>2015</v>
      </c>
      <c r="E415" s="2">
        <f>D415+1</f>
        <v>2016</v>
      </c>
      <c r="F415" s="2">
        <f>E415+1</f>
        <v>2017</v>
      </c>
      <c r="G415" s="2">
        <f>F415+1</f>
        <v>2018</v>
      </c>
      <c r="H415" s="2">
        <f>G415+1</f>
        <v>2019</v>
      </c>
    </row>
    <row r="416" spans="1:8" x14ac:dyDescent="0.25">
      <c r="B416" s="67" t="s">
        <v>22</v>
      </c>
      <c r="C416" s="62"/>
      <c r="D416" s="11">
        <f>IF( $F14 = "Eligible", D413 * 'Facility Detail'!$B$1156, 0 )</f>
        <v>0</v>
      </c>
      <c r="E416" s="121">
        <f>IF( $F14 = "Eligible", E413 * 'Facility Detail'!$B$1156, 0 )</f>
        <v>0</v>
      </c>
      <c r="F416" s="121">
        <f>IF( $F14 = "Eligible", F413 * 'Facility Detail'!$B$1156, 0 )</f>
        <v>0</v>
      </c>
      <c r="G416" s="121">
        <f>IF( $F14 = "Eligible", G413 * 'Facility Detail'!$B$1156, 0 )</f>
        <v>0</v>
      </c>
      <c r="H416" s="12">
        <f>IF( $F14 = "Eligible", H413 * 'Facility Detail'!$B$1156, 0 )</f>
        <v>0</v>
      </c>
    </row>
    <row r="417" spans="1:8" x14ac:dyDescent="0.25">
      <c r="B417" s="67" t="s">
        <v>6</v>
      </c>
      <c r="C417" s="62"/>
      <c r="D417" s="53">
        <f>IF( $G14 = "Eligible", D413, 0 )</f>
        <v>0</v>
      </c>
      <c r="E417" s="122">
        <f>IF( $G14 = "Eligible", E413, 0 )</f>
        <v>0</v>
      </c>
      <c r="F417" s="122">
        <f>IF( $G14 = "Eligible", F413, 0 )</f>
        <v>0</v>
      </c>
      <c r="G417" s="122">
        <f>IF( $G14 = "Eligible", G413, 0 )</f>
        <v>0</v>
      </c>
      <c r="H417" s="54">
        <f>IF( $G14 = "Eligible", H413, 0 )</f>
        <v>0</v>
      </c>
    </row>
    <row r="418" spans="1:8" x14ac:dyDescent="0.25">
      <c r="B418" s="66" t="s">
        <v>133</v>
      </c>
      <c r="C418" s="65"/>
      <c r="D418" s="41">
        <f>SUM(D416:D417)</f>
        <v>0</v>
      </c>
      <c r="E418" s="41">
        <f>SUM(E416:E417)</f>
        <v>0</v>
      </c>
      <c r="F418" s="41">
        <f>SUM(F416:F417)</f>
        <v>0</v>
      </c>
      <c r="G418" s="41">
        <f>SUM(G416:G417)</f>
        <v>0</v>
      </c>
      <c r="H418" s="41">
        <f>SUM(H416:H417)</f>
        <v>0</v>
      </c>
    </row>
    <row r="419" spans="1:8" x14ac:dyDescent="0.25">
      <c r="B419" s="33"/>
      <c r="C419" s="33"/>
      <c r="D419" s="34"/>
      <c r="E419" s="34"/>
      <c r="F419" s="34"/>
      <c r="G419" s="183"/>
      <c r="H419" s="34"/>
    </row>
    <row r="420" spans="1:8" ht="18.75" x14ac:dyDescent="0.3">
      <c r="A420" s="42" t="s">
        <v>42</v>
      </c>
      <c r="C420" s="33"/>
      <c r="D420" s="2">
        <f>D415</f>
        <v>2015</v>
      </c>
      <c r="E420" s="2">
        <f>D420+1</f>
        <v>2016</v>
      </c>
      <c r="F420" s="2">
        <f>E420+1</f>
        <v>2017</v>
      </c>
      <c r="G420" s="2">
        <f>F420+1</f>
        <v>2018</v>
      </c>
      <c r="H420" s="2">
        <f>G420+1</f>
        <v>2019</v>
      </c>
    </row>
    <row r="421" spans="1:8" x14ac:dyDescent="0.25">
      <c r="B421" s="67" t="s">
        <v>59</v>
      </c>
      <c r="C421" s="62"/>
      <c r="D421" s="4"/>
      <c r="E421" s="4"/>
      <c r="F421" s="4"/>
      <c r="G421" s="4"/>
      <c r="H421" s="5"/>
    </row>
    <row r="422" spans="1:8" x14ac:dyDescent="0.25">
      <c r="B422" s="68" t="s">
        <v>35</v>
      </c>
      <c r="C422" s="69"/>
      <c r="D422" s="151"/>
      <c r="E422" s="151"/>
      <c r="F422" s="151"/>
      <c r="G422" s="151"/>
      <c r="H422" s="152"/>
    </row>
    <row r="423" spans="1:8" x14ac:dyDescent="0.25">
      <c r="B423" s="78" t="s">
        <v>101</v>
      </c>
      <c r="C423" s="77"/>
      <c r="D423" s="153"/>
      <c r="E423" s="153"/>
      <c r="F423" s="153"/>
      <c r="G423" s="153"/>
      <c r="H423" s="154"/>
    </row>
    <row r="424" spans="1:8" x14ac:dyDescent="0.25">
      <c r="B424" s="36" t="s">
        <v>102</v>
      </c>
      <c r="D424" s="7">
        <f>SUM(D421:D423)</f>
        <v>0</v>
      </c>
      <c r="E424" s="7">
        <f>SUM(E421:E423)</f>
        <v>0</v>
      </c>
      <c r="F424" s="7">
        <f>SUM(F421:F423)</f>
        <v>0</v>
      </c>
      <c r="G424" s="7">
        <f>SUM(G421:G423)</f>
        <v>0</v>
      </c>
      <c r="H424" s="7">
        <f>SUM(H421:H423)</f>
        <v>0</v>
      </c>
    </row>
    <row r="425" spans="1:8" x14ac:dyDescent="0.25">
      <c r="B425" s="6"/>
      <c r="D425" s="7"/>
      <c r="E425" s="7"/>
      <c r="F425" s="7"/>
      <c r="G425" s="181"/>
      <c r="H425" s="7"/>
    </row>
    <row r="426" spans="1:8" ht="18.75" x14ac:dyDescent="0.3">
      <c r="A426" s="9" t="s">
        <v>112</v>
      </c>
      <c r="D426" s="2">
        <f>D420</f>
        <v>2015</v>
      </c>
      <c r="E426" s="2">
        <f>D426+1</f>
        <v>2016</v>
      </c>
      <c r="F426" s="2">
        <f>E426+1</f>
        <v>2017</v>
      </c>
      <c r="G426" s="2">
        <f>F426+1</f>
        <v>2018</v>
      </c>
      <c r="H426" s="2">
        <f>G426+1</f>
        <v>2019</v>
      </c>
    </row>
    <row r="427" spans="1:8" x14ac:dyDescent="0.25">
      <c r="B427" s="67" t="str">
        <f>( 'Facility Detail'!$B$1159) &amp; " Surplus Applied to " &amp; ( 'Facility Detail'!$B$1159 + 1 )</f>
        <v>2015 Surplus Applied to 2016</v>
      </c>
      <c r="C427" s="33"/>
      <c r="D427" s="3">
        <f>D413+D418-D424</f>
        <v>0</v>
      </c>
      <c r="E427" s="55">
        <f>D427</f>
        <v>0</v>
      </c>
      <c r="F427" s="129"/>
      <c r="G427" s="129"/>
      <c r="H427" s="130"/>
    </row>
    <row r="428" spans="1:8" x14ac:dyDescent="0.25">
      <c r="B428" s="67" t="str">
        <f xml:space="preserve"> ( 'Facility Detail'!$B$1159 + 1 ) &amp; " Surplus Applied to " &amp; ( 'Facility Detail'!$B$1159 )</f>
        <v>2016 Surplus Applied to 2015</v>
      </c>
      <c r="C428" s="33"/>
      <c r="D428" s="148">
        <v>0</v>
      </c>
      <c r="E428" s="10">
        <v>0</v>
      </c>
      <c r="F428" s="125"/>
      <c r="G428" s="125"/>
      <c r="H428" s="131"/>
    </row>
    <row r="429" spans="1:8" x14ac:dyDescent="0.25">
      <c r="B429" s="133" t="str">
        <f xml:space="preserve"> ( 'Facility Detail'!$B$1159 + 1 ) &amp; " Surplus Applied to " &amp; ( 'Facility Detail'!$B$1159 + 2 )</f>
        <v>2016 Surplus Applied to 2017</v>
      </c>
      <c r="C429" s="33"/>
      <c r="D429" s="126"/>
      <c r="E429" s="10">
        <f>E413+E418-E424</f>
        <v>0</v>
      </c>
      <c r="F429" s="61">
        <f>E429</f>
        <v>0</v>
      </c>
      <c r="G429" s="125"/>
      <c r="H429" s="131"/>
    </row>
    <row r="430" spans="1:8" x14ac:dyDescent="0.25">
      <c r="B430" s="133" t="str">
        <f xml:space="preserve"> ( 'Facility Detail'!$B$1159 + 2 ) &amp; " Surplus Applied to " &amp; ( 'Facility Detail'!$B$1159 + 1 )</f>
        <v>2017 Surplus Applied to 2016</v>
      </c>
      <c r="C430" s="33"/>
      <c r="D430" s="126"/>
      <c r="E430" s="61">
        <v>0</v>
      </c>
      <c r="F430" s="10">
        <v>0</v>
      </c>
      <c r="G430" s="125"/>
      <c r="H430" s="131"/>
    </row>
    <row r="431" spans="1:8" x14ac:dyDescent="0.25">
      <c r="B431" s="179" t="str">
        <f xml:space="preserve"> ( 'Facility Detail'!$B$1159 + 2 ) &amp; " Surplus Applied to " &amp; ( 'Facility Detail'!$B$1159 + 3 )</f>
        <v>2017 Surplus Applied to 2018</v>
      </c>
      <c r="C431" s="33"/>
      <c r="D431" s="126"/>
      <c r="E431" s="125"/>
      <c r="F431" s="10"/>
      <c r="G431" s="61">
        <f>F431</f>
        <v>0</v>
      </c>
      <c r="H431" s="131"/>
    </row>
    <row r="432" spans="1:8" x14ac:dyDescent="0.25">
      <c r="B432" s="179" t="str">
        <f xml:space="preserve"> ( 'Facility Detail'!$B$1159 + 3 ) &amp; " Surplus Applied to " &amp; ( 'Facility Detail'!$B$1159 + 2 )</f>
        <v>2018 Surplus Applied to 2017</v>
      </c>
      <c r="C432" s="33"/>
      <c r="D432" s="126"/>
      <c r="E432" s="125"/>
      <c r="F432" s="61">
        <v>0</v>
      </c>
      <c r="G432" s="10">
        <v>0</v>
      </c>
      <c r="H432" s="131"/>
    </row>
    <row r="433" spans="1:8" x14ac:dyDescent="0.25">
      <c r="B433" s="179" t="str">
        <f xml:space="preserve"> ( 'Facility Detail'!$B$1159 + 3 ) &amp; " Surplus Applied to " &amp; ( 'Facility Detail'!$B$1159 + 4 )</f>
        <v>2018 Surplus Applied to 2019</v>
      </c>
      <c r="C433" s="33"/>
      <c r="D433" s="126"/>
      <c r="E433" s="125"/>
      <c r="F433" s="125"/>
      <c r="G433" s="10">
        <f>G413+G418-G424</f>
        <v>0</v>
      </c>
      <c r="H433" s="56">
        <f>G433</f>
        <v>0</v>
      </c>
    </row>
    <row r="434" spans="1:8" x14ac:dyDescent="0.25">
      <c r="B434" s="179" t="str">
        <f xml:space="preserve"> ( 'Facility Detail'!$B$1159 + 4 ) &amp; " Surplus Applied to " &amp; ( 'Facility Detail'!$B$1159 + 3 )</f>
        <v>2019 Surplus Applied to 2018</v>
      </c>
      <c r="C434" s="33"/>
      <c r="D434" s="127"/>
      <c r="E434" s="128"/>
      <c r="F434" s="128"/>
      <c r="G434" s="57">
        <v>0</v>
      </c>
      <c r="H434" s="48">
        <v>0</v>
      </c>
    </row>
    <row r="435" spans="1:8" x14ac:dyDescent="0.25">
      <c r="B435" s="133"/>
      <c r="C435" s="33"/>
      <c r="D435" s="7"/>
      <c r="E435" s="7"/>
      <c r="F435" s="7"/>
      <c r="G435" s="7"/>
      <c r="H435" s="7"/>
    </row>
    <row r="436" spans="1:8" x14ac:dyDescent="0.25">
      <c r="B436" s="134" t="s">
        <v>29</v>
      </c>
      <c r="D436" s="7">
        <f>D428-D427</f>
        <v>0</v>
      </c>
      <c r="E436" s="7">
        <f>E427+E430-E428-E429</f>
        <v>0</v>
      </c>
      <c r="F436" s="7">
        <f>F429+F432-F430-F431</f>
        <v>0</v>
      </c>
      <c r="G436" s="7">
        <f>G431+G434-G432-G433</f>
        <v>0</v>
      </c>
      <c r="H436" s="7">
        <f>H433-H434</f>
        <v>0</v>
      </c>
    </row>
    <row r="437" spans="1:8" x14ac:dyDescent="0.25">
      <c r="B437" s="6"/>
      <c r="D437" s="85"/>
      <c r="E437" s="123"/>
      <c r="F437" s="123"/>
      <c r="G437" s="123"/>
      <c r="H437" s="86"/>
    </row>
    <row r="438" spans="1:8" x14ac:dyDescent="0.25">
      <c r="B438" s="64" t="s">
        <v>24</v>
      </c>
      <c r="C438" s="62"/>
      <c r="D438" s="7"/>
      <c r="E438" s="7"/>
      <c r="F438" s="7"/>
      <c r="G438" s="7"/>
      <c r="H438" s="7"/>
    </row>
    <row r="439" spans="1:8" ht="18.75" x14ac:dyDescent="0.3">
      <c r="A439" s="42" t="s">
        <v>38</v>
      </c>
      <c r="C439" s="62"/>
      <c r="D439" s="124">
        <f xml:space="preserve"> D413 + D418 - D424 + D436 + D438</f>
        <v>0</v>
      </c>
      <c r="E439" s="124">
        <f xml:space="preserve"> E413 + E418 - E424 + E436 + E438</f>
        <v>0</v>
      </c>
      <c r="F439" s="124">
        <f xml:space="preserve"> F413 + F418 - F424 + F436 + F438</f>
        <v>968</v>
      </c>
      <c r="G439" s="124">
        <f xml:space="preserve"> G413 + G418 - G424 + G436 + G438</f>
        <v>0</v>
      </c>
      <c r="H439" s="124">
        <f xml:space="preserve"> H413 + H418 - H424 + H436 + H438</f>
        <v>0</v>
      </c>
    </row>
    <row r="440" spans="1:8" x14ac:dyDescent="0.25">
      <c r="B440" s="1" t="s">
        <v>186</v>
      </c>
      <c r="D440" s="7"/>
      <c r="E440" s="7"/>
      <c r="F440" s="32">
        <v>968</v>
      </c>
      <c r="G440" s="32"/>
      <c r="H440" s="32"/>
    </row>
    <row r="441" spans="1:8" x14ac:dyDescent="0.25">
      <c r="C441" s="139"/>
      <c r="D441" s="1"/>
    </row>
    <row r="442" spans="1:8" x14ac:dyDescent="0.25">
      <c r="A442" s="33"/>
      <c r="B442" s="33"/>
      <c r="C442" s="33"/>
      <c r="D442" s="33"/>
      <c r="E442" s="33"/>
      <c r="F442" s="33"/>
      <c r="G442" s="33"/>
      <c r="H442" s="33"/>
    </row>
    <row r="443" spans="1:8" x14ac:dyDescent="0.25">
      <c r="B443" s="33"/>
      <c r="C443" s="33"/>
      <c r="D443" s="33"/>
      <c r="E443" s="33"/>
      <c r="F443" s="33"/>
      <c r="G443" s="33"/>
      <c r="H443" s="33"/>
    </row>
    <row r="444" spans="1:8" ht="21" x14ac:dyDescent="0.35">
      <c r="A444" s="13" t="s">
        <v>4</v>
      </c>
      <c r="B444" s="13"/>
      <c r="C444" s="43" t="s">
        <v>166</v>
      </c>
      <c r="D444" s="23"/>
      <c r="E444" s="23"/>
    </row>
    <row r="445" spans="1:8" x14ac:dyDescent="0.25">
      <c r="D445" s="1"/>
    </row>
    <row r="446" spans="1:8" ht="18.75" x14ac:dyDescent="0.3">
      <c r="A446" s="9" t="s">
        <v>33</v>
      </c>
      <c r="B446" s="9"/>
      <c r="D446" s="2">
        <f>D41</f>
        <v>2015</v>
      </c>
      <c r="E446" s="2">
        <f>D446+1</f>
        <v>2016</v>
      </c>
      <c r="F446" s="2">
        <f>E446+1</f>
        <v>2017</v>
      </c>
      <c r="G446" s="2">
        <f>F446+1</f>
        <v>2018</v>
      </c>
      <c r="H446" s="2">
        <f>G446+1</f>
        <v>2019</v>
      </c>
    </row>
    <row r="447" spans="1:8" x14ac:dyDescent="0.25">
      <c r="B447" s="67" t="str">
        <f>" Purchased from " &amp; C444</f>
        <v xml:space="preserve"> Purchased from Stateline WA Wind--REC Only **</v>
      </c>
      <c r="C447" s="62"/>
      <c r="D447" s="4"/>
      <c r="E447" s="4"/>
      <c r="F447" s="4">
        <v>3890</v>
      </c>
      <c r="G447" s="4"/>
      <c r="H447" s="5"/>
    </row>
    <row r="448" spans="1:8" x14ac:dyDescent="0.25">
      <c r="B448" s="67" t="s">
        <v>37</v>
      </c>
      <c r="C448" s="62"/>
      <c r="D448" s="146"/>
      <c r="E448" s="146"/>
      <c r="F448" s="146">
        <v>1</v>
      </c>
      <c r="G448" s="146"/>
      <c r="H448" s="147"/>
    </row>
    <row r="449" spans="1:8" x14ac:dyDescent="0.25">
      <c r="B449" s="67" t="s">
        <v>32</v>
      </c>
      <c r="C449" s="62"/>
      <c r="D449" s="49"/>
      <c r="E449" s="49"/>
      <c r="F449" s="49">
        <v>1</v>
      </c>
      <c r="G449" s="49"/>
      <c r="H449" s="50"/>
    </row>
    <row r="450" spans="1:8" x14ac:dyDescent="0.25">
      <c r="B450" s="64" t="s">
        <v>34</v>
      </c>
      <c r="C450" s="65"/>
      <c r="D450" s="145">
        <f xml:space="preserve"> D447 * D448 * D449</f>
        <v>0</v>
      </c>
      <c r="E450" s="145">
        <f xml:space="preserve"> E447 * E448 * E449</f>
        <v>0</v>
      </c>
      <c r="F450" s="145">
        <f xml:space="preserve"> F447 * F448 * F449</f>
        <v>3890</v>
      </c>
      <c r="G450" s="145"/>
      <c r="H450" s="145"/>
    </row>
    <row r="451" spans="1:8" x14ac:dyDescent="0.25">
      <c r="B451" s="23"/>
      <c r="C451" s="33"/>
      <c r="D451" s="40"/>
      <c r="E451" s="40"/>
      <c r="F451" s="40"/>
      <c r="G451" s="181"/>
      <c r="H451" s="40"/>
    </row>
    <row r="452" spans="1:8" ht="18.75" x14ac:dyDescent="0.3">
      <c r="A452" s="45" t="s">
        <v>131</v>
      </c>
      <c r="C452" s="33"/>
      <c r="D452" s="2">
        <f>D446</f>
        <v>2015</v>
      </c>
      <c r="E452" s="2">
        <f>D452+1</f>
        <v>2016</v>
      </c>
      <c r="F452" s="2">
        <f>E452+1</f>
        <v>2017</v>
      </c>
      <c r="G452" s="2">
        <f>F452+1</f>
        <v>2018</v>
      </c>
      <c r="H452" s="2">
        <f>G452+1</f>
        <v>2019</v>
      </c>
    </row>
    <row r="453" spans="1:8" x14ac:dyDescent="0.25">
      <c r="B453" s="67" t="s">
        <v>22</v>
      </c>
      <c r="C453" s="62"/>
      <c r="D453" s="11">
        <f>IF( $E53 = "Eligible", D450 * 'Facility Detail'!$B$1156, 0 )</f>
        <v>0</v>
      </c>
      <c r="E453" s="121">
        <f>IF( $E53 = "Eligible", E450 * 'Facility Detail'!$B$1156, 0 )</f>
        <v>0</v>
      </c>
      <c r="F453" s="121">
        <f>IF( $E53 = "Eligible", F450 * 'Facility Detail'!$B$1156, 0 )</f>
        <v>0</v>
      </c>
      <c r="G453" s="121">
        <f>IF( $E53 = "Eligible", G450 * 'Facility Detail'!$B$1156, 0 )</f>
        <v>0</v>
      </c>
      <c r="H453" s="12">
        <f>IF( $E53 = "Eligible", H450 * 'Facility Detail'!$B$1156, 0 )</f>
        <v>0</v>
      </c>
    </row>
    <row r="454" spans="1:8" x14ac:dyDescent="0.25">
      <c r="B454" s="67" t="s">
        <v>6</v>
      </c>
      <c r="C454" s="62"/>
      <c r="D454" s="53">
        <f>IF( $F53 = "Eligible", D450, 0 )</f>
        <v>0</v>
      </c>
      <c r="E454" s="122">
        <f>IF( $F53 = "Eligible", E450, 0 )</f>
        <v>0</v>
      </c>
      <c r="F454" s="122">
        <f>IF( $F53 = "Eligible", F450, 0 )</f>
        <v>0</v>
      </c>
      <c r="G454" s="122">
        <f>IF( $F53 = "Eligible", G450, 0 )</f>
        <v>0</v>
      </c>
      <c r="H454" s="54">
        <f>IF( $F53 = "Eligible", H450, 0 )</f>
        <v>0</v>
      </c>
    </row>
    <row r="455" spans="1:8" x14ac:dyDescent="0.25">
      <c r="B455" s="66" t="s">
        <v>133</v>
      </c>
      <c r="C455" s="65"/>
      <c r="D455" s="41">
        <f>SUM(D453:D454)</f>
        <v>0</v>
      </c>
      <c r="E455" s="41">
        <f>SUM(E453:E454)</f>
        <v>0</v>
      </c>
      <c r="F455" s="41">
        <f>SUM(F453:F454)</f>
        <v>0</v>
      </c>
      <c r="G455" s="41">
        <f>SUM(G453:G454)</f>
        <v>0</v>
      </c>
      <c r="H455" s="41">
        <f>SUM(H453:H454)</f>
        <v>0</v>
      </c>
    </row>
    <row r="456" spans="1:8" x14ac:dyDescent="0.25">
      <c r="B456" s="33"/>
      <c r="C456" s="33"/>
      <c r="D456" s="34"/>
      <c r="E456" s="34"/>
      <c r="F456" s="34"/>
      <c r="G456" s="183"/>
      <c r="H456" s="34"/>
    </row>
    <row r="457" spans="1:8" ht="18.75" x14ac:dyDescent="0.3">
      <c r="A457" s="42" t="s">
        <v>42</v>
      </c>
      <c r="C457" s="33"/>
      <c r="D457" s="2">
        <f>D446</f>
        <v>2015</v>
      </c>
      <c r="E457" s="2">
        <f>D457+1</f>
        <v>2016</v>
      </c>
      <c r="F457" s="2">
        <f>E457+1</f>
        <v>2017</v>
      </c>
      <c r="G457" s="2">
        <f>F457+1</f>
        <v>2018</v>
      </c>
      <c r="H457" s="2">
        <f>G457+1</f>
        <v>2019</v>
      </c>
    </row>
    <row r="458" spans="1:8" x14ac:dyDescent="0.25">
      <c r="B458" s="67" t="s">
        <v>59</v>
      </c>
      <c r="C458" s="62"/>
      <c r="D458" s="4"/>
      <c r="E458" s="4"/>
      <c r="F458" s="4"/>
      <c r="G458" s="4"/>
      <c r="H458" s="5"/>
    </row>
    <row r="459" spans="1:8" x14ac:dyDescent="0.25">
      <c r="B459" s="68" t="s">
        <v>35</v>
      </c>
      <c r="C459" s="69"/>
      <c r="D459" s="151"/>
      <c r="E459" s="151"/>
      <c r="F459" s="151"/>
      <c r="G459" s="151"/>
      <c r="H459" s="152"/>
    </row>
    <row r="460" spans="1:8" x14ac:dyDescent="0.25">
      <c r="B460" s="78" t="s">
        <v>101</v>
      </c>
      <c r="C460" s="77"/>
      <c r="D460" s="153"/>
      <c r="E460" s="153"/>
      <c r="F460" s="153"/>
      <c r="G460" s="153"/>
      <c r="H460" s="154"/>
    </row>
    <row r="461" spans="1:8" x14ac:dyDescent="0.25">
      <c r="B461" s="36" t="s">
        <v>102</v>
      </c>
      <c r="D461" s="7">
        <f>SUM(D458:D460)</f>
        <v>0</v>
      </c>
      <c r="E461" s="7">
        <f>SUM(E458:E460)</f>
        <v>0</v>
      </c>
      <c r="F461" s="7">
        <f>SUM(F458:F460)</f>
        <v>0</v>
      </c>
      <c r="G461" s="7">
        <f>SUM(G458:G460)</f>
        <v>0</v>
      </c>
      <c r="H461" s="7">
        <f>SUM(H458:H460)</f>
        <v>0</v>
      </c>
    </row>
    <row r="462" spans="1:8" x14ac:dyDescent="0.25">
      <c r="B462" s="6"/>
      <c r="D462" s="7"/>
      <c r="E462" s="7"/>
      <c r="F462" s="7"/>
      <c r="G462" s="181"/>
      <c r="H462" s="7"/>
    </row>
    <row r="463" spans="1:8" ht="18.75" x14ac:dyDescent="0.3">
      <c r="A463" s="9" t="s">
        <v>112</v>
      </c>
      <c r="D463" s="2">
        <f>D446</f>
        <v>2015</v>
      </c>
      <c r="E463" s="2">
        <f>D463+1</f>
        <v>2016</v>
      </c>
      <c r="F463" s="2">
        <f>E463+1</f>
        <v>2017</v>
      </c>
      <c r="G463" s="2">
        <f>F463+1</f>
        <v>2018</v>
      </c>
      <c r="H463" s="2">
        <f>G463+1</f>
        <v>2019</v>
      </c>
    </row>
    <row r="464" spans="1:8" x14ac:dyDescent="0.25">
      <c r="B464" s="67" t="str">
        <f>( 'Facility Detail'!$B$1159) &amp; " Surplus Applied to " &amp; ( 'Facility Detail'!$B$1159 + 1 )</f>
        <v>2015 Surplus Applied to 2016</v>
      </c>
      <c r="C464" s="62"/>
      <c r="D464" s="3">
        <f>D450+D455-D461</f>
        <v>0</v>
      </c>
      <c r="E464" s="55">
        <f>D464</f>
        <v>0</v>
      </c>
      <c r="F464" s="129"/>
      <c r="G464" s="129"/>
      <c r="H464" s="130"/>
    </row>
    <row r="465" spans="1:8" x14ac:dyDescent="0.25">
      <c r="B465" s="67" t="str">
        <f xml:space="preserve"> ( 'Facility Detail'!$B$1159 + 1 ) &amp; " Surplus Applied to " &amp; ( 'Facility Detail'!$B$1159 )</f>
        <v>2016 Surplus Applied to 2015</v>
      </c>
      <c r="C465" s="62"/>
      <c r="D465" s="148">
        <v>0</v>
      </c>
      <c r="E465" s="10">
        <v>0</v>
      </c>
      <c r="F465" s="125"/>
      <c r="G465" s="125"/>
      <c r="H465" s="131"/>
    </row>
    <row r="466" spans="1:8" x14ac:dyDescent="0.25">
      <c r="B466" s="133" t="str">
        <f xml:space="preserve"> ( 'Facility Detail'!$B$1159 + 1 ) &amp; " Surplus Applied to " &amp; ( 'Facility Detail'!$B$1159 + 2 )</f>
        <v>2016 Surplus Applied to 2017</v>
      </c>
      <c r="C466" s="62"/>
      <c r="D466" s="126"/>
      <c r="E466" s="10">
        <f>E450+E455-E461</f>
        <v>0</v>
      </c>
      <c r="F466" s="61">
        <f>E466</f>
        <v>0</v>
      </c>
      <c r="G466" s="125"/>
      <c r="H466" s="131"/>
    </row>
    <row r="467" spans="1:8" x14ac:dyDescent="0.25">
      <c r="B467" s="133" t="str">
        <f xml:space="preserve"> ( 'Facility Detail'!$B$1159 + 2 ) &amp; " Surplus Applied to " &amp; ( 'Facility Detail'!$B$1159 + 1 )</f>
        <v>2017 Surplus Applied to 2016</v>
      </c>
      <c r="C467" s="62"/>
      <c r="D467" s="126"/>
      <c r="E467" s="61">
        <v>0</v>
      </c>
      <c r="F467" s="10">
        <v>0</v>
      </c>
      <c r="G467" s="125"/>
      <c r="H467" s="131"/>
    </row>
    <row r="468" spans="1:8" x14ac:dyDescent="0.25">
      <c r="B468" s="179" t="str">
        <f xml:space="preserve"> ( 'Facility Detail'!$B$1159 + 2 ) &amp; " Surplus Applied to " &amp; ( 'Facility Detail'!$B$1159 + 3 )</f>
        <v>2017 Surplus Applied to 2018</v>
      </c>
      <c r="C468" s="33"/>
      <c r="D468" s="126"/>
      <c r="E468" s="125"/>
      <c r="F468" s="10"/>
      <c r="G468" s="61">
        <f>F468</f>
        <v>0</v>
      </c>
      <c r="H468" s="131"/>
    </row>
    <row r="469" spans="1:8" x14ac:dyDescent="0.25">
      <c r="B469" s="179" t="str">
        <f xml:space="preserve"> ( 'Facility Detail'!$B$1159 + 3 ) &amp; " Surplus Applied to " &amp; ( 'Facility Detail'!$B$1159 + 2 )</f>
        <v>2018 Surplus Applied to 2017</v>
      </c>
      <c r="C469" s="33"/>
      <c r="D469" s="126"/>
      <c r="E469" s="125"/>
      <c r="F469" s="61">
        <v>0</v>
      </c>
      <c r="G469" s="10">
        <v>0</v>
      </c>
      <c r="H469" s="131"/>
    </row>
    <row r="470" spans="1:8" x14ac:dyDescent="0.25">
      <c r="B470" s="179" t="str">
        <f xml:space="preserve"> ( 'Facility Detail'!$B$1159 + 3 ) &amp; " Surplus Applied to " &amp; ( 'Facility Detail'!$B$1159 + 4 )</f>
        <v>2018 Surplus Applied to 2019</v>
      </c>
      <c r="C470" s="33"/>
      <c r="D470" s="126"/>
      <c r="E470" s="125"/>
      <c r="F470" s="125"/>
      <c r="G470" s="10">
        <f>G450+G455-G461</f>
        <v>0</v>
      </c>
      <c r="H470" s="56">
        <f>G470</f>
        <v>0</v>
      </c>
    </row>
    <row r="471" spans="1:8" x14ac:dyDescent="0.25">
      <c r="B471" s="179" t="str">
        <f xml:space="preserve"> ( 'Facility Detail'!$B$1159 + 4 ) &amp; " Surplus Applied to " &amp; ( 'Facility Detail'!$B$1159 + 3 )</f>
        <v>2019 Surplus Applied to 2018</v>
      </c>
      <c r="C471" s="33"/>
      <c r="D471" s="127"/>
      <c r="E471" s="128"/>
      <c r="F471" s="128"/>
      <c r="G471" s="57">
        <v>0</v>
      </c>
      <c r="H471" s="48">
        <v>0</v>
      </c>
    </row>
    <row r="472" spans="1:8" x14ac:dyDescent="0.25">
      <c r="B472" s="36" t="s">
        <v>29</v>
      </c>
      <c r="D472" s="7">
        <f>D465-D464</f>
        <v>0</v>
      </c>
      <c r="E472" s="7">
        <f>E464+E467-E465-E466</f>
        <v>0</v>
      </c>
      <c r="F472" s="7">
        <f>F466+F469-F467-F468</f>
        <v>0</v>
      </c>
      <c r="G472" s="7">
        <f>G468+G471-G469-G470</f>
        <v>0</v>
      </c>
      <c r="H472" s="7">
        <f>H470 - H471</f>
        <v>0</v>
      </c>
    </row>
    <row r="473" spans="1:8" x14ac:dyDescent="0.25">
      <c r="B473" s="6"/>
      <c r="D473" s="7"/>
      <c r="E473" s="7"/>
      <c r="F473" s="7"/>
      <c r="G473" s="7"/>
      <c r="H473" s="7"/>
    </row>
    <row r="474" spans="1:8" x14ac:dyDescent="0.25">
      <c r="B474" s="64" t="s">
        <v>24</v>
      </c>
      <c r="C474" s="62"/>
      <c r="D474" s="85"/>
      <c r="E474" s="123"/>
      <c r="F474" s="123"/>
      <c r="G474" s="123"/>
      <c r="H474" s="86"/>
    </row>
    <row r="475" spans="1:8" x14ac:dyDescent="0.25">
      <c r="B475" s="6"/>
      <c r="D475" s="7"/>
      <c r="E475" s="7"/>
      <c r="F475" s="7"/>
      <c r="G475" s="7"/>
      <c r="H475" s="7"/>
    </row>
    <row r="476" spans="1:8" ht="18.75" x14ac:dyDescent="0.3">
      <c r="A476" s="42" t="s">
        <v>38</v>
      </c>
      <c r="C476" s="62"/>
      <c r="D476" s="124">
        <f xml:space="preserve"> D450 + D455 - D461 + D472 + D474</f>
        <v>0</v>
      </c>
      <c r="E476" s="124">
        <f xml:space="preserve"> E450 + E455 - E461 + E472 + E474</f>
        <v>0</v>
      </c>
      <c r="F476" s="124">
        <f xml:space="preserve"> F450 + F455 - F461 + F472 + F474</f>
        <v>3890</v>
      </c>
      <c r="G476" s="124">
        <f xml:space="preserve"> G450 + G455 - G461 + G472 + G474</f>
        <v>0</v>
      </c>
      <c r="H476" s="206">
        <f xml:space="preserve"> H450 + H455 - H461 + H472 + H474</f>
        <v>0</v>
      </c>
    </row>
    <row r="477" spans="1:8" x14ac:dyDescent="0.25">
      <c r="B477" s="1" t="s">
        <v>186</v>
      </c>
      <c r="D477" s="7"/>
      <c r="E477" s="7"/>
      <c r="F477" s="32">
        <v>3890</v>
      </c>
      <c r="G477" s="32"/>
      <c r="H477" s="32"/>
    </row>
    <row r="478" spans="1:8" x14ac:dyDescent="0.25">
      <c r="C478" s="139"/>
      <c r="D478" s="33"/>
      <c r="E478" s="33"/>
      <c r="F478" s="33"/>
      <c r="G478" s="33"/>
      <c r="H478" s="33"/>
    </row>
    <row r="479" spans="1:8" x14ac:dyDescent="0.25">
      <c r="A479" s="33"/>
      <c r="B479" s="33"/>
      <c r="C479" s="33"/>
      <c r="D479" s="33"/>
      <c r="E479" s="33"/>
      <c r="F479" s="33"/>
      <c r="G479" s="33"/>
      <c r="H479" s="33"/>
    </row>
    <row r="480" spans="1:8" x14ac:dyDescent="0.25">
      <c r="B480" s="33"/>
      <c r="C480" s="33"/>
      <c r="D480" s="33"/>
      <c r="E480" s="33"/>
      <c r="F480" s="33"/>
      <c r="G480" s="33"/>
      <c r="H480" s="33"/>
    </row>
    <row r="481" spans="1:8" ht="21" x14ac:dyDescent="0.35">
      <c r="A481" s="13" t="s">
        <v>4</v>
      </c>
      <c r="B481" s="13"/>
      <c r="C481" s="43" t="s">
        <v>167</v>
      </c>
      <c r="D481" s="23"/>
      <c r="E481" s="23"/>
    </row>
    <row r="482" spans="1:8" x14ac:dyDescent="0.25">
      <c r="D482" s="1"/>
    </row>
    <row r="483" spans="1:8" ht="18.75" x14ac:dyDescent="0.3">
      <c r="A483" s="9" t="s">
        <v>33</v>
      </c>
      <c r="B483" s="9"/>
      <c r="D483" s="2">
        <f>D41</f>
        <v>2015</v>
      </c>
      <c r="E483" s="2">
        <f>D483+1</f>
        <v>2016</v>
      </c>
      <c r="F483" s="2">
        <f>E483+1</f>
        <v>2017</v>
      </c>
      <c r="G483" s="2">
        <f>F483+1</f>
        <v>2018</v>
      </c>
      <c r="H483" s="2">
        <f>G483+1</f>
        <v>2019</v>
      </c>
    </row>
    <row r="484" spans="1:8" x14ac:dyDescent="0.25">
      <c r="B484" s="67" t="str">
        <f>" Purchased from " &amp; C481</f>
        <v xml:space="preserve"> Purchased from Horse Butte Wind--REC only **</v>
      </c>
      <c r="C484" s="62"/>
      <c r="D484" s="4"/>
      <c r="E484" s="4"/>
      <c r="F484" s="4">
        <v>27</v>
      </c>
      <c r="G484" s="4"/>
      <c r="H484" s="5"/>
    </row>
    <row r="485" spans="1:8" x14ac:dyDescent="0.25">
      <c r="B485" s="67" t="s">
        <v>37</v>
      </c>
      <c r="C485" s="62"/>
      <c r="D485" s="146"/>
      <c r="E485" s="146"/>
      <c r="F485" s="146">
        <v>1</v>
      </c>
      <c r="G485" s="146"/>
      <c r="H485" s="147"/>
    </row>
    <row r="486" spans="1:8" x14ac:dyDescent="0.25">
      <c r="B486" s="67" t="s">
        <v>32</v>
      </c>
      <c r="C486" s="62"/>
      <c r="D486" s="49"/>
      <c r="E486" s="49"/>
      <c r="F486" s="49">
        <v>1</v>
      </c>
      <c r="G486" s="49"/>
      <c r="H486" s="50"/>
    </row>
    <row r="487" spans="1:8" x14ac:dyDescent="0.25">
      <c r="B487" s="64" t="s">
        <v>34</v>
      </c>
      <c r="C487" s="65"/>
      <c r="D487" s="145">
        <f xml:space="preserve"> D484 * D485 * D486</f>
        <v>0</v>
      </c>
      <c r="E487" s="145">
        <f xml:space="preserve"> E484 * E485 * E486</f>
        <v>0</v>
      </c>
      <c r="F487" s="145">
        <f xml:space="preserve"> F484 * F485 * F486</f>
        <v>27</v>
      </c>
      <c r="G487" s="145">
        <f xml:space="preserve"> G484 * G485 * G486</f>
        <v>0</v>
      </c>
      <c r="H487" s="145">
        <f xml:space="preserve"> H484 * H485 * H486</f>
        <v>0</v>
      </c>
    </row>
    <row r="488" spans="1:8" x14ac:dyDescent="0.25">
      <c r="B488" s="23"/>
      <c r="C488" s="33"/>
      <c r="D488" s="40"/>
      <c r="E488" s="40"/>
      <c r="F488" s="40"/>
      <c r="G488" s="181"/>
      <c r="H488" s="40"/>
    </row>
    <row r="489" spans="1:8" ht="18.75" x14ac:dyDescent="0.3">
      <c r="A489" s="45" t="s">
        <v>131</v>
      </c>
      <c r="C489" s="33"/>
      <c r="D489" s="2">
        <f>D483</f>
        <v>2015</v>
      </c>
      <c r="E489" s="2">
        <f>D489+1</f>
        <v>2016</v>
      </c>
      <c r="F489" s="2">
        <f>E489+1</f>
        <v>2017</v>
      </c>
      <c r="G489" s="2">
        <f>F489+1</f>
        <v>2018</v>
      </c>
      <c r="H489" s="2">
        <f>G489+1</f>
        <v>2019</v>
      </c>
    </row>
    <row r="490" spans="1:8" x14ac:dyDescent="0.25">
      <c r="B490" s="67" t="s">
        <v>22</v>
      </c>
      <c r="C490" s="62"/>
      <c r="D490" s="11">
        <f>IF( $E90 = "Eligible", D487 * 'Facility Detail'!$B$1156, 0 )</f>
        <v>0</v>
      </c>
      <c r="E490" s="121">
        <f>IF( $E90 = "Eligible", E487 * 'Facility Detail'!$B$1156, 0 )</f>
        <v>0</v>
      </c>
      <c r="F490" s="121">
        <f>IF( $E90 = "Eligible", F487 * 'Facility Detail'!$B$1156, 0 )</f>
        <v>0</v>
      </c>
      <c r="G490" s="121">
        <f>IF( $E90 = "Eligible", G487 * 'Facility Detail'!$B$1156, 0 )</f>
        <v>0</v>
      </c>
      <c r="H490" s="12">
        <f>IF( $E90 = "Eligible", H487 * 'Facility Detail'!$B$1156, 0 )</f>
        <v>0</v>
      </c>
    </row>
    <row r="491" spans="1:8" x14ac:dyDescent="0.25">
      <c r="B491" s="67" t="s">
        <v>6</v>
      </c>
      <c r="C491" s="62"/>
      <c r="D491" s="53">
        <f>IF( $F90 = "Eligible", D487, 0 )</f>
        <v>0</v>
      </c>
      <c r="E491" s="122">
        <f>IF( $F90 = "Eligible", E487, 0 )</f>
        <v>0</v>
      </c>
      <c r="F491" s="122">
        <f>IF( $F90 = "Eligible", F487, 0 )</f>
        <v>0</v>
      </c>
      <c r="G491" s="122">
        <f>IF( $F90 = "Eligible", G487, 0 )</f>
        <v>0</v>
      </c>
      <c r="H491" s="54">
        <f>IF( $F90 = "Eligible", H487, 0 )</f>
        <v>0</v>
      </c>
    </row>
    <row r="492" spans="1:8" x14ac:dyDescent="0.25">
      <c r="B492" s="66" t="s">
        <v>133</v>
      </c>
      <c r="C492" s="65"/>
      <c r="D492" s="41">
        <f>SUM(D490:D491)</f>
        <v>0</v>
      </c>
      <c r="E492" s="41">
        <f>SUM(E490:E491)</f>
        <v>0</v>
      </c>
      <c r="F492" s="41">
        <f>SUM(F490:F491)</f>
        <v>0</v>
      </c>
      <c r="G492" s="41">
        <f>SUM(G490:G491)</f>
        <v>0</v>
      </c>
      <c r="H492" s="41">
        <f>SUM(H490:H491)</f>
        <v>0</v>
      </c>
    </row>
    <row r="493" spans="1:8" x14ac:dyDescent="0.25">
      <c r="B493" s="33"/>
      <c r="C493" s="33"/>
      <c r="D493" s="34"/>
      <c r="E493" s="34"/>
      <c r="F493" s="34"/>
      <c r="G493" s="183"/>
      <c r="H493" s="34"/>
    </row>
    <row r="494" spans="1:8" ht="18.75" x14ac:dyDescent="0.3">
      <c r="A494" s="42" t="s">
        <v>42</v>
      </c>
      <c r="C494" s="33"/>
      <c r="D494" s="2">
        <f>D483</f>
        <v>2015</v>
      </c>
      <c r="E494" s="2">
        <f>D494+1</f>
        <v>2016</v>
      </c>
      <c r="F494" s="2">
        <f>E494+1</f>
        <v>2017</v>
      </c>
      <c r="G494" s="2">
        <f>F494+1</f>
        <v>2018</v>
      </c>
      <c r="H494" s="2">
        <f>G494+1</f>
        <v>2019</v>
      </c>
    </row>
    <row r="495" spans="1:8" x14ac:dyDescent="0.25">
      <c r="B495" s="67" t="s">
        <v>59</v>
      </c>
      <c r="C495" s="62"/>
      <c r="D495" s="4"/>
      <c r="E495" s="4"/>
      <c r="F495" s="4"/>
      <c r="G495" s="4"/>
      <c r="H495" s="5"/>
    </row>
    <row r="496" spans="1:8" x14ac:dyDescent="0.25">
      <c r="B496" s="68" t="s">
        <v>35</v>
      </c>
      <c r="C496" s="69"/>
      <c r="D496" s="151"/>
      <c r="E496" s="151"/>
      <c r="F496" s="151"/>
      <c r="G496" s="151"/>
      <c r="H496" s="152"/>
    </row>
    <row r="497" spans="1:8" x14ac:dyDescent="0.25">
      <c r="B497" s="78" t="s">
        <v>101</v>
      </c>
      <c r="C497" s="77"/>
      <c r="D497" s="153"/>
      <c r="E497" s="153"/>
      <c r="F497" s="153"/>
      <c r="G497" s="153"/>
      <c r="H497" s="154"/>
    </row>
    <row r="498" spans="1:8" x14ac:dyDescent="0.25">
      <c r="B498" s="36" t="s">
        <v>102</v>
      </c>
      <c r="D498" s="7">
        <f>SUM(D495:D497)</f>
        <v>0</v>
      </c>
      <c r="E498" s="7">
        <f>SUM(E495:E497)</f>
        <v>0</v>
      </c>
      <c r="F498" s="7">
        <f>SUM(F495:F497)</f>
        <v>0</v>
      </c>
      <c r="G498" s="7">
        <f>SUM(G495:G497)</f>
        <v>0</v>
      </c>
      <c r="H498" s="7">
        <f>SUM(H495:H497)</f>
        <v>0</v>
      </c>
    </row>
    <row r="499" spans="1:8" x14ac:dyDescent="0.25">
      <c r="B499" s="6"/>
      <c r="D499" s="7"/>
      <c r="E499" s="7"/>
      <c r="F499" s="7"/>
      <c r="G499" s="181"/>
      <c r="H499" s="7"/>
    </row>
    <row r="500" spans="1:8" ht="18.75" x14ac:dyDescent="0.3">
      <c r="A500" s="9" t="s">
        <v>112</v>
      </c>
      <c r="D500" s="2">
        <f>D483</f>
        <v>2015</v>
      </c>
      <c r="E500" s="2">
        <f>D500+1</f>
        <v>2016</v>
      </c>
      <c r="F500" s="2">
        <f>E500+1</f>
        <v>2017</v>
      </c>
      <c r="G500" s="2">
        <f>F500+1</f>
        <v>2018</v>
      </c>
      <c r="H500" s="2">
        <f>G500+1</f>
        <v>2019</v>
      </c>
    </row>
    <row r="501" spans="1:8" x14ac:dyDescent="0.25">
      <c r="B501" s="67" t="str">
        <f>( 'Facility Detail'!$B$1159) &amp; " Surplus Applied to " &amp; ( 'Facility Detail'!$B$1159 + 1 )</f>
        <v>2015 Surplus Applied to 2016</v>
      </c>
      <c r="C501" s="62"/>
      <c r="D501" s="3">
        <f>D487+D492-D498</f>
        <v>0</v>
      </c>
      <c r="E501" s="55">
        <f>D501</f>
        <v>0</v>
      </c>
      <c r="F501" s="129"/>
      <c r="G501" s="129"/>
      <c r="H501" s="130"/>
    </row>
    <row r="502" spans="1:8" x14ac:dyDescent="0.25">
      <c r="B502" s="67" t="str">
        <f xml:space="preserve"> ( 'Facility Detail'!$B$1159 + 1 ) &amp; " Surplus Applied to " &amp; ( 'Facility Detail'!$B$1159 )</f>
        <v>2016 Surplus Applied to 2015</v>
      </c>
      <c r="C502" s="62"/>
      <c r="D502" s="148">
        <v>0</v>
      </c>
      <c r="E502" s="10">
        <v>0</v>
      </c>
      <c r="F502" s="125"/>
      <c r="G502" s="125"/>
      <c r="H502" s="131"/>
    </row>
    <row r="503" spans="1:8" x14ac:dyDescent="0.25">
      <c r="B503" s="133" t="str">
        <f xml:space="preserve"> ( 'Facility Detail'!$B$1159 + 1 ) &amp; " Surplus Applied to " &amp; ( 'Facility Detail'!$B$1159 + 2 )</f>
        <v>2016 Surplus Applied to 2017</v>
      </c>
      <c r="C503" s="62"/>
      <c r="D503" s="126">
        <f>D487+D492-D498</f>
        <v>0</v>
      </c>
      <c r="E503" s="10">
        <f>E487+E492-E498</f>
        <v>0</v>
      </c>
      <c r="F503" s="61">
        <f>E503</f>
        <v>0</v>
      </c>
      <c r="G503" s="125"/>
      <c r="H503" s="131"/>
    </row>
    <row r="504" spans="1:8" x14ac:dyDescent="0.25">
      <c r="B504" s="133" t="str">
        <f xml:space="preserve"> ( 'Facility Detail'!$B$1159 + 2 ) &amp; " Surplus Applied to " &amp; ( 'Facility Detail'!$B$1159 + 1 )</f>
        <v>2017 Surplus Applied to 2016</v>
      </c>
      <c r="C504" s="62"/>
      <c r="D504" s="126">
        <f>E504</f>
        <v>0</v>
      </c>
      <c r="E504" s="61">
        <v>0</v>
      </c>
      <c r="F504" s="10">
        <v>0</v>
      </c>
      <c r="G504" s="125"/>
      <c r="H504" s="131"/>
    </row>
    <row r="505" spans="1:8" x14ac:dyDescent="0.25">
      <c r="B505" s="179" t="str">
        <f xml:space="preserve"> ( 'Facility Detail'!$B$1159 + 2 ) &amp; " Surplus Applied to " &amp; ( 'Facility Detail'!$B$1159 + 3 )</f>
        <v>2017 Surplus Applied to 2018</v>
      </c>
      <c r="C505" s="33"/>
      <c r="D505" s="126"/>
      <c r="E505" s="125">
        <f>E487+E492-E498</f>
        <v>0</v>
      </c>
      <c r="F505" s="10"/>
      <c r="G505" s="61">
        <f>F505</f>
        <v>0</v>
      </c>
      <c r="H505" s="131"/>
    </row>
    <row r="506" spans="1:8" x14ac:dyDescent="0.25">
      <c r="B506" s="179" t="str">
        <f xml:space="preserve"> ( 'Facility Detail'!$B$1159 + 3 ) &amp; " Surplus Applied to " &amp; ( 'Facility Detail'!$B$1159 + 2 )</f>
        <v>2018 Surplus Applied to 2017</v>
      </c>
      <c r="C506" s="33"/>
      <c r="D506" s="126"/>
      <c r="E506" s="125">
        <f>F506</f>
        <v>0</v>
      </c>
      <c r="F506" s="61">
        <v>0</v>
      </c>
      <c r="G506" s="10"/>
      <c r="H506" s="131"/>
    </row>
    <row r="507" spans="1:8" x14ac:dyDescent="0.25">
      <c r="B507" s="179" t="str">
        <f xml:space="preserve"> ( 'Facility Detail'!$B$1159 + 3 ) &amp; " Surplus Applied to " &amp; ( 'Facility Detail'!$B$1159 + 4 )</f>
        <v>2018 Surplus Applied to 2019</v>
      </c>
      <c r="C507" s="33"/>
      <c r="D507" s="126"/>
      <c r="E507" s="125"/>
      <c r="F507" s="125"/>
      <c r="G507" s="10">
        <f>G487+G492-G498</f>
        <v>0</v>
      </c>
      <c r="H507" s="56">
        <f>G507</f>
        <v>0</v>
      </c>
    </row>
    <row r="508" spans="1:8" x14ac:dyDescent="0.25">
      <c r="B508" s="179" t="str">
        <f xml:space="preserve"> ( 'Facility Detail'!$B$1159 + 4 ) &amp; " Surplus Applied to " &amp; ( 'Facility Detail'!$B$1159 + 3 )</f>
        <v>2019 Surplus Applied to 2018</v>
      </c>
      <c r="C508" s="33"/>
      <c r="D508" s="127"/>
      <c r="E508" s="128"/>
      <c r="F508" s="128"/>
      <c r="G508" s="57">
        <v>0</v>
      </c>
      <c r="H508" s="48">
        <v>0</v>
      </c>
    </row>
    <row r="509" spans="1:8" x14ac:dyDescent="0.25">
      <c r="B509" s="36" t="s">
        <v>29</v>
      </c>
      <c r="D509" s="7">
        <f>D502-D501</f>
        <v>0</v>
      </c>
      <c r="E509" s="7">
        <f>E501+E504-E502-E503</f>
        <v>0</v>
      </c>
      <c r="F509" s="7">
        <f>F503+F506-F504-F505</f>
        <v>0</v>
      </c>
      <c r="G509" s="7">
        <f>G505+G508-G506-G507</f>
        <v>0</v>
      </c>
      <c r="H509" s="7">
        <f>H507 - H508</f>
        <v>0</v>
      </c>
    </row>
    <row r="510" spans="1:8" x14ac:dyDescent="0.25">
      <c r="B510" s="6"/>
      <c r="D510" s="7"/>
      <c r="E510" s="7"/>
      <c r="F510" s="7"/>
      <c r="G510" s="7"/>
      <c r="H510" s="7"/>
    </row>
    <row r="511" spans="1:8" x14ac:dyDescent="0.25">
      <c r="B511" s="64" t="s">
        <v>24</v>
      </c>
      <c r="C511" s="62"/>
      <c r="D511" s="85"/>
      <c r="E511" s="123"/>
      <c r="F511" s="123"/>
      <c r="G511" s="123"/>
      <c r="H511" s="86"/>
    </row>
    <row r="512" spans="1:8" x14ac:dyDescent="0.25">
      <c r="B512" s="6"/>
      <c r="D512" s="7"/>
      <c r="E512" s="7"/>
      <c r="F512" s="7"/>
      <c r="G512" s="7"/>
      <c r="H512" s="7"/>
    </row>
    <row r="513" spans="1:8" ht="18.75" x14ac:dyDescent="0.3">
      <c r="A513" s="42" t="s">
        <v>38</v>
      </c>
      <c r="C513" s="62"/>
      <c r="D513" s="124">
        <f xml:space="preserve"> D487 + D492 - D498 + D509 + D511</f>
        <v>0</v>
      </c>
      <c r="E513" s="124">
        <f xml:space="preserve"> E487 + E492 - E498 + E509 + E511</f>
        <v>0</v>
      </c>
      <c r="F513" s="124">
        <f xml:space="preserve"> F487 + F492 - F498 + F509 + F511</f>
        <v>27</v>
      </c>
      <c r="G513" s="124">
        <f xml:space="preserve"> G487 + G492 - G498 + G509 + G511</f>
        <v>0</v>
      </c>
      <c r="H513" s="206">
        <f xml:space="preserve"> H487 + H492 - H498 + H509 + H511</f>
        <v>0</v>
      </c>
    </row>
    <row r="514" spans="1:8" x14ac:dyDescent="0.25">
      <c r="B514" s="1" t="s">
        <v>186</v>
      </c>
      <c r="D514" s="7"/>
      <c r="E514" s="7"/>
      <c r="F514" s="32">
        <v>27</v>
      </c>
      <c r="G514" s="32"/>
      <c r="H514" s="32"/>
    </row>
    <row r="515" spans="1:8" x14ac:dyDescent="0.25">
      <c r="C515" s="139"/>
      <c r="D515" s="33"/>
      <c r="E515" s="33"/>
      <c r="F515" s="33"/>
      <c r="G515" s="33"/>
      <c r="H515" s="33"/>
    </row>
    <row r="516" spans="1:8" x14ac:dyDescent="0.25">
      <c r="A516" s="33"/>
      <c r="B516" s="33"/>
      <c r="C516" s="33"/>
      <c r="D516" s="33"/>
      <c r="E516" s="33"/>
      <c r="F516" s="33"/>
      <c r="G516" s="33"/>
      <c r="H516" s="33"/>
    </row>
    <row r="517" spans="1:8" x14ac:dyDescent="0.25">
      <c r="B517" s="33"/>
      <c r="C517" s="33"/>
      <c r="D517" s="33"/>
      <c r="E517" s="33"/>
      <c r="F517" s="33"/>
      <c r="G517" s="33"/>
      <c r="H517" s="33"/>
    </row>
    <row r="518" spans="1:8" ht="21" x14ac:dyDescent="0.35">
      <c r="A518" s="13" t="s">
        <v>4</v>
      </c>
      <c r="B518" s="13"/>
      <c r="C518" s="43" t="s">
        <v>168</v>
      </c>
      <c r="D518" s="23"/>
      <c r="E518" s="23"/>
    </row>
    <row r="519" spans="1:8" x14ac:dyDescent="0.25">
      <c r="D519" s="1"/>
    </row>
    <row r="520" spans="1:8" ht="18.75" x14ac:dyDescent="0.3">
      <c r="A520" s="9" t="s">
        <v>33</v>
      </c>
      <c r="B520" s="9"/>
      <c r="D520" s="2">
        <f>D41</f>
        <v>2015</v>
      </c>
      <c r="E520" s="2">
        <f>D520+1</f>
        <v>2016</v>
      </c>
      <c r="F520" s="2">
        <f>E520+1</f>
        <v>2017</v>
      </c>
      <c r="G520" s="2">
        <f>F520+1</f>
        <v>2018</v>
      </c>
      <c r="H520" s="2">
        <f>G520+1</f>
        <v>2019</v>
      </c>
    </row>
    <row r="521" spans="1:8" x14ac:dyDescent="0.25">
      <c r="B521" s="67" t="str">
        <f>" Purchased from " &amp; C518</f>
        <v xml:space="preserve"> Purchased from Grand View 5 East--REC Only**</v>
      </c>
      <c r="C521" s="62"/>
      <c r="D521" s="4"/>
      <c r="E521" s="4"/>
      <c r="F521" s="4">
        <v>6741</v>
      </c>
      <c r="G521" s="4"/>
      <c r="H521" s="5"/>
    </row>
    <row r="522" spans="1:8" x14ac:dyDescent="0.25">
      <c r="B522" s="67" t="s">
        <v>37</v>
      </c>
      <c r="C522" s="62"/>
      <c r="D522" s="146"/>
      <c r="E522" s="146"/>
      <c r="F522" s="146">
        <v>1</v>
      </c>
      <c r="G522" s="146"/>
      <c r="H522" s="147"/>
    </row>
    <row r="523" spans="1:8" x14ac:dyDescent="0.25">
      <c r="B523" s="67" t="s">
        <v>32</v>
      </c>
      <c r="C523" s="62"/>
      <c r="D523" s="49"/>
      <c r="E523" s="49"/>
      <c r="F523" s="49">
        <v>1</v>
      </c>
      <c r="G523" s="49"/>
      <c r="H523" s="50"/>
    </row>
    <row r="524" spans="1:8" x14ac:dyDescent="0.25">
      <c r="B524" s="64" t="s">
        <v>34</v>
      </c>
      <c r="C524" s="65"/>
      <c r="D524" s="145">
        <f xml:space="preserve"> D521 * D522 * D523</f>
        <v>0</v>
      </c>
      <c r="E524" s="145">
        <f xml:space="preserve"> E521 * E522 * E523</f>
        <v>0</v>
      </c>
      <c r="F524" s="145">
        <f xml:space="preserve"> F521 * F522 * F523</f>
        <v>6741</v>
      </c>
      <c r="G524" s="145">
        <f xml:space="preserve"> G521 * G522 * G523</f>
        <v>0</v>
      </c>
      <c r="H524" s="145">
        <f xml:space="preserve"> H521 * H522 * H523</f>
        <v>0</v>
      </c>
    </row>
    <row r="525" spans="1:8" x14ac:dyDescent="0.25">
      <c r="B525" s="23"/>
      <c r="C525" s="33"/>
      <c r="D525" s="40"/>
      <c r="E525" s="40"/>
      <c r="F525" s="40"/>
      <c r="G525" s="181"/>
      <c r="H525" s="40"/>
    </row>
    <row r="526" spans="1:8" ht="18.75" x14ac:dyDescent="0.3">
      <c r="A526" s="45" t="s">
        <v>131</v>
      </c>
      <c r="C526" s="33"/>
      <c r="D526" s="2">
        <f>D520</f>
        <v>2015</v>
      </c>
      <c r="E526" s="2">
        <f>D526+1</f>
        <v>2016</v>
      </c>
      <c r="F526" s="2">
        <f>E526+1</f>
        <v>2017</v>
      </c>
      <c r="G526" s="2">
        <f>F526+1</f>
        <v>2018</v>
      </c>
      <c r="H526" s="2">
        <f>G526+1</f>
        <v>2019</v>
      </c>
    </row>
    <row r="527" spans="1:8" x14ac:dyDescent="0.25">
      <c r="B527" s="67" t="s">
        <v>22</v>
      </c>
      <c r="C527" s="62"/>
      <c r="D527" s="11">
        <f>IF( $E127 = "Eligible", D524 * 'Facility Detail'!$B$1156, 0 )</f>
        <v>0</v>
      </c>
      <c r="E527" s="121">
        <f>IF( $E127 = "Eligible", E524 * 'Facility Detail'!$B$1156, 0 )</f>
        <v>0</v>
      </c>
      <c r="F527" s="121">
        <f>IF( $E127 = "Eligible", F524 * 'Facility Detail'!$B$1156, 0 )</f>
        <v>0</v>
      </c>
      <c r="G527" s="121">
        <f>IF( $E127 = "Eligible", G524 * 'Facility Detail'!$B$1156, 0 )</f>
        <v>0</v>
      </c>
      <c r="H527" s="12">
        <f>IF( $E127 = "Eligible", H524 * 'Facility Detail'!$B$1156, 0 )</f>
        <v>0</v>
      </c>
    </row>
    <row r="528" spans="1:8" x14ac:dyDescent="0.25">
      <c r="B528" s="67" t="s">
        <v>6</v>
      </c>
      <c r="C528" s="62"/>
      <c r="D528" s="53">
        <f>IF( $F127 = "Eligible", D524, 0 )</f>
        <v>0</v>
      </c>
      <c r="E528" s="122">
        <f>IF( $F127 = "Eligible", E524, 0 )</f>
        <v>0</v>
      </c>
      <c r="F528" s="122">
        <f>IF( $F127 = "Eligible", F524, 0 )</f>
        <v>0</v>
      </c>
      <c r="G528" s="122">
        <f>IF( $F127 = "Eligible", G524, 0 )</f>
        <v>0</v>
      </c>
      <c r="H528" s="54">
        <f>IF( $F127 = "Eligible", H524, 0 )</f>
        <v>0</v>
      </c>
    </row>
    <row r="529" spans="1:8" x14ac:dyDescent="0.25">
      <c r="B529" s="66" t="s">
        <v>133</v>
      </c>
      <c r="C529" s="65"/>
      <c r="D529" s="41">
        <f>SUM(D527:D528)</f>
        <v>0</v>
      </c>
      <c r="E529" s="41">
        <f>SUM(E527:E528)</f>
        <v>0</v>
      </c>
      <c r="F529" s="41">
        <f>SUM(F527:F528)</f>
        <v>0</v>
      </c>
      <c r="G529" s="41">
        <f>SUM(G527:G528)</f>
        <v>0</v>
      </c>
      <c r="H529" s="41">
        <f>SUM(H527:H528)</f>
        <v>0</v>
      </c>
    </row>
    <row r="530" spans="1:8" x14ac:dyDescent="0.25">
      <c r="B530" s="33"/>
      <c r="C530" s="33"/>
      <c r="D530" s="34"/>
      <c r="E530" s="34"/>
      <c r="F530" s="34"/>
      <c r="G530" s="183"/>
      <c r="H530" s="34"/>
    </row>
    <row r="531" spans="1:8" ht="18.75" x14ac:dyDescent="0.3">
      <c r="A531" s="42" t="s">
        <v>42</v>
      </c>
      <c r="C531" s="33"/>
      <c r="D531" s="2">
        <f>D520</f>
        <v>2015</v>
      </c>
      <c r="E531" s="2">
        <f>D531+1</f>
        <v>2016</v>
      </c>
      <c r="F531" s="2">
        <f>E531+1</f>
        <v>2017</v>
      </c>
      <c r="G531" s="2">
        <f>F531+1</f>
        <v>2018</v>
      </c>
      <c r="H531" s="2">
        <f>G531+1</f>
        <v>2019</v>
      </c>
    </row>
    <row r="532" spans="1:8" x14ac:dyDescent="0.25">
      <c r="B532" s="67" t="s">
        <v>59</v>
      </c>
      <c r="C532" s="62"/>
      <c r="D532" s="4"/>
      <c r="E532" s="4"/>
      <c r="F532" s="4"/>
      <c r="G532" s="4"/>
      <c r="H532" s="5"/>
    </row>
    <row r="533" spans="1:8" x14ac:dyDescent="0.25">
      <c r="B533" s="68" t="s">
        <v>35</v>
      </c>
      <c r="C533" s="69"/>
      <c r="D533" s="151"/>
      <c r="E533" s="151"/>
      <c r="F533" s="151"/>
      <c r="G533" s="151"/>
      <c r="H533" s="152"/>
    </row>
    <row r="534" spans="1:8" x14ac:dyDescent="0.25">
      <c r="B534" s="78" t="s">
        <v>101</v>
      </c>
      <c r="C534" s="77"/>
      <c r="D534" s="153"/>
      <c r="E534" s="153"/>
      <c r="F534" s="153"/>
      <c r="G534" s="153"/>
      <c r="H534" s="154"/>
    </row>
    <row r="535" spans="1:8" x14ac:dyDescent="0.25">
      <c r="B535" s="36" t="s">
        <v>102</v>
      </c>
      <c r="D535" s="7">
        <f>SUM(D532:D534)</f>
        <v>0</v>
      </c>
      <c r="E535" s="7">
        <f>SUM(E532:E534)</f>
        <v>0</v>
      </c>
      <c r="F535" s="7">
        <f>SUM(F532:F534)</f>
        <v>0</v>
      </c>
      <c r="G535" s="7">
        <f>SUM(G532:G534)</f>
        <v>0</v>
      </c>
      <c r="H535" s="7">
        <f>SUM(H532:H534)</f>
        <v>0</v>
      </c>
    </row>
    <row r="536" spans="1:8" x14ac:dyDescent="0.25">
      <c r="B536" s="6"/>
      <c r="D536" s="7"/>
      <c r="E536" s="7"/>
      <c r="F536" s="7"/>
      <c r="G536" s="181"/>
      <c r="H536" s="7"/>
    </row>
    <row r="537" spans="1:8" ht="18.75" x14ac:dyDescent="0.3">
      <c r="A537" s="9" t="s">
        <v>112</v>
      </c>
      <c r="D537" s="2">
        <f>D520</f>
        <v>2015</v>
      </c>
      <c r="E537" s="2">
        <f>D537+1</f>
        <v>2016</v>
      </c>
      <c r="F537" s="2">
        <f>E537+1</f>
        <v>2017</v>
      </c>
      <c r="G537" s="2">
        <f>F537+1</f>
        <v>2018</v>
      </c>
      <c r="H537" s="2">
        <f>G537+1</f>
        <v>2019</v>
      </c>
    </row>
    <row r="538" spans="1:8" x14ac:dyDescent="0.25">
      <c r="B538" s="67" t="str">
        <f>( 'Facility Detail'!$B$1159) &amp; " Surplus Applied to " &amp; ( 'Facility Detail'!$B$1159 + 1 )</f>
        <v>2015 Surplus Applied to 2016</v>
      </c>
      <c r="C538" s="62"/>
      <c r="D538" s="3">
        <f>D524+D529-D535</f>
        <v>0</v>
      </c>
      <c r="E538" s="55">
        <f>D538</f>
        <v>0</v>
      </c>
      <c r="F538" s="129"/>
      <c r="G538" s="129"/>
      <c r="H538" s="130"/>
    </row>
    <row r="539" spans="1:8" x14ac:dyDescent="0.25">
      <c r="B539" s="67" t="str">
        <f xml:space="preserve"> ( 'Facility Detail'!$B$1159 + 1 ) &amp; " Surplus Applied to " &amp; ( 'Facility Detail'!$B$1159 )</f>
        <v>2016 Surplus Applied to 2015</v>
      </c>
      <c r="C539" s="62"/>
      <c r="D539" s="148">
        <v>0</v>
      </c>
      <c r="E539" s="10">
        <v>0</v>
      </c>
      <c r="F539" s="125"/>
      <c r="G539" s="125"/>
      <c r="H539" s="131"/>
    </row>
    <row r="540" spans="1:8" x14ac:dyDescent="0.25">
      <c r="B540" s="133" t="str">
        <f xml:space="preserve"> ( 'Facility Detail'!$B$1159 + 1 ) &amp; " Surplus Applied to " &amp; ( 'Facility Detail'!$B$1159 + 2 )</f>
        <v>2016 Surplus Applied to 2017</v>
      </c>
      <c r="C540" s="62"/>
      <c r="D540" s="126"/>
      <c r="E540" s="10">
        <f>E524+E529-E535</f>
        <v>0</v>
      </c>
      <c r="F540" s="61">
        <f>E540</f>
        <v>0</v>
      </c>
      <c r="G540" s="125"/>
      <c r="H540" s="131"/>
    </row>
    <row r="541" spans="1:8" x14ac:dyDescent="0.25">
      <c r="B541" s="133" t="str">
        <f xml:space="preserve"> ( 'Facility Detail'!$B$1159 + 2 ) &amp; " Surplus Applied to " &amp; ( 'Facility Detail'!$B$1159 + 1 )</f>
        <v>2017 Surplus Applied to 2016</v>
      </c>
      <c r="C541" s="62"/>
      <c r="D541" s="126"/>
      <c r="E541" s="61">
        <v>0</v>
      </c>
      <c r="F541" s="10">
        <v>0</v>
      </c>
      <c r="G541" s="125"/>
      <c r="H541" s="131"/>
    </row>
    <row r="542" spans="1:8" x14ac:dyDescent="0.25">
      <c r="B542" s="179" t="str">
        <f xml:space="preserve"> ( 'Facility Detail'!$B$1159 + 2 ) &amp; " Surplus Applied to " &amp; ( 'Facility Detail'!$B$1159 + 3 )</f>
        <v>2017 Surplus Applied to 2018</v>
      </c>
      <c r="C542" s="33"/>
      <c r="D542" s="126"/>
      <c r="E542" s="125"/>
      <c r="F542" s="10"/>
      <c r="G542" s="61">
        <f>F542</f>
        <v>0</v>
      </c>
      <c r="H542" s="131"/>
    </row>
    <row r="543" spans="1:8" x14ac:dyDescent="0.25">
      <c r="B543" s="179" t="str">
        <f xml:space="preserve"> ( 'Facility Detail'!$B$1159 + 3 ) &amp; " Surplus Applied to " &amp; ( 'Facility Detail'!$B$1159 + 2 )</f>
        <v>2018 Surplus Applied to 2017</v>
      </c>
      <c r="C543" s="33"/>
      <c r="D543" s="126"/>
      <c r="E543" s="125"/>
      <c r="F543" s="61">
        <v>0</v>
      </c>
      <c r="G543" s="10">
        <v>0</v>
      </c>
      <c r="H543" s="131"/>
    </row>
    <row r="544" spans="1:8" x14ac:dyDescent="0.25">
      <c r="B544" s="179" t="str">
        <f xml:space="preserve"> ( 'Facility Detail'!$B$1159 + 3 ) &amp; " Surplus Applied to " &amp; ( 'Facility Detail'!$B$1159 + 4 )</f>
        <v>2018 Surplus Applied to 2019</v>
      </c>
      <c r="C544" s="33"/>
      <c r="D544" s="126"/>
      <c r="E544" s="125"/>
      <c r="F544" s="125"/>
      <c r="G544" s="10">
        <f>G524+G529-G535</f>
        <v>0</v>
      </c>
      <c r="H544" s="56">
        <f>G544</f>
        <v>0</v>
      </c>
    </row>
    <row r="545" spans="1:8" x14ac:dyDescent="0.25">
      <c r="B545" s="179" t="str">
        <f xml:space="preserve"> ( 'Facility Detail'!$B$1159 + 4 ) &amp; " Surplus Applied to " &amp; ( 'Facility Detail'!$B$1159 + 3 )</f>
        <v>2019 Surplus Applied to 2018</v>
      </c>
      <c r="C545" s="33"/>
      <c r="D545" s="127"/>
      <c r="E545" s="128"/>
      <c r="F545" s="128"/>
      <c r="G545" s="57">
        <v>0</v>
      </c>
      <c r="H545" s="48">
        <v>0</v>
      </c>
    </row>
    <row r="546" spans="1:8" x14ac:dyDescent="0.25">
      <c r="B546" s="36" t="s">
        <v>29</v>
      </c>
      <c r="D546" s="7">
        <f>D539-D538</f>
        <v>0</v>
      </c>
      <c r="E546" s="7">
        <f>E538+E541-E539-E540</f>
        <v>0</v>
      </c>
      <c r="F546" s="7">
        <f>F540+F543-F541-F542</f>
        <v>0</v>
      </c>
      <c r="G546" s="7">
        <f>G542+G545-G543-G544</f>
        <v>0</v>
      </c>
      <c r="H546" s="7">
        <f>H544 - H545</f>
        <v>0</v>
      </c>
    </row>
    <row r="547" spans="1:8" x14ac:dyDescent="0.25">
      <c r="B547" s="6"/>
      <c r="D547" s="7"/>
      <c r="E547" s="7"/>
      <c r="F547" s="7"/>
      <c r="G547" s="7"/>
      <c r="H547" s="7"/>
    </row>
    <row r="548" spans="1:8" x14ac:dyDescent="0.25">
      <c r="B548" s="64" t="s">
        <v>24</v>
      </c>
      <c r="C548" s="62"/>
      <c r="D548" s="85"/>
      <c r="E548" s="123"/>
      <c r="F548" s="123"/>
      <c r="G548" s="123"/>
      <c r="H548" s="86"/>
    </row>
    <row r="549" spans="1:8" x14ac:dyDescent="0.25">
      <c r="B549" s="6"/>
      <c r="D549" s="7"/>
      <c r="E549" s="7"/>
      <c r="F549" s="7"/>
      <c r="G549" s="7"/>
      <c r="H549" s="7"/>
    </row>
    <row r="550" spans="1:8" ht="18.75" x14ac:dyDescent="0.3">
      <c r="A550" s="42" t="s">
        <v>38</v>
      </c>
      <c r="C550" s="62"/>
      <c r="D550" s="124">
        <f xml:space="preserve"> D524 + D529 - D535 + D546 + D548</f>
        <v>0</v>
      </c>
      <c r="E550" s="124">
        <f xml:space="preserve"> E524 + E529 - E535 + E546 + E548</f>
        <v>0</v>
      </c>
      <c r="F550" s="124">
        <f xml:space="preserve"> F524 + F529 - F535 + F546 + F548</f>
        <v>6741</v>
      </c>
      <c r="G550" s="124">
        <f xml:space="preserve"> G524 + G529 - G535 + G546 + G548</f>
        <v>0</v>
      </c>
      <c r="H550" s="206">
        <f xml:space="preserve"> H524 + H529 - H535 + H546 + H548</f>
        <v>0</v>
      </c>
    </row>
    <row r="551" spans="1:8" x14ac:dyDescent="0.25">
      <c r="B551" s="1" t="s">
        <v>186</v>
      </c>
      <c r="D551" s="7"/>
      <c r="E551" s="7"/>
      <c r="F551" s="32">
        <v>6741</v>
      </c>
      <c r="G551" s="32"/>
      <c r="H551" s="32"/>
    </row>
    <row r="552" spans="1:8" x14ac:dyDescent="0.25">
      <c r="C552" s="139"/>
      <c r="D552" s="7"/>
      <c r="E552" s="7"/>
      <c r="F552" s="32"/>
      <c r="G552" s="32"/>
      <c r="H552" s="32"/>
    </row>
    <row r="553" spans="1:8" x14ac:dyDescent="0.25">
      <c r="A553" s="33"/>
      <c r="B553" s="33"/>
      <c r="C553" s="33"/>
      <c r="D553" s="33"/>
      <c r="E553" s="33"/>
      <c r="F553" s="33"/>
      <c r="G553" s="33"/>
      <c r="H553" s="33"/>
    </row>
    <row r="554" spans="1:8" x14ac:dyDescent="0.25">
      <c r="A554" s="33"/>
      <c r="B554" s="33"/>
      <c r="C554" s="33"/>
      <c r="D554" s="33"/>
      <c r="E554" s="33"/>
      <c r="F554" s="33"/>
      <c r="G554" s="33"/>
      <c r="H554" s="33"/>
    </row>
    <row r="555" spans="1:8" x14ac:dyDescent="0.25">
      <c r="B555" s="33"/>
      <c r="C555" s="33"/>
      <c r="D555" s="33"/>
      <c r="E555" s="33"/>
      <c r="F555" s="33"/>
      <c r="G555" s="33"/>
      <c r="H555" s="33"/>
    </row>
    <row r="556" spans="1:8" ht="21" x14ac:dyDescent="0.35">
      <c r="A556" s="13" t="s">
        <v>4</v>
      </c>
      <c r="B556" s="13"/>
      <c r="C556" s="43" t="s">
        <v>170</v>
      </c>
      <c r="D556" s="23"/>
      <c r="E556" s="23"/>
    </row>
    <row r="557" spans="1:8" x14ac:dyDescent="0.25">
      <c r="D557" s="1"/>
    </row>
    <row r="558" spans="1:8" ht="18.75" x14ac:dyDescent="0.3">
      <c r="A558" s="9" t="s">
        <v>33</v>
      </c>
      <c r="B558" s="9"/>
      <c r="D558" s="2">
        <f>D41</f>
        <v>2015</v>
      </c>
      <c r="E558" s="2">
        <f>D558+1</f>
        <v>2016</v>
      </c>
      <c r="F558" s="2">
        <f>E558+1</f>
        <v>2017</v>
      </c>
      <c r="G558" s="2">
        <f>F558+1</f>
        <v>2018</v>
      </c>
      <c r="H558" s="2">
        <f>G558+1</f>
        <v>2019</v>
      </c>
    </row>
    <row r="559" spans="1:8" x14ac:dyDescent="0.25">
      <c r="B559" s="67" t="str">
        <f>" Purchased from " &amp; C556</f>
        <v xml:space="preserve"> Purchased from Grand View 2 West--REC Only **</v>
      </c>
      <c r="C559" s="62"/>
      <c r="D559" s="4"/>
      <c r="E559" s="4"/>
      <c r="F559" s="4">
        <v>18511</v>
      </c>
      <c r="G559" s="4"/>
      <c r="H559" s="5"/>
    </row>
    <row r="560" spans="1:8" x14ac:dyDescent="0.25">
      <c r="B560" s="67" t="s">
        <v>37</v>
      </c>
      <c r="C560" s="62"/>
      <c r="D560" s="146"/>
      <c r="E560" s="146"/>
      <c r="F560" s="146">
        <v>1</v>
      </c>
      <c r="G560" s="146"/>
      <c r="H560" s="147"/>
    </row>
    <row r="561" spans="1:8" x14ac:dyDescent="0.25">
      <c r="B561" s="67" t="s">
        <v>32</v>
      </c>
      <c r="C561" s="62"/>
      <c r="D561" s="49"/>
      <c r="E561" s="49"/>
      <c r="F561" s="49">
        <v>1</v>
      </c>
      <c r="G561" s="49"/>
      <c r="H561" s="50"/>
    </row>
    <row r="562" spans="1:8" x14ac:dyDescent="0.25">
      <c r="B562" s="64" t="s">
        <v>34</v>
      </c>
      <c r="C562" s="65"/>
      <c r="D562" s="145">
        <f xml:space="preserve"> D559 * D560 * D561</f>
        <v>0</v>
      </c>
      <c r="E562" s="145">
        <f xml:space="preserve"> E559 * E560 * E561</f>
        <v>0</v>
      </c>
      <c r="F562" s="145">
        <f xml:space="preserve"> F559 * F560 * F561</f>
        <v>18511</v>
      </c>
      <c r="G562" s="145">
        <f>SUM(G559:G561)</f>
        <v>0</v>
      </c>
      <c r="H562" s="7">
        <f>SUM(H559:H561)</f>
        <v>0</v>
      </c>
    </row>
    <row r="563" spans="1:8" x14ac:dyDescent="0.25">
      <c r="B563" s="23"/>
      <c r="C563" s="33"/>
      <c r="D563" s="40"/>
      <c r="E563" s="40"/>
      <c r="F563" s="40"/>
      <c r="G563" s="181"/>
      <c r="H563" s="40"/>
    </row>
    <row r="564" spans="1:8" ht="18.75" x14ac:dyDescent="0.3">
      <c r="A564" s="45" t="s">
        <v>131</v>
      </c>
      <c r="C564" s="33"/>
      <c r="D564" s="2">
        <f>D558</f>
        <v>2015</v>
      </c>
      <c r="E564" s="2">
        <f>D564+1</f>
        <v>2016</v>
      </c>
      <c r="F564" s="2">
        <f>E564+1</f>
        <v>2017</v>
      </c>
      <c r="G564" s="2">
        <f>F564+1</f>
        <v>2018</v>
      </c>
      <c r="H564" s="2">
        <f>G564+1</f>
        <v>2019</v>
      </c>
    </row>
    <row r="565" spans="1:8" x14ac:dyDescent="0.25">
      <c r="B565" s="67" t="s">
        <v>22</v>
      </c>
      <c r="C565" s="62"/>
      <c r="D565" s="11">
        <f>IF( $E164 = "Eligible", D562 * 'Facility Detail'!$B$1156, 0 )</f>
        <v>0</v>
      </c>
      <c r="E565" s="121">
        <f>IF( $E164 = "Eligible", E562 * 'Facility Detail'!$B$1156, 0 )</f>
        <v>0</v>
      </c>
      <c r="F565" s="121">
        <f>IF( $E164 = "Eligible", F562 * 'Facility Detail'!$B$1156, 0 )</f>
        <v>0</v>
      </c>
      <c r="G565" s="121">
        <f>IF( $E164 = "Eligible", G562 * 'Facility Detail'!$B$1156, 0 )</f>
        <v>0</v>
      </c>
      <c r="H565" s="12">
        <f>IF( $E164 = "Eligible", H562 * 'Facility Detail'!$B$1156, 0 )</f>
        <v>0</v>
      </c>
    </row>
    <row r="566" spans="1:8" x14ac:dyDescent="0.25">
      <c r="B566" s="67" t="s">
        <v>6</v>
      </c>
      <c r="C566" s="62"/>
      <c r="D566" s="53">
        <f>IF( $F164 = "Eligible", D562, 0 )</f>
        <v>0</v>
      </c>
      <c r="E566" s="122">
        <f>IF( $F164 = "Eligible", E562, 0 )</f>
        <v>0</v>
      </c>
      <c r="F566" s="122">
        <f>IF( $F164 = "Eligible", F562, 0 )</f>
        <v>0</v>
      </c>
      <c r="G566" s="122">
        <f>IF( $F164 = "Eligible", G562, 0 )</f>
        <v>0</v>
      </c>
      <c r="H566" s="54">
        <f>IF( $F164 = "Eligible", H562, 0 )</f>
        <v>0</v>
      </c>
    </row>
    <row r="567" spans="1:8" x14ac:dyDescent="0.25">
      <c r="B567" s="66" t="s">
        <v>133</v>
      </c>
      <c r="C567" s="65"/>
      <c r="D567" s="41">
        <f>SUM(D565:D566)</f>
        <v>0</v>
      </c>
      <c r="E567" s="41">
        <f>SUM(E565:E566)</f>
        <v>0</v>
      </c>
      <c r="F567" s="41">
        <f>SUM(F565:F566)</f>
        <v>0</v>
      </c>
      <c r="G567" s="41">
        <f>SUM(G565:G566)</f>
        <v>0</v>
      </c>
      <c r="H567" s="41">
        <f>SUM(H565:H566)</f>
        <v>0</v>
      </c>
    </row>
    <row r="568" spans="1:8" x14ac:dyDescent="0.25">
      <c r="B568" s="33"/>
      <c r="C568" s="33"/>
      <c r="D568" s="34"/>
      <c r="E568" s="34"/>
      <c r="F568" s="34"/>
      <c r="G568" s="183"/>
      <c r="H568" s="34"/>
    </row>
    <row r="569" spans="1:8" ht="18.75" x14ac:dyDescent="0.3">
      <c r="A569" s="42" t="s">
        <v>42</v>
      </c>
      <c r="C569" s="33"/>
      <c r="D569" s="2">
        <f>D558</f>
        <v>2015</v>
      </c>
      <c r="E569" s="2">
        <f>D569+1</f>
        <v>2016</v>
      </c>
      <c r="F569" s="2">
        <f>E569+1</f>
        <v>2017</v>
      </c>
      <c r="G569" s="2">
        <f>F569+1</f>
        <v>2018</v>
      </c>
      <c r="H569" s="2">
        <f>G569+1</f>
        <v>2019</v>
      </c>
    </row>
    <row r="570" spans="1:8" x14ac:dyDescent="0.25">
      <c r="B570" s="67" t="s">
        <v>59</v>
      </c>
      <c r="C570" s="62"/>
      <c r="D570" s="4"/>
      <c r="E570" s="4"/>
      <c r="F570" s="4"/>
      <c r="G570" s="4"/>
      <c r="H570" s="5"/>
    </row>
    <row r="571" spans="1:8" x14ac:dyDescent="0.25">
      <c r="B571" s="68" t="s">
        <v>35</v>
      </c>
      <c r="C571" s="69"/>
      <c r="D571" s="151"/>
      <c r="E571" s="151"/>
      <c r="F571" s="151"/>
      <c r="G571" s="151"/>
      <c r="H571" s="152"/>
    </row>
    <row r="572" spans="1:8" x14ac:dyDescent="0.25">
      <c r="B572" s="78" t="s">
        <v>101</v>
      </c>
      <c r="C572" s="77"/>
      <c r="D572" s="153"/>
      <c r="E572" s="153"/>
      <c r="F572" s="153"/>
      <c r="G572" s="153"/>
      <c r="H572" s="154"/>
    </row>
    <row r="573" spans="1:8" x14ac:dyDescent="0.25">
      <c r="B573" s="36" t="s">
        <v>102</v>
      </c>
      <c r="D573" s="7">
        <f>SUM(D570:D572)</f>
        <v>0</v>
      </c>
      <c r="E573" s="7">
        <f>SUM(E570:E572)</f>
        <v>0</v>
      </c>
      <c r="F573" s="7">
        <f>SUM(F570:F572)</f>
        <v>0</v>
      </c>
      <c r="G573" s="7">
        <f>SUM(G570:G572)</f>
        <v>0</v>
      </c>
      <c r="H573" s="7">
        <f>SUM(H570:H572)</f>
        <v>0</v>
      </c>
    </row>
    <row r="574" spans="1:8" x14ac:dyDescent="0.25">
      <c r="B574" s="6"/>
      <c r="D574" s="7"/>
      <c r="E574" s="7"/>
      <c r="F574" s="7"/>
      <c r="G574" s="181"/>
      <c r="H574" s="7"/>
    </row>
    <row r="575" spans="1:8" ht="18.75" x14ac:dyDescent="0.3">
      <c r="A575" s="9" t="s">
        <v>112</v>
      </c>
      <c r="D575" s="2">
        <f>D558</f>
        <v>2015</v>
      </c>
      <c r="E575" s="2">
        <f>D575+1</f>
        <v>2016</v>
      </c>
      <c r="F575" s="2">
        <f>E575+1</f>
        <v>2017</v>
      </c>
      <c r="G575" s="2">
        <f>F575+1</f>
        <v>2018</v>
      </c>
      <c r="H575" s="2">
        <f>G575+1</f>
        <v>2019</v>
      </c>
    </row>
    <row r="576" spans="1:8" x14ac:dyDescent="0.25">
      <c r="B576" s="67" t="str">
        <f>( 'Facility Detail'!$B$1159) &amp; " Surplus Applied to " &amp; ( 'Facility Detail'!$B$1159 + 1 )</f>
        <v>2015 Surplus Applied to 2016</v>
      </c>
      <c r="C576" s="62"/>
      <c r="D576" s="3">
        <f>D562+D567-D573</f>
        <v>0</v>
      </c>
      <c r="E576" s="55">
        <f>D576</f>
        <v>0</v>
      </c>
      <c r="F576" s="129"/>
      <c r="G576" s="129"/>
      <c r="H576" s="130"/>
    </row>
    <row r="577" spans="1:8" x14ac:dyDescent="0.25">
      <c r="B577" s="67" t="str">
        <f xml:space="preserve"> ( 'Facility Detail'!$B$1159 + 1 ) &amp; " Surplus Applied to " &amp; ( 'Facility Detail'!$B$1159 )</f>
        <v>2016 Surplus Applied to 2015</v>
      </c>
      <c r="C577" s="62"/>
      <c r="D577" s="148">
        <v>0</v>
      </c>
      <c r="E577" s="10">
        <v>0</v>
      </c>
      <c r="F577" s="125"/>
      <c r="G577" s="125"/>
      <c r="H577" s="131"/>
    </row>
    <row r="578" spans="1:8" x14ac:dyDescent="0.25">
      <c r="B578" s="133" t="str">
        <f xml:space="preserve"> ( 'Facility Detail'!$B$1159 + 1 ) &amp; " Surplus Applied to " &amp; ( 'Facility Detail'!$B$1159 + 2 )</f>
        <v>2016 Surplus Applied to 2017</v>
      </c>
      <c r="C578" s="62"/>
      <c r="D578" s="126"/>
      <c r="E578" s="10">
        <f>E562+E567-E573</f>
        <v>0</v>
      </c>
      <c r="F578" s="61">
        <f>E578</f>
        <v>0</v>
      </c>
      <c r="G578" s="125"/>
      <c r="H578" s="131"/>
    </row>
    <row r="579" spans="1:8" x14ac:dyDescent="0.25">
      <c r="B579" s="133" t="str">
        <f xml:space="preserve"> ( 'Facility Detail'!$B$1159 + 2 ) &amp; " Surplus Applied to " &amp; ( 'Facility Detail'!$B$1159 + 1 )</f>
        <v>2017 Surplus Applied to 2016</v>
      </c>
      <c r="C579" s="62"/>
      <c r="D579" s="126"/>
      <c r="E579" s="61">
        <v>0</v>
      </c>
      <c r="F579" s="10">
        <v>0</v>
      </c>
      <c r="G579" s="125"/>
      <c r="H579" s="131"/>
    </row>
    <row r="580" spans="1:8" x14ac:dyDescent="0.25">
      <c r="B580" s="179" t="str">
        <f xml:space="preserve"> ( 'Facility Detail'!$B$1159 + 2 ) &amp; " Surplus Applied to " &amp; ( 'Facility Detail'!$B$1159 + 3 )</f>
        <v>2017 Surplus Applied to 2018</v>
      </c>
      <c r="C580" s="33"/>
      <c r="D580" s="126"/>
      <c r="E580" s="125"/>
      <c r="F580" s="10"/>
      <c r="G580" s="61">
        <f>F580</f>
        <v>0</v>
      </c>
      <c r="H580" s="131"/>
    </row>
    <row r="581" spans="1:8" x14ac:dyDescent="0.25">
      <c r="B581" s="179" t="str">
        <f xml:space="preserve"> ( 'Facility Detail'!$B$1159 + 3 ) &amp; " Surplus Applied to " &amp; ( 'Facility Detail'!$B$1159 + 2 )</f>
        <v>2018 Surplus Applied to 2017</v>
      </c>
      <c r="C581" s="33"/>
      <c r="D581" s="126"/>
      <c r="E581" s="125"/>
      <c r="F581" s="61">
        <v>0</v>
      </c>
      <c r="G581" s="10">
        <v>0</v>
      </c>
      <c r="H581" s="131"/>
    </row>
    <row r="582" spans="1:8" x14ac:dyDescent="0.25">
      <c r="B582" s="179" t="str">
        <f xml:space="preserve"> ( 'Facility Detail'!$B$1159 + 3 ) &amp; " Surplus Applied to " &amp; ( 'Facility Detail'!$B$1159 + 4 )</f>
        <v>2018 Surplus Applied to 2019</v>
      </c>
      <c r="C582" s="33"/>
      <c r="D582" s="126"/>
      <c r="E582" s="125"/>
      <c r="F582" s="125"/>
      <c r="G582" s="10">
        <f>G562+G567-G573</f>
        <v>0</v>
      </c>
      <c r="H582" s="56">
        <f>G582</f>
        <v>0</v>
      </c>
    </row>
    <row r="583" spans="1:8" x14ac:dyDescent="0.25">
      <c r="B583" s="179" t="str">
        <f xml:space="preserve"> ( 'Facility Detail'!$B$1159 + 4 ) &amp; " Surplus Applied to " &amp; ( 'Facility Detail'!$B$1159 + 3 )</f>
        <v>2019 Surplus Applied to 2018</v>
      </c>
      <c r="C583" s="33"/>
      <c r="D583" s="127"/>
      <c r="E583" s="128"/>
      <c r="F583" s="128"/>
      <c r="G583" s="57">
        <v>0</v>
      </c>
      <c r="H583" s="48">
        <v>0</v>
      </c>
    </row>
    <row r="584" spans="1:8" x14ac:dyDescent="0.25">
      <c r="B584" s="36" t="s">
        <v>29</v>
      </c>
      <c r="D584" s="7">
        <f>D577-D576</f>
        <v>0</v>
      </c>
      <c r="E584" s="7">
        <f>E576+E579-E577-E578</f>
        <v>0</v>
      </c>
      <c r="F584" s="7">
        <f>F578+F581-F579-F580</f>
        <v>0</v>
      </c>
      <c r="G584" s="7">
        <f>G580+G583-G581-G582</f>
        <v>0</v>
      </c>
      <c r="H584" s="7">
        <f>H582 - H583</f>
        <v>0</v>
      </c>
    </row>
    <row r="585" spans="1:8" x14ac:dyDescent="0.25">
      <c r="B585" s="6"/>
      <c r="D585" s="7"/>
      <c r="E585" s="7"/>
      <c r="F585" s="7"/>
      <c r="G585" s="7"/>
      <c r="H585" s="7"/>
    </row>
    <row r="586" spans="1:8" x14ac:dyDescent="0.25">
      <c r="B586" s="64" t="s">
        <v>24</v>
      </c>
      <c r="C586" s="62"/>
      <c r="D586" s="85"/>
      <c r="E586" s="123"/>
      <c r="F586" s="123"/>
      <c r="G586" s="123"/>
      <c r="H586" s="86"/>
    </row>
    <row r="587" spans="1:8" x14ac:dyDescent="0.25">
      <c r="B587" s="6"/>
      <c r="D587" s="7"/>
      <c r="E587" s="7"/>
      <c r="F587" s="7"/>
      <c r="G587" s="7"/>
      <c r="H587" s="7"/>
    </row>
    <row r="588" spans="1:8" ht="18.75" x14ac:dyDescent="0.3">
      <c r="A588" s="42" t="s">
        <v>38</v>
      </c>
      <c r="C588" s="62"/>
      <c r="D588" s="124">
        <f xml:space="preserve"> D562 + D567 - D573 + D584 + D586</f>
        <v>0</v>
      </c>
      <c r="E588" s="124">
        <f xml:space="preserve"> E562 + E567 - E573 + E584 + E586</f>
        <v>0</v>
      </c>
      <c r="F588" s="124">
        <f xml:space="preserve"> F562 + F567 - F573 + F584 + F586</f>
        <v>18511</v>
      </c>
      <c r="G588" s="124">
        <f xml:space="preserve"> G562 + G567 - G573 + G584 + G586</f>
        <v>0</v>
      </c>
      <c r="H588" s="206">
        <f xml:space="preserve"> H562 + H567 - H573 + H584 + H586</f>
        <v>0</v>
      </c>
    </row>
    <row r="589" spans="1:8" x14ac:dyDescent="0.25">
      <c r="B589" s="1" t="s">
        <v>186</v>
      </c>
      <c r="D589" s="7"/>
      <c r="E589" s="7"/>
      <c r="F589" s="32">
        <v>18511</v>
      </c>
      <c r="G589" s="32"/>
      <c r="H589" s="32"/>
    </row>
    <row r="590" spans="1:8" x14ac:dyDescent="0.25">
      <c r="C590" s="139"/>
      <c r="D590" s="1"/>
    </row>
    <row r="591" spans="1:8" x14ac:dyDescent="0.25">
      <c r="A591" s="33"/>
      <c r="B591" s="33"/>
      <c r="C591" s="33"/>
      <c r="D591" s="33"/>
      <c r="E591" s="33"/>
      <c r="F591" s="33"/>
      <c r="G591" s="33"/>
      <c r="H591" s="33"/>
    </row>
    <row r="592" spans="1:8" x14ac:dyDescent="0.25">
      <c r="B592" s="33"/>
      <c r="C592" s="33"/>
      <c r="D592" s="33"/>
      <c r="E592" s="33"/>
      <c r="F592" s="33"/>
      <c r="G592" s="33"/>
      <c r="H592" s="33"/>
    </row>
    <row r="593" spans="1:8" ht="21" x14ac:dyDescent="0.35">
      <c r="A593" s="13" t="s">
        <v>4</v>
      </c>
      <c r="B593" s="13"/>
      <c r="C593" s="43" t="s">
        <v>169</v>
      </c>
      <c r="D593" s="23"/>
      <c r="E593" s="23"/>
    </row>
    <row r="594" spans="1:8" x14ac:dyDescent="0.25">
      <c r="D594" s="1"/>
    </row>
    <row r="595" spans="1:8" ht="18.75" x14ac:dyDescent="0.3">
      <c r="A595" s="9" t="s">
        <v>33</v>
      </c>
      <c r="B595" s="9"/>
      <c r="D595" s="2">
        <f>D41</f>
        <v>2015</v>
      </c>
      <c r="E595" s="2">
        <f>D595+1</f>
        <v>2016</v>
      </c>
      <c r="F595" s="2">
        <f>E595+1</f>
        <v>2017</v>
      </c>
      <c r="G595" s="2">
        <f>F595+1</f>
        <v>2018</v>
      </c>
      <c r="H595" s="2">
        <f>G595+1</f>
        <v>2019</v>
      </c>
    </row>
    <row r="596" spans="1:8" x14ac:dyDescent="0.25">
      <c r="B596" s="67" t="str">
        <f>" Purchased from " &amp; C593</f>
        <v xml:space="preserve"> Purchased from ID Solar 1 -- REC Only **</v>
      </c>
      <c r="C596" s="62"/>
      <c r="D596" s="4"/>
      <c r="E596" s="4"/>
      <c r="F596" s="4">
        <v>12048</v>
      </c>
      <c r="G596" s="4"/>
      <c r="H596" s="5"/>
    </row>
    <row r="597" spans="1:8" x14ac:dyDescent="0.25">
      <c r="B597" s="67" t="s">
        <v>37</v>
      </c>
      <c r="C597" s="62"/>
      <c r="D597" s="146"/>
      <c r="E597" s="146"/>
      <c r="F597" s="146">
        <v>1</v>
      </c>
      <c r="G597" s="146"/>
      <c r="H597" s="147"/>
    </row>
    <row r="598" spans="1:8" x14ac:dyDescent="0.25">
      <c r="B598" s="67" t="s">
        <v>32</v>
      </c>
      <c r="C598" s="62"/>
      <c r="D598" s="49"/>
      <c r="E598" s="49"/>
      <c r="F598" s="49">
        <v>1</v>
      </c>
      <c r="G598" s="49"/>
      <c r="H598" s="50"/>
    </row>
    <row r="599" spans="1:8" x14ac:dyDescent="0.25">
      <c r="B599" s="64" t="s">
        <v>34</v>
      </c>
      <c r="C599" s="65"/>
      <c r="D599" s="145">
        <f xml:space="preserve"> D596 * D597 * D598</f>
        <v>0</v>
      </c>
      <c r="E599" s="145">
        <f xml:space="preserve"> E596 * E597 * E598</f>
        <v>0</v>
      </c>
      <c r="F599" s="145">
        <f xml:space="preserve"> F596 * F597 * F598</f>
        <v>12048</v>
      </c>
      <c r="G599" s="145">
        <f>SUM(G596:G598)</f>
        <v>0</v>
      </c>
      <c r="H599" s="7">
        <f>SUM(H596:H598)</f>
        <v>0</v>
      </c>
    </row>
    <row r="600" spans="1:8" x14ac:dyDescent="0.25">
      <c r="B600" s="23"/>
      <c r="C600" s="33"/>
      <c r="D600" s="40"/>
      <c r="E600" s="40"/>
      <c r="F600" s="40"/>
      <c r="G600" s="181"/>
      <c r="H600" s="40"/>
    </row>
    <row r="601" spans="1:8" ht="18.75" x14ac:dyDescent="0.3">
      <c r="A601" s="45" t="s">
        <v>131</v>
      </c>
      <c r="C601" s="33"/>
      <c r="D601" s="2">
        <f>D595</f>
        <v>2015</v>
      </c>
      <c r="E601" s="2">
        <f>D601+1</f>
        <v>2016</v>
      </c>
      <c r="F601" s="2">
        <f>E601+1</f>
        <v>2017</v>
      </c>
      <c r="G601" s="2">
        <f>F601+1</f>
        <v>2018</v>
      </c>
      <c r="H601" s="2">
        <f>G601+1</f>
        <v>2019</v>
      </c>
    </row>
    <row r="602" spans="1:8" x14ac:dyDescent="0.25">
      <c r="B602" s="67" t="s">
        <v>22</v>
      </c>
      <c r="C602" s="62"/>
      <c r="D602" s="11">
        <f>IF( $E201 = "Eligible", D599 * 'Facility Detail'!$B$1156, 0 )</f>
        <v>0</v>
      </c>
      <c r="E602" s="121">
        <f>IF( $E201 = "Eligible", E599 * 'Facility Detail'!$B$1156, 0 )</f>
        <v>0</v>
      </c>
      <c r="F602" s="121">
        <f>IF( $E201 = "Eligible", F599 * 'Facility Detail'!$B$1156, 0 )</f>
        <v>0</v>
      </c>
      <c r="G602" s="121">
        <f>IF( $E201 = "Eligible", G599 * 'Facility Detail'!$B$1156, 0 )</f>
        <v>0</v>
      </c>
      <c r="H602" s="12">
        <f>IF( $E201 = "Eligible", H599 * 'Facility Detail'!$B$1156, 0 )</f>
        <v>0</v>
      </c>
    </row>
    <row r="603" spans="1:8" x14ac:dyDescent="0.25">
      <c r="B603" s="67" t="s">
        <v>6</v>
      </c>
      <c r="C603" s="62"/>
      <c r="D603" s="53">
        <f>IF( $F201 = "Eligible", D599, 0 )</f>
        <v>0</v>
      </c>
      <c r="E603" s="122">
        <f>IF( $F201 = "Eligible", E599, 0 )</f>
        <v>0</v>
      </c>
      <c r="F603" s="122">
        <f>IF( $F201 = "Eligible", F599, 0 )</f>
        <v>0</v>
      </c>
      <c r="G603" s="122">
        <f>IF( $F201 = "Eligible", G599, 0 )</f>
        <v>0</v>
      </c>
      <c r="H603" s="54">
        <f>IF( $F201 = "Eligible", H599, 0 )</f>
        <v>0</v>
      </c>
    </row>
    <row r="604" spans="1:8" x14ac:dyDescent="0.25">
      <c r="B604" s="66" t="s">
        <v>133</v>
      </c>
      <c r="C604" s="65"/>
      <c r="D604" s="41">
        <f>SUM(D602:D603)</f>
        <v>0</v>
      </c>
      <c r="E604" s="41">
        <f>SUM(E602:E603)</f>
        <v>0</v>
      </c>
      <c r="F604" s="41">
        <f>SUM(F602:F603)</f>
        <v>0</v>
      </c>
      <c r="G604" s="41">
        <f>SUM(G602:G603)</f>
        <v>0</v>
      </c>
      <c r="H604" s="41">
        <f>SUM(H602:H603)</f>
        <v>0</v>
      </c>
    </row>
    <row r="605" spans="1:8" x14ac:dyDescent="0.25">
      <c r="B605" s="33"/>
      <c r="C605" s="33"/>
      <c r="D605" s="34"/>
      <c r="E605" s="34"/>
      <c r="F605" s="34"/>
      <c r="G605" s="183"/>
      <c r="H605" s="34"/>
    </row>
    <row r="606" spans="1:8" ht="18.75" x14ac:dyDescent="0.3">
      <c r="A606" s="42" t="s">
        <v>42</v>
      </c>
      <c r="C606" s="33"/>
      <c r="D606" s="2">
        <f>D595</f>
        <v>2015</v>
      </c>
      <c r="E606" s="2">
        <f>D606+1</f>
        <v>2016</v>
      </c>
      <c r="F606" s="2">
        <f>E606+1</f>
        <v>2017</v>
      </c>
      <c r="G606" s="2">
        <f>F606+1</f>
        <v>2018</v>
      </c>
      <c r="H606" s="2">
        <f>G606+1</f>
        <v>2019</v>
      </c>
    </row>
    <row r="607" spans="1:8" x14ac:dyDescent="0.25">
      <c r="B607" s="67" t="s">
        <v>59</v>
      </c>
      <c r="C607" s="62"/>
      <c r="D607" s="4"/>
      <c r="E607" s="4"/>
      <c r="F607" s="4"/>
      <c r="G607" s="4"/>
      <c r="H607" s="5"/>
    </row>
    <row r="608" spans="1:8" x14ac:dyDescent="0.25">
      <c r="B608" s="68" t="s">
        <v>35</v>
      </c>
      <c r="C608" s="69"/>
      <c r="D608" s="151"/>
      <c r="E608" s="151"/>
      <c r="F608" s="151"/>
      <c r="G608" s="151"/>
      <c r="H608" s="152"/>
    </row>
    <row r="609" spans="1:8" x14ac:dyDescent="0.25">
      <c r="B609" s="78" t="s">
        <v>101</v>
      </c>
      <c r="C609" s="77"/>
      <c r="D609" s="153"/>
      <c r="E609" s="153"/>
      <c r="F609" s="153"/>
      <c r="G609" s="153"/>
      <c r="H609" s="154"/>
    </row>
    <row r="610" spans="1:8" x14ac:dyDescent="0.25">
      <c r="B610" s="36" t="s">
        <v>102</v>
      </c>
      <c r="D610" s="7">
        <f>SUM(D607:D609)</f>
        <v>0</v>
      </c>
      <c r="E610" s="7">
        <f>SUM(E607:E609)</f>
        <v>0</v>
      </c>
      <c r="F610" s="7">
        <f>SUM(F607:F609)</f>
        <v>0</v>
      </c>
      <c r="G610" s="7">
        <f>SUM(G607:G609)</f>
        <v>0</v>
      </c>
      <c r="H610" s="7">
        <f>SUM(H607:H609)</f>
        <v>0</v>
      </c>
    </row>
    <row r="611" spans="1:8" x14ac:dyDescent="0.25">
      <c r="B611" s="6"/>
      <c r="D611" s="7"/>
      <c r="E611" s="7"/>
      <c r="F611" s="7"/>
      <c r="G611" s="181"/>
      <c r="H611" s="7"/>
    </row>
    <row r="612" spans="1:8" ht="18.75" x14ac:dyDescent="0.3">
      <c r="A612" s="9" t="s">
        <v>112</v>
      </c>
      <c r="D612" s="2">
        <f>D595</f>
        <v>2015</v>
      </c>
      <c r="E612" s="2">
        <f>D612+1</f>
        <v>2016</v>
      </c>
      <c r="F612" s="2">
        <f>E612+1</f>
        <v>2017</v>
      </c>
      <c r="G612" s="2">
        <f>F612+1</f>
        <v>2018</v>
      </c>
      <c r="H612" s="2">
        <f>G612+1</f>
        <v>2019</v>
      </c>
    </row>
    <row r="613" spans="1:8" x14ac:dyDescent="0.25">
      <c r="B613" s="67" t="str">
        <f>( 'Facility Detail'!$B$1159) &amp; " Surplus Applied to " &amp; ( 'Facility Detail'!$B$1159 + 1 )</f>
        <v>2015 Surplus Applied to 2016</v>
      </c>
      <c r="C613" s="62"/>
      <c r="D613" s="3">
        <f>D599+D604-D610</f>
        <v>0</v>
      </c>
      <c r="E613" s="55">
        <f>D613</f>
        <v>0</v>
      </c>
      <c r="F613" s="129"/>
      <c r="G613" s="129"/>
      <c r="H613" s="130"/>
    </row>
    <row r="614" spans="1:8" x14ac:dyDescent="0.25">
      <c r="B614" s="67" t="str">
        <f xml:space="preserve"> ( 'Facility Detail'!$B$1159 + 1 ) &amp; " Surplus Applied to " &amp; ( 'Facility Detail'!$B$1159 )</f>
        <v>2016 Surplus Applied to 2015</v>
      </c>
      <c r="C614" s="62"/>
      <c r="D614" s="148">
        <v>0</v>
      </c>
      <c r="E614" s="10">
        <v>0</v>
      </c>
      <c r="F614" s="125"/>
      <c r="G614" s="125"/>
      <c r="H614" s="131"/>
    </row>
    <row r="615" spans="1:8" x14ac:dyDescent="0.25">
      <c r="B615" s="133" t="str">
        <f xml:space="preserve"> ( 'Facility Detail'!$B$1159 + 1 ) &amp; " Surplus Applied to " &amp; ( 'Facility Detail'!$B$1159 + 2 )</f>
        <v>2016 Surplus Applied to 2017</v>
      </c>
      <c r="C615" s="62"/>
      <c r="D615" s="126"/>
      <c r="E615" s="10">
        <f>E599+E604-E610</f>
        <v>0</v>
      </c>
      <c r="F615" s="61">
        <f>E615</f>
        <v>0</v>
      </c>
      <c r="G615" s="125"/>
      <c r="H615" s="131"/>
    </row>
    <row r="616" spans="1:8" x14ac:dyDescent="0.25">
      <c r="B616" s="133" t="str">
        <f xml:space="preserve"> ( 'Facility Detail'!$B$1159 + 2 ) &amp; " Surplus Applied to " &amp; ( 'Facility Detail'!$B$1159 + 1 )</f>
        <v>2017 Surplus Applied to 2016</v>
      </c>
      <c r="C616" s="62"/>
      <c r="D616" s="126"/>
      <c r="E616" s="61">
        <v>0</v>
      </c>
      <c r="F616" s="10">
        <v>0</v>
      </c>
      <c r="G616" s="125"/>
      <c r="H616" s="131"/>
    </row>
    <row r="617" spans="1:8" x14ac:dyDescent="0.25">
      <c r="B617" s="179" t="str">
        <f xml:space="preserve"> ( 'Facility Detail'!$B$1159 + 2 ) &amp; " Surplus Applied to " &amp; ( 'Facility Detail'!$B$1159 + 3 )</f>
        <v>2017 Surplus Applied to 2018</v>
      </c>
      <c r="C617" s="33"/>
      <c r="D617" s="126"/>
      <c r="E617" s="125"/>
      <c r="F617" s="10"/>
      <c r="G617" s="61">
        <f>F617</f>
        <v>0</v>
      </c>
      <c r="H617" s="131"/>
    </row>
    <row r="618" spans="1:8" x14ac:dyDescent="0.25">
      <c r="B618" s="179" t="str">
        <f xml:space="preserve"> ( 'Facility Detail'!$B$1159 + 3 ) &amp; " Surplus Applied to " &amp; ( 'Facility Detail'!$B$1159 + 2 )</f>
        <v>2018 Surplus Applied to 2017</v>
      </c>
      <c r="C618" s="33"/>
      <c r="D618" s="126"/>
      <c r="E618" s="125"/>
      <c r="F618" s="61">
        <v>0</v>
      </c>
      <c r="G618" s="10">
        <v>0</v>
      </c>
      <c r="H618" s="131"/>
    </row>
    <row r="619" spans="1:8" x14ac:dyDescent="0.25">
      <c r="B619" s="179" t="str">
        <f xml:space="preserve"> ( 'Facility Detail'!$B$1159 + 3 ) &amp; " Surplus Applied to " &amp; ( 'Facility Detail'!$B$1159 + 4 )</f>
        <v>2018 Surplus Applied to 2019</v>
      </c>
      <c r="C619" s="33"/>
      <c r="D619" s="126"/>
      <c r="E619" s="125"/>
      <c r="F619" s="125"/>
      <c r="G619" s="10">
        <f>G599+G604-G610</f>
        <v>0</v>
      </c>
      <c r="H619" s="56">
        <f>G619</f>
        <v>0</v>
      </c>
    </row>
    <row r="620" spans="1:8" x14ac:dyDescent="0.25">
      <c r="B620" s="179" t="str">
        <f xml:space="preserve"> ( 'Facility Detail'!$B$1159 + 4 ) &amp; " Surplus Applied to " &amp; ( 'Facility Detail'!$B$1159 + 3 )</f>
        <v>2019 Surplus Applied to 2018</v>
      </c>
      <c r="C620" s="33"/>
      <c r="D620" s="127"/>
      <c r="E620" s="128"/>
      <c r="F620" s="128"/>
      <c r="G620" s="57">
        <v>0</v>
      </c>
      <c r="H620" s="48">
        <v>0</v>
      </c>
    </row>
    <row r="621" spans="1:8" x14ac:dyDescent="0.25">
      <c r="B621" s="36" t="s">
        <v>29</v>
      </c>
      <c r="D621" s="7">
        <f>D614-D613</f>
        <v>0</v>
      </c>
      <c r="E621" s="7">
        <f>E613+E616-E614-E615</f>
        <v>0</v>
      </c>
      <c r="F621" s="7">
        <f>F615+F618-F616-F617</f>
        <v>0</v>
      </c>
      <c r="G621" s="7">
        <f>G617+G620-G618-G619</f>
        <v>0</v>
      </c>
      <c r="H621" s="7">
        <f>H619 - H620</f>
        <v>0</v>
      </c>
    </row>
    <row r="622" spans="1:8" x14ac:dyDescent="0.25">
      <c r="B622" s="6"/>
      <c r="D622" s="7"/>
      <c r="E622" s="7"/>
      <c r="F622" s="7"/>
      <c r="G622" s="7"/>
      <c r="H622" s="7"/>
    </row>
    <row r="623" spans="1:8" x14ac:dyDescent="0.25">
      <c r="B623" s="64" t="s">
        <v>24</v>
      </c>
      <c r="C623" s="62"/>
      <c r="D623" s="85"/>
      <c r="E623" s="123"/>
      <c r="F623" s="123"/>
      <c r="G623" s="123"/>
      <c r="H623" s="86"/>
    </row>
    <row r="624" spans="1:8" x14ac:dyDescent="0.25">
      <c r="B624" s="6"/>
      <c r="D624" s="7"/>
      <c r="E624" s="7"/>
      <c r="F624" s="7"/>
      <c r="G624" s="7"/>
      <c r="H624" s="7"/>
    </row>
    <row r="625" spans="1:8" ht="18.75" x14ac:dyDescent="0.3">
      <c r="A625" s="42" t="s">
        <v>38</v>
      </c>
      <c r="C625" s="62"/>
      <c r="D625" s="124">
        <f xml:space="preserve"> D599 + D604 - D610 + D621 + D623</f>
        <v>0</v>
      </c>
      <c r="E625" s="124">
        <f xml:space="preserve"> E599 + E604 - E610 + E621 + E623</f>
        <v>0</v>
      </c>
      <c r="F625" s="124">
        <f xml:space="preserve"> F599 + F604 - F610 + F621 + F623</f>
        <v>12048</v>
      </c>
      <c r="G625" s="124">
        <f xml:space="preserve"> G599 + G604 - G610 + G621 + G623</f>
        <v>0</v>
      </c>
      <c r="H625" s="206">
        <f xml:space="preserve"> H599 + H604 - H610 + H621 + H623</f>
        <v>0</v>
      </c>
    </row>
    <row r="626" spans="1:8" x14ac:dyDescent="0.25">
      <c r="B626" s="1" t="s">
        <v>187</v>
      </c>
      <c r="D626" s="7"/>
      <c r="E626" s="7"/>
      <c r="F626" s="32">
        <v>12048</v>
      </c>
      <c r="G626" s="32"/>
      <c r="H626" s="32"/>
    </row>
    <row r="627" spans="1:8" x14ac:dyDescent="0.25">
      <c r="C627" s="139"/>
      <c r="D627" s="7"/>
      <c r="E627" s="7"/>
      <c r="F627" s="32"/>
      <c r="G627" s="32"/>
      <c r="H627" s="32"/>
    </row>
    <row r="628" spans="1:8" x14ac:dyDescent="0.25">
      <c r="A628" s="33"/>
      <c r="B628" s="33"/>
      <c r="C628" s="33"/>
      <c r="D628" s="33"/>
      <c r="E628" s="33"/>
      <c r="F628" s="33"/>
      <c r="G628" s="33"/>
      <c r="H628" s="33"/>
    </row>
    <row r="629" spans="1:8" x14ac:dyDescent="0.25">
      <c r="A629" s="33"/>
      <c r="B629" s="33"/>
      <c r="C629" s="33"/>
      <c r="D629" s="33"/>
      <c r="E629" s="33"/>
      <c r="F629" s="33"/>
      <c r="G629" s="33"/>
      <c r="H629" s="33"/>
    </row>
    <row r="630" spans="1:8" x14ac:dyDescent="0.25">
      <c r="B630" s="33"/>
      <c r="C630" s="33"/>
      <c r="D630" s="33"/>
      <c r="E630" s="33"/>
      <c r="F630" s="33"/>
      <c r="G630" s="33"/>
      <c r="H630" s="33"/>
    </row>
    <row r="631" spans="1:8" ht="21" x14ac:dyDescent="0.35">
      <c r="A631" s="13" t="s">
        <v>4</v>
      </c>
      <c r="B631" s="13"/>
      <c r="C631" s="43" t="s">
        <v>171</v>
      </c>
      <c r="D631" s="23"/>
      <c r="E631" s="23"/>
    </row>
    <row r="632" spans="1:8" x14ac:dyDescent="0.25">
      <c r="D632" s="1"/>
    </row>
    <row r="633" spans="1:8" ht="18.75" x14ac:dyDescent="0.3">
      <c r="A633" s="9" t="s">
        <v>33</v>
      </c>
      <c r="B633" s="9"/>
      <c r="D633" s="2">
        <f>D41</f>
        <v>2015</v>
      </c>
      <c r="E633" s="2">
        <f>D633+1</f>
        <v>2016</v>
      </c>
      <c r="F633" s="2">
        <f>E633+1</f>
        <v>2017</v>
      </c>
      <c r="G633" s="2">
        <f>F633+1</f>
        <v>2018</v>
      </c>
      <c r="H633" s="2">
        <f>G633+1</f>
        <v>2019</v>
      </c>
    </row>
    <row r="634" spans="1:8" x14ac:dyDescent="0.25">
      <c r="B634" s="67" t="str">
        <f>" Purchased from " &amp; C631</f>
        <v xml:space="preserve"> Purchased from Condon Wind Power -- REC Only **</v>
      </c>
      <c r="C634" s="62"/>
      <c r="D634" s="4"/>
      <c r="E634" s="4"/>
      <c r="F634" s="4">
        <v>1046</v>
      </c>
      <c r="G634" s="4"/>
      <c r="H634" s="5"/>
    </row>
    <row r="635" spans="1:8" x14ac:dyDescent="0.25">
      <c r="B635" s="67" t="s">
        <v>37</v>
      </c>
      <c r="C635" s="62"/>
      <c r="D635" s="146"/>
      <c r="E635" s="146"/>
      <c r="F635" s="146">
        <v>1</v>
      </c>
      <c r="G635" s="146"/>
      <c r="H635" s="147"/>
    </row>
    <row r="636" spans="1:8" x14ac:dyDescent="0.25">
      <c r="B636" s="67" t="s">
        <v>32</v>
      </c>
      <c r="C636" s="62"/>
      <c r="D636" s="49"/>
      <c r="E636" s="49"/>
      <c r="F636" s="49">
        <v>1</v>
      </c>
      <c r="G636" s="49"/>
      <c r="H636" s="50"/>
    </row>
    <row r="637" spans="1:8" x14ac:dyDescent="0.25">
      <c r="B637" s="64" t="s">
        <v>34</v>
      </c>
      <c r="C637" s="65"/>
      <c r="D637" s="145">
        <f xml:space="preserve"> D634 * D635 * D636</f>
        <v>0</v>
      </c>
      <c r="E637" s="145">
        <f xml:space="preserve"> E634 * E635 * E636</f>
        <v>0</v>
      </c>
      <c r="F637" s="145">
        <f xml:space="preserve"> F634 * F635 * F636</f>
        <v>1046</v>
      </c>
      <c r="G637" s="145">
        <f>SUM(G634:G636)</f>
        <v>0</v>
      </c>
      <c r="H637" s="7">
        <f>SUM(H634:H636)</f>
        <v>0</v>
      </c>
    </row>
    <row r="638" spans="1:8" x14ac:dyDescent="0.25">
      <c r="B638" s="23"/>
      <c r="C638" s="33"/>
      <c r="D638" s="40"/>
      <c r="E638" s="40"/>
      <c r="F638" s="40"/>
      <c r="G638" s="181"/>
      <c r="H638" s="40"/>
    </row>
    <row r="639" spans="1:8" ht="18.75" x14ac:dyDescent="0.3">
      <c r="A639" s="45" t="s">
        <v>131</v>
      </c>
      <c r="C639" s="33"/>
      <c r="D639" s="2">
        <f>D633</f>
        <v>2015</v>
      </c>
      <c r="E639" s="2">
        <f>D639+1</f>
        <v>2016</v>
      </c>
      <c r="F639" s="2">
        <f>E639+1</f>
        <v>2017</v>
      </c>
      <c r="G639" s="2">
        <f>F639+1</f>
        <v>2018</v>
      </c>
      <c r="H639" s="2">
        <f>G639+1</f>
        <v>2019</v>
      </c>
    </row>
    <row r="640" spans="1:8" x14ac:dyDescent="0.25">
      <c r="B640" s="67" t="s">
        <v>22</v>
      </c>
      <c r="C640" s="62"/>
      <c r="D640" s="11">
        <f>IF( $E238 = "Eligible", D637 * 'Facility Detail'!$B$1156, 0 )</f>
        <v>0</v>
      </c>
      <c r="E640" s="121">
        <f>IF( $E238 = "Eligible", E637 * 'Facility Detail'!$B$1156, 0 )</f>
        <v>0</v>
      </c>
      <c r="F640" s="121">
        <f>IF( $E238 = "Eligible", F637 * 'Facility Detail'!$B$1156, 0 )</f>
        <v>0</v>
      </c>
      <c r="G640" s="121">
        <f>IF( $E238 = "Eligible", G637 * 'Facility Detail'!$B$1156, 0 )</f>
        <v>0</v>
      </c>
      <c r="H640" s="12">
        <f>IF( $E238 = "Eligible", H637 * 'Facility Detail'!$B$1156, 0 )</f>
        <v>0</v>
      </c>
    </row>
    <row r="641" spans="1:8" x14ac:dyDescent="0.25">
      <c r="B641" s="67" t="s">
        <v>6</v>
      </c>
      <c r="C641" s="62"/>
      <c r="D641" s="53">
        <f>IF( $F238 = "Eligible", D637, 0 )</f>
        <v>0</v>
      </c>
      <c r="E641" s="122">
        <f>IF( $F238 = "Eligible", E637, 0 )</f>
        <v>0</v>
      </c>
      <c r="F641" s="122">
        <f>IF( $F238 = "Eligible", F637, 0 )</f>
        <v>0</v>
      </c>
      <c r="G641" s="122">
        <f>IF( $F238 = "Eligible", G637, 0 )</f>
        <v>0</v>
      </c>
      <c r="H641" s="54">
        <f>IF( $F238 = "Eligible", H637, 0 )</f>
        <v>0</v>
      </c>
    </row>
    <row r="642" spans="1:8" x14ac:dyDescent="0.25">
      <c r="B642" s="66" t="s">
        <v>133</v>
      </c>
      <c r="C642" s="65"/>
      <c r="D642" s="41">
        <f>SUM(D640:D641)</f>
        <v>0</v>
      </c>
      <c r="E642" s="41">
        <f>SUM(E640:E641)</f>
        <v>0</v>
      </c>
      <c r="F642" s="41">
        <f>SUM(F640:F641)</f>
        <v>0</v>
      </c>
      <c r="G642" s="41">
        <f>SUM(G640:G641)</f>
        <v>0</v>
      </c>
      <c r="H642" s="41">
        <f>SUM(H640:H641)</f>
        <v>0</v>
      </c>
    </row>
    <row r="643" spans="1:8" x14ac:dyDescent="0.25">
      <c r="B643" s="33"/>
      <c r="C643" s="33"/>
      <c r="D643" s="34"/>
      <c r="E643" s="34"/>
      <c r="F643" s="34"/>
      <c r="G643" s="183"/>
      <c r="H643" s="34"/>
    </row>
    <row r="644" spans="1:8" ht="18.75" x14ac:dyDescent="0.3">
      <c r="A644" s="42" t="s">
        <v>42</v>
      </c>
      <c r="C644" s="33"/>
      <c r="D644" s="2">
        <f>D633</f>
        <v>2015</v>
      </c>
      <c r="E644" s="2">
        <f>D644+1</f>
        <v>2016</v>
      </c>
      <c r="F644" s="2">
        <f>E644+1</f>
        <v>2017</v>
      </c>
      <c r="G644" s="2">
        <f>F644+1</f>
        <v>2018</v>
      </c>
      <c r="H644" s="2">
        <f>G644+1</f>
        <v>2019</v>
      </c>
    </row>
    <row r="645" spans="1:8" x14ac:dyDescent="0.25">
      <c r="B645" s="67" t="s">
        <v>59</v>
      </c>
      <c r="C645" s="62"/>
      <c r="D645" s="4"/>
      <c r="E645" s="4"/>
      <c r="F645" s="4"/>
      <c r="G645" s="4"/>
      <c r="H645" s="5"/>
    </row>
    <row r="646" spans="1:8" x14ac:dyDescent="0.25">
      <c r="B646" s="68" t="s">
        <v>35</v>
      </c>
      <c r="C646" s="69"/>
      <c r="D646" s="151"/>
      <c r="E646" s="151"/>
      <c r="F646" s="151"/>
      <c r="G646" s="151"/>
      <c r="H646" s="152"/>
    </row>
    <row r="647" spans="1:8" x14ac:dyDescent="0.25">
      <c r="B647" s="78" t="s">
        <v>101</v>
      </c>
      <c r="C647" s="77"/>
      <c r="D647" s="153"/>
      <c r="E647" s="153"/>
      <c r="F647" s="153"/>
      <c r="G647" s="153"/>
      <c r="H647" s="154"/>
    </row>
    <row r="648" spans="1:8" x14ac:dyDescent="0.25">
      <c r="B648" s="36" t="s">
        <v>102</v>
      </c>
      <c r="D648" s="7">
        <f>SUM(D645:D647)</f>
        <v>0</v>
      </c>
      <c r="E648" s="7">
        <f>SUM(E645:E647)</f>
        <v>0</v>
      </c>
      <c r="F648" s="7">
        <f>SUM(F645:F647)</f>
        <v>0</v>
      </c>
      <c r="G648" s="7">
        <f>SUM(G645:G647)</f>
        <v>0</v>
      </c>
      <c r="H648" s="7">
        <f>SUM(H645:H647)</f>
        <v>0</v>
      </c>
    </row>
    <row r="649" spans="1:8" x14ac:dyDescent="0.25">
      <c r="B649" s="6"/>
      <c r="D649" s="7"/>
      <c r="E649" s="7"/>
      <c r="F649" s="7"/>
      <c r="G649" s="181"/>
      <c r="H649" s="7"/>
    </row>
    <row r="650" spans="1:8" ht="18.75" x14ac:dyDescent="0.3">
      <c r="A650" s="9" t="s">
        <v>112</v>
      </c>
      <c r="D650" s="2">
        <f>D633</f>
        <v>2015</v>
      </c>
      <c r="E650" s="2">
        <f>D650+1</f>
        <v>2016</v>
      </c>
      <c r="F650" s="2">
        <f>E650+1</f>
        <v>2017</v>
      </c>
      <c r="G650" s="2">
        <f>F650+1</f>
        <v>2018</v>
      </c>
      <c r="H650" s="2">
        <f>G650+1</f>
        <v>2019</v>
      </c>
    </row>
    <row r="651" spans="1:8" x14ac:dyDescent="0.25">
      <c r="B651" s="67" t="str">
        <f>( 'Facility Detail'!$B$1159) &amp; " Surplus Applied to " &amp; ( 'Facility Detail'!$B$1159 + 1 )</f>
        <v>2015 Surplus Applied to 2016</v>
      </c>
      <c r="C651" s="62"/>
      <c r="D651" s="3">
        <f>D637+D642-D648</f>
        <v>0</v>
      </c>
      <c r="E651" s="55">
        <f>D651</f>
        <v>0</v>
      </c>
      <c r="F651" s="129"/>
      <c r="G651" s="129"/>
      <c r="H651" s="130"/>
    </row>
    <row r="652" spans="1:8" x14ac:dyDescent="0.25">
      <c r="B652" s="67" t="str">
        <f xml:space="preserve"> ( 'Facility Detail'!$B$1159 + 1 ) &amp; " Surplus Applied to " &amp; ( 'Facility Detail'!$B$1159 )</f>
        <v>2016 Surplus Applied to 2015</v>
      </c>
      <c r="C652" s="62"/>
      <c r="D652" s="148">
        <v>0</v>
      </c>
      <c r="E652" s="10">
        <v>0</v>
      </c>
      <c r="F652" s="125"/>
      <c r="G652" s="125"/>
      <c r="H652" s="131"/>
    </row>
    <row r="653" spans="1:8" x14ac:dyDescent="0.25">
      <c r="B653" s="133" t="str">
        <f xml:space="preserve"> ( 'Facility Detail'!$B$1159 + 1 ) &amp; " Surplus Applied to " &amp; ( 'Facility Detail'!$B$1159 + 2 )</f>
        <v>2016 Surplus Applied to 2017</v>
      </c>
      <c r="C653" s="62"/>
      <c r="D653" s="126"/>
      <c r="E653" s="10">
        <f>E637+E642-E648</f>
        <v>0</v>
      </c>
      <c r="F653" s="61">
        <f>E653</f>
        <v>0</v>
      </c>
      <c r="G653" s="125"/>
      <c r="H653" s="131"/>
    </row>
    <row r="654" spans="1:8" x14ac:dyDescent="0.25">
      <c r="B654" s="133" t="str">
        <f xml:space="preserve"> ( 'Facility Detail'!$B$1159 + 2 ) &amp; " Surplus Applied to " &amp; ( 'Facility Detail'!$B$1159 + 1 )</f>
        <v>2017 Surplus Applied to 2016</v>
      </c>
      <c r="C654" s="62"/>
      <c r="D654" s="126"/>
      <c r="E654" s="61">
        <v>0</v>
      </c>
      <c r="F654" s="10">
        <v>0</v>
      </c>
      <c r="G654" s="125"/>
      <c r="H654" s="131"/>
    </row>
    <row r="655" spans="1:8" x14ac:dyDescent="0.25">
      <c r="B655" s="179" t="str">
        <f xml:space="preserve"> ( 'Facility Detail'!$B$1159 + 2 ) &amp; " Surplus Applied to " &amp; ( 'Facility Detail'!$B$1159 + 3 )</f>
        <v>2017 Surplus Applied to 2018</v>
      </c>
      <c r="C655" s="33"/>
      <c r="D655" s="126"/>
      <c r="E655" s="125"/>
      <c r="F655" s="10"/>
      <c r="G655" s="61">
        <f>F655</f>
        <v>0</v>
      </c>
      <c r="H655" s="131"/>
    </row>
    <row r="656" spans="1:8" x14ac:dyDescent="0.25">
      <c r="B656" s="179" t="str">
        <f xml:space="preserve"> ( 'Facility Detail'!$B$1159 + 3 ) &amp; " Surplus Applied to " &amp; ( 'Facility Detail'!$B$1159 + 2 )</f>
        <v>2018 Surplus Applied to 2017</v>
      </c>
      <c r="C656" s="33"/>
      <c r="D656" s="126"/>
      <c r="E656" s="125"/>
      <c r="F656" s="61">
        <v>0</v>
      </c>
      <c r="G656" s="10">
        <v>0</v>
      </c>
      <c r="H656" s="131"/>
    </row>
    <row r="657" spans="1:8" x14ac:dyDescent="0.25">
      <c r="B657" s="179" t="str">
        <f xml:space="preserve"> ( 'Facility Detail'!$B$1159 + 3 ) &amp; " Surplus Applied to " &amp; ( 'Facility Detail'!$B$1159 + 4 )</f>
        <v>2018 Surplus Applied to 2019</v>
      </c>
      <c r="C657" s="33"/>
      <c r="D657" s="126"/>
      <c r="E657" s="125"/>
      <c r="F657" s="125"/>
      <c r="G657" s="10">
        <f>G637+G642-G648</f>
        <v>0</v>
      </c>
      <c r="H657" s="56">
        <f>G657</f>
        <v>0</v>
      </c>
    </row>
    <row r="658" spans="1:8" x14ac:dyDescent="0.25">
      <c r="B658" s="179" t="str">
        <f xml:space="preserve"> ( 'Facility Detail'!$B$1159 + 4 ) &amp; " Surplus Applied to " &amp; ( 'Facility Detail'!$B$1159 + 3 )</f>
        <v>2019 Surplus Applied to 2018</v>
      </c>
      <c r="C658" s="33"/>
      <c r="D658" s="127"/>
      <c r="E658" s="128"/>
      <c r="F658" s="128"/>
      <c r="G658" s="57">
        <v>0</v>
      </c>
      <c r="H658" s="48">
        <v>0</v>
      </c>
    </row>
    <row r="659" spans="1:8" x14ac:dyDescent="0.25">
      <c r="B659" s="36" t="s">
        <v>29</v>
      </c>
      <c r="D659" s="7">
        <f>D652-D651</f>
        <v>0</v>
      </c>
      <c r="E659" s="7">
        <f>E651+E654-E652-E653</f>
        <v>0</v>
      </c>
      <c r="F659" s="7">
        <f>F653+F656-F654-F655</f>
        <v>0</v>
      </c>
      <c r="G659" s="7">
        <f>G655+G658-G656-G657</f>
        <v>0</v>
      </c>
      <c r="H659" s="7">
        <f>H657 - H658</f>
        <v>0</v>
      </c>
    </row>
    <row r="660" spans="1:8" x14ac:dyDescent="0.25">
      <c r="B660" s="6"/>
      <c r="D660" s="7"/>
      <c r="E660" s="7"/>
      <c r="F660" s="7"/>
      <c r="G660" s="7"/>
      <c r="H660" s="7"/>
    </row>
    <row r="661" spans="1:8" x14ac:dyDescent="0.25">
      <c r="B661" s="64" t="s">
        <v>24</v>
      </c>
      <c r="C661" s="62"/>
      <c r="D661" s="85"/>
      <c r="E661" s="123"/>
      <c r="F661" s="123"/>
      <c r="G661" s="123"/>
      <c r="H661" s="86"/>
    </row>
    <row r="662" spans="1:8" x14ac:dyDescent="0.25">
      <c r="B662" s="6"/>
      <c r="D662" s="7"/>
      <c r="E662" s="7"/>
      <c r="F662" s="7"/>
      <c r="G662" s="7"/>
      <c r="H662" s="7"/>
    </row>
    <row r="663" spans="1:8" ht="18.75" x14ac:dyDescent="0.3">
      <c r="A663" s="42" t="s">
        <v>38</v>
      </c>
      <c r="C663" s="62"/>
      <c r="D663" s="124">
        <f xml:space="preserve"> D637 + D642 - D648 + D659 + D661</f>
        <v>0</v>
      </c>
      <c r="E663" s="124">
        <f xml:space="preserve"> E637 + E642 - E648 + E659 + E661</f>
        <v>0</v>
      </c>
      <c r="F663" s="124">
        <f xml:space="preserve"> F637 + F642 - F648 + F659 + F661</f>
        <v>1046</v>
      </c>
      <c r="G663" s="124">
        <f xml:space="preserve"> G637 + G642 - G648 + G659 + G661</f>
        <v>0</v>
      </c>
      <c r="H663" s="206">
        <f xml:space="preserve"> H637 + H642 - H648 + H659 + H661</f>
        <v>0</v>
      </c>
    </row>
    <row r="664" spans="1:8" ht="13.9" customHeight="1" x14ac:dyDescent="0.25">
      <c r="B664" s="1" t="s">
        <v>186</v>
      </c>
      <c r="D664" s="7"/>
      <c r="E664" s="7"/>
      <c r="F664" s="32">
        <v>1046</v>
      </c>
      <c r="G664" s="32"/>
      <c r="H664" s="32"/>
    </row>
    <row r="665" spans="1:8" x14ac:dyDescent="0.25">
      <c r="D665" s="1"/>
    </row>
    <row r="666" spans="1:8" x14ac:dyDescent="0.25">
      <c r="A666" s="33"/>
      <c r="B666" s="33"/>
      <c r="C666" s="33"/>
      <c r="D666" s="33"/>
      <c r="E666" s="33"/>
      <c r="F666" s="33"/>
      <c r="G666" s="33"/>
      <c r="H666" s="33"/>
    </row>
    <row r="667" spans="1:8" x14ac:dyDescent="0.25">
      <c r="B667" s="33"/>
      <c r="C667" s="33"/>
      <c r="D667" s="33"/>
      <c r="E667" s="33"/>
      <c r="F667" s="33"/>
      <c r="G667" s="33"/>
      <c r="H667" s="33"/>
    </row>
    <row r="668" spans="1:8" ht="21" x14ac:dyDescent="0.35">
      <c r="A668" s="13" t="s">
        <v>4</v>
      </c>
      <c r="B668" s="13"/>
      <c r="C668" s="43" t="s">
        <v>172</v>
      </c>
      <c r="D668" s="23"/>
      <c r="E668" s="23"/>
    </row>
    <row r="669" spans="1:8" x14ac:dyDescent="0.25">
      <c r="D669" s="1"/>
    </row>
    <row r="670" spans="1:8" ht="18.75" x14ac:dyDescent="0.3">
      <c r="A670" s="9" t="s">
        <v>33</v>
      </c>
      <c r="B670" s="9"/>
      <c r="D670" s="2">
        <f>D41</f>
        <v>2015</v>
      </c>
      <c r="E670" s="2">
        <f>D670+1</f>
        <v>2016</v>
      </c>
      <c r="F670" s="2">
        <f>E670+1</f>
        <v>2017</v>
      </c>
      <c r="G670" s="2">
        <f>F670+1</f>
        <v>2018</v>
      </c>
      <c r="H670" s="2">
        <f>G670+1</f>
        <v>2019</v>
      </c>
    </row>
    <row r="671" spans="1:8" x14ac:dyDescent="0.25">
      <c r="B671" s="67" t="str">
        <f>" Purchased from " &amp; C668</f>
        <v xml:space="preserve"> Purchased from Condon Wind Power Phase II -- REC Only **</v>
      </c>
      <c r="C671" s="62"/>
      <c r="D671" s="4"/>
      <c r="E671" s="4"/>
      <c r="F671" s="4">
        <v>1069</v>
      </c>
      <c r="G671" s="4"/>
      <c r="H671" s="5"/>
    </row>
    <row r="672" spans="1:8" x14ac:dyDescent="0.25">
      <c r="B672" s="67" t="s">
        <v>37</v>
      </c>
      <c r="C672" s="62"/>
      <c r="D672" s="146"/>
      <c r="E672" s="146"/>
      <c r="F672" s="146">
        <v>1</v>
      </c>
      <c r="G672" s="146"/>
      <c r="H672" s="147"/>
    </row>
    <row r="673" spans="1:8" x14ac:dyDescent="0.25">
      <c r="B673" s="67" t="s">
        <v>32</v>
      </c>
      <c r="C673" s="62"/>
      <c r="D673" s="49"/>
      <c r="E673" s="49"/>
      <c r="F673" s="49">
        <v>1</v>
      </c>
      <c r="G673" s="49"/>
      <c r="H673" s="50"/>
    </row>
    <row r="674" spans="1:8" x14ac:dyDescent="0.25">
      <c r="B674" s="64" t="s">
        <v>34</v>
      </c>
      <c r="C674" s="65"/>
      <c r="D674" s="145">
        <f xml:space="preserve"> D671 * D672 * D673</f>
        <v>0</v>
      </c>
      <c r="E674" s="145">
        <f xml:space="preserve"> E671 * E672 * E673</f>
        <v>0</v>
      </c>
      <c r="F674" s="145">
        <f xml:space="preserve"> F671 * F672 * F673</f>
        <v>1069</v>
      </c>
      <c r="G674" s="145">
        <f>SUM(G671:G673)</f>
        <v>0</v>
      </c>
      <c r="H674" s="7">
        <f>SUM(H671:H673)</f>
        <v>0</v>
      </c>
    </row>
    <row r="675" spans="1:8" x14ac:dyDescent="0.25">
      <c r="B675" s="23"/>
      <c r="C675" s="33"/>
      <c r="D675" s="40"/>
      <c r="E675" s="40"/>
      <c r="F675" s="40"/>
      <c r="G675" s="181"/>
      <c r="H675" s="40"/>
    </row>
    <row r="676" spans="1:8" ht="18.75" x14ac:dyDescent="0.3">
      <c r="A676" s="45" t="s">
        <v>131</v>
      </c>
      <c r="C676" s="33"/>
      <c r="D676" s="2">
        <f>D670</f>
        <v>2015</v>
      </c>
      <c r="E676" s="2">
        <f>D676+1</f>
        <v>2016</v>
      </c>
      <c r="F676" s="2">
        <f>E676+1</f>
        <v>2017</v>
      </c>
      <c r="G676" s="2">
        <f>F676+1</f>
        <v>2018</v>
      </c>
      <c r="H676" s="2">
        <f>G676+1</f>
        <v>2019</v>
      </c>
    </row>
    <row r="677" spans="1:8" x14ac:dyDescent="0.25">
      <c r="B677" s="67" t="s">
        <v>22</v>
      </c>
      <c r="C677" s="62"/>
      <c r="D677" s="11">
        <f>IF( $E275 = "Eligible", D674 * 'Facility Detail'!$B$1156, 0 )</f>
        <v>0</v>
      </c>
      <c r="E677" s="121">
        <f>IF( $E275 = "Eligible", E674 * 'Facility Detail'!$B$1156, 0 )</f>
        <v>0</v>
      </c>
      <c r="F677" s="121">
        <f>IF( $E275 = "Eligible", F674 * 'Facility Detail'!$B$1156, 0 )</f>
        <v>0</v>
      </c>
      <c r="G677" s="121">
        <f>IF( $E275 = "Eligible", G674 * 'Facility Detail'!$B$1156, 0 )</f>
        <v>0</v>
      </c>
      <c r="H677" s="12">
        <f>IF( $E275 = "Eligible", H674 * 'Facility Detail'!$B$1156, 0 )</f>
        <v>0</v>
      </c>
    </row>
    <row r="678" spans="1:8" x14ac:dyDescent="0.25">
      <c r="B678" s="67" t="s">
        <v>6</v>
      </c>
      <c r="C678" s="62"/>
      <c r="D678" s="53">
        <f>IF( $F275 = "Eligible", D674, 0 )</f>
        <v>0</v>
      </c>
      <c r="E678" s="122">
        <f>IF( $F275 = "Eligible", E674, 0 )</f>
        <v>0</v>
      </c>
      <c r="F678" s="122">
        <f>IF( $F275 = "Eligible", F674, 0 )</f>
        <v>0</v>
      </c>
      <c r="G678" s="122">
        <f>IF( $F275 = "Eligible", G674, 0 )</f>
        <v>0</v>
      </c>
      <c r="H678" s="54">
        <f>IF( $F275 = "Eligible", H674, 0 )</f>
        <v>0</v>
      </c>
    </row>
    <row r="679" spans="1:8" x14ac:dyDescent="0.25">
      <c r="B679" s="66" t="s">
        <v>133</v>
      </c>
      <c r="C679" s="65"/>
      <c r="D679" s="41">
        <f>SUM(D677:D678)</f>
        <v>0</v>
      </c>
      <c r="E679" s="41">
        <f>SUM(E677:E678)</f>
        <v>0</v>
      </c>
      <c r="F679" s="41">
        <f>SUM(F677:F678)</f>
        <v>0</v>
      </c>
      <c r="G679" s="41">
        <f>SUM(G677:G678)</f>
        <v>0</v>
      </c>
      <c r="H679" s="41">
        <f>SUM(H677:H678)</f>
        <v>0</v>
      </c>
    </row>
    <row r="680" spans="1:8" x14ac:dyDescent="0.25">
      <c r="B680" s="33"/>
      <c r="C680" s="33"/>
      <c r="D680" s="34"/>
      <c r="E680" s="34"/>
      <c r="F680" s="34"/>
      <c r="G680" s="183"/>
      <c r="H680" s="34"/>
    </row>
    <row r="681" spans="1:8" ht="18.75" x14ac:dyDescent="0.3">
      <c r="A681" s="42" t="s">
        <v>42</v>
      </c>
      <c r="C681" s="33"/>
      <c r="D681" s="2">
        <f>D670</f>
        <v>2015</v>
      </c>
      <c r="E681" s="2">
        <f>D681+1</f>
        <v>2016</v>
      </c>
      <c r="F681" s="2">
        <f>E681+1</f>
        <v>2017</v>
      </c>
      <c r="G681" s="2">
        <f>F681+1</f>
        <v>2018</v>
      </c>
      <c r="H681" s="2">
        <f>G681+1</f>
        <v>2019</v>
      </c>
    </row>
    <row r="682" spans="1:8" x14ac:dyDescent="0.25">
      <c r="B682" s="67" t="s">
        <v>59</v>
      </c>
      <c r="C682" s="62"/>
      <c r="D682" s="4"/>
      <c r="E682" s="4"/>
      <c r="F682" s="4"/>
      <c r="G682" s="4"/>
      <c r="H682" s="5"/>
    </row>
    <row r="683" spans="1:8" x14ac:dyDescent="0.25">
      <c r="B683" s="68" t="s">
        <v>35</v>
      </c>
      <c r="C683" s="69"/>
      <c r="D683" s="151"/>
      <c r="E683" s="151"/>
      <c r="F683" s="151"/>
      <c r="G683" s="151"/>
      <c r="H683" s="152"/>
    </row>
    <row r="684" spans="1:8" x14ac:dyDescent="0.25">
      <c r="B684" s="78" t="s">
        <v>101</v>
      </c>
      <c r="C684" s="77"/>
      <c r="D684" s="153"/>
      <c r="E684" s="153"/>
      <c r="F684" s="153"/>
      <c r="G684" s="153"/>
      <c r="H684" s="154"/>
    </row>
    <row r="685" spans="1:8" x14ac:dyDescent="0.25">
      <c r="B685" s="36" t="s">
        <v>102</v>
      </c>
      <c r="D685" s="7">
        <f>SUM(D682:D684)</f>
        <v>0</v>
      </c>
      <c r="E685" s="7">
        <f>SUM(E682:E684)</f>
        <v>0</v>
      </c>
      <c r="F685" s="7">
        <f>SUM(F682:F684)</f>
        <v>0</v>
      </c>
      <c r="G685" s="7">
        <f>SUM(G682:G684)</f>
        <v>0</v>
      </c>
      <c r="H685" s="7">
        <f>SUM(H682:H684)</f>
        <v>0</v>
      </c>
    </row>
    <row r="686" spans="1:8" x14ac:dyDescent="0.25">
      <c r="B686" s="6"/>
      <c r="D686" s="7"/>
      <c r="E686" s="7"/>
      <c r="F686" s="7"/>
      <c r="G686" s="181"/>
      <c r="H686" s="7"/>
    </row>
    <row r="687" spans="1:8" ht="18.75" x14ac:dyDescent="0.3">
      <c r="A687" s="9" t="s">
        <v>112</v>
      </c>
      <c r="D687" s="2">
        <f>D670</f>
        <v>2015</v>
      </c>
      <c r="E687" s="2">
        <f>D687+1</f>
        <v>2016</v>
      </c>
      <c r="F687" s="2">
        <f>E687+1</f>
        <v>2017</v>
      </c>
      <c r="G687" s="2">
        <f>F687+1</f>
        <v>2018</v>
      </c>
      <c r="H687" s="2">
        <f>G687+1</f>
        <v>2019</v>
      </c>
    </row>
    <row r="688" spans="1:8" x14ac:dyDescent="0.25">
      <c r="B688" s="67" t="str">
        <f>( 'Facility Detail'!$B$1159) &amp; " Surplus Applied to " &amp; ( 'Facility Detail'!$B$1159 + 1 )</f>
        <v>2015 Surplus Applied to 2016</v>
      </c>
      <c r="C688" s="62"/>
      <c r="D688" s="3">
        <f>D674+D679-D685</f>
        <v>0</v>
      </c>
      <c r="E688" s="55">
        <f>D688</f>
        <v>0</v>
      </c>
      <c r="F688" s="129"/>
      <c r="G688" s="129"/>
      <c r="H688" s="130"/>
    </row>
    <row r="689" spans="1:9" x14ac:dyDescent="0.25">
      <c r="B689" s="67" t="str">
        <f xml:space="preserve"> ( 'Facility Detail'!$B$1159 + 1 ) &amp; " Surplus Applied to " &amp; ( 'Facility Detail'!$B$1159 )</f>
        <v>2016 Surplus Applied to 2015</v>
      </c>
      <c r="C689" s="62"/>
      <c r="D689" s="148">
        <v>0</v>
      </c>
      <c r="E689" s="10">
        <v>0</v>
      </c>
      <c r="F689" s="125"/>
      <c r="G689" s="125"/>
      <c r="H689" s="131"/>
    </row>
    <row r="690" spans="1:9" x14ac:dyDescent="0.25">
      <c r="B690" s="133" t="str">
        <f xml:space="preserve"> ( 'Facility Detail'!$B$1159 + 1 ) &amp; " Surplus Applied to " &amp; ( 'Facility Detail'!$B$1159 + 2 )</f>
        <v>2016 Surplus Applied to 2017</v>
      </c>
      <c r="C690" s="62"/>
      <c r="D690" s="126"/>
      <c r="E690" s="10">
        <f>E674+E679-E685</f>
        <v>0</v>
      </c>
      <c r="F690" s="61">
        <f>E690</f>
        <v>0</v>
      </c>
      <c r="G690" s="125"/>
      <c r="H690" s="131"/>
    </row>
    <row r="691" spans="1:9" x14ac:dyDescent="0.25">
      <c r="B691" s="133" t="str">
        <f xml:space="preserve"> ( 'Facility Detail'!$B$1159 + 2 ) &amp; " Surplus Applied to " &amp; ( 'Facility Detail'!$B$1159 + 1 )</f>
        <v>2017 Surplus Applied to 2016</v>
      </c>
      <c r="C691" s="62"/>
      <c r="D691" s="126"/>
      <c r="E691" s="61">
        <v>0</v>
      </c>
      <c r="F691" s="10">
        <v>0</v>
      </c>
      <c r="G691" s="125"/>
      <c r="H691" s="131"/>
    </row>
    <row r="692" spans="1:9" x14ac:dyDescent="0.25">
      <c r="B692" s="179" t="str">
        <f xml:space="preserve"> ( 'Facility Detail'!$B$1159 + 2 ) &amp; " Surplus Applied to " &amp; ( 'Facility Detail'!$B$1159 + 3 )</f>
        <v>2017 Surplus Applied to 2018</v>
      </c>
      <c r="C692" s="33"/>
      <c r="D692" s="126"/>
      <c r="E692" s="125"/>
      <c r="F692" s="10"/>
      <c r="G692" s="61">
        <f>F692</f>
        <v>0</v>
      </c>
      <c r="H692" s="131"/>
    </row>
    <row r="693" spans="1:9" x14ac:dyDescent="0.25">
      <c r="B693" s="179" t="str">
        <f xml:space="preserve"> ( 'Facility Detail'!$B$1159 + 3 ) &amp; " Surplus Applied to " &amp; ( 'Facility Detail'!$B$1159 + 2 )</f>
        <v>2018 Surplus Applied to 2017</v>
      </c>
      <c r="C693" s="33"/>
      <c r="D693" s="126"/>
      <c r="E693" s="125"/>
      <c r="F693" s="61">
        <v>0</v>
      </c>
      <c r="G693" s="10">
        <v>0</v>
      </c>
      <c r="H693" s="131"/>
    </row>
    <row r="694" spans="1:9" x14ac:dyDescent="0.25">
      <c r="B694" s="179" t="str">
        <f xml:space="preserve"> ( 'Facility Detail'!$B$1159 + 3 ) &amp; " Surplus Applied to " &amp; ( 'Facility Detail'!$B$1159 + 4 )</f>
        <v>2018 Surplus Applied to 2019</v>
      </c>
      <c r="C694" s="33"/>
      <c r="D694" s="126"/>
      <c r="E694" s="125"/>
      <c r="F694" s="125"/>
      <c r="G694" s="10">
        <f>G674+G679-G685</f>
        <v>0</v>
      </c>
      <c r="H694" s="56">
        <f>G694</f>
        <v>0</v>
      </c>
    </row>
    <row r="695" spans="1:9" x14ac:dyDescent="0.25">
      <c r="B695" s="179" t="str">
        <f xml:space="preserve"> ( 'Facility Detail'!$B$1159 + 4 ) &amp; " Surplus Applied to " &amp; ( 'Facility Detail'!$B$1159 + 3 )</f>
        <v>2019 Surplus Applied to 2018</v>
      </c>
      <c r="C695" s="33"/>
      <c r="D695" s="127"/>
      <c r="E695" s="128"/>
      <c r="F695" s="128"/>
      <c r="G695" s="57">
        <v>0</v>
      </c>
      <c r="H695" s="48">
        <v>0</v>
      </c>
    </row>
    <row r="696" spans="1:9" x14ac:dyDescent="0.25">
      <c r="B696" s="36" t="s">
        <v>29</v>
      </c>
      <c r="D696" s="7">
        <f>D689-D688</f>
        <v>0</v>
      </c>
      <c r="E696" s="7">
        <f>E688+E691-E689-E690</f>
        <v>0</v>
      </c>
      <c r="F696" s="7">
        <f>F690+F693-F691-F692</f>
        <v>0</v>
      </c>
      <c r="G696" s="7">
        <f>G692+G695-G693-G694</f>
        <v>0</v>
      </c>
      <c r="H696" s="7">
        <f>H694 - H695</f>
        <v>0</v>
      </c>
    </row>
    <row r="697" spans="1:9" x14ac:dyDescent="0.25">
      <c r="B697" s="6"/>
      <c r="D697" s="7"/>
      <c r="E697" s="7"/>
      <c r="F697" s="7"/>
      <c r="G697" s="7"/>
      <c r="H697" s="7"/>
    </row>
    <row r="698" spans="1:9" x14ac:dyDescent="0.25">
      <c r="B698" s="64" t="s">
        <v>24</v>
      </c>
      <c r="C698" s="62"/>
      <c r="D698" s="85"/>
      <c r="E698" s="123"/>
      <c r="F698" s="123"/>
      <c r="G698" s="123"/>
      <c r="H698" s="86"/>
    </row>
    <row r="699" spans="1:9" x14ac:dyDescent="0.25">
      <c r="B699" s="6"/>
      <c r="D699" s="7"/>
      <c r="E699" s="7"/>
      <c r="F699" s="7"/>
      <c r="G699" s="7"/>
      <c r="H699" s="7"/>
    </row>
    <row r="700" spans="1:9" ht="18.75" x14ac:dyDescent="0.3">
      <c r="A700" s="42" t="s">
        <v>38</v>
      </c>
      <c r="C700" s="62"/>
      <c r="D700" s="124">
        <f xml:space="preserve"> D674 + D679 - D685 + D696 + D698</f>
        <v>0</v>
      </c>
      <c r="E700" s="124">
        <f xml:space="preserve"> E674 + E679 - E685 + E696 + E698</f>
        <v>0</v>
      </c>
      <c r="F700" s="124">
        <f xml:space="preserve"> F674 + F679 - F685 + F696 + F698</f>
        <v>1069</v>
      </c>
      <c r="G700" s="124">
        <f xml:space="preserve"> G674 + G679 - G685 + G696 + G698</f>
        <v>0</v>
      </c>
      <c r="H700" s="206">
        <f xml:space="preserve"> H674 + H679 - H685 + H696 + H698</f>
        <v>0</v>
      </c>
    </row>
    <row r="701" spans="1:9" x14ac:dyDescent="0.25">
      <c r="B701" s="1" t="s">
        <v>186</v>
      </c>
      <c r="D701" s="144"/>
      <c r="E701" s="7"/>
      <c r="F701" s="7">
        <v>1069</v>
      </c>
      <c r="G701" s="32"/>
      <c r="H701" s="32"/>
      <c r="I701" s="24"/>
    </row>
    <row r="702" spans="1:9" x14ac:dyDescent="0.25">
      <c r="I702" s="24"/>
    </row>
    <row r="703" spans="1:9" hidden="1" x14ac:dyDescent="0.25">
      <c r="A703" s="8"/>
      <c r="B703" s="8"/>
      <c r="C703" s="8"/>
      <c r="D703" s="184"/>
      <c r="E703" s="8"/>
      <c r="F703" s="8"/>
      <c r="G703" s="8"/>
      <c r="H703" s="8"/>
      <c r="I703" s="24"/>
    </row>
    <row r="704" spans="1:9" hidden="1" x14ac:dyDescent="0.25">
      <c r="B704" s="33"/>
      <c r="C704" s="33"/>
      <c r="D704" s="23"/>
      <c r="E704" s="33"/>
      <c r="F704" s="33"/>
      <c r="G704" s="33"/>
      <c r="H704" s="33"/>
      <c r="I704" s="32"/>
    </row>
    <row r="705" spans="1:9" ht="21" hidden="1" x14ac:dyDescent="0.35">
      <c r="A705" s="13" t="s">
        <v>4</v>
      </c>
      <c r="B705" s="13"/>
      <c r="C705" s="43" t="str">
        <f>B22</f>
        <v>Facility 19</v>
      </c>
      <c r="D705" s="44"/>
      <c r="E705" s="23"/>
      <c r="F705" s="23"/>
      <c r="I705" s="32"/>
    </row>
    <row r="706" spans="1:9" hidden="1" x14ac:dyDescent="0.25">
      <c r="I706" s="32"/>
    </row>
    <row r="707" spans="1:9" ht="18.75" hidden="1" x14ac:dyDescent="0.3">
      <c r="A707" s="9" t="s">
        <v>33</v>
      </c>
      <c r="B707" s="9"/>
      <c r="D707" s="132">
        <f>'Facility Detail'!$B$1159</f>
        <v>2015</v>
      </c>
      <c r="E707" s="2">
        <f>D707+1</f>
        <v>2016</v>
      </c>
      <c r="F707" s="2">
        <f>E707+1</f>
        <v>2017</v>
      </c>
      <c r="G707" s="2">
        <f>F707+1</f>
        <v>2018</v>
      </c>
      <c r="H707" s="2">
        <f>G707+1</f>
        <v>2019</v>
      </c>
      <c r="I707" s="33"/>
    </row>
    <row r="708" spans="1:9" hidden="1" x14ac:dyDescent="0.25">
      <c r="B708" s="67" t="str">
        <f>"Total MWh Produced / Purchased from " &amp; C705</f>
        <v>Total MWh Produced / Purchased from Facility 19</v>
      </c>
      <c r="C708" s="62"/>
      <c r="D708" s="51"/>
      <c r="E708" s="4"/>
      <c r="F708" s="4"/>
      <c r="G708" s="4"/>
      <c r="H708" s="5"/>
      <c r="I708" s="33"/>
    </row>
    <row r="709" spans="1:9" hidden="1" x14ac:dyDescent="0.25">
      <c r="B709" s="67" t="s">
        <v>37</v>
      </c>
      <c r="C709" s="62"/>
      <c r="D709" s="185"/>
      <c r="E709" s="146"/>
      <c r="F709" s="146"/>
      <c r="G709" s="146"/>
      <c r="H709" s="147"/>
      <c r="I709" s="33"/>
    </row>
    <row r="710" spans="1:9" hidden="1" x14ac:dyDescent="0.25">
      <c r="B710" s="67" t="s">
        <v>32</v>
      </c>
      <c r="C710" s="62"/>
      <c r="D710" s="186"/>
      <c r="E710" s="49"/>
      <c r="F710" s="49"/>
      <c r="G710" s="49"/>
      <c r="H710" s="50"/>
    </row>
    <row r="711" spans="1:9" hidden="1" x14ac:dyDescent="0.25">
      <c r="B711" s="64" t="s">
        <v>34</v>
      </c>
      <c r="C711" s="65"/>
      <c r="D711" s="187">
        <f xml:space="preserve"> D708 * D709 * D710</f>
        <v>0</v>
      </c>
      <c r="E711" s="145">
        <f xml:space="preserve"> E708 * E709 * E710</f>
        <v>0</v>
      </c>
      <c r="F711" s="145">
        <f xml:space="preserve"> F708 * F709 * F710</f>
        <v>0</v>
      </c>
      <c r="G711" s="7">
        <f>SUM(G708:G710)</f>
        <v>0</v>
      </c>
      <c r="H711" s="7">
        <f>SUM(H708:H710)</f>
        <v>0</v>
      </c>
      <c r="I711" s="25"/>
    </row>
    <row r="712" spans="1:9" hidden="1" x14ac:dyDescent="0.25">
      <c r="B712" s="23"/>
      <c r="C712" s="33"/>
      <c r="D712" s="24"/>
      <c r="E712" s="40"/>
      <c r="F712" s="40"/>
      <c r="G712" s="40"/>
      <c r="H712" s="40"/>
      <c r="I712" s="24"/>
    </row>
    <row r="713" spans="1:9" ht="18.75" hidden="1" x14ac:dyDescent="0.3">
      <c r="A713" s="45" t="s">
        <v>131</v>
      </c>
      <c r="C713" s="33"/>
      <c r="D713" s="132">
        <f>'Facility Detail'!$B$1159</f>
        <v>2015</v>
      </c>
      <c r="E713" s="2">
        <f>D713+1</f>
        <v>2016</v>
      </c>
      <c r="F713" s="2">
        <f>E713+1</f>
        <v>2017</v>
      </c>
      <c r="G713" s="2">
        <f>F713+1</f>
        <v>2018</v>
      </c>
      <c r="H713" s="2">
        <f>G713+1</f>
        <v>2019</v>
      </c>
      <c r="I713" s="24"/>
    </row>
    <row r="714" spans="1:9" hidden="1" x14ac:dyDescent="0.25">
      <c r="B714" s="67" t="s">
        <v>22</v>
      </c>
      <c r="C714" s="62"/>
      <c r="D714" s="51">
        <f>IF( $E312 = "Eligible", D711 * 'Facility Detail'!$B$1156, 0 )</f>
        <v>0</v>
      </c>
      <c r="E714" s="11">
        <f>IF( $E312 = "Eligible", E711 * 'Facility Detail'!$B$1156, 0 )</f>
        <v>0</v>
      </c>
      <c r="F714" s="121">
        <f>IF( $E312 = "Eligible", F711 * 'Facility Detail'!$B$1156, 0 )</f>
        <v>0</v>
      </c>
      <c r="G714" s="121">
        <f>IF( $E312 = "Eligible", G711 * 'Facility Detail'!$B$1156, 0 )</f>
        <v>0</v>
      </c>
      <c r="H714" s="12">
        <f>IF( $E312 = "Eligible", H711 * 'Facility Detail'!$B$1156, 0 )</f>
        <v>0</v>
      </c>
      <c r="I714" s="24"/>
    </row>
    <row r="715" spans="1:9" hidden="1" x14ac:dyDescent="0.25">
      <c r="B715" s="67" t="s">
        <v>6</v>
      </c>
      <c r="C715" s="62"/>
      <c r="D715" s="52">
        <f>IF( $F312 = "Eligible", D711, 0 )</f>
        <v>0</v>
      </c>
      <c r="E715" s="53">
        <f>IF( $F312 = "Eligible", E711, 0 )</f>
        <v>0</v>
      </c>
      <c r="F715" s="122">
        <f>IF( $F312 = "Eligible", F711, 0 )</f>
        <v>0</v>
      </c>
      <c r="G715" s="122">
        <f>IF( $F312 = "Eligible", G711, 0 )</f>
        <v>0</v>
      </c>
      <c r="H715" s="54">
        <f>IF( $F312 = "Eligible", H711, 0 )</f>
        <v>0</v>
      </c>
      <c r="I715" s="24"/>
    </row>
    <row r="716" spans="1:9" hidden="1" x14ac:dyDescent="0.25">
      <c r="B716" s="66" t="s">
        <v>133</v>
      </c>
      <c r="C716" s="65"/>
      <c r="D716" s="187">
        <f>SUM(D714:D715)</f>
        <v>0</v>
      </c>
      <c r="E716" s="41">
        <f>SUM(E714:E715)</f>
        <v>0</v>
      </c>
      <c r="F716" s="41">
        <f>SUM(F714:F715)</f>
        <v>0</v>
      </c>
      <c r="G716" s="41">
        <f>SUM(G714:G715)</f>
        <v>0</v>
      </c>
      <c r="H716" s="41">
        <f>SUM(H714:H715)</f>
        <v>0</v>
      </c>
      <c r="I716" s="24"/>
    </row>
    <row r="717" spans="1:9" hidden="1" x14ac:dyDescent="0.25">
      <c r="B717" s="33"/>
      <c r="C717" s="33"/>
      <c r="D717" s="24"/>
      <c r="E717" s="34"/>
      <c r="F717" s="34"/>
      <c r="G717" s="34"/>
      <c r="H717" s="34"/>
      <c r="I717" s="24"/>
    </row>
    <row r="718" spans="1:9" ht="18.75" hidden="1" x14ac:dyDescent="0.3">
      <c r="A718" s="42" t="s">
        <v>42</v>
      </c>
      <c r="C718" s="33"/>
      <c r="D718" s="132">
        <f>'Facility Detail'!$B$1159</f>
        <v>2015</v>
      </c>
      <c r="E718" s="2">
        <f>D718+1</f>
        <v>2016</v>
      </c>
      <c r="F718" s="2">
        <f>E718+1</f>
        <v>2017</v>
      </c>
      <c r="G718" s="2">
        <f>F718+1</f>
        <v>2018</v>
      </c>
      <c r="H718" s="2">
        <f>G718+1</f>
        <v>2019</v>
      </c>
      <c r="I718" s="32"/>
    </row>
    <row r="719" spans="1:9" hidden="1" x14ac:dyDescent="0.25">
      <c r="B719" s="67" t="s">
        <v>59</v>
      </c>
      <c r="C719" s="62"/>
      <c r="D719" s="188"/>
      <c r="E719" s="4"/>
      <c r="F719" s="4"/>
      <c r="G719" s="4"/>
      <c r="H719" s="5"/>
      <c r="I719" s="32"/>
    </row>
    <row r="720" spans="1:9" hidden="1" x14ac:dyDescent="0.25">
      <c r="B720" s="68" t="s">
        <v>35</v>
      </c>
      <c r="C720" s="69"/>
      <c r="D720" s="189"/>
      <c r="E720" s="151"/>
      <c r="F720" s="151"/>
      <c r="G720" s="151"/>
      <c r="H720" s="152"/>
      <c r="I720" s="32"/>
    </row>
    <row r="721" spans="1:9" hidden="1" x14ac:dyDescent="0.25">
      <c r="B721" s="78" t="s">
        <v>101</v>
      </c>
      <c r="C721" s="77"/>
      <c r="D721" s="190"/>
      <c r="E721" s="153"/>
      <c r="F721" s="153"/>
      <c r="G721" s="153"/>
      <c r="H721" s="154"/>
      <c r="I721" s="32"/>
    </row>
    <row r="722" spans="1:9" hidden="1" x14ac:dyDescent="0.25">
      <c r="B722" s="36" t="s">
        <v>102</v>
      </c>
      <c r="D722" s="144">
        <f>SUM(D719:D721)</f>
        <v>0</v>
      </c>
      <c r="E722" s="7">
        <f>SUM(E719:E721)</f>
        <v>0</v>
      </c>
      <c r="F722" s="7">
        <f>SUM(F719:F721)</f>
        <v>0</v>
      </c>
      <c r="G722" s="7"/>
      <c r="H722" s="7"/>
      <c r="I722" s="33"/>
    </row>
    <row r="723" spans="1:9" hidden="1" x14ac:dyDescent="0.25">
      <c r="B723" s="6"/>
      <c r="D723" s="144"/>
      <c r="E723" s="7"/>
      <c r="F723" s="7"/>
      <c r="G723" s="7"/>
      <c r="H723" s="7"/>
      <c r="I723" s="33"/>
    </row>
    <row r="724" spans="1:9" ht="18.75" hidden="1" x14ac:dyDescent="0.3">
      <c r="A724" s="9" t="s">
        <v>112</v>
      </c>
      <c r="D724" s="132">
        <f>'Facility Detail'!$B$1159</f>
        <v>2015</v>
      </c>
      <c r="E724" s="2">
        <f>D724+1</f>
        <v>2016</v>
      </c>
      <c r="F724" s="2">
        <f>E724+1</f>
        <v>2017</v>
      </c>
      <c r="G724" s="2">
        <f>F724+1</f>
        <v>2018</v>
      </c>
      <c r="H724" s="2">
        <f>G724+1</f>
        <v>2019</v>
      </c>
      <c r="I724" s="33"/>
    </row>
    <row r="725" spans="1:9" hidden="1" x14ac:dyDescent="0.25">
      <c r="B725" s="67" t="str">
        <f xml:space="preserve"> 'Facility Detail'!$B$1159 &amp; " Surplus Applied to " &amp; ( 'Facility Detail'!$B$1159 + 1 )</f>
        <v>2015 Surplus Applied to 2016</v>
      </c>
      <c r="C725" s="62"/>
      <c r="D725" s="51">
        <f>D711+D716-D722</f>
        <v>0</v>
      </c>
      <c r="E725" s="55">
        <f>D725</f>
        <v>0</v>
      </c>
      <c r="F725" s="129"/>
      <c r="G725" s="129"/>
      <c r="H725" s="130"/>
      <c r="I725" s="33"/>
    </row>
    <row r="726" spans="1:9" hidden="1" x14ac:dyDescent="0.25">
      <c r="B726" s="67" t="str">
        <f xml:space="preserve"> ( 'Facility Detail'!$B$1159 + 1 ) &amp; " Surplus Applied to " &amp; ( 'Facility Detail'!$B$1159 )</f>
        <v>2016 Surplus Applied to 2015</v>
      </c>
      <c r="C726" s="62"/>
      <c r="D726" s="148">
        <f>E726</f>
        <v>0</v>
      </c>
      <c r="E726" s="10">
        <v>0</v>
      </c>
      <c r="F726" s="125"/>
      <c r="G726" s="125"/>
      <c r="H726" s="131"/>
      <c r="I726" s="33"/>
    </row>
    <row r="727" spans="1:9" hidden="1" x14ac:dyDescent="0.25">
      <c r="B727" s="67" t="str">
        <f xml:space="preserve"> ( 'Facility Detail'!$B$1159 + 1 ) &amp; " Surplus Applied to " &amp; ( 'Facility Detail'!$B$1159 + 2 )</f>
        <v>2016 Surplus Applied to 2017</v>
      </c>
      <c r="C727" s="62"/>
      <c r="D727" s="148"/>
      <c r="E727" s="10">
        <f>E711+E716-E722</f>
        <v>0</v>
      </c>
      <c r="F727" s="61">
        <f>+E727</f>
        <v>0</v>
      </c>
      <c r="G727" s="125"/>
      <c r="H727" s="131"/>
      <c r="I727" s="33"/>
    </row>
    <row r="728" spans="1:9" hidden="1" x14ac:dyDescent="0.25">
      <c r="B728" s="67" t="str">
        <f xml:space="preserve"> ( 'Facility Detail'!$B$1159 + 2 ) &amp; " Surplus Applied to " &amp; ( 'Facility Detail'!$B$1159 + 1 )</f>
        <v>2017 Surplus Applied to 2016</v>
      </c>
      <c r="C728" s="62"/>
      <c r="D728" s="148"/>
      <c r="E728" s="61">
        <f>F728</f>
        <v>0</v>
      </c>
      <c r="F728" s="10">
        <v>0</v>
      </c>
      <c r="G728" s="125"/>
      <c r="H728" s="131"/>
      <c r="I728" s="33"/>
    </row>
    <row r="729" spans="1:9" hidden="1" x14ac:dyDescent="0.25">
      <c r="B729" s="67"/>
      <c r="C729" s="33"/>
      <c r="D729" s="148"/>
      <c r="E729" s="125"/>
      <c r="F729" s="10">
        <f>F711+F716-F722</f>
        <v>0</v>
      </c>
      <c r="G729" s="61">
        <f>+F729</f>
        <v>0</v>
      </c>
      <c r="H729" s="131"/>
      <c r="I729" s="33"/>
    </row>
    <row r="730" spans="1:9" hidden="1" x14ac:dyDescent="0.25">
      <c r="B730" s="67"/>
      <c r="C730" s="33"/>
      <c r="D730" s="148"/>
      <c r="E730" s="125"/>
      <c r="F730" s="61">
        <f>G730</f>
        <v>0</v>
      </c>
      <c r="G730" s="10">
        <v>0</v>
      </c>
      <c r="H730" s="131"/>
      <c r="I730" s="33"/>
    </row>
    <row r="731" spans="1:9" hidden="1" x14ac:dyDescent="0.25">
      <c r="B731" s="67"/>
      <c r="C731" s="33"/>
      <c r="D731" s="148"/>
      <c r="E731" s="125"/>
      <c r="F731" s="125"/>
      <c r="G731" s="10">
        <f>G711+G716-G722</f>
        <v>0</v>
      </c>
      <c r="H731" s="56">
        <f>+G731</f>
        <v>0</v>
      </c>
      <c r="I731" s="33"/>
    </row>
    <row r="732" spans="1:9" hidden="1" x14ac:dyDescent="0.25">
      <c r="B732" s="67"/>
      <c r="C732" s="33"/>
      <c r="D732" s="52"/>
      <c r="E732" s="128"/>
      <c r="F732" s="128"/>
      <c r="G732" s="57">
        <f>H732</f>
        <v>0</v>
      </c>
      <c r="H732" s="48">
        <v>0</v>
      </c>
      <c r="I732" s="33"/>
    </row>
    <row r="733" spans="1:9" hidden="1" x14ac:dyDescent="0.25">
      <c r="B733" s="36" t="s">
        <v>29</v>
      </c>
      <c r="D733" s="144">
        <f xml:space="preserve"> D726 - D725</f>
        <v>0</v>
      </c>
      <c r="E733" s="7">
        <f xml:space="preserve"> E725 + E728 - E727 - E726</f>
        <v>0</v>
      </c>
      <c r="F733" s="7">
        <f>F727 - F728 - F729 + F730</f>
        <v>0</v>
      </c>
      <c r="G733" s="7">
        <f>G729  - G730 - G731  + G732</f>
        <v>0</v>
      </c>
      <c r="H733" s="7">
        <f>H731 - H732</f>
        <v>0</v>
      </c>
      <c r="I733" s="33"/>
    </row>
    <row r="734" spans="1:9" hidden="1" x14ac:dyDescent="0.25">
      <c r="B734" s="6"/>
      <c r="D734" s="144"/>
      <c r="E734" s="7"/>
      <c r="F734" s="7"/>
      <c r="G734" s="7"/>
      <c r="H734" s="7"/>
      <c r="I734" s="33"/>
    </row>
    <row r="735" spans="1:9" hidden="1" x14ac:dyDescent="0.25">
      <c r="B735" s="64" t="s">
        <v>24</v>
      </c>
      <c r="C735" s="62"/>
      <c r="D735" s="191"/>
      <c r="E735" s="85"/>
      <c r="F735" s="123"/>
      <c r="G735" s="123"/>
      <c r="H735" s="86"/>
      <c r="I735" s="33"/>
    </row>
    <row r="736" spans="1:9" hidden="1" x14ac:dyDescent="0.25">
      <c r="B736" s="6"/>
      <c r="D736" s="144"/>
      <c r="E736" s="7"/>
      <c r="F736" s="7"/>
      <c r="G736" s="7"/>
      <c r="H736" s="7"/>
      <c r="I736" s="33"/>
    </row>
    <row r="737" spans="1:9" ht="18.75" hidden="1" x14ac:dyDescent="0.3">
      <c r="A737" s="42" t="s">
        <v>38</v>
      </c>
      <c r="C737" s="62"/>
      <c r="D737" s="192">
        <f xml:space="preserve"> D711 + D716 - D722 + D733 + D735</f>
        <v>0</v>
      </c>
      <c r="E737" s="124">
        <f xml:space="preserve"> E711 + E716 - E722 + E733 + E735</f>
        <v>0</v>
      </c>
      <c r="F737" s="124">
        <f xml:space="preserve"> F711 + F716 - F722 + F733 + F735</f>
        <v>0</v>
      </c>
      <c r="G737" s="124"/>
      <c r="H737" s="46"/>
    </row>
    <row r="738" spans="1:9" hidden="1" x14ac:dyDescent="0.25">
      <c r="B738" s="6"/>
      <c r="D738" s="144"/>
      <c r="E738" s="7"/>
      <c r="F738" s="7"/>
      <c r="G738" s="32"/>
      <c r="H738" s="32"/>
      <c r="I738" s="25"/>
    </row>
    <row r="739" spans="1:9" hidden="1" x14ac:dyDescent="0.25">
      <c r="I739" s="24"/>
    </row>
    <row r="740" spans="1:9" hidden="1" x14ac:dyDescent="0.25">
      <c r="A740" s="8"/>
      <c r="B740" s="8"/>
      <c r="C740" s="8"/>
      <c r="D740" s="184"/>
      <c r="E740" s="8"/>
      <c r="F740" s="8"/>
      <c r="G740" s="8"/>
      <c r="H740" s="8"/>
      <c r="I740" s="24"/>
    </row>
    <row r="741" spans="1:9" hidden="1" x14ac:dyDescent="0.25">
      <c r="B741" s="33"/>
      <c r="C741" s="33"/>
      <c r="D741" s="23"/>
      <c r="E741" s="33"/>
      <c r="F741" s="33"/>
      <c r="G741" s="33"/>
      <c r="H741" s="33"/>
      <c r="I741" s="24"/>
    </row>
    <row r="742" spans="1:9" ht="21" hidden="1" x14ac:dyDescent="0.35">
      <c r="A742" s="13" t="s">
        <v>4</v>
      </c>
      <c r="B742" s="13"/>
      <c r="C742" s="43" t="str">
        <f>B23</f>
        <v>Facility 20</v>
      </c>
      <c r="D742" s="44"/>
      <c r="E742" s="23"/>
      <c r="F742" s="23"/>
      <c r="I742" s="24"/>
    </row>
    <row r="743" spans="1:9" hidden="1" x14ac:dyDescent="0.25">
      <c r="I743" s="32"/>
    </row>
    <row r="744" spans="1:9" ht="18.75" hidden="1" x14ac:dyDescent="0.3">
      <c r="A744" s="9" t="s">
        <v>33</v>
      </c>
      <c r="B744" s="9"/>
      <c r="D744" s="132">
        <f>'Facility Detail'!$B$1159</f>
        <v>2015</v>
      </c>
      <c r="E744" s="2">
        <f>D744+1</f>
        <v>2016</v>
      </c>
      <c r="F744" s="2">
        <f>E744+1</f>
        <v>2017</v>
      </c>
      <c r="G744" s="2">
        <f>F744+1</f>
        <v>2018</v>
      </c>
      <c r="H744" s="2">
        <f>G744+1</f>
        <v>2019</v>
      </c>
      <c r="I744" s="32"/>
    </row>
    <row r="745" spans="1:9" hidden="1" x14ac:dyDescent="0.25">
      <c r="B745" s="67" t="str">
        <f>"Total MWh Produced / Purchased from " &amp; C742</f>
        <v>Total MWh Produced / Purchased from Facility 20</v>
      </c>
      <c r="C745" s="62"/>
      <c r="D745" s="51"/>
      <c r="E745" s="4"/>
      <c r="F745" s="4"/>
      <c r="G745" s="4"/>
      <c r="H745" s="5"/>
      <c r="I745" s="32"/>
    </row>
    <row r="746" spans="1:9" hidden="1" x14ac:dyDescent="0.25">
      <c r="B746" s="67" t="s">
        <v>37</v>
      </c>
      <c r="C746" s="62"/>
      <c r="D746" s="185"/>
      <c r="E746" s="146"/>
      <c r="F746" s="146"/>
      <c r="G746" s="146"/>
      <c r="H746" s="147"/>
      <c r="I746" s="32"/>
    </row>
    <row r="747" spans="1:9" hidden="1" x14ac:dyDescent="0.25">
      <c r="B747" s="67" t="s">
        <v>32</v>
      </c>
      <c r="C747" s="62"/>
      <c r="D747" s="186"/>
      <c r="E747" s="49"/>
      <c r="F747" s="49"/>
      <c r="G747" s="49"/>
      <c r="H747" s="50"/>
      <c r="I747" s="33"/>
    </row>
    <row r="748" spans="1:9" hidden="1" x14ac:dyDescent="0.25">
      <c r="B748" s="64" t="s">
        <v>34</v>
      </c>
      <c r="C748" s="65"/>
      <c r="D748" s="187">
        <f xml:space="preserve"> D745 * D746 * D747</f>
        <v>0</v>
      </c>
      <c r="E748" s="145">
        <f xml:space="preserve"> E745 * E746 * E747</f>
        <v>0</v>
      </c>
      <c r="F748" s="145">
        <f xml:space="preserve"> F745 * F746 * F747</f>
        <v>0</v>
      </c>
      <c r="G748" s="145"/>
      <c r="H748" s="145"/>
      <c r="I748" s="33"/>
    </row>
    <row r="749" spans="1:9" hidden="1" x14ac:dyDescent="0.25">
      <c r="B749" s="23"/>
      <c r="C749" s="33"/>
      <c r="D749" s="24"/>
      <c r="E749" s="40"/>
      <c r="F749" s="40"/>
      <c r="G749" s="40"/>
      <c r="H749" s="40"/>
    </row>
    <row r="750" spans="1:9" ht="18.75" hidden="1" x14ac:dyDescent="0.3">
      <c r="A750" s="45" t="s">
        <v>131</v>
      </c>
      <c r="C750" s="33"/>
      <c r="D750" s="132">
        <f>'Facility Detail'!$B$1159</f>
        <v>2015</v>
      </c>
      <c r="E750" s="2">
        <f>D750+1</f>
        <v>2016</v>
      </c>
      <c r="F750" s="2">
        <f>E750+1</f>
        <v>2017</v>
      </c>
      <c r="G750" s="2">
        <f>F750+1</f>
        <v>2018</v>
      </c>
      <c r="H750" s="2">
        <f>G750+1</f>
        <v>2019</v>
      </c>
    </row>
    <row r="751" spans="1:9" hidden="1" x14ac:dyDescent="0.25">
      <c r="B751" s="67" t="s">
        <v>22</v>
      </c>
      <c r="C751" s="62"/>
      <c r="D751" s="51">
        <f>IF( $E349 = "Eligible", D748 * 'Facility Detail'!$B$1156, 0 )</f>
        <v>0</v>
      </c>
      <c r="E751" s="11">
        <f>IF( $E349 = "Eligible", E748 * 'Facility Detail'!$B$1156, 0 )</f>
        <v>0</v>
      </c>
      <c r="F751" s="121">
        <f>IF( $E349 = "Eligible", F748 * 'Facility Detail'!$B$1156, 0 )</f>
        <v>0</v>
      </c>
      <c r="G751" s="121">
        <f>IF( $E349 = "Eligible", G748 * 'Facility Detail'!$B$1156, 0 )</f>
        <v>0</v>
      </c>
      <c r="H751" s="12">
        <f>IF( $E349 = "Eligible", H748 * 'Facility Detail'!$B$1156, 0 )</f>
        <v>0</v>
      </c>
      <c r="I751" s="24"/>
    </row>
    <row r="752" spans="1:9" hidden="1" x14ac:dyDescent="0.25">
      <c r="B752" s="67" t="s">
        <v>6</v>
      </c>
      <c r="C752" s="62"/>
      <c r="D752" s="52">
        <f>IF( $F349 = "Eligible", D748, 0 )</f>
        <v>0</v>
      </c>
      <c r="E752" s="53">
        <f>IF( $F349 = "Eligible", E748, 0 )</f>
        <v>0</v>
      </c>
      <c r="F752" s="122">
        <f>IF( $F349 = "Eligible", F748, 0 )</f>
        <v>0</v>
      </c>
      <c r="G752" s="122">
        <f>IF( $F349 = "Eligible", G748, 0 )</f>
        <v>0</v>
      </c>
      <c r="H752" s="54">
        <f>IF( $F349 = "Eligible", H748, 0 )</f>
        <v>0</v>
      </c>
      <c r="I752" s="24"/>
    </row>
    <row r="753" spans="1:9" hidden="1" x14ac:dyDescent="0.25">
      <c r="B753" s="66" t="s">
        <v>133</v>
      </c>
      <c r="C753" s="65"/>
      <c r="D753" s="187">
        <f>SUM(D751:D752)</f>
        <v>0</v>
      </c>
      <c r="E753" s="41">
        <f>SUM(E751:E752)</f>
        <v>0</v>
      </c>
      <c r="F753" s="41">
        <f>SUM(F751:F752)</f>
        <v>0</v>
      </c>
      <c r="G753" s="41">
        <f>SUM(G751:G752)</f>
        <v>0</v>
      </c>
      <c r="H753" s="41">
        <f>SUM(H751:H752)</f>
        <v>0</v>
      </c>
      <c r="I753" s="24"/>
    </row>
    <row r="754" spans="1:9" hidden="1" x14ac:dyDescent="0.25">
      <c r="B754" s="33"/>
      <c r="C754" s="33"/>
      <c r="D754" s="24"/>
      <c r="E754" s="34"/>
      <c r="F754" s="34"/>
      <c r="G754" s="34"/>
      <c r="H754" s="34"/>
      <c r="I754" s="24"/>
    </row>
    <row r="755" spans="1:9" ht="18.75" hidden="1" x14ac:dyDescent="0.3">
      <c r="A755" s="42" t="s">
        <v>42</v>
      </c>
      <c r="C755" s="33"/>
      <c r="D755" s="132">
        <f>'Facility Detail'!$B$1159</f>
        <v>2015</v>
      </c>
      <c r="E755" s="2">
        <f>D755+1</f>
        <v>2016</v>
      </c>
      <c r="F755" s="2">
        <f>E755+1</f>
        <v>2017</v>
      </c>
      <c r="G755" s="2">
        <f>F755+1</f>
        <v>2018</v>
      </c>
      <c r="H755" s="2">
        <f>G755+1</f>
        <v>2019</v>
      </c>
      <c r="I755" s="24"/>
    </row>
    <row r="756" spans="1:9" hidden="1" x14ac:dyDescent="0.25">
      <c r="B756" s="67" t="s">
        <v>59</v>
      </c>
      <c r="C756" s="62"/>
      <c r="D756" s="188"/>
      <c r="E756" s="4"/>
      <c r="F756" s="4"/>
      <c r="G756" s="4"/>
      <c r="H756" s="5"/>
      <c r="I756" s="24"/>
    </row>
    <row r="757" spans="1:9" hidden="1" x14ac:dyDescent="0.25">
      <c r="B757" s="68" t="s">
        <v>35</v>
      </c>
      <c r="C757" s="69"/>
      <c r="D757" s="189"/>
      <c r="E757" s="151"/>
      <c r="F757" s="151"/>
      <c r="G757" s="151"/>
      <c r="H757" s="152"/>
      <c r="I757" s="24"/>
    </row>
    <row r="758" spans="1:9" hidden="1" x14ac:dyDescent="0.25">
      <c r="B758" s="78" t="s">
        <v>101</v>
      </c>
      <c r="C758" s="77"/>
      <c r="D758" s="190"/>
      <c r="E758" s="153"/>
      <c r="F758" s="153"/>
      <c r="G758" s="153"/>
      <c r="H758" s="154"/>
      <c r="I758" s="24"/>
    </row>
    <row r="759" spans="1:9" hidden="1" x14ac:dyDescent="0.25">
      <c r="B759" s="36" t="s">
        <v>102</v>
      </c>
      <c r="D759" s="144">
        <f>SUM(D756:D758)</f>
        <v>0</v>
      </c>
      <c r="E759" s="7">
        <f>SUM(E756:E758)</f>
        <v>0</v>
      </c>
      <c r="F759" s="7">
        <f>SUM(F756:F758)</f>
        <v>0</v>
      </c>
      <c r="G759" s="7"/>
      <c r="H759" s="7"/>
      <c r="I759" s="32"/>
    </row>
    <row r="760" spans="1:9" hidden="1" x14ac:dyDescent="0.25">
      <c r="B760" s="6"/>
      <c r="D760" s="144"/>
      <c r="E760" s="7"/>
      <c r="F760" s="7"/>
      <c r="G760" s="7"/>
      <c r="H760" s="7"/>
      <c r="I760" s="32"/>
    </row>
    <row r="761" spans="1:9" ht="18.75" hidden="1" x14ac:dyDescent="0.3">
      <c r="A761" s="9" t="s">
        <v>112</v>
      </c>
      <c r="D761" s="132">
        <f>'Facility Detail'!$B$1159</f>
        <v>2015</v>
      </c>
      <c r="E761" s="2">
        <f>D761+1</f>
        <v>2016</v>
      </c>
      <c r="F761" s="2">
        <f>E761+1</f>
        <v>2017</v>
      </c>
      <c r="G761" s="2">
        <f>F761+1</f>
        <v>2018</v>
      </c>
      <c r="H761" s="2">
        <f>G761+1</f>
        <v>2019</v>
      </c>
      <c r="I761" s="32"/>
    </row>
    <row r="762" spans="1:9" hidden="1" x14ac:dyDescent="0.25">
      <c r="B762" s="67" t="str">
        <f xml:space="preserve"> 'Facility Detail'!$B$1159 &amp; " Surplus Applied to " &amp; ( 'Facility Detail'!$B$1159 + 1 )</f>
        <v>2015 Surplus Applied to 2016</v>
      </c>
      <c r="C762" s="62"/>
      <c r="D762" s="51">
        <f>D748+D753-D759</f>
        <v>0</v>
      </c>
      <c r="E762" s="55">
        <f>D762</f>
        <v>0</v>
      </c>
      <c r="F762" s="129"/>
      <c r="G762" s="129"/>
      <c r="H762" s="130"/>
      <c r="I762" s="32"/>
    </row>
    <row r="763" spans="1:9" hidden="1" x14ac:dyDescent="0.25">
      <c r="B763" s="67" t="str">
        <f xml:space="preserve"> ( 'Facility Detail'!$B$1159 + 1 ) &amp; " Surplus Applied to " &amp; ( 'Facility Detail'!$B$1159 )</f>
        <v>2016 Surplus Applied to 2015</v>
      </c>
      <c r="C763" s="62"/>
      <c r="D763" s="148">
        <f>E763</f>
        <v>0</v>
      </c>
      <c r="E763" s="10">
        <v>0</v>
      </c>
      <c r="F763" s="125"/>
      <c r="G763" s="125"/>
      <c r="H763" s="131"/>
      <c r="I763" s="32"/>
    </row>
    <row r="764" spans="1:9" hidden="1" x14ac:dyDescent="0.25">
      <c r="B764" s="67" t="str">
        <f xml:space="preserve"> ( 'Facility Detail'!$B$1159 + 1 ) &amp; " Surplus Applied to " &amp; ( 'Facility Detail'!$B$1159 + 2 )</f>
        <v>2016 Surplus Applied to 2017</v>
      </c>
      <c r="C764" s="62"/>
      <c r="D764" s="148"/>
      <c r="E764" s="10">
        <f>E748+E753-E759</f>
        <v>0</v>
      </c>
      <c r="F764" s="61">
        <f>+E764</f>
        <v>0</v>
      </c>
      <c r="G764" s="125"/>
      <c r="H764" s="131"/>
      <c r="I764" s="32"/>
    </row>
    <row r="765" spans="1:9" hidden="1" x14ac:dyDescent="0.25">
      <c r="B765" s="67" t="str">
        <f xml:space="preserve"> ( 'Facility Detail'!$B$1159 + 2 ) &amp; " Surplus Applied to " &amp; ( 'Facility Detail'!$B$1159 + 1 )</f>
        <v>2017 Surplus Applied to 2016</v>
      </c>
      <c r="C765" s="62"/>
      <c r="D765" s="148"/>
      <c r="E765" s="61">
        <f>F765</f>
        <v>0</v>
      </c>
      <c r="F765" s="10">
        <v>0</v>
      </c>
      <c r="G765" s="125"/>
      <c r="H765" s="131"/>
      <c r="I765" s="32"/>
    </row>
    <row r="766" spans="1:9" hidden="1" x14ac:dyDescent="0.25">
      <c r="B766" s="67"/>
      <c r="C766" s="33"/>
      <c r="D766" s="148"/>
      <c r="E766" s="125"/>
      <c r="F766" s="10">
        <f>F748+F753-F759</f>
        <v>0</v>
      </c>
      <c r="G766" s="61">
        <f>+F766</f>
        <v>0</v>
      </c>
      <c r="H766" s="131"/>
      <c r="I766" s="32"/>
    </row>
    <row r="767" spans="1:9" hidden="1" x14ac:dyDescent="0.25">
      <c r="B767" s="67"/>
      <c r="C767" s="33"/>
      <c r="D767" s="148"/>
      <c r="E767" s="125"/>
      <c r="F767" s="61">
        <f>G767</f>
        <v>0</v>
      </c>
      <c r="G767" s="10">
        <v>0</v>
      </c>
      <c r="H767" s="131"/>
      <c r="I767" s="32"/>
    </row>
    <row r="768" spans="1:9" hidden="1" x14ac:dyDescent="0.25">
      <c r="B768" s="67"/>
      <c r="C768" s="33"/>
      <c r="D768" s="148"/>
      <c r="E768" s="125"/>
      <c r="F768" s="125"/>
      <c r="G768" s="10">
        <f>G748+G753-G759</f>
        <v>0</v>
      </c>
      <c r="H768" s="56">
        <f>+G768</f>
        <v>0</v>
      </c>
      <c r="I768" s="32"/>
    </row>
    <row r="769" spans="1:9" hidden="1" x14ac:dyDescent="0.25">
      <c r="B769" s="67"/>
      <c r="C769" s="33"/>
      <c r="D769" s="52"/>
      <c r="E769" s="128"/>
      <c r="F769" s="128"/>
      <c r="G769" s="57">
        <f>H769</f>
        <v>0</v>
      </c>
      <c r="H769" s="48">
        <v>0</v>
      </c>
      <c r="I769" s="32"/>
    </row>
    <row r="770" spans="1:9" hidden="1" x14ac:dyDescent="0.25">
      <c r="B770" s="36" t="s">
        <v>29</v>
      </c>
      <c r="D770" s="144">
        <f xml:space="preserve"> D763 - D762</f>
        <v>0</v>
      </c>
      <c r="E770" s="7">
        <f xml:space="preserve"> E762 + E765 - E764 - E763</f>
        <v>0</v>
      </c>
      <c r="F770" s="7">
        <f>F764 - F765 - F766 + F767</f>
        <v>0</v>
      </c>
      <c r="G770" s="7">
        <f>G766  - G767 - G768  + G769</f>
        <v>0</v>
      </c>
      <c r="H770" s="7">
        <f>H768 - H769</f>
        <v>0</v>
      </c>
      <c r="I770" s="32"/>
    </row>
    <row r="771" spans="1:9" hidden="1" x14ac:dyDescent="0.25">
      <c r="B771" s="6"/>
      <c r="D771" s="144"/>
      <c r="E771" s="7"/>
      <c r="F771" s="7"/>
      <c r="G771" s="7"/>
      <c r="H771" s="7"/>
      <c r="I771" s="32"/>
    </row>
    <row r="772" spans="1:9" hidden="1" x14ac:dyDescent="0.25">
      <c r="B772" s="64" t="s">
        <v>24</v>
      </c>
      <c r="C772" s="62"/>
      <c r="D772" s="191"/>
      <c r="E772" s="85"/>
      <c r="F772" s="123"/>
      <c r="G772" s="123"/>
      <c r="H772" s="86"/>
      <c r="I772" s="32"/>
    </row>
    <row r="773" spans="1:9" hidden="1" x14ac:dyDescent="0.25">
      <c r="B773" s="6"/>
      <c r="D773" s="144"/>
      <c r="E773" s="7"/>
      <c r="F773" s="7"/>
      <c r="G773" s="7"/>
      <c r="H773" s="7"/>
      <c r="I773" s="32"/>
    </row>
    <row r="774" spans="1:9" ht="18.75" hidden="1" x14ac:dyDescent="0.3">
      <c r="A774" s="42" t="s">
        <v>38</v>
      </c>
      <c r="C774" s="62"/>
      <c r="D774" s="192">
        <f xml:space="preserve"> D748 + D753 - D759 + D770 + D772</f>
        <v>0</v>
      </c>
      <c r="E774" s="124">
        <f xml:space="preserve"> E748 + E753 - E759 + E770 + E772</f>
        <v>0</v>
      </c>
      <c r="F774" s="124">
        <f xml:space="preserve"> F748 + F753 - F759 + F770 + F772</f>
        <v>0</v>
      </c>
      <c r="G774" s="124"/>
      <c r="H774" s="46"/>
      <c r="I774" s="33"/>
    </row>
    <row r="775" spans="1:9" hidden="1" x14ac:dyDescent="0.25">
      <c r="B775" s="6"/>
      <c r="D775" s="144"/>
      <c r="E775" s="7"/>
      <c r="F775" s="7"/>
      <c r="G775" s="32"/>
      <c r="H775" s="32"/>
      <c r="I775" s="33"/>
    </row>
    <row r="776" spans="1:9" hidden="1" x14ac:dyDescent="0.25">
      <c r="I776" s="25"/>
    </row>
    <row r="777" spans="1:9" hidden="1" x14ac:dyDescent="0.25">
      <c r="A777" s="8"/>
      <c r="B777" s="8"/>
      <c r="C777" s="8"/>
      <c r="D777" s="184"/>
      <c r="E777" s="8"/>
      <c r="F777" s="8"/>
      <c r="G777" s="8"/>
      <c r="H777" s="8"/>
      <c r="I777" s="24"/>
    </row>
    <row r="778" spans="1:9" hidden="1" x14ac:dyDescent="0.25">
      <c r="B778" s="33"/>
      <c r="C778" s="33"/>
      <c r="D778" s="23"/>
      <c r="E778" s="33"/>
      <c r="F778" s="33"/>
      <c r="G778" s="33"/>
      <c r="H778" s="33"/>
      <c r="I778" s="24"/>
    </row>
    <row r="779" spans="1:9" ht="21" hidden="1" x14ac:dyDescent="0.35">
      <c r="A779" s="13" t="s">
        <v>4</v>
      </c>
      <c r="B779" s="13"/>
      <c r="C779" s="43" t="str">
        <f>B24</f>
        <v>Facility 21</v>
      </c>
      <c r="D779" s="44"/>
      <c r="E779" s="23"/>
      <c r="F779" s="23"/>
      <c r="I779" s="24"/>
    </row>
    <row r="780" spans="1:9" hidden="1" x14ac:dyDescent="0.25">
      <c r="I780" s="24"/>
    </row>
    <row r="781" spans="1:9" ht="18.75" hidden="1" x14ac:dyDescent="0.3">
      <c r="A781" s="9" t="s">
        <v>33</v>
      </c>
      <c r="B781" s="9"/>
      <c r="D781" s="132">
        <f>'Facility Detail'!$B$1159</f>
        <v>2015</v>
      </c>
      <c r="E781" s="2">
        <f>D781+1</f>
        <v>2016</v>
      </c>
      <c r="F781" s="2">
        <f>E781+1</f>
        <v>2017</v>
      </c>
      <c r="G781" s="2">
        <f>F781+1</f>
        <v>2018</v>
      </c>
      <c r="H781" s="2">
        <f>G781+1</f>
        <v>2019</v>
      </c>
      <c r="I781" s="24"/>
    </row>
    <row r="782" spans="1:9" hidden="1" x14ac:dyDescent="0.25">
      <c r="B782" s="67" t="str">
        <f>"Total MWh Produced / Purchased from " &amp; C779</f>
        <v>Total MWh Produced / Purchased from Facility 21</v>
      </c>
      <c r="C782" s="62"/>
      <c r="D782" s="51"/>
      <c r="E782" s="4"/>
      <c r="F782" s="4"/>
      <c r="G782" s="4"/>
      <c r="H782" s="5"/>
      <c r="I782" s="24"/>
    </row>
    <row r="783" spans="1:9" hidden="1" x14ac:dyDescent="0.25">
      <c r="B783" s="67" t="s">
        <v>37</v>
      </c>
      <c r="C783" s="62"/>
      <c r="D783" s="185"/>
      <c r="E783" s="146"/>
      <c r="F783" s="146"/>
      <c r="G783" s="146"/>
      <c r="H783" s="147"/>
      <c r="I783" s="24"/>
    </row>
    <row r="784" spans="1:9" hidden="1" x14ac:dyDescent="0.25">
      <c r="B784" s="67" t="s">
        <v>32</v>
      </c>
      <c r="C784" s="62"/>
      <c r="D784" s="186"/>
      <c r="E784" s="49"/>
      <c r="F784" s="49"/>
      <c r="G784" s="49"/>
      <c r="H784" s="50"/>
      <c r="I784" s="32"/>
    </row>
    <row r="785" spans="1:9" hidden="1" x14ac:dyDescent="0.25">
      <c r="B785" s="64" t="s">
        <v>34</v>
      </c>
      <c r="C785" s="65"/>
      <c r="D785" s="187">
        <f xml:space="preserve"> D782 * D783 * D784</f>
        <v>0</v>
      </c>
      <c r="E785" s="145">
        <f xml:space="preserve"> E782 * E783 * E784</f>
        <v>0</v>
      </c>
      <c r="F785" s="145">
        <f xml:space="preserve"> F782 * F783 * F784</f>
        <v>0</v>
      </c>
      <c r="G785" s="145"/>
      <c r="H785" s="145"/>
      <c r="I785" s="32"/>
    </row>
    <row r="786" spans="1:9" hidden="1" x14ac:dyDescent="0.25">
      <c r="B786" s="23"/>
      <c r="C786" s="33"/>
      <c r="D786" s="24"/>
      <c r="E786" s="40"/>
      <c r="F786" s="40"/>
      <c r="G786" s="40"/>
      <c r="H786" s="40"/>
      <c r="I786" s="32"/>
    </row>
    <row r="787" spans="1:9" ht="18.75" hidden="1" x14ac:dyDescent="0.3">
      <c r="A787" s="45" t="s">
        <v>131</v>
      </c>
      <c r="C787" s="33"/>
      <c r="D787" s="132">
        <f>'Facility Detail'!$B$1159</f>
        <v>2015</v>
      </c>
      <c r="E787" s="2">
        <f>D787+1</f>
        <v>2016</v>
      </c>
      <c r="F787" s="2">
        <f>E787+1</f>
        <v>2017</v>
      </c>
      <c r="G787" s="2">
        <f>F787+1</f>
        <v>2018</v>
      </c>
      <c r="H787" s="2">
        <f>G787+1</f>
        <v>2019</v>
      </c>
      <c r="I787" s="33"/>
    </row>
    <row r="788" spans="1:9" hidden="1" x14ac:dyDescent="0.25">
      <c r="B788" s="67" t="s">
        <v>22</v>
      </c>
      <c r="C788" s="62"/>
      <c r="D788" s="51">
        <f>IF( $E386 = "Eligible", D785 * 'Facility Detail'!$B$1156, 0 )</f>
        <v>0</v>
      </c>
      <c r="E788" s="11">
        <f>IF( $E386 = "Eligible", E785 * 'Facility Detail'!$B$1156, 0 )</f>
        <v>0</v>
      </c>
      <c r="F788" s="121">
        <f>IF( $E386 = "Eligible", F785 * 'Facility Detail'!$B$1156, 0 )</f>
        <v>0</v>
      </c>
      <c r="G788" s="121">
        <f>IF( $E386 = "Eligible", G785 * 'Facility Detail'!$B$1156, 0 )</f>
        <v>0</v>
      </c>
      <c r="H788" s="12">
        <f>IF( $E386 = "Eligible", H785 * 'Facility Detail'!$B$1156, 0 )</f>
        <v>0</v>
      </c>
    </row>
    <row r="789" spans="1:9" hidden="1" x14ac:dyDescent="0.25">
      <c r="B789" s="67" t="s">
        <v>6</v>
      </c>
      <c r="C789" s="62"/>
      <c r="D789" s="52">
        <f>IF( $F386 = "Eligible", D785, 0 )</f>
        <v>0</v>
      </c>
      <c r="E789" s="53">
        <f>IF( $F386 = "Eligible", E785, 0 )</f>
        <v>0</v>
      </c>
      <c r="F789" s="122">
        <f>IF( $F386 = "Eligible", F785, 0 )</f>
        <v>0</v>
      </c>
      <c r="G789" s="122">
        <f>IF( $F386 = "Eligible", G785, 0 )</f>
        <v>0</v>
      </c>
      <c r="H789" s="54">
        <f>IF( $F386 = "Eligible", H785, 0 )</f>
        <v>0</v>
      </c>
    </row>
    <row r="790" spans="1:9" hidden="1" x14ac:dyDescent="0.25">
      <c r="B790" s="66" t="s">
        <v>133</v>
      </c>
      <c r="C790" s="65"/>
      <c r="D790" s="187">
        <f>SUM(D788:D789)</f>
        <v>0</v>
      </c>
      <c r="E790" s="41">
        <f>SUM(E788:E789)</f>
        <v>0</v>
      </c>
      <c r="F790" s="41">
        <f>SUM(F788:F789)</f>
        <v>0</v>
      </c>
      <c r="G790" s="41">
        <f>SUM(G788:G789)</f>
        <v>0</v>
      </c>
      <c r="H790" s="41">
        <f>SUM(H788:H789)</f>
        <v>0</v>
      </c>
      <c r="I790" s="25"/>
    </row>
    <row r="791" spans="1:9" hidden="1" x14ac:dyDescent="0.25">
      <c r="B791" s="33"/>
      <c r="C791" s="33"/>
      <c r="D791" s="24"/>
      <c r="E791" s="34"/>
      <c r="F791" s="34"/>
      <c r="G791" s="34"/>
      <c r="H791" s="34"/>
      <c r="I791" s="24"/>
    </row>
    <row r="792" spans="1:9" ht="18.75" hidden="1" x14ac:dyDescent="0.3">
      <c r="A792" s="42" t="s">
        <v>42</v>
      </c>
      <c r="C792" s="33"/>
      <c r="D792" s="132">
        <f>'Facility Detail'!$B$1159</f>
        <v>2015</v>
      </c>
      <c r="E792" s="2">
        <f>D792+1</f>
        <v>2016</v>
      </c>
      <c r="F792" s="2">
        <f>E792+1</f>
        <v>2017</v>
      </c>
      <c r="G792" s="2">
        <f>F792+1</f>
        <v>2018</v>
      </c>
      <c r="H792" s="2">
        <f>G792+1</f>
        <v>2019</v>
      </c>
      <c r="I792" s="24"/>
    </row>
    <row r="793" spans="1:9" hidden="1" x14ac:dyDescent="0.25">
      <c r="B793" s="67" t="s">
        <v>59</v>
      </c>
      <c r="C793" s="62"/>
      <c r="D793" s="188"/>
      <c r="E793" s="4"/>
      <c r="F793" s="4"/>
      <c r="G793" s="4"/>
      <c r="H793" s="5"/>
      <c r="I793" s="24"/>
    </row>
    <row r="794" spans="1:9" hidden="1" x14ac:dyDescent="0.25">
      <c r="B794" s="68" t="s">
        <v>35</v>
      </c>
      <c r="C794" s="69"/>
      <c r="D794" s="189"/>
      <c r="E794" s="151"/>
      <c r="F794" s="151"/>
      <c r="G794" s="151"/>
      <c r="H794" s="152"/>
      <c r="I794" s="24"/>
    </row>
    <row r="795" spans="1:9" hidden="1" x14ac:dyDescent="0.25">
      <c r="B795" s="78" t="s">
        <v>101</v>
      </c>
      <c r="C795" s="77"/>
      <c r="D795" s="190"/>
      <c r="E795" s="153"/>
      <c r="F795" s="153"/>
      <c r="G795" s="153"/>
      <c r="H795" s="154"/>
      <c r="I795" s="24"/>
    </row>
    <row r="796" spans="1:9" hidden="1" x14ac:dyDescent="0.25">
      <c r="B796" s="36" t="s">
        <v>102</v>
      </c>
      <c r="D796" s="144">
        <f>SUM(D793:D795)</f>
        <v>0</v>
      </c>
      <c r="E796" s="7">
        <f>SUM(E793:E795)</f>
        <v>0</v>
      </c>
      <c r="F796" s="7">
        <f>SUM(F793:F795)</f>
        <v>0</v>
      </c>
      <c r="G796" s="7"/>
      <c r="H796" s="7"/>
      <c r="I796" s="24"/>
    </row>
    <row r="797" spans="1:9" hidden="1" x14ac:dyDescent="0.25">
      <c r="B797" s="6"/>
      <c r="D797" s="144"/>
      <c r="E797" s="7"/>
      <c r="F797" s="7"/>
      <c r="G797" s="7"/>
      <c r="H797" s="7"/>
      <c r="I797" s="24"/>
    </row>
    <row r="798" spans="1:9" ht="18.75" hidden="1" x14ac:dyDescent="0.3">
      <c r="A798" s="9" t="s">
        <v>112</v>
      </c>
      <c r="D798" s="132">
        <f>'Facility Detail'!$B$1159</f>
        <v>2015</v>
      </c>
      <c r="E798" s="2">
        <f>D798+1</f>
        <v>2016</v>
      </c>
      <c r="F798" s="2">
        <f>E798+1</f>
        <v>2017</v>
      </c>
      <c r="G798" s="2">
        <f>F798+1</f>
        <v>2018</v>
      </c>
      <c r="H798" s="2">
        <f>G798+1</f>
        <v>2019</v>
      </c>
      <c r="I798" s="24"/>
    </row>
    <row r="799" spans="1:9" hidden="1" x14ac:dyDescent="0.25">
      <c r="B799" s="67" t="str">
        <f xml:space="preserve"> 'Facility Detail'!$B$1159 &amp; " Surplus Applied to " &amp; ( 'Facility Detail'!$B$1159 + 1 )</f>
        <v>2015 Surplus Applied to 2016</v>
      </c>
      <c r="C799" s="62"/>
      <c r="D799" s="51">
        <f>D785+D790-D796</f>
        <v>0</v>
      </c>
      <c r="E799" s="55">
        <f>D799</f>
        <v>0</v>
      </c>
      <c r="F799" s="129"/>
      <c r="G799" s="129"/>
      <c r="H799" s="130"/>
      <c r="I799" s="24"/>
    </row>
    <row r="800" spans="1:9" hidden="1" x14ac:dyDescent="0.25">
      <c r="B800" s="67" t="str">
        <f xml:space="preserve"> ( 'Facility Detail'!$B$1159 + 1 ) &amp; " Surplus Applied to " &amp; ( 'Facility Detail'!$B$1159 )</f>
        <v>2016 Surplus Applied to 2015</v>
      </c>
      <c r="C800" s="62"/>
      <c r="D800" s="148">
        <f>E800</f>
        <v>0</v>
      </c>
      <c r="E800" s="10">
        <v>0</v>
      </c>
      <c r="F800" s="125"/>
      <c r="G800" s="125"/>
      <c r="H800" s="131"/>
      <c r="I800" s="24"/>
    </row>
    <row r="801" spans="1:9" hidden="1" x14ac:dyDescent="0.25">
      <c r="B801" s="67" t="str">
        <f xml:space="preserve"> ( 'Facility Detail'!$B$1159 + 1 ) &amp; " Surplus Applied to " &amp; ( 'Facility Detail'!$B$1159 + 2 )</f>
        <v>2016 Surplus Applied to 2017</v>
      </c>
      <c r="C801" s="62"/>
      <c r="D801" s="148"/>
      <c r="E801" s="10">
        <f>E785+E790-E796</f>
        <v>0</v>
      </c>
      <c r="F801" s="61">
        <f>+E801</f>
        <v>0</v>
      </c>
      <c r="G801" s="125"/>
      <c r="H801" s="131"/>
      <c r="I801" s="24"/>
    </row>
    <row r="802" spans="1:9" hidden="1" x14ac:dyDescent="0.25">
      <c r="B802" s="67" t="str">
        <f xml:space="preserve"> ( 'Facility Detail'!$B$1159 + 2 ) &amp; " Surplus Applied to " &amp; ( 'Facility Detail'!$B$1159 + 1 )</f>
        <v>2017 Surplus Applied to 2016</v>
      </c>
      <c r="C802" s="62"/>
      <c r="D802" s="148"/>
      <c r="E802" s="61">
        <f>F802</f>
        <v>0</v>
      </c>
      <c r="F802" s="10">
        <v>0</v>
      </c>
      <c r="G802" s="125"/>
      <c r="H802" s="131"/>
      <c r="I802" s="24"/>
    </row>
    <row r="803" spans="1:9" hidden="1" x14ac:dyDescent="0.25">
      <c r="B803" s="67"/>
      <c r="C803" s="33"/>
      <c r="D803" s="148"/>
      <c r="E803" s="125"/>
      <c r="F803" s="10">
        <f>F785+F790-F796</f>
        <v>0</v>
      </c>
      <c r="G803" s="61">
        <f>+F803</f>
        <v>0</v>
      </c>
      <c r="H803" s="131"/>
      <c r="I803" s="24"/>
    </row>
    <row r="804" spans="1:9" hidden="1" x14ac:dyDescent="0.25">
      <c r="B804" s="67"/>
      <c r="C804" s="33"/>
      <c r="D804" s="148"/>
      <c r="E804" s="125"/>
      <c r="F804" s="61">
        <f>G804</f>
        <v>0</v>
      </c>
      <c r="G804" s="10">
        <v>0</v>
      </c>
      <c r="H804" s="131"/>
      <c r="I804" s="24"/>
    </row>
    <row r="805" spans="1:9" hidden="1" x14ac:dyDescent="0.25">
      <c r="B805" s="67"/>
      <c r="C805" s="33"/>
      <c r="D805" s="148"/>
      <c r="E805" s="125"/>
      <c r="F805" s="125"/>
      <c r="G805" s="10">
        <f>G785+G790-G796</f>
        <v>0</v>
      </c>
      <c r="H805" s="56">
        <f>+G805</f>
        <v>0</v>
      </c>
      <c r="I805" s="24"/>
    </row>
    <row r="806" spans="1:9" hidden="1" x14ac:dyDescent="0.25">
      <c r="B806" s="67"/>
      <c r="C806" s="33"/>
      <c r="D806" s="52"/>
      <c r="E806" s="128"/>
      <c r="F806" s="128"/>
      <c r="G806" s="57">
        <f>H806</f>
        <v>0</v>
      </c>
      <c r="H806" s="48">
        <v>0</v>
      </c>
      <c r="I806" s="24"/>
    </row>
    <row r="807" spans="1:9" hidden="1" x14ac:dyDescent="0.25">
      <c r="B807" s="36" t="s">
        <v>29</v>
      </c>
      <c r="D807" s="144">
        <f xml:space="preserve"> D800 - D799</f>
        <v>0</v>
      </c>
      <c r="E807" s="7">
        <f xml:space="preserve"> E799 + E802 - E801 - E800</f>
        <v>0</v>
      </c>
      <c r="F807" s="7">
        <f>F801 - F802 - F803 + F804</f>
        <v>0</v>
      </c>
      <c r="G807" s="7">
        <f>G803  - G804 - G805  + G806</f>
        <v>0</v>
      </c>
      <c r="H807" s="7">
        <f>H805 - H806</f>
        <v>0</v>
      </c>
      <c r="I807" s="24"/>
    </row>
    <row r="808" spans="1:9" hidden="1" x14ac:dyDescent="0.25">
      <c r="B808" s="6"/>
      <c r="D808" s="144"/>
      <c r="E808" s="7"/>
      <c r="F808" s="7"/>
      <c r="G808" s="7"/>
      <c r="H808" s="7"/>
      <c r="I808" s="24"/>
    </row>
    <row r="809" spans="1:9" hidden="1" x14ac:dyDescent="0.25">
      <c r="B809" s="64" t="s">
        <v>24</v>
      </c>
      <c r="C809" s="62"/>
      <c r="D809" s="191"/>
      <c r="E809" s="85"/>
      <c r="F809" s="123"/>
      <c r="G809" s="123"/>
      <c r="H809" s="86"/>
      <c r="I809" s="24"/>
    </row>
    <row r="810" spans="1:9" hidden="1" x14ac:dyDescent="0.25">
      <c r="B810" s="6"/>
      <c r="D810" s="144"/>
      <c r="E810" s="7"/>
      <c r="F810" s="7"/>
      <c r="G810" s="7"/>
      <c r="H810" s="7"/>
      <c r="I810" s="24"/>
    </row>
    <row r="811" spans="1:9" ht="18.75" hidden="1" x14ac:dyDescent="0.3">
      <c r="A811" s="42" t="s">
        <v>38</v>
      </c>
      <c r="C811" s="62"/>
      <c r="D811" s="192">
        <f xml:space="preserve"> D785 + D790 - D796 + D807 + D809</f>
        <v>0</v>
      </c>
      <c r="E811" s="124">
        <f xml:space="preserve"> E785 + E790 - E796 + E807 + E809</f>
        <v>0</v>
      </c>
      <c r="F811" s="124">
        <f xml:space="preserve"> F785 + F790 - F796 + F807 + F809</f>
        <v>0</v>
      </c>
      <c r="G811" s="124"/>
      <c r="H811" s="46"/>
      <c r="I811" s="32"/>
    </row>
    <row r="812" spans="1:9" hidden="1" x14ac:dyDescent="0.25">
      <c r="B812" s="6"/>
      <c r="D812" s="144"/>
      <c r="E812" s="7"/>
      <c r="F812" s="7"/>
      <c r="G812" s="32"/>
      <c r="H812" s="32"/>
      <c r="I812" s="32"/>
    </row>
    <row r="813" spans="1:9" hidden="1" x14ac:dyDescent="0.25">
      <c r="I813" s="33"/>
    </row>
    <row r="814" spans="1:9" hidden="1" x14ac:dyDescent="0.25">
      <c r="A814" s="8"/>
      <c r="B814" s="8"/>
      <c r="C814" s="8"/>
      <c r="D814" s="184"/>
      <c r="E814" s="8"/>
      <c r="F814" s="8"/>
      <c r="G814" s="8"/>
      <c r="H814" s="8"/>
    </row>
    <row r="815" spans="1:9" hidden="1" x14ac:dyDescent="0.25">
      <c r="B815" s="33"/>
      <c r="C815" s="33"/>
      <c r="D815" s="23"/>
      <c r="E815" s="33"/>
      <c r="F815" s="33"/>
      <c r="G815" s="33"/>
      <c r="H815" s="33"/>
    </row>
    <row r="816" spans="1:9" ht="21" hidden="1" x14ac:dyDescent="0.35">
      <c r="A816" s="13" t="s">
        <v>4</v>
      </c>
      <c r="B816" s="13"/>
      <c r="C816" s="43" t="str">
        <f>B25</f>
        <v>Facility 22</v>
      </c>
      <c r="D816" s="44"/>
      <c r="E816" s="23"/>
      <c r="F816" s="23"/>
      <c r="I816" s="25"/>
    </row>
    <row r="817" spans="1:9" hidden="1" x14ac:dyDescent="0.25">
      <c r="I817" s="24"/>
    </row>
    <row r="818" spans="1:9" ht="18.75" hidden="1" x14ac:dyDescent="0.3">
      <c r="A818" s="9" t="s">
        <v>33</v>
      </c>
      <c r="B818" s="9"/>
      <c r="D818" s="132">
        <f>'Facility Detail'!$B$1159</f>
        <v>2015</v>
      </c>
      <c r="E818" s="2">
        <f>D818+1</f>
        <v>2016</v>
      </c>
      <c r="F818" s="2">
        <f>E818+1</f>
        <v>2017</v>
      </c>
      <c r="G818" s="2">
        <f>F818+1</f>
        <v>2018</v>
      </c>
      <c r="H818" s="2">
        <f>G818+1</f>
        <v>2019</v>
      </c>
      <c r="I818" s="24"/>
    </row>
    <row r="819" spans="1:9" hidden="1" x14ac:dyDescent="0.25">
      <c r="B819" s="67" t="str">
        <f>"Total MWh Produced / Purchased from " &amp; C816</f>
        <v>Total MWh Produced / Purchased from Facility 22</v>
      </c>
      <c r="C819" s="62"/>
      <c r="D819" s="51"/>
      <c r="E819" s="4"/>
      <c r="F819" s="4"/>
      <c r="G819" s="4"/>
      <c r="H819" s="5"/>
      <c r="I819" s="24"/>
    </row>
    <row r="820" spans="1:9" hidden="1" x14ac:dyDescent="0.25">
      <c r="B820" s="67" t="s">
        <v>37</v>
      </c>
      <c r="C820" s="62"/>
      <c r="D820" s="185"/>
      <c r="E820" s="146"/>
      <c r="F820" s="146"/>
      <c r="G820" s="146"/>
      <c r="H820" s="147"/>
      <c r="I820" s="24"/>
    </row>
    <row r="821" spans="1:9" hidden="1" x14ac:dyDescent="0.25">
      <c r="B821" s="67" t="s">
        <v>32</v>
      </c>
      <c r="C821" s="62"/>
      <c r="D821" s="186"/>
      <c r="E821" s="49"/>
      <c r="F821" s="49"/>
      <c r="G821" s="49"/>
      <c r="H821" s="50"/>
      <c r="I821" s="24"/>
    </row>
    <row r="822" spans="1:9" hidden="1" x14ac:dyDescent="0.25">
      <c r="B822" s="64" t="s">
        <v>34</v>
      </c>
      <c r="C822" s="65"/>
      <c r="D822" s="187">
        <f xml:space="preserve"> D819 * D820 * D821</f>
        <v>0</v>
      </c>
      <c r="E822" s="145">
        <f xml:space="preserve"> E819 * E820 * E821</f>
        <v>0</v>
      </c>
      <c r="F822" s="145">
        <f xml:space="preserve"> F819 * F820 * F821</f>
        <v>0</v>
      </c>
      <c r="G822" s="145"/>
      <c r="H822" s="145"/>
      <c r="I822" s="24"/>
    </row>
    <row r="823" spans="1:9" hidden="1" x14ac:dyDescent="0.25">
      <c r="B823" s="23"/>
      <c r="C823" s="33"/>
      <c r="D823" s="24"/>
      <c r="E823" s="40"/>
      <c r="F823" s="40"/>
      <c r="G823" s="40"/>
      <c r="H823" s="40"/>
      <c r="I823" s="24"/>
    </row>
    <row r="824" spans="1:9" ht="18.75" hidden="1" x14ac:dyDescent="0.3">
      <c r="A824" s="45" t="s">
        <v>131</v>
      </c>
      <c r="C824" s="33"/>
      <c r="D824" s="132">
        <f>'Facility Detail'!$B$1159</f>
        <v>2015</v>
      </c>
      <c r="E824" s="2">
        <f>D824+1</f>
        <v>2016</v>
      </c>
      <c r="F824" s="2">
        <f>E824+1</f>
        <v>2017</v>
      </c>
      <c r="G824" s="2">
        <f>F824+1</f>
        <v>2018</v>
      </c>
      <c r="H824" s="2">
        <f>G824+1</f>
        <v>2019</v>
      </c>
      <c r="I824" s="32"/>
    </row>
    <row r="825" spans="1:9" hidden="1" x14ac:dyDescent="0.25">
      <c r="B825" s="67" t="s">
        <v>22</v>
      </c>
      <c r="C825" s="62"/>
      <c r="D825" s="51">
        <f>IF( $E423 = "Eligible", D822 * 'Facility Detail'!$B$1156, 0 )</f>
        <v>0</v>
      </c>
      <c r="E825" s="11">
        <f>IF( $E423 = "Eligible", E822 * 'Facility Detail'!$B$1156, 0 )</f>
        <v>0</v>
      </c>
      <c r="F825" s="121">
        <f>IF( $E423 = "Eligible", F822 * 'Facility Detail'!$B$1156, 0 )</f>
        <v>0</v>
      </c>
      <c r="G825" s="121">
        <f>IF( $E423 = "Eligible", G822 * 'Facility Detail'!$B$1156, 0 )</f>
        <v>0</v>
      </c>
      <c r="H825" s="12">
        <f>IF( $E423 = "Eligible", H822 * 'Facility Detail'!$B$1156, 0 )</f>
        <v>0</v>
      </c>
    </row>
    <row r="826" spans="1:9" hidden="1" x14ac:dyDescent="0.25">
      <c r="B826" s="67" t="s">
        <v>6</v>
      </c>
      <c r="C826" s="62"/>
      <c r="D826" s="52">
        <f>IF( $F423 = "Eligible", D822, 0 )</f>
        <v>0</v>
      </c>
      <c r="E826" s="53">
        <f>IF( $F423 = "Eligible", E822, 0 )</f>
        <v>0</v>
      </c>
      <c r="F826" s="122">
        <f>IF( $F423 = "Eligible", F822, 0 )</f>
        <v>0</v>
      </c>
      <c r="G826" s="122">
        <f>IF( $F423 = "Eligible", G822, 0 )</f>
        <v>0</v>
      </c>
      <c r="H826" s="54">
        <f>IF( $F423 = "Eligible", H822, 0 )</f>
        <v>0</v>
      </c>
    </row>
    <row r="827" spans="1:9" hidden="1" x14ac:dyDescent="0.25">
      <c r="B827" s="66" t="s">
        <v>133</v>
      </c>
      <c r="C827" s="65"/>
      <c r="D827" s="187">
        <f>SUM(D825:D826)</f>
        <v>0</v>
      </c>
      <c r="E827" s="41">
        <f>SUM(E825:E826)</f>
        <v>0</v>
      </c>
      <c r="F827" s="41">
        <f>SUM(F825:F826)</f>
        <v>0</v>
      </c>
      <c r="G827" s="41">
        <f>SUM(G825:G826)</f>
        <v>0</v>
      </c>
      <c r="H827" s="41">
        <f>SUM(H825:H826)</f>
        <v>0</v>
      </c>
    </row>
    <row r="828" spans="1:9" hidden="1" x14ac:dyDescent="0.25">
      <c r="B828" s="33"/>
      <c r="C828" s="33"/>
      <c r="D828" s="24"/>
      <c r="E828" s="34"/>
      <c r="F828" s="34"/>
      <c r="G828" s="34"/>
      <c r="H828" s="34"/>
    </row>
    <row r="829" spans="1:9" ht="18.75" hidden="1" x14ac:dyDescent="0.3">
      <c r="A829" s="42" t="s">
        <v>42</v>
      </c>
      <c r="C829" s="33"/>
      <c r="D829" s="132">
        <f>'Facility Detail'!$B$1159</f>
        <v>2015</v>
      </c>
      <c r="E829" s="2">
        <f>D829+1</f>
        <v>2016</v>
      </c>
      <c r="F829" s="2">
        <f>E829+1</f>
        <v>2017</v>
      </c>
      <c r="G829" s="2">
        <f>F829+1</f>
        <v>2018</v>
      </c>
      <c r="H829" s="2">
        <f>G829+1</f>
        <v>2019</v>
      </c>
    </row>
    <row r="830" spans="1:9" hidden="1" x14ac:dyDescent="0.25">
      <c r="B830" s="67" t="s">
        <v>59</v>
      </c>
      <c r="C830" s="62"/>
      <c r="D830" s="188"/>
      <c r="E830" s="4"/>
      <c r="F830" s="4"/>
      <c r="G830" s="4"/>
      <c r="H830" s="5"/>
    </row>
    <row r="831" spans="1:9" hidden="1" x14ac:dyDescent="0.25">
      <c r="B831" s="68" t="s">
        <v>35</v>
      </c>
      <c r="C831" s="69"/>
      <c r="D831" s="189"/>
      <c r="E831" s="151"/>
      <c r="F831" s="151"/>
      <c r="G831" s="151"/>
      <c r="H831" s="152"/>
    </row>
    <row r="832" spans="1:9" hidden="1" x14ac:dyDescent="0.25">
      <c r="B832" s="78" t="s">
        <v>101</v>
      </c>
      <c r="C832" s="77"/>
      <c r="D832" s="190"/>
      <c r="E832" s="153"/>
      <c r="F832" s="153"/>
      <c r="G832" s="153"/>
      <c r="H832" s="154"/>
    </row>
    <row r="833" spans="1:8" hidden="1" x14ac:dyDescent="0.25">
      <c r="B833" s="36" t="s">
        <v>102</v>
      </c>
      <c r="D833" s="144">
        <f>SUM(D830:D832)</f>
        <v>0</v>
      </c>
      <c r="E833" s="7">
        <f>SUM(E830:E832)</f>
        <v>0</v>
      </c>
      <c r="F833" s="7">
        <f>SUM(F830:F832)</f>
        <v>0</v>
      </c>
      <c r="G833" s="7"/>
      <c r="H833" s="7"/>
    </row>
    <row r="834" spans="1:8" hidden="1" x14ac:dyDescent="0.25">
      <c r="B834" s="6"/>
      <c r="D834" s="144"/>
      <c r="E834" s="7"/>
      <c r="F834" s="7"/>
      <c r="G834" s="7"/>
      <c r="H834" s="7"/>
    </row>
    <row r="835" spans="1:8" ht="18.75" hidden="1" x14ac:dyDescent="0.3">
      <c r="A835" s="9" t="s">
        <v>112</v>
      </c>
      <c r="D835" s="132">
        <f>'Facility Detail'!$B$1159</f>
        <v>2015</v>
      </c>
      <c r="E835" s="2">
        <f>D835+1</f>
        <v>2016</v>
      </c>
      <c r="F835" s="2">
        <f>E835+1</f>
        <v>2017</v>
      </c>
      <c r="G835" s="2">
        <f>F835+1</f>
        <v>2018</v>
      </c>
      <c r="H835" s="2">
        <f>G835+1</f>
        <v>2019</v>
      </c>
    </row>
    <row r="836" spans="1:8" hidden="1" x14ac:dyDescent="0.25">
      <c r="B836" s="67" t="str">
        <f xml:space="preserve"> 'Facility Detail'!$B$1159 &amp; " Surplus Applied to " &amp; ( 'Facility Detail'!$B$1159 + 1 )</f>
        <v>2015 Surplus Applied to 2016</v>
      </c>
      <c r="C836" s="62"/>
      <c r="D836" s="51">
        <f>D822+D827-D833</f>
        <v>0</v>
      </c>
      <c r="E836" s="55">
        <f>D836</f>
        <v>0</v>
      </c>
      <c r="F836" s="129"/>
      <c r="G836" s="129"/>
      <c r="H836" s="130"/>
    </row>
    <row r="837" spans="1:8" hidden="1" x14ac:dyDescent="0.25">
      <c r="B837" s="67" t="str">
        <f xml:space="preserve"> ( 'Facility Detail'!$B$1159 + 1 ) &amp; " Surplus Applied to " &amp; ( 'Facility Detail'!$B$1159 )</f>
        <v>2016 Surplus Applied to 2015</v>
      </c>
      <c r="C837" s="62"/>
      <c r="D837" s="148">
        <f>E837</f>
        <v>0</v>
      </c>
      <c r="E837" s="10">
        <v>0</v>
      </c>
      <c r="F837" s="125"/>
      <c r="G837" s="125"/>
      <c r="H837" s="131"/>
    </row>
    <row r="838" spans="1:8" hidden="1" x14ac:dyDescent="0.25">
      <c r="B838" s="67" t="str">
        <f xml:space="preserve"> ( 'Facility Detail'!$B$1159 + 1 ) &amp; " Surplus Applied to " &amp; ( 'Facility Detail'!$B$1159 + 2 )</f>
        <v>2016 Surplus Applied to 2017</v>
      </c>
      <c r="C838" s="62"/>
      <c r="D838" s="148"/>
      <c r="E838" s="10">
        <f>E822+E827-E833</f>
        <v>0</v>
      </c>
      <c r="F838" s="61">
        <f>+E838</f>
        <v>0</v>
      </c>
      <c r="G838" s="125"/>
      <c r="H838" s="131"/>
    </row>
    <row r="839" spans="1:8" hidden="1" x14ac:dyDescent="0.25">
      <c r="B839" s="67" t="str">
        <f xml:space="preserve"> ( 'Facility Detail'!$B$1159 + 2 ) &amp; " Surplus Applied to " &amp; ( 'Facility Detail'!$B$1159 + 1 )</f>
        <v>2017 Surplus Applied to 2016</v>
      </c>
      <c r="C839" s="62"/>
      <c r="D839" s="148"/>
      <c r="E839" s="61">
        <f>F839</f>
        <v>0</v>
      </c>
      <c r="F839" s="10">
        <v>0</v>
      </c>
      <c r="G839" s="125"/>
      <c r="H839" s="131"/>
    </row>
    <row r="840" spans="1:8" hidden="1" x14ac:dyDescent="0.25">
      <c r="B840" s="67"/>
      <c r="C840" s="33"/>
      <c r="D840" s="148"/>
      <c r="E840" s="125"/>
      <c r="F840" s="10">
        <f>F822+F827-F833</f>
        <v>0</v>
      </c>
      <c r="G840" s="61">
        <f>+F840</f>
        <v>0</v>
      </c>
      <c r="H840" s="131"/>
    </row>
    <row r="841" spans="1:8" hidden="1" x14ac:dyDescent="0.25">
      <c r="B841" s="67"/>
      <c r="C841" s="33"/>
      <c r="D841" s="148"/>
      <c r="E841" s="125"/>
      <c r="F841" s="61">
        <f>G841</f>
        <v>0</v>
      </c>
      <c r="G841" s="10">
        <v>0</v>
      </c>
      <c r="H841" s="131"/>
    </row>
    <row r="842" spans="1:8" hidden="1" x14ac:dyDescent="0.25">
      <c r="B842" s="67"/>
      <c r="C842" s="33"/>
      <c r="D842" s="148"/>
      <c r="E842" s="125"/>
      <c r="F842" s="125"/>
      <c r="G842" s="10">
        <f>G822+G827-G833</f>
        <v>0</v>
      </c>
      <c r="H842" s="56">
        <f>+G842</f>
        <v>0</v>
      </c>
    </row>
    <row r="843" spans="1:8" hidden="1" x14ac:dyDescent="0.25">
      <c r="B843" s="67"/>
      <c r="C843" s="33"/>
      <c r="D843" s="52"/>
      <c r="E843" s="128"/>
      <c r="F843" s="128"/>
      <c r="G843" s="57">
        <f>H843</f>
        <v>0</v>
      </c>
      <c r="H843" s="48">
        <v>0</v>
      </c>
    </row>
    <row r="844" spans="1:8" hidden="1" x14ac:dyDescent="0.25">
      <c r="B844" s="36" t="s">
        <v>29</v>
      </c>
      <c r="D844" s="144">
        <f xml:space="preserve"> D837 - D836</f>
        <v>0</v>
      </c>
      <c r="E844" s="7">
        <f xml:space="preserve"> E836 + E839 - E838 - E837</f>
        <v>0</v>
      </c>
      <c r="F844" s="7">
        <f>F838 - F839 - F840 + F841</f>
        <v>0</v>
      </c>
      <c r="G844" s="7">
        <f>G840  - G841 - G842  + G843</f>
        <v>0</v>
      </c>
      <c r="H844" s="7">
        <f>H842 - H843</f>
        <v>0</v>
      </c>
    </row>
    <row r="845" spans="1:8" hidden="1" x14ac:dyDescent="0.25">
      <c r="B845" s="6"/>
      <c r="D845" s="144"/>
      <c r="E845" s="7"/>
      <c r="F845" s="7"/>
      <c r="G845" s="7"/>
      <c r="H845" s="7"/>
    </row>
    <row r="846" spans="1:8" hidden="1" x14ac:dyDescent="0.25">
      <c r="B846" s="64" t="s">
        <v>24</v>
      </c>
      <c r="C846" s="62"/>
      <c r="D846" s="191"/>
      <c r="E846" s="85"/>
      <c r="F846" s="123"/>
      <c r="G846" s="123"/>
      <c r="H846" s="86"/>
    </row>
    <row r="847" spans="1:8" hidden="1" x14ac:dyDescent="0.25">
      <c r="B847" s="6"/>
      <c r="D847" s="144"/>
      <c r="E847" s="7"/>
      <c r="F847" s="7"/>
      <c r="G847" s="7"/>
      <c r="H847" s="7"/>
    </row>
    <row r="848" spans="1:8" ht="18.75" hidden="1" x14ac:dyDescent="0.3">
      <c r="A848" s="42" t="s">
        <v>38</v>
      </c>
      <c r="C848" s="62"/>
      <c r="D848" s="192">
        <f xml:space="preserve"> D822 + D827 - D833 + D844 + D846</f>
        <v>0</v>
      </c>
      <c r="E848" s="124">
        <f xml:space="preserve"> E822 + E827 - E833 + E844 + E846</f>
        <v>0</v>
      </c>
      <c r="F848" s="124">
        <f xml:space="preserve"> F822 + F827 - F833 + F844 + F846</f>
        <v>0</v>
      </c>
      <c r="G848" s="124"/>
      <c r="H848" s="46"/>
    </row>
    <row r="849" spans="1:8" hidden="1" x14ac:dyDescent="0.25">
      <c r="B849" s="6"/>
      <c r="D849" s="144"/>
      <c r="E849" s="7"/>
      <c r="F849" s="7"/>
      <c r="G849" s="32"/>
      <c r="H849" s="32"/>
    </row>
    <row r="850" spans="1:8" hidden="1" x14ac:dyDescent="0.25"/>
    <row r="851" spans="1:8" hidden="1" x14ac:dyDescent="0.25">
      <c r="A851" s="8"/>
      <c r="B851" s="8"/>
      <c r="C851" s="8"/>
      <c r="D851" s="184"/>
      <c r="E851" s="8"/>
      <c r="F851" s="8"/>
      <c r="G851" s="8"/>
      <c r="H851" s="8"/>
    </row>
    <row r="852" spans="1:8" hidden="1" x14ac:dyDescent="0.25">
      <c r="B852" s="33"/>
      <c r="C852" s="33"/>
      <c r="D852" s="23"/>
      <c r="E852" s="33"/>
      <c r="F852" s="33"/>
      <c r="G852" s="33"/>
      <c r="H852" s="33"/>
    </row>
    <row r="853" spans="1:8" ht="21" hidden="1" x14ac:dyDescent="0.35">
      <c r="A853" s="13" t="s">
        <v>4</v>
      </c>
      <c r="B853" s="13"/>
      <c r="C853" s="43" t="str">
        <f>B26</f>
        <v>Facility 23</v>
      </c>
      <c r="D853" s="44"/>
      <c r="E853" s="23"/>
      <c r="F853" s="23"/>
    </row>
    <row r="854" spans="1:8" hidden="1" x14ac:dyDescent="0.25"/>
    <row r="855" spans="1:8" ht="18.75" hidden="1" x14ac:dyDescent="0.3">
      <c r="A855" s="9" t="s">
        <v>33</v>
      </c>
      <c r="B855" s="9"/>
      <c r="D855" s="132">
        <f>'Facility Detail'!$B$1159</f>
        <v>2015</v>
      </c>
      <c r="E855" s="2">
        <f>D855+1</f>
        <v>2016</v>
      </c>
      <c r="F855" s="2">
        <f>E855+1</f>
        <v>2017</v>
      </c>
      <c r="G855" s="2">
        <f>F855+1</f>
        <v>2018</v>
      </c>
      <c r="H855" s="2">
        <f>G855+1</f>
        <v>2019</v>
      </c>
    </row>
    <row r="856" spans="1:8" hidden="1" x14ac:dyDescent="0.25">
      <c r="B856" s="67" t="str">
        <f>"Total MWh Produced / Purchased from " &amp; C853</f>
        <v>Total MWh Produced / Purchased from Facility 23</v>
      </c>
      <c r="C856" s="62"/>
      <c r="D856" s="51"/>
      <c r="E856" s="4"/>
      <c r="F856" s="4"/>
      <c r="G856" s="4"/>
      <c r="H856" s="5"/>
    </row>
    <row r="857" spans="1:8" hidden="1" x14ac:dyDescent="0.25">
      <c r="B857" s="67" t="s">
        <v>37</v>
      </c>
      <c r="C857" s="62"/>
      <c r="D857" s="185"/>
      <c r="E857" s="146"/>
      <c r="F857" s="146"/>
      <c r="G857" s="146"/>
      <c r="H857" s="147"/>
    </row>
    <row r="858" spans="1:8" hidden="1" x14ac:dyDescent="0.25">
      <c r="B858" s="67" t="s">
        <v>32</v>
      </c>
      <c r="C858" s="62"/>
      <c r="D858" s="186"/>
      <c r="E858" s="49"/>
      <c r="F858" s="49"/>
      <c r="G858" s="49"/>
      <c r="H858" s="50"/>
    </row>
    <row r="859" spans="1:8" hidden="1" x14ac:dyDescent="0.25">
      <c r="B859" s="64" t="s">
        <v>34</v>
      </c>
      <c r="C859" s="65"/>
      <c r="D859" s="187">
        <f xml:space="preserve"> D856 * D857 * D858</f>
        <v>0</v>
      </c>
      <c r="E859" s="145">
        <f xml:space="preserve"> E856 * E857 * E858</f>
        <v>0</v>
      </c>
      <c r="F859" s="145">
        <f xml:space="preserve"> F856 * F857 * F858</f>
        <v>0</v>
      </c>
      <c r="G859" s="145"/>
      <c r="H859" s="145"/>
    </row>
    <row r="860" spans="1:8" hidden="1" x14ac:dyDescent="0.25">
      <c r="B860" s="23"/>
      <c r="C860" s="33"/>
      <c r="D860" s="24"/>
      <c r="E860" s="40"/>
      <c r="F860" s="40"/>
      <c r="G860" s="40"/>
      <c r="H860" s="40"/>
    </row>
    <row r="861" spans="1:8" ht="18.75" hidden="1" x14ac:dyDescent="0.3">
      <c r="A861" s="45" t="s">
        <v>131</v>
      </c>
      <c r="C861" s="33"/>
      <c r="D861" s="132">
        <f>'Facility Detail'!$B$1159</f>
        <v>2015</v>
      </c>
      <c r="E861" s="2">
        <f>D861+1</f>
        <v>2016</v>
      </c>
      <c r="F861" s="2">
        <f>E861+1</f>
        <v>2017</v>
      </c>
      <c r="G861" s="2">
        <f>F861+1</f>
        <v>2018</v>
      </c>
      <c r="H861" s="2">
        <f>G861+1</f>
        <v>2019</v>
      </c>
    </row>
    <row r="862" spans="1:8" hidden="1" x14ac:dyDescent="0.25">
      <c r="B862" s="67" t="s">
        <v>22</v>
      </c>
      <c r="C862" s="62"/>
      <c r="D862" s="51">
        <f>IF( $E460 = "Eligible", D859 * 'Facility Detail'!$B$1156, 0 )</f>
        <v>0</v>
      </c>
      <c r="E862" s="11">
        <f>IF( $E460 = "Eligible", E859 * 'Facility Detail'!$B$1156, 0 )</f>
        <v>0</v>
      </c>
      <c r="F862" s="121">
        <f>IF( $E460 = "Eligible", F859 * 'Facility Detail'!$B$1156, 0 )</f>
        <v>0</v>
      </c>
      <c r="G862" s="121">
        <f>IF( $E460 = "Eligible", G859 * 'Facility Detail'!$B$1156, 0 )</f>
        <v>0</v>
      </c>
      <c r="H862" s="12">
        <f>IF( $E460 = "Eligible", H859 * 'Facility Detail'!$B$1156, 0 )</f>
        <v>0</v>
      </c>
    </row>
    <row r="863" spans="1:8" hidden="1" x14ac:dyDescent="0.25">
      <c r="B863" s="67" t="s">
        <v>6</v>
      </c>
      <c r="C863" s="62"/>
      <c r="D863" s="52">
        <f>IF( $F460 = "Eligible", D859, 0 )</f>
        <v>0</v>
      </c>
      <c r="E863" s="53">
        <f>IF( $F460 = "Eligible", E859, 0 )</f>
        <v>0</v>
      </c>
      <c r="F863" s="122">
        <f>IF( $F460 = "Eligible", F859, 0 )</f>
        <v>0</v>
      </c>
      <c r="G863" s="122">
        <f>IF( $F460 = "Eligible", G859, 0 )</f>
        <v>0</v>
      </c>
      <c r="H863" s="54">
        <f>IF( $F460 = "Eligible", H859, 0 )</f>
        <v>0</v>
      </c>
    </row>
    <row r="864" spans="1:8" hidden="1" x14ac:dyDescent="0.25">
      <c r="B864" s="66" t="s">
        <v>133</v>
      </c>
      <c r="C864" s="65"/>
      <c r="D864" s="187">
        <f>SUM(D862:D863)</f>
        <v>0</v>
      </c>
      <c r="E864" s="41">
        <f>SUM(E862:E863)</f>
        <v>0</v>
      </c>
      <c r="F864" s="41">
        <f>SUM(F862:F863)</f>
        <v>0</v>
      </c>
      <c r="G864" s="41">
        <f>SUM(G862:G863)</f>
        <v>0</v>
      </c>
      <c r="H864" s="41">
        <f>SUM(H862:H863)</f>
        <v>0</v>
      </c>
    </row>
    <row r="865" spans="1:8" hidden="1" x14ac:dyDescent="0.25">
      <c r="B865" s="33"/>
      <c r="C865" s="33"/>
      <c r="D865" s="24"/>
      <c r="E865" s="34"/>
      <c r="F865" s="34"/>
      <c r="G865" s="34"/>
      <c r="H865" s="34"/>
    </row>
    <row r="866" spans="1:8" ht="18.75" hidden="1" x14ac:dyDescent="0.3">
      <c r="A866" s="42" t="s">
        <v>42</v>
      </c>
      <c r="C866" s="33"/>
      <c r="D866" s="132">
        <f>'Facility Detail'!$B$1159</f>
        <v>2015</v>
      </c>
      <c r="E866" s="2">
        <f>D866+1</f>
        <v>2016</v>
      </c>
      <c r="F866" s="2">
        <f>E866+1</f>
        <v>2017</v>
      </c>
      <c r="G866" s="2">
        <f>F866+1</f>
        <v>2018</v>
      </c>
      <c r="H866" s="2">
        <f>G866+1</f>
        <v>2019</v>
      </c>
    </row>
    <row r="867" spans="1:8" hidden="1" x14ac:dyDescent="0.25">
      <c r="B867" s="67" t="s">
        <v>59</v>
      </c>
      <c r="C867" s="62"/>
      <c r="D867" s="188"/>
      <c r="E867" s="4"/>
      <c r="F867" s="4"/>
      <c r="G867" s="4"/>
      <c r="H867" s="5"/>
    </row>
    <row r="868" spans="1:8" hidden="1" x14ac:dyDescent="0.25">
      <c r="B868" s="68" t="s">
        <v>35</v>
      </c>
      <c r="C868" s="69"/>
      <c r="D868" s="189"/>
      <c r="E868" s="151"/>
      <c r="F868" s="151"/>
      <c r="G868" s="151"/>
      <c r="H868" s="152"/>
    </row>
    <row r="869" spans="1:8" hidden="1" x14ac:dyDescent="0.25">
      <c r="B869" s="78" t="s">
        <v>101</v>
      </c>
      <c r="C869" s="77"/>
      <c r="D869" s="190"/>
      <c r="E869" s="153"/>
      <c r="F869" s="153"/>
      <c r="G869" s="153"/>
      <c r="H869" s="154"/>
    </row>
    <row r="870" spans="1:8" hidden="1" x14ac:dyDescent="0.25">
      <c r="B870" s="36" t="s">
        <v>102</v>
      </c>
      <c r="D870" s="144">
        <f>SUM(D867:D869)</f>
        <v>0</v>
      </c>
      <c r="E870" s="7">
        <f>SUM(E867:E869)</f>
        <v>0</v>
      </c>
      <c r="F870" s="7">
        <f>SUM(F867:F869)</f>
        <v>0</v>
      </c>
      <c r="G870" s="7"/>
      <c r="H870" s="7"/>
    </row>
    <row r="871" spans="1:8" hidden="1" x14ac:dyDescent="0.25">
      <c r="B871" s="6"/>
      <c r="D871" s="144"/>
      <c r="E871" s="7"/>
      <c r="F871" s="7"/>
      <c r="G871" s="7"/>
      <c r="H871" s="7"/>
    </row>
    <row r="872" spans="1:8" ht="18.75" hidden="1" x14ac:dyDescent="0.3">
      <c r="A872" s="9" t="s">
        <v>112</v>
      </c>
      <c r="D872" s="132">
        <f>'Facility Detail'!$B$1159</f>
        <v>2015</v>
      </c>
      <c r="E872" s="2">
        <f>D872+1</f>
        <v>2016</v>
      </c>
      <c r="F872" s="2">
        <f>E872+1</f>
        <v>2017</v>
      </c>
      <c r="G872" s="2">
        <f>F872+1</f>
        <v>2018</v>
      </c>
      <c r="H872" s="2">
        <f>G872+1</f>
        <v>2019</v>
      </c>
    </row>
    <row r="873" spans="1:8" hidden="1" x14ac:dyDescent="0.25">
      <c r="B873" s="67" t="str">
        <f xml:space="preserve"> 'Facility Detail'!$B$1159 &amp; " Surplus Applied to " &amp; ( 'Facility Detail'!$B$1159 + 1 )</f>
        <v>2015 Surplus Applied to 2016</v>
      </c>
      <c r="C873" s="62"/>
      <c r="D873" s="51">
        <f>D859+D864-D870</f>
        <v>0</v>
      </c>
      <c r="E873" s="55">
        <f>D873</f>
        <v>0</v>
      </c>
      <c r="F873" s="129"/>
      <c r="G873" s="129"/>
      <c r="H873" s="130"/>
    </row>
    <row r="874" spans="1:8" hidden="1" x14ac:dyDescent="0.25">
      <c r="B874" s="67" t="str">
        <f xml:space="preserve"> ( 'Facility Detail'!$B$1159 + 1 ) &amp; " Surplus Applied to " &amp; ( 'Facility Detail'!$B$1159 )</f>
        <v>2016 Surplus Applied to 2015</v>
      </c>
      <c r="C874" s="62"/>
      <c r="D874" s="148">
        <f>E874</f>
        <v>0</v>
      </c>
      <c r="E874" s="10">
        <v>0</v>
      </c>
      <c r="F874" s="125"/>
      <c r="G874" s="125"/>
      <c r="H874" s="131"/>
    </row>
    <row r="875" spans="1:8" hidden="1" x14ac:dyDescent="0.25">
      <c r="B875" s="67" t="str">
        <f xml:space="preserve"> ( 'Facility Detail'!$B$1159 + 1 ) &amp; " Surplus Applied to " &amp; ( 'Facility Detail'!$B$1159 + 2 )</f>
        <v>2016 Surplus Applied to 2017</v>
      </c>
      <c r="C875" s="62"/>
      <c r="D875" s="148"/>
      <c r="E875" s="10">
        <f>E859+E864-E870</f>
        <v>0</v>
      </c>
      <c r="F875" s="61">
        <f>+E875</f>
        <v>0</v>
      </c>
      <c r="G875" s="125"/>
      <c r="H875" s="131"/>
    </row>
    <row r="876" spans="1:8" hidden="1" x14ac:dyDescent="0.25">
      <c r="B876" s="67" t="str">
        <f xml:space="preserve"> ( 'Facility Detail'!$B$1159 + 2 ) &amp; " Surplus Applied to " &amp; ( 'Facility Detail'!$B$1159 + 1 )</f>
        <v>2017 Surplus Applied to 2016</v>
      </c>
      <c r="C876" s="62"/>
      <c r="D876" s="148"/>
      <c r="E876" s="61">
        <f>F876</f>
        <v>0</v>
      </c>
      <c r="F876" s="10">
        <v>0</v>
      </c>
      <c r="G876" s="125"/>
      <c r="H876" s="131"/>
    </row>
    <row r="877" spans="1:8" hidden="1" x14ac:dyDescent="0.25">
      <c r="B877" s="67"/>
      <c r="C877" s="33"/>
      <c r="D877" s="148"/>
      <c r="E877" s="125"/>
      <c r="F877" s="10">
        <f>F859+F864-F870</f>
        <v>0</v>
      </c>
      <c r="G877" s="61">
        <f>+F877</f>
        <v>0</v>
      </c>
      <c r="H877" s="131"/>
    </row>
    <row r="878" spans="1:8" hidden="1" x14ac:dyDescent="0.25">
      <c r="B878" s="67"/>
      <c r="C878" s="33"/>
      <c r="D878" s="148"/>
      <c r="E878" s="125"/>
      <c r="F878" s="61">
        <f>G878</f>
        <v>0</v>
      </c>
      <c r="G878" s="10">
        <v>0</v>
      </c>
      <c r="H878" s="131"/>
    </row>
    <row r="879" spans="1:8" hidden="1" x14ac:dyDescent="0.25">
      <c r="B879" s="67"/>
      <c r="C879" s="33"/>
      <c r="D879" s="148"/>
      <c r="E879" s="125"/>
      <c r="F879" s="125"/>
      <c r="G879" s="10">
        <f>G859+G864-G870</f>
        <v>0</v>
      </c>
      <c r="H879" s="56">
        <f>+G879</f>
        <v>0</v>
      </c>
    </row>
    <row r="880" spans="1:8" hidden="1" x14ac:dyDescent="0.25">
      <c r="B880" s="67"/>
      <c r="C880" s="33"/>
      <c r="D880" s="52"/>
      <c r="E880" s="128"/>
      <c r="F880" s="128"/>
      <c r="G880" s="57">
        <f>H880</f>
        <v>0</v>
      </c>
      <c r="H880" s="48">
        <v>0</v>
      </c>
    </row>
    <row r="881" spans="1:8" hidden="1" x14ac:dyDescent="0.25">
      <c r="B881" s="36" t="s">
        <v>29</v>
      </c>
      <c r="D881" s="144">
        <f xml:space="preserve"> D874 - D873</f>
        <v>0</v>
      </c>
      <c r="E881" s="7">
        <f xml:space="preserve"> E873 + E876 - E875 - E874</f>
        <v>0</v>
      </c>
      <c r="F881" s="7">
        <f>F875 - F876 - F877 + F878</f>
        <v>0</v>
      </c>
      <c r="G881" s="7">
        <f>G877  - G878 - G879  + G880</f>
        <v>0</v>
      </c>
      <c r="H881" s="7">
        <f>H879 - H880</f>
        <v>0</v>
      </c>
    </row>
    <row r="882" spans="1:8" hidden="1" x14ac:dyDescent="0.25">
      <c r="B882" s="6"/>
      <c r="D882" s="144"/>
      <c r="E882" s="7"/>
      <c r="F882" s="7"/>
      <c r="G882" s="7"/>
      <c r="H882" s="7"/>
    </row>
    <row r="883" spans="1:8" hidden="1" x14ac:dyDescent="0.25">
      <c r="B883" s="64" t="s">
        <v>24</v>
      </c>
      <c r="C883" s="62"/>
      <c r="D883" s="191"/>
      <c r="E883" s="85"/>
      <c r="F883" s="123"/>
      <c r="G883" s="123"/>
      <c r="H883" s="86"/>
    </row>
    <row r="884" spans="1:8" hidden="1" x14ac:dyDescent="0.25">
      <c r="B884" s="6"/>
      <c r="D884" s="144"/>
      <c r="E884" s="7"/>
      <c r="F884" s="7"/>
      <c r="G884" s="7"/>
      <c r="H884" s="7"/>
    </row>
    <row r="885" spans="1:8" ht="18.75" hidden="1" x14ac:dyDescent="0.3">
      <c r="A885" s="42" t="s">
        <v>38</v>
      </c>
      <c r="C885" s="62"/>
      <c r="D885" s="192">
        <f xml:space="preserve"> D859 + D864 - D870 + D881 + D883</f>
        <v>0</v>
      </c>
      <c r="E885" s="124">
        <f xml:space="preserve"> E859 + E864 - E870 + E881 + E883</f>
        <v>0</v>
      </c>
      <c r="F885" s="124">
        <f xml:space="preserve"> F859 + F864 - F870 + F881 + F883</f>
        <v>0</v>
      </c>
      <c r="G885" s="124"/>
      <c r="H885" s="46"/>
    </row>
    <row r="886" spans="1:8" hidden="1" x14ac:dyDescent="0.25">
      <c r="B886" s="6"/>
      <c r="D886" s="144"/>
      <c r="E886" s="7"/>
      <c r="F886" s="7"/>
      <c r="G886" s="32"/>
      <c r="H886" s="32"/>
    </row>
    <row r="887" spans="1:8" hidden="1" x14ac:dyDescent="0.25"/>
    <row r="888" spans="1:8" hidden="1" x14ac:dyDescent="0.25">
      <c r="A888" s="8"/>
      <c r="B888" s="8"/>
      <c r="C888" s="8"/>
      <c r="D888" s="184"/>
      <c r="E888" s="8"/>
      <c r="F888" s="8"/>
      <c r="G888" s="8"/>
      <c r="H888" s="8"/>
    </row>
    <row r="889" spans="1:8" hidden="1" x14ac:dyDescent="0.25">
      <c r="B889" s="33"/>
      <c r="C889" s="33"/>
      <c r="D889" s="23"/>
      <c r="E889" s="33"/>
      <c r="F889" s="33"/>
      <c r="G889" s="33"/>
      <c r="H889" s="33"/>
    </row>
    <row r="890" spans="1:8" ht="21" hidden="1" x14ac:dyDescent="0.35">
      <c r="A890" s="13" t="s">
        <v>4</v>
      </c>
      <c r="B890" s="13"/>
      <c r="C890" s="43" t="str">
        <f>B27</f>
        <v>Facility 24</v>
      </c>
      <c r="D890" s="44"/>
      <c r="E890" s="23"/>
      <c r="F890" s="23"/>
    </row>
    <row r="891" spans="1:8" hidden="1" x14ac:dyDescent="0.25"/>
    <row r="892" spans="1:8" ht="18.75" hidden="1" x14ac:dyDescent="0.3">
      <c r="A892" s="9" t="s">
        <v>33</v>
      </c>
      <c r="B892" s="9"/>
      <c r="D892" s="132">
        <f>'Facility Detail'!$B$1159</f>
        <v>2015</v>
      </c>
      <c r="E892" s="2">
        <f>D892+1</f>
        <v>2016</v>
      </c>
      <c r="F892" s="2">
        <f>E892+1</f>
        <v>2017</v>
      </c>
      <c r="G892" s="2">
        <f>F892+1</f>
        <v>2018</v>
      </c>
      <c r="H892" s="2">
        <f>G892+1</f>
        <v>2019</v>
      </c>
    </row>
    <row r="893" spans="1:8" hidden="1" x14ac:dyDescent="0.25">
      <c r="B893" s="67" t="str">
        <f>"Total MWh Produced / Purchased from " &amp; C890</f>
        <v>Total MWh Produced / Purchased from Facility 24</v>
      </c>
      <c r="C893" s="62"/>
      <c r="D893" s="51"/>
      <c r="E893" s="4"/>
      <c r="F893" s="4"/>
      <c r="G893" s="4"/>
      <c r="H893" s="5"/>
    </row>
    <row r="894" spans="1:8" hidden="1" x14ac:dyDescent="0.25">
      <c r="B894" s="67" t="s">
        <v>37</v>
      </c>
      <c r="C894" s="62"/>
      <c r="D894" s="185"/>
      <c r="E894" s="146"/>
      <c r="F894" s="146"/>
      <c r="G894" s="146"/>
      <c r="H894" s="147"/>
    </row>
    <row r="895" spans="1:8" hidden="1" x14ac:dyDescent="0.25">
      <c r="B895" s="67" t="s">
        <v>32</v>
      </c>
      <c r="C895" s="62"/>
      <c r="D895" s="186"/>
      <c r="E895" s="49"/>
      <c r="F895" s="49"/>
      <c r="G895" s="49"/>
      <c r="H895" s="50"/>
    </row>
    <row r="896" spans="1:8" hidden="1" x14ac:dyDescent="0.25">
      <c r="B896" s="64" t="s">
        <v>34</v>
      </c>
      <c r="C896" s="65"/>
      <c r="D896" s="187">
        <f xml:space="preserve"> D893 * D894 * D895</f>
        <v>0</v>
      </c>
      <c r="E896" s="145">
        <f xml:space="preserve"> E893 * E894 * E895</f>
        <v>0</v>
      </c>
      <c r="F896" s="145">
        <f xml:space="preserve"> F893 * F894 * F895</f>
        <v>0</v>
      </c>
      <c r="G896" s="145"/>
      <c r="H896" s="145"/>
    </row>
    <row r="897" spans="1:8" hidden="1" x14ac:dyDescent="0.25">
      <c r="B897" s="23"/>
      <c r="C897" s="33"/>
      <c r="D897" s="24"/>
      <c r="E897" s="40"/>
      <c r="F897" s="40"/>
      <c r="G897" s="40"/>
      <c r="H897" s="40"/>
    </row>
    <row r="898" spans="1:8" ht="18.75" hidden="1" x14ac:dyDescent="0.3">
      <c r="A898" s="45" t="s">
        <v>131</v>
      </c>
      <c r="C898" s="33"/>
      <c r="D898" s="132">
        <f>'Facility Detail'!$B$1159</f>
        <v>2015</v>
      </c>
      <c r="E898" s="2">
        <f>D898+1</f>
        <v>2016</v>
      </c>
      <c r="F898" s="2">
        <f>E898+1</f>
        <v>2017</v>
      </c>
      <c r="G898" s="2">
        <f>F898+1</f>
        <v>2018</v>
      </c>
      <c r="H898" s="2">
        <f>G898+1</f>
        <v>2019</v>
      </c>
    </row>
    <row r="899" spans="1:8" hidden="1" x14ac:dyDescent="0.25">
      <c r="B899" s="67" t="s">
        <v>22</v>
      </c>
      <c r="C899" s="62"/>
      <c r="D899" s="51">
        <f>IF( $E497 = "Eligible", D896 * 'Facility Detail'!$B$1156, 0 )</f>
        <v>0</v>
      </c>
      <c r="E899" s="11">
        <f>IF( $E497 = "Eligible", E896 * 'Facility Detail'!$B$1156, 0 )</f>
        <v>0</v>
      </c>
      <c r="F899" s="121">
        <f>IF( $E497 = "Eligible", F896 * 'Facility Detail'!$B$1156, 0 )</f>
        <v>0</v>
      </c>
      <c r="G899" s="121">
        <f>IF( $E497 = "Eligible", G896 * 'Facility Detail'!$B$1156, 0 )</f>
        <v>0</v>
      </c>
      <c r="H899" s="12">
        <f>IF( $E497 = "Eligible", H896 * 'Facility Detail'!$B$1156, 0 )</f>
        <v>0</v>
      </c>
    </row>
    <row r="900" spans="1:8" hidden="1" x14ac:dyDescent="0.25">
      <c r="B900" s="67" t="s">
        <v>6</v>
      </c>
      <c r="C900" s="62"/>
      <c r="D900" s="52">
        <f>IF( $F497 = "Eligible", D896, 0 )</f>
        <v>0</v>
      </c>
      <c r="E900" s="53">
        <f>IF( $F497 = "Eligible", E896, 0 )</f>
        <v>0</v>
      </c>
      <c r="F900" s="122">
        <f>IF( $F497 = "Eligible", F896, 0 )</f>
        <v>0</v>
      </c>
      <c r="G900" s="122">
        <f>IF( $F497 = "Eligible", G896, 0 )</f>
        <v>0</v>
      </c>
      <c r="H900" s="54">
        <f>IF( $F497 = "Eligible", H896, 0 )</f>
        <v>0</v>
      </c>
    </row>
    <row r="901" spans="1:8" hidden="1" x14ac:dyDescent="0.25">
      <c r="B901" s="66" t="s">
        <v>133</v>
      </c>
      <c r="C901" s="65"/>
      <c r="D901" s="187">
        <f>SUM(D899:D900)</f>
        <v>0</v>
      </c>
      <c r="E901" s="41">
        <f>SUM(E899:E900)</f>
        <v>0</v>
      </c>
      <c r="F901" s="41">
        <f>SUM(F899:F900)</f>
        <v>0</v>
      </c>
      <c r="G901" s="41">
        <f>SUM(G899:G900)</f>
        <v>0</v>
      </c>
      <c r="H901" s="41">
        <f>SUM(H899:H900)</f>
        <v>0</v>
      </c>
    </row>
    <row r="902" spans="1:8" hidden="1" x14ac:dyDescent="0.25">
      <c r="B902" s="33"/>
      <c r="C902" s="33"/>
      <c r="D902" s="24"/>
      <c r="E902" s="34"/>
      <c r="F902" s="34"/>
      <c r="G902" s="34"/>
      <c r="H902" s="34"/>
    </row>
    <row r="903" spans="1:8" ht="18.75" hidden="1" x14ac:dyDescent="0.3">
      <c r="A903" s="42" t="s">
        <v>42</v>
      </c>
      <c r="C903" s="33"/>
      <c r="D903" s="132">
        <f>'Facility Detail'!$B$1159</f>
        <v>2015</v>
      </c>
      <c r="E903" s="2">
        <f>D903+1</f>
        <v>2016</v>
      </c>
      <c r="F903" s="2">
        <f>E903+1</f>
        <v>2017</v>
      </c>
      <c r="G903" s="2">
        <f>F903+1</f>
        <v>2018</v>
      </c>
      <c r="H903" s="2">
        <f>G903+1</f>
        <v>2019</v>
      </c>
    </row>
    <row r="904" spans="1:8" hidden="1" x14ac:dyDescent="0.25">
      <c r="B904" s="67" t="s">
        <v>59</v>
      </c>
      <c r="C904" s="62"/>
      <c r="D904" s="188"/>
      <c r="E904" s="4"/>
      <c r="F904" s="4"/>
      <c r="G904" s="4"/>
      <c r="H904" s="5"/>
    </row>
    <row r="905" spans="1:8" hidden="1" x14ac:dyDescent="0.25">
      <c r="B905" s="68" t="s">
        <v>35</v>
      </c>
      <c r="C905" s="69"/>
      <c r="D905" s="189"/>
      <c r="E905" s="151"/>
      <c r="F905" s="151"/>
      <c r="G905" s="151"/>
      <c r="H905" s="152"/>
    </row>
    <row r="906" spans="1:8" hidden="1" x14ac:dyDescent="0.25">
      <c r="B906" s="78" t="s">
        <v>101</v>
      </c>
      <c r="C906" s="77"/>
      <c r="D906" s="190"/>
      <c r="E906" s="153"/>
      <c r="F906" s="153"/>
      <c r="G906" s="153"/>
      <c r="H906" s="154"/>
    </row>
    <row r="907" spans="1:8" hidden="1" x14ac:dyDescent="0.25">
      <c r="B907" s="36" t="s">
        <v>102</v>
      </c>
      <c r="D907" s="144">
        <f>SUM(D904:D906)</f>
        <v>0</v>
      </c>
      <c r="E907" s="7">
        <f>SUM(E904:E906)</f>
        <v>0</v>
      </c>
      <c r="F907" s="7">
        <f>SUM(F904:F906)</f>
        <v>0</v>
      </c>
      <c r="G907" s="7"/>
      <c r="H907" s="7"/>
    </row>
    <row r="908" spans="1:8" hidden="1" x14ac:dyDescent="0.25">
      <c r="B908" s="6"/>
      <c r="D908" s="144"/>
      <c r="E908" s="7"/>
      <c r="F908" s="7"/>
      <c r="G908" s="7"/>
      <c r="H908" s="7"/>
    </row>
    <row r="909" spans="1:8" ht="18.75" hidden="1" x14ac:dyDescent="0.3">
      <c r="A909" s="9" t="s">
        <v>112</v>
      </c>
      <c r="D909" s="132">
        <f>'Facility Detail'!$B$1159</f>
        <v>2015</v>
      </c>
      <c r="E909" s="2">
        <f>D909+1</f>
        <v>2016</v>
      </c>
      <c r="F909" s="2">
        <f>E909+1</f>
        <v>2017</v>
      </c>
      <c r="G909" s="2">
        <f>F909+1</f>
        <v>2018</v>
      </c>
      <c r="H909" s="2">
        <f>G909+1</f>
        <v>2019</v>
      </c>
    </row>
    <row r="910" spans="1:8" hidden="1" x14ac:dyDescent="0.25">
      <c r="B910" s="67" t="str">
        <f xml:space="preserve"> 'Facility Detail'!$B$1159 &amp; " Surplus Applied to " &amp; ( 'Facility Detail'!$B$1159 + 1 )</f>
        <v>2015 Surplus Applied to 2016</v>
      </c>
      <c r="C910" s="62"/>
      <c r="D910" s="51">
        <f>D896+D901-D907</f>
        <v>0</v>
      </c>
      <c r="E910" s="55">
        <f>D910</f>
        <v>0</v>
      </c>
      <c r="F910" s="129"/>
      <c r="G910" s="129"/>
      <c r="H910" s="130"/>
    </row>
    <row r="911" spans="1:8" hidden="1" x14ac:dyDescent="0.25">
      <c r="B911" s="67" t="str">
        <f xml:space="preserve"> ( 'Facility Detail'!$B$1159 + 1 ) &amp; " Surplus Applied to " &amp; ( 'Facility Detail'!$B$1159 )</f>
        <v>2016 Surplus Applied to 2015</v>
      </c>
      <c r="C911" s="62"/>
      <c r="D911" s="148">
        <f>E911</f>
        <v>0</v>
      </c>
      <c r="E911" s="10">
        <v>0</v>
      </c>
      <c r="F911" s="125"/>
      <c r="G911" s="125"/>
      <c r="H911" s="131"/>
    </row>
    <row r="912" spans="1:8" hidden="1" x14ac:dyDescent="0.25">
      <c r="B912" s="67" t="str">
        <f xml:space="preserve"> ( 'Facility Detail'!$B$1159 + 1 ) &amp; " Surplus Applied to " &amp; ( 'Facility Detail'!$B$1159 + 2 )</f>
        <v>2016 Surplus Applied to 2017</v>
      </c>
      <c r="C912" s="62"/>
      <c r="D912" s="148"/>
      <c r="E912" s="10">
        <f>E896+E901-E907</f>
        <v>0</v>
      </c>
      <c r="F912" s="61">
        <f>+E912</f>
        <v>0</v>
      </c>
      <c r="G912" s="125"/>
      <c r="H912" s="131"/>
    </row>
    <row r="913" spans="1:8" hidden="1" x14ac:dyDescent="0.25">
      <c r="B913" s="67" t="str">
        <f xml:space="preserve"> ( 'Facility Detail'!$B$1159 + 2 ) &amp; " Surplus Applied to " &amp; ( 'Facility Detail'!$B$1159 + 1 )</f>
        <v>2017 Surplus Applied to 2016</v>
      </c>
      <c r="C913" s="62"/>
      <c r="D913" s="148"/>
      <c r="E913" s="61">
        <f>F913</f>
        <v>0</v>
      </c>
      <c r="F913" s="10">
        <v>0</v>
      </c>
      <c r="G913" s="125"/>
      <c r="H913" s="131"/>
    </row>
    <row r="914" spans="1:8" hidden="1" x14ac:dyDescent="0.25">
      <c r="B914" s="67"/>
      <c r="C914" s="33"/>
      <c r="D914" s="148"/>
      <c r="E914" s="125"/>
      <c r="F914" s="10">
        <f>F896+F901-F907</f>
        <v>0</v>
      </c>
      <c r="G914" s="61">
        <f>+F914</f>
        <v>0</v>
      </c>
      <c r="H914" s="131"/>
    </row>
    <row r="915" spans="1:8" hidden="1" x14ac:dyDescent="0.25">
      <c r="B915" s="67"/>
      <c r="C915" s="33"/>
      <c r="D915" s="148"/>
      <c r="E915" s="125"/>
      <c r="F915" s="61">
        <f>G915</f>
        <v>0</v>
      </c>
      <c r="G915" s="10">
        <v>0</v>
      </c>
      <c r="H915" s="131"/>
    </row>
    <row r="916" spans="1:8" hidden="1" x14ac:dyDescent="0.25">
      <c r="B916" s="67"/>
      <c r="C916" s="33"/>
      <c r="D916" s="148"/>
      <c r="E916" s="125"/>
      <c r="F916" s="125"/>
      <c r="G916" s="10">
        <f>G896+G901-G907</f>
        <v>0</v>
      </c>
      <c r="H916" s="56">
        <f>+G916</f>
        <v>0</v>
      </c>
    </row>
    <row r="917" spans="1:8" hidden="1" x14ac:dyDescent="0.25">
      <c r="B917" s="67"/>
      <c r="C917" s="33"/>
      <c r="D917" s="52"/>
      <c r="E917" s="128"/>
      <c r="F917" s="128"/>
      <c r="G917" s="57">
        <f>H917</f>
        <v>0</v>
      </c>
      <c r="H917" s="48">
        <v>0</v>
      </c>
    </row>
    <row r="918" spans="1:8" hidden="1" x14ac:dyDescent="0.25">
      <c r="B918" s="36" t="s">
        <v>29</v>
      </c>
      <c r="D918" s="144">
        <f xml:space="preserve"> D911 - D910</f>
        <v>0</v>
      </c>
      <c r="E918" s="7">
        <f xml:space="preserve"> E910 + E913 - E912 - E911</f>
        <v>0</v>
      </c>
      <c r="F918" s="7">
        <f>F912 - F913 - F914 + F915</f>
        <v>0</v>
      </c>
      <c r="G918" s="7">
        <f>G914  - G915 - G916  + G917</f>
        <v>0</v>
      </c>
      <c r="H918" s="7">
        <f>H916 - H917</f>
        <v>0</v>
      </c>
    </row>
    <row r="919" spans="1:8" hidden="1" x14ac:dyDescent="0.25">
      <c r="B919" s="6"/>
      <c r="D919" s="144"/>
      <c r="E919" s="7"/>
      <c r="F919" s="7"/>
      <c r="G919" s="7"/>
      <c r="H919" s="7"/>
    </row>
    <row r="920" spans="1:8" hidden="1" x14ac:dyDescent="0.25">
      <c r="B920" s="64" t="s">
        <v>24</v>
      </c>
      <c r="C920" s="62"/>
      <c r="D920" s="191"/>
      <c r="E920" s="85"/>
      <c r="F920" s="123"/>
      <c r="G920" s="123"/>
      <c r="H920" s="86"/>
    </row>
    <row r="921" spans="1:8" hidden="1" x14ac:dyDescent="0.25">
      <c r="B921" s="6"/>
      <c r="D921" s="144"/>
      <c r="E921" s="7"/>
      <c r="F921" s="7"/>
      <c r="G921" s="7"/>
      <c r="H921" s="7"/>
    </row>
    <row r="922" spans="1:8" ht="18.75" hidden="1" x14ac:dyDescent="0.3">
      <c r="A922" s="42" t="s">
        <v>38</v>
      </c>
      <c r="C922" s="62"/>
      <c r="D922" s="192">
        <f xml:space="preserve"> D896 + D901 - D907 + D918 + D920</f>
        <v>0</v>
      </c>
      <c r="E922" s="124">
        <f xml:space="preserve"> E896 + E901 - E907 + E918 + E920</f>
        <v>0</v>
      </c>
      <c r="F922" s="124">
        <f xml:space="preserve"> F896 + F901 - F907 + F918 + F920</f>
        <v>0</v>
      </c>
      <c r="G922" s="124"/>
      <c r="H922" s="46"/>
    </row>
    <row r="923" spans="1:8" hidden="1" x14ac:dyDescent="0.25">
      <c r="B923" s="6"/>
      <c r="D923" s="144"/>
      <c r="E923" s="7"/>
      <c r="F923" s="7"/>
      <c r="G923" s="32"/>
      <c r="H923" s="32"/>
    </row>
    <row r="924" spans="1:8" hidden="1" x14ac:dyDescent="0.25"/>
    <row r="925" spans="1:8" hidden="1" x14ac:dyDescent="0.25">
      <c r="A925" s="8"/>
      <c r="B925" s="8"/>
      <c r="C925" s="8"/>
      <c r="D925" s="184"/>
      <c r="E925" s="8"/>
      <c r="F925" s="8"/>
      <c r="G925" s="8"/>
      <c r="H925" s="8"/>
    </row>
    <row r="926" spans="1:8" hidden="1" x14ac:dyDescent="0.25">
      <c r="B926" s="33"/>
      <c r="C926" s="33"/>
      <c r="D926" s="23"/>
      <c r="E926" s="33"/>
      <c r="F926" s="33"/>
      <c r="G926" s="33"/>
      <c r="H926" s="33"/>
    </row>
    <row r="927" spans="1:8" ht="21" hidden="1" x14ac:dyDescent="0.35">
      <c r="A927" s="13" t="s">
        <v>4</v>
      </c>
      <c r="B927" s="13"/>
      <c r="C927" s="43" t="str">
        <f>B28</f>
        <v>Facility 25</v>
      </c>
      <c r="D927" s="44"/>
      <c r="E927" s="23"/>
      <c r="F927" s="23"/>
    </row>
    <row r="928" spans="1:8" hidden="1" x14ac:dyDescent="0.25"/>
    <row r="929" spans="1:8" ht="18.75" hidden="1" x14ac:dyDescent="0.3">
      <c r="A929" s="9" t="s">
        <v>33</v>
      </c>
      <c r="B929" s="9"/>
      <c r="D929" s="132">
        <f>'Facility Detail'!$B$1159</f>
        <v>2015</v>
      </c>
      <c r="E929" s="2">
        <f>D929+1</f>
        <v>2016</v>
      </c>
      <c r="F929" s="2">
        <f>E929+1</f>
        <v>2017</v>
      </c>
      <c r="G929" s="2">
        <f>F929+1</f>
        <v>2018</v>
      </c>
      <c r="H929" s="2">
        <f>G929+1</f>
        <v>2019</v>
      </c>
    </row>
    <row r="930" spans="1:8" hidden="1" x14ac:dyDescent="0.25">
      <c r="B930" s="67" t="str">
        <f>"Total MWh Produced / Purchased from " &amp; C927</f>
        <v>Total MWh Produced / Purchased from Facility 25</v>
      </c>
      <c r="C930" s="62"/>
      <c r="D930" s="51"/>
      <c r="E930" s="4"/>
      <c r="F930" s="4"/>
      <c r="G930" s="4"/>
      <c r="H930" s="5"/>
    </row>
    <row r="931" spans="1:8" hidden="1" x14ac:dyDescent="0.25">
      <c r="B931" s="67" t="s">
        <v>37</v>
      </c>
      <c r="C931" s="62"/>
      <c r="D931" s="185"/>
      <c r="E931" s="146"/>
      <c r="F931" s="146"/>
      <c r="G931" s="146"/>
      <c r="H931" s="147"/>
    </row>
    <row r="932" spans="1:8" hidden="1" x14ac:dyDescent="0.25">
      <c r="B932" s="67" t="s">
        <v>32</v>
      </c>
      <c r="C932" s="62"/>
      <c r="D932" s="186"/>
      <c r="E932" s="49"/>
      <c r="F932" s="49"/>
      <c r="G932" s="49"/>
      <c r="H932" s="50"/>
    </row>
    <row r="933" spans="1:8" hidden="1" x14ac:dyDescent="0.25">
      <c r="B933" s="64" t="s">
        <v>34</v>
      </c>
      <c r="C933" s="65"/>
      <c r="D933" s="187">
        <f xml:space="preserve"> D930 * D931 * D932</f>
        <v>0</v>
      </c>
      <c r="E933" s="145">
        <f xml:space="preserve"> E930 * E931 * E932</f>
        <v>0</v>
      </c>
      <c r="F933" s="145">
        <f xml:space="preserve"> F930 * F931 * F932</f>
        <v>0</v>
      </c>
      <c r="G933" s="145"/>
      <c r="H933" s="145"/>
    </row>
    <row r="934" spans="1:8" hidden="1" x14ac:dyDescent="0.25">
      <c r="B934" s="23"/>
      <c r="C934" s="33"/>
      <c r="D934" s="24"/>
      <c r="E934" s="40"/>
      <c r="F934" s="40"/>
      <c r="G934" s="40"/>
      <c r="H934" s="40"/>
    </row>
    <row r="935" spans="1:8" ht="18.75" hidden="1" x14ac:dyDescent="0.3">
      <c r="A935" s="45" t="s">
        <v>131</v>
      </c>
      <c r="C935" s="33"/>
      <c r="D935" s="132">
        <f>'Facility Detail'!$B$1159</f>
        <v>2015</v>
      </c>
      <c r="E935" s="2">
        <f>D935+1</f>
        <v>2016</v>
      </c>
      <c r="F935" s="2">
        <f>E935+1</f>
        <v>2017</v>
      </c>
      <c r="G935" s="2">
        <f>F935+1</f>
        <v>2018</v>
      </c>
      <c r="H935" s="2">
        <f>G935+1</f>
        <v>2019</v>
      </c>
    </row>
    <row r="936" spans="1:8" hidden="1" x14ac:dyDescent="0.25">
      <c r="B936" s="67" t="s">
        <v>22</v>
      </c>
      <c r="C936" s="62"/>
      <c r="D936" s="51">
        <f>IF( $E534 = "Eligible", D933 * 'Facility Detail'!$B$1156, 0 )</f>
        <v>0</v>
      </c>
      <c r="E936" s="11">
        <f>IF( $E534 = "Eligible", E933 * 'Facility Detail'!$B$1156, 0 )</f>
        <v>0</v>
      </c>
      <c r="F936" s="121">
        <f>IF( $E534 = "Eligible", F933 * 'Facility Detail'!$B$1156, 0 )</f>
        <v>0</v>
      </c>
      <c r="G936" s="121">
        <f>IF( $E534 = "Eligible", G933 * 'Facility Detail'!$B$1156, 0 )</f>
        <v>0</v>
      </c>
      <c r="H936" s="12">
        <f>IF( $E534 = "Eligible", H933 * 'Facility Detail'!$B$1156, 0 )</f>
        <v>0</v>
      </c>
    </row>
    <row r="937" spans="1:8" hidden="1" x14ac:dyDescent="0.25">
      <c r="B937" s="67" t="s">
        <v>6</v>
      </c>
      <c r="C937" s="62"/>
      <c r="D937" s="52">
        <f>IF( $F534 = "Eligible", D933, 0 )</f>
        <v>0</v>
      </c>
      <c r="E937" s="53">
        <f>IF( $F534 = "Eligible", E933, 0 )</f>
        <v>0</v>
      </c>
      <c r="F937" s="122">
        <f>IF( $F534 = "Eligible", F933, 0 )</f>
        <v>0</v>
      </c>
      <c r="G937" s="122">
        <f>IF( $F534 = "Eligible", G933, 0 )</f>
        <v>0</v>
      </c>
      <c r="H937" s="54">
        <f>IF( $F534 = "Eligible", H933, 0 )</f>
        <v>0</v>
      </c>
    </row>
    <row r="938" spans="1:8" hidden="1" x14ac:dyDescent="0.25">
      <c r="B938" s="66" t="s">
        <v>133</v>
      </c>
      <c r="C938" s="65"/>
      <c r="D938" s="187">
        <f>SUM(D936:D937)</f>
        <v>0</v>
      </c>
      <c r="E938" s="41">
        <f>SUM(E936:E937)</f>
        <v>0</v>
      </c>
      <c r="F938" s="41">
        <f>SUM(F936:F937)</f>
        <v>0</v>
      </c>
      <c r="G938" s="41">
        <f>SUM(G936:G937)</f>
        <v>0</v>
      </c>
      <c r="H938" s="41">
        <f>SUM(H936:H937)</f>
        <v>0</v>
      </c>
    </row>
    <row r="939" spans="1:8" hidden="1" x14ac:dyDescent="0.25">
      <c r="B939" s="33"/>
      <c r="C939" s="33"/>
      <c r="D939" s="24"/>
      <c r="E939" s="34"/>
      <c r="F939" s="34"/>
      <c r="G939" s="34"/>
      <c r="H939" s="34"/>
    </row>
    <row r="940" spans="1:8" ht="18.75" hidden="1" x14ac:dyDescent="0.3">
      <c r="A940" s="42" t="s">
        <v>42</v>
      </c>
      <c r="C940" s="33"/>
      <c r="D940" s="132">
        <f>'Facility Detail'!$B$1159</f>
        <v>2015</v>
      </c>
      <c r="E940" s="2">
        <f>D940+1</f>
        <v>2016</v>
      </c>
      <c r="F940" s="2">
        <f>E940+1</f>
        <v>2017</v>
      </c>
      <c r="G940" s="2">
        <f>F940+1</f>
        <v>2018</v>
      </c>
      <c r="H940" s="2">
        <f>G940+1</f>
        <v>2019</v>
      </c>
    </row>
    <row r="941" spans="1:8" hidden="1" x14ac:dyDescent="0.25">
      <c r="B941" s="67" t="s">
        <v>59</v>
      </c>
      <c r="C941" s="62"/>
      <c r="D941" s="188"/>
      <c r="E941" s="4"/>
      <c r="F941" s="4"/>
      <c r="G941" s="4"/>
      <c r="H941" s="5"/>
    </row>
    <row r="942" spans="1:8" hidden="1" x14ac:dyDescent="0.25">
      <c r="B942" s="68" t="s">
        <v>35</v>
      </c>
      <c r="C942" s="69"/>
      <c r="D942" s="189"/>
      <c r="E942" s="151"/>
      <c r="F942" s="151"/>
      <c r="G942" s="151"/>
      <c r="H942" s="152"/>
    </row>
    <row r="943" spans="1:8" hidden="1" x14ac:dyDescent="0.25">
      <c r="B943" s="78" t="s">
        <v>101</v>
      </c>
      <c r="C943" s="77"/>
      <c r="D943" s="190"/>
      <c r="E943" s="153"/>
      <c r="F943" s="153"/>
      <c r="G943" s="153"/>
      <c r="H943" s="154"/>
    </row>
    <row r="944" spans="1:8" hidden="1" x14ac:dyDescent="0.25">
      <c r="B944" s="36" t="s">
        <v>102</v>
      </c>
      <c r="D944" s="144">
        <f>SUM(D941:D943)</f>
        <v>0</v>
      </c>
      <c r="E944" s="7">
        <f>SUM(E941:E943)</f>
        <v>0</v>
      </c>
      <c r="F944" s="7">
        <f>SUM(F941:F943)</f>
        <v>0</v>
      </c>
      <c r="G944" s="7"/>
      <c r="H944" s="7"/>
    </row>
    <row r="945" spans="1:8" hidden="1" x14ac:dyDescent="0.25">
      <c r="B945" s="6"/>
      <c r="D945" s="144"/>
      <c r="E945" s="7"/>
      <c r="F945" s="7"/>
      <c r="G945" s="7"/>
      <c r="H945" s="7"/>
    </row>
    <row r="946" spans="1:8" ht="18.75" hidden="1" x14ac:dyDescent="0.3">
      <c r="A946" s="9" t="s">
        <v>112</v>
      </c>
      <c r="D946" s="132">
        <f>'Facility Detail'!$B$1159</f>
        <v>2015</v>
      </c>
      <c r="E946" s="2">
        <f>D946+1</f>
        <v>2016</v>
      </c>
      <c r="F946" s="2">
        <f>E946+1</f>
        <v>2017</v>
      </c>
      <c r="G946" s="2">
        <f>F946+1</f>
        <v>2018</v>
      </c>
      <c r="H946" s="2">
        <f>G946+1</f>
        <v>2019</v>
      </c>
    </row>
    <row r="947" spans="1:8" hidden="1" x14ac:dyDescent="0.25">
      <c r="B947" s="67" t="str">
        <f xml:space="preserve"> 'Facility Detail'!$B$1159 &amp; " Surplus Applied to " &amp; ( 'Facility Detail'!$B$1159 + 1 )</f>
        <v>2015 Surplus Applied to 2016</v>
      </c>
      <c r="C947" s="62"/>
      <c r="D947" s="51">
        <f>D933+D938-D944</f>
        <v>0</v>
      </c>
      <c r="E947" s="55">
        <f>D947</f>
        <v>0</v>
      </c>
      <c r="F947" s="129"/>
      <c r="G947" s="129"/>
      <c r="H947" s="130"/>
    </row>
    <row r="948" spans="1:8" hidden="1" x14ac:dyDescent="0.25">
      <c r="B948" s="67" t="str">
        <f xml:space="preserve"> ( 'Facility Detail'!$B$1159 + 1 ) &amp; " Surplus Applied to " &amp; ( 'Facility Detail'!$B$1159 )</f>
        <v>2016 Surplus Applied to 2015</v>
      </c>
      <c r="C948" s="62"/>
      <c r="D948" s="148">
        <f>E948</f>
        <v>0</v>
      </c>
      <c r="E948" s="10">
        <v>0</v>
      </c>
      <c r="F948" s="125"/>
      <c r="G948" s="125"/>
      <c r="H948" s="131"/>
    </row>
    <row r="949" spans="1:8" hidden="1" x14ac:dyDescent="0.25">
      <c r="B949" s="67" t="str">
        <f xml:space="preserve"> ( 'Facility Detail'!$B$1159 + 1 ) &amp; " Surplus Applied to " &amp; ( 'Facility Detail'!$B$1159 + 2 )</f>
        <v>2016 Surplus Applied to 2017</v>
      </c>
      <c r="C949" s="62"/>
      <c r="D949" s="148"/>
      <c r="E949" s="10">
        <f>E933+E938-E944</f>
        <v>0</v>
      </c>
      <c r="F949" s="61">
        <f>+E949</f>
        <v>0</v>
      </c>
      <c r="G949" s="125"/>
      <c r="H949" s="131"/>
    </row>
    <row r="950" spans="1:8" hidden="1" x14ac:dyDescent="0.25">
      <c r="B950" s="67" t="str">
        <f xml:space="preserve"> ( 'Facility Detail'!$B$1159 + 2 ) &amp; " Surplus Applied to " &amp; ( 'Facility Detail'!$B$1159 + 1 )</f>
        <v>2017 Surplus Applied to 2016</v>
      </c>
      <c r="C950" s="62"/>
      <c r="D950" s="148"/>
      <c r="E950" s="61">
        <f>F950</f>
        <v>0</v>
      </c>
      <c r="F950" s="10">
        <v>0</v>
      </c>
      <c r="G950" s="125"/>
      <c r="H950" s="131"/>
    </row>
    <row r="951" spans="1:8" hidden="1" x14ac:dyDescent="0.25">
      <c r="B951" s="67"/>
      <c r="C951" s="33"/>
      <c r="D951" s="148"/>
      <c r="E951" s="125"/>
      <c r="F951" s="10">
        <f>F933+F938-F944</f>
        <v>0</v>
      </c>
      <c r="G951" s="61">
        <f>+F951</f>
        <v>0</v>
      </c>
      <c r="H951" s="131"/>
    </row>
    <row r="952" spans="1:8" hidden="1" x14ac:dyDescent="0.25">
      <c r="B952" s="67"/>
      <c r="C952" s="33"/>
      <c r="D952" s="148"/>
      <c r="E952" s="125"/>
      <c r="F952" s="61">
        <f>G952</f>
        <v>0</v>
      </c>
      <c r="G952" s="10">
        <v>0</v>
      </c>
      <c r="H952" s="131"/>
    </row>
    <row r="953" spans="1:8" hidden="1" x14ac:dyDescent="0.25">
      <c r="B953" s="67"/>
      <c r="C953" s="33"/>
      <c r="D953" s="148"/>
      <c r="E953" s="125"/>
      <c r="F953" s="125"/>
      <c r="G953" s="10">
        <f>G933+G938-G944</f>
        <v>0</v>
      </c>
      <c r="H953" s="56">
        <f>+G953</f>
        <v>0</v>
      </c>
    </row>
    <row r="954" spans="1:8" hidden="1" x14ac:dyDescent="0.25">
      <c r="B954" s="67"/>
      <c r="C954" s="33"/>
      <c r="D954" s="52"/>
      <c r="E954" s="128"/>
      <c r="F954" s="128"/>
      <c r="G954" s="57">
        <f>H954</f>
        <v>0</v>
      </c>
      <c r="H954" s="48">
        <v>0</v>
      </c>
    </row>
    <row r="955" spans="1:8" hidden="1" x14ac:dyDescent="0.25">
      <c r="B955" s="36" t="s">
        <v>29</v>
      </c>
      <c r="D955" s="144">
        <f xml:space="preserve"> D948 - D947</f>
        <v>0</v>
      </c>
      <c r="E955" s="7">
        <f xml:space="preserve"> E947 + E950 - E949 - E948</f>
        <v>0</v>
      </c>
      <c r="F955" s="7">
        <f>F949 - F950 - F951 + F952</f>
        <v>0</v>
      </c>
      <c r="G955" s="7">
        <f>G951  - G952 - G953  + G954</f>
        <v>0</v>
      </c>
      <c r="H955" s="7">
        <f>H953 - H954</f>
        <v>0</v>
      </c>
    </row>
    <row r="956" spans="1:8" hidden="1" x14ac:dyDescent="0.25">
      <c r="B956" s="6"/>
      <c r="D956" s="144"/>
      <c r="E956" s="7"/>
      <c r="F956" s="7"/>
      <c r="G956" s="7"/>
      <c r="H956" s="7"/>
    </row>
    <row r="957" spans="1:8" hidden="1" x14ac:dyDescent="0.25">
      <c r="B957" s="64" t="s">
        <v>24</v>
      </c>
      <c r="C957" s="62"/>
      <c r="D957" s="191"/>
      <c r="E957" s="85"/>
      <c r="F957" s="123"/>
      <c r="G957" s="123"/>
      <c r="H957" s="86"/>
    </row>
    <row r="958" spans="1:8" hidden="1" x14ac:dyDescent="0.25">
      <c r="B958" s="6"/>
      <c r="D958" s="144"/>
      <c r="E958" s="7"/>
      <c r="F958" s="7"/>
      <c r="G958" s="7"/>
      <c r="H958" s="7"/>
    </row>
    <row r="959" spans="1:8" ht="18.75" hidden="1" x14ac:dyDescent="0.3">
      <c r="A959" s="42" t="s">
        <v>38</v>
      </c>
      <c r="C959" s="62"/>
      <c r="D959" s="192">
        <f xml:space="preserve"> D933 + D938 - D944 + D955 + D957</f>
        <v>0</v>
      </c>
      <c r="E959" s="124">
        <f xml:space="preserve"> E933 + E938 - E944 + E955 + E957</f>
        <v>0</v>
      </c>
      <c r="F959" s="124">
        <f xml:space="preserve"> F933 + F938 - F944 + F955 + F957</f>
        <v>0</v>
      </c>
      <c r="G959" s="124"/>
      <c r="H959" s="46"/>
    </row>
    <row r="960" spans="1:8" hidden="1" x14ac:dyDescent="0.25">
      <c r="B960" s="6"/>
      <c r="D960" s="144"/>
      <c r="E960" s="7"/>
      <c r="F960" s="7"/>
      <c r="G960" s="32"/>
      <c r="H960" s="32"/>
    </row>
    <row r="961" spans="1:8" hidden="1" x14ac:dyDescent="0.25"/>
    <row r="962" spans="1:8" hidden="1" x14ac:dyDescent="0.25">
      <c r="A962" s="8"/>
      <c r="B962" s="8"/>
      <c r="C962" s="8"/>
      <c r="D962" s="184"/>
      <c r="E962" s="8"/>
      <c r="F962" s="8"/>
      <c r="G962" s="8"/>
      <c r="H962" s="8"/>
    </row>
    <row r="963" spans="1:8" hidden="1" x14ac:dyDescent="0.25">
      <c r="B963" s="33"/>
      <c r="C963" s="33"/>
      <c r="D963" s="23"/>
      <c r="E963" s="33"/>
      <c r="F963" s="33"/>
      <c r="G963" s="33"/>
      <c r="H963" s="33"/>
    </row>
    <row r="964" spans="1:8" ht="21" hidden="1" x14ac:dyDescent="0.35">
      <c r="A964" s="13" t="s">
        <v>4</v>
      </c>
      <c r="B964" s="13"/>
      <c r="C964" s="43" t="str">
        <f>B29</f>
        <v>Facility 26</v>
      </c>
      <c r="D964" s="44"/>
      <c r="E964" s="23"/>
      <c r="F964" s="23"/>
    </row>
    <row r="965" spans="1:8" hidden="1" x14ac:dyDescent="0.25"/>
    <row r="966" spans="1:8" ht="18.75" hidden="1" x14ac:dyDescent="0.3">
      <c r="A966" s="9" t="s">
        <v>33</v>
      </c>
      <c r="B966" s="9"/>
      <c r="D966" s="132">
        <f>'Facility Detail'!$B$1159</f>
        <v>2015</v>
      </c>
      <c r="E966" s="2">
        <f>D966+1</f>
        <v>2016</v>
      </c>
      <c r="F966" s="2">
        <f>E966+1</f>
        <v>2017</v>
      </c>
      <c r="G966" s="2">
        <f>F966+1</f>
        <v>2018</v>
      </c>
      <c r="H966" s="2">
        <f>G966+1</f>
        <v>2019</v>
      </c>
    </row>
    <row r="967" spans="1:8" hidden="1" x14ac:dyDescent="0.25">
      <c r="B967" s="67" t="str">
        <f>"Total MWh Produced / Purchased from " &amp; C964</f>
        <v>Total MWh Produced / Purchased from Facility 26</v>
      </c>
      <c r="C967" s="62"/>
      <c r="D967" s="51"/>
      <c r="E967" s="4"/>
      <c r="F967" s="4"/>
      <c r="G967" s="4"/>
      <c r="H967" s="5"/>
    </row>
    <row r="968" spans="1:8" hidden="1" x14ac:dyDescent="0.25">
      <c r="B968" s="67" t="s">
        <v>37</v>
      </c>
      <c r="C968" s="62"/>
      <c r="D968" s="185"/>
      <c r="E968" s="146"/>
      <c r="F968" s="146"/>
      <c r="G968" s="146"/>
      <c r="H968" s="147"/>
    </row>
    <row r="969" spans="1:8" hidden="1" x14ac:dyDescent="0.25">
      <c r="B969" s="67" t="s">
        <v>32</v>
      </c>
      <c r="C969" s="62"/>
      <c r="D969" s="186"/>
      <c r="E969" s="49"/>
      <c r="F969" s="49"/>
      <c r="G969" s="49"/>
      <c r="H969" s="50"/>
    </row>
    <row r="970" spans="1:8" hidden="1" x14ac:dyDescent="0.25">
      <c r="B970" s="64" t="s">
        <v>34</v>
      </c>
      <c r="C970" s="65"/>
      <c r="D970" s="187">
        <f xml:space="preserve"> D967 * D968 * D969</f>
        <v>0</v>
      </c>
      <c r="E970" s="145">
        <f xml:space="preserve"> E967 * E968 * E969</f>
        <v>0</v>
      </c>
      <c r="F970" s="145">
        <f xml:space="preserve"> F967 * F968 * F969</f>
        <v>0</v>
      </c>
      <c r="G970" s="145"/>
      <c r="H970" s="145"/>
    </row>
    <row r="971" spans="1:8" hidden="1" x14ac:dyDescent="0.25">
      <c r="B971" s="23"/>
      <c r="C971" s="33"/>
      <c r="D971" s="24"/>
      <c r="E971" s="40"/>
      <c r="F971" s="40"/>
      <c r="G971" s="40"/>
      <c r="H971" s="40"/>
    </row>
    <row r="972" spans="1:8" ht="18.75" hidden="1" x14ac:dyDescent="0.3">
      <c r="A972" s="45" t="s">
        <v>131</v>
      </c>
      <c r="C972" s="33"/>
      <c r="D972" s="132">
        <f>'Facility Detail'!$B$1159</f>
        <v>2015</v>
      </c>
      <c r="E972" s="2">
        <f>D972+1</f>
        <v>2016</v>
      </c>
      <c r="F972" s="2">
        <f>E972+1</f>
        <v>2017</v>
      </c>
      <c r="G972" s="2">
        <f>F972+1</f>
        <v>2018</v>
      </c>
      <c r="H972" s="2">
        <f>G972+1</f>
        <v>2019</v>
      </c>
    </row>
    <row r="973" spans="1:8" hidden="1" x14ac:dyDescent="0.25">
      <c r="B973" s="67" t="s">
        <v>22</v>
      </c>
      <c r="C973" s="62"/>
      <c r="D973" s="51">
        <f>IF( $E572 = "Eligible", D970 * 'Facility Detail'!$B$1156, 0 )</f>
        <v>0</v>
      </c>
      <c r="E973" s="11">
        <f>IF( $E572 = "Eligible", E970 * 'Facility Detail'!$B$1156, 0 )</f>
        <v>0</v>
      </c>
      <c r="F973" s="121">
        <f>IF( $E572 = "Eligible", F970 * 'Facility Detail'!$B$1156, 0 )</f>
        <v>0</v>
      </c>
      <c r="G973" s="121">
        <f>IF( $E572 = "Eligible", G970 * 'Facility Detail'!$B$1156, 0 )</f>
        <v>0</v>
      </c>
      <c r="H973" s="12">
        <f>IF( $E572 = "Eligible", H970 * 'Facility Detail'!$B$1156, 0 )</f>
        <v>0</v>
      </c>
    </row>
    <row r="974" spans="1:8" hidden="1" x14ac:dyDescent="0.25">
      <c r="B974" s="67" t="s">
        <v>6</v>
      </c>
      <c r="C974" s="62"/>
      <c r="D974" s="52">
        <f>IF( $F572 = "Eligible", D970, 0 )</f>
        <v>0</v>
      </c>
      <c r="E974" s="53">
        <f>IF( $F572 = "Eligible", E970, 0 )</f>
        <v>0</v>
      </c>
      <c r="F974" s="122">
        <f>IF( $F572 = "Eligible", F970, 0 )</f>
        <v>0</v>
      </c>
      <c r="G974" s="122">
        <f>IF( $F572 = "Eligible", G970, 0 )</f>
        <v>0</v>
      </c>
      <c r="H974" s="54">
        <f>IF( $F572 = "Eligible", H970, 0 )</f>
        <v>0</v>
      </c>
    </row>
    <row r="975" spans="1:8" hidden="1" x14ac:dyDescent="0.25">
      <c r="B975" s="66" t="s">
        <v>133</v>
      </c>
      <c r="C975" s="65"/>
      <c r="D975" s="187">
        <f>SUM(D973:D974)</f>
        <v>0</v>
      </c>
      <c r="E975" s="41">
        <f>SUM(E973:E974)</f>
        <v>0</v>
      </c>
      <c r="F975" s="41">
        <f>SUM(F973:F974)</f>
        <v>0</v>
      </c>
      <c r="G975" s="41">
        <f>SUM(G973:G974)</f>
        <v>0</v>
      </c>
      <c r="H975" s="41">
        <f>SUM(H973:H974)</f>
        <v>0</v>
      </c>
    </row>
    <row r="976" spans="1:8" hidden="1" x14ac:dyDescent="0.25">
      <c r="B976" s="33"/>
      <c r="C976" s="33"/>
      <c r="D976" s="24"/>
      <c r="E976" s="34"/>
      <c r="F976" s="34"/>
      <c r="G976" s="34"/>
      <c r="H976" s="34"/>
    </row>
    <row r="977" spans="1:8" ht="18.75" hidden="1" x14ac:dyDescent="0.3">
      <c r="A977" s="42" t="s">
        <v>42</v>
      </c>
      <c r="C977" s="33"/>
      <c r="D977" s="132">
        <f>'Facility Detail'!$B$1159</f>
        <v>2015</v>
      </c>
      <c r="E977" s="2">
        <f>D977+1</f>
        <v>2016</v>
      </c>
      <c r="F977" s="2">
        <f>E977+1</f>
        <v>2017</v>
      </c>
      <c r="G977" s="2">
        <f>F977+1</f>
        <v>2018</v>
      </c>
      <c r="H977" s="2">
        <f>G977+1</f>
        <v>2019</v>
      </c>
    </row>
    <row r="978" spans="1:8" hidden="1" x14ac:dyDescent="0.25">
      <c r="B978" s="67" t="s">
        <v>59</v>
      </c>
      <c r="C978" s="62"/>
      <c r="D978" s="188"/>
      <c r="E978" s="4"/>
      <c r="F978" s="4"/>
      <c r="G978" s="4"/>
      <c r="H978" s="5"/>
    </row>
    <row r="979" spans="1:8" hidden="1" x14ac:dyDescent="0.25">
      <c r="B979" s="68" t="s">
        <v>35</v>
      </c>
      <c r="C979" s="69"/>
      <c r="D979" s="189"/>
      <c r="E979" s="151"/>
      <c r="F979" s="151"/>
      <c r="G979" s="151"/>
      <c r="H979" s="152"/>
    </row>
    <row r="980" spans="1:8" hidden="1" x14ac:dyDescent="0.25">
      <c r="B980" s="78" t="s">
        <v>101</v>
      </c>
      <c r="C980" s="77"/>
      <c r="D980" s="190"/>
      <c r="E980" s="153"/>
      <c r="F980" s="153"/>
      <c r="G980" s="153"/>
      <c r="H980" s="154"/>
    </row>
    <row r="981" spans="1:8" hidden="1" x14ac:dyDescent="0.25">
      <c r="B981" s="36" t="s">
        <v>102</v>
      </c>
      <c r="D981" s="144">
        <f>SUM(D978:D980)</f>
        <v>0</v>
      </c>
      <c r="E981" s="7">
        <f>SUM(E978:E980)</f>
        <v>0</v>
      </c>
      <c r="F981" s="7">
        <f>SUM(F978:F980)</f>
        <v>0</v>
      </c>
      <c r="G981" s="7"/>
      <c r="H981" s="7"/>
    </row>
    <row r="982" spans="1:8" hidden="1" x14ac:dyDescent="0.25">
      <c r="B982" s="6"/>
      <c r="D982" s="144"/>
      <c r="E982" s="7"/>
      <c r="F982" s="7"/>
      <c r="G982" s="7"/>
      <c r="H982" s="7"/>
    </row>
    <row r="983" spans="1:8" ht="18.75" hidden="1" x14ac:dyDescent="0.3">
      <c r="A983" s="9" t="s">
        <v>112</v>
      </c>
      <c r="D983" s="132">
        <f>'Facility Detail'!$B$1159</f>
        <v>2015</v>
      </c>
      <c r="E983" s="2">
        <f>D983+1</f>
        <v>2016</v>
      </c>
      <c r="F983" s="2">
        <f>E983+1</f>
        <v>2017</v>
      </c>
      <c r="G983" s="2">
        <f>F983+1</f>
        <v>2018</v>
      </c>
      <c r="H983" s="2">
        <f>G983+1</f>
        <v>2019</v>
      </c>
    </row>
    <row r="984" spans="1:8" hidden="1" x14ac:dyDescent="0.25">
      <c r="B984" s="67" t="str">
        <f xml:space="preserve"> 'Facility Detail'!$B$1159 &amp; " Surplus Applied to " &amp; ( 'Facility Detail'!$B$1159 + 1 )</f>
        <v>2015 Surplus Applied to 2016</v>
      </c>
      <c r="C984" s="62"/>
      <c r="D984" s="51">
        <f>D970+D975-D981</f>
        <v>0</v>
      </c>
      <c r="E984" s="55">
        <f>D984</f>
        <v>0</v>
      </c>
      <c r="F984" s="129"/>
      <c r="G984" s="129"/>
      <c r="H984" s="130"/>
    </row>
    <row r="985" spans="1:8" hidden="1" x14ac:dyDescent="0.25">
      <c r="B985" s="67" t="str">
        <f xml:space="preserve"> ( 'Facility Detail'!$B$1159 + 1 ) &amp; " Surplus Applied to " &amp; ( 'Facility Detail'!$B$1159 )</f>
        <v>2016 Surplus Applied to 2015</v>
      </c>
      <c r="C985" s="62"/>
      <c r="D985" s="148">
        <f>E985</f>
        <v>0</v>
      </c>
      <c r="E985" s="10">
        <v>0</v>
      </c>
      <c r="F985" s="125"/>
      <c r="G985" s="125"/>
      <c r="H985" s="131"/>
    </row>
    <row r="986" spans="1:8" hidden="1" x14ac:dyDescent="0.25">
      <c r="B986" s="67" t="str">
        <f xml:space="preserve"> ( 'Facility Detail'!$B$1159 + 1 ) &amp; " Surplus Applied to " &amp; ( 'Facility Detail'!$B$1159 + 2 )</f>
        <v>2016 Surplus Applied to 2017</v>
      </c>
      <c r="C986" s="62"/>
      <c r="D986" s="148"/>
      <c r="E986" s="10">
        <f>E970+E975-E981</f>
        <v>0</v>
      </c>
      <c r="F986" s="61">
        <f>+E986</f>
        <v>0</v>
      </c>
      <c r="G986" s="125"/>
      <c r="H986" s="131"/>
    </row>
    <row r="987" spans="1:8" hidden="1" x14ac:dyDescent="0.25">
      <c r="B987" s="67" t="str">
        <f xml:space="preserve"> ( 'Facility Detail'!$B$1159 + 2 ) &amp; " Surplus Applied to " &amp; ( 'Facility Detail'!$B$1159 + 1 )</f>
        <v>2017 Surplus Applied to 2016</v>
      </c>
      <c r="C987" s="62"/>
      <c r="D987" s="148"/>
      <c r="E987" s="61">
        <f>F987</f>
        <v>0</v>
      </c>
      <c r="F987" s="10">
        <v>0</v>
      </c>
      <c r="G987" s="125"/>
      <c r="H987" s="131"/>
    </row>
    <row r="988" spans="1:8" hidden="1" x14ac:dyDescent="0.25">
      <c r="B988" s="67"/>
      <c r="C988" s="33"/>
      <c r="D988" s="148"/>
      <c r="E988" s="125"/>
      <c r="F988" s="10">
        <f>F970+F975-F981</f>
        <v>0</v>
      </c>
      <c r="G988" s="61">
        <f>+F988</f>
        <v>0</v>
      </c>
      <c r="H988" s="131"/>
    </row>
    <row r="989" spans="1:8" hidden="1" x14ac:dyDescent="0.25">
      <c r="B989" s="67"/>
      <c r="C989" s="33"/>
      <c r="D989" s="148"/>
      <c r="E989" s="125"/>
      <c r="F989" s="61">
        <f>G989</f>
        <v>0</v>
      </c>
      <c r="G989" s="10">
        <v>0</v>
      </c>
      <c r="H989" s="131"/>
    </row>
    <row r="990" spans="1:8" hidden="1" x14ac:dyDescent="0.25">
      <c r="B990" s="67"/>
      <c r="C990" s="33"/>
      <c r="D990" s="148"/>
      <c r="E990" s="125"/>
      <c r="F990" s="125"/>
      <c r="G990" s="10">
        <f>G970+G975-G981</f>
        <v>0</v>
      </c>
      <c r="H990" s="56">
        <f>+G990</f>
        <v>0</v>
      </c>
    </row>
    <row r="991" spans="1:8" hidden="1" x14ac:dyDescent="0.25">
      <c r="B991" s="67"/>
      <c r="C991" s="33"/>
      <c r="D991" s="52"/>
      <c r="E991" s="128"/>
      <c r="F991" s="128"/>
      <c r="G991" s="57">
        <f>H991</f>
        <v>0</v>
      </c>
      <c r="H991" s="48">
        <v>0</v>
      </c>
    </row>
    <row r="992" spans="1:8" hidden="1" x14ac:dyDescent="0.25">
      <c r="B992" s="36" t="s">
        <v>29</v>
      </c>
      <c r="D992" s="144">
        <f xml:space="preserve"> D985 - D984</f>
        <v>0</v>
      </c>
      <c r="E992" s="7">
        <f xml:space="preserve"> E984 + E987 - E986 - E985</f>
        <v>0</v>
      </c>
      <c r="F992" s="7">
        <f>F986 - F987 - F988 + F989</f>
        <v>0</v>
      </c>
      <c r="G992" s="7">
        <f>G988  - G989 - G990  + G991</f>
        <v>0</v>
      </c>
      <c r="H992" s="7">
        <f>H990 - H991</f>
        <v>0</v>
      </c>
    </row>
    <row r="993" spans="1:8" hidden="1" x14ac:dyDescent="0.25">
      <c r="B993" s="6"/>
      <c r="D993" s="144"/>
      <c r="E993" s="7"/>
      <c r="F993" s="7"/>
      <c r="G993" s="7"/>
      <c r="H993" s="7"/>
    </row>
    <row r="994" spans="1:8" hidden="1" x14ac:dyDescent="0.25">
      <c r="B994" s="64" t="s">
        <v>24</v>
      </c>
      <c r="C994" s="62"/>
      <c r="D994" s="191"/>
      <c r="E994" s="85"/>
      <c r="F994" s="123"/>
      <c r="G994" s="123"/>
      <c r="H994" s="86"/>
    </row>
    <row r="995" spans="1:8" hidden="1" x14ac:dyDescent="0.25">
      <c r="B995" s="6"/>
      <c r="D995" s="144"/>
      <c r="E995" s="7"/>
      <c r="F995" s="7"/>
      <c r="G995" s="7"/>
      <c r="H995" s="7"/>
    </row>
    <row r="996" spans="1:8" ht="18.75" hidden="1" x14ac:dyDescent="0.3">
      <c r="A996" s="42" t="s">
        <v>38</v>
      </c>
      <c r="C996" s="62"/>
      <c r="D996" s="192">
        <f xml:space="preserve"> D970 + D975 - D981 + D992 + D994</f>
        <v>0</v>
      </c>
      <c r="E996" s="124">
        <f xml:space="preserve"> E970 + E975 - E981 + E992 + E994</f>
        <v>0</v>
      </c>
      <c r="F996" s="124">
        <f xml:space="preserve"> F970 + F975 - F981 + F992 + F994</f>
        <v>0</v>
      </c>
      <c r="G996" s="124"/>
      <c r="H996" s="46"/>
    </row>
    <row r="997" spans="1:8" hidden="1" x14ac:dyDescent="0.25">
      <c r="B997" s="6"/>
      <c r="D997" s="144"/>
      <c r="E997" s="7"/>
      <c r="F997" s="7"/>
      <c r="G997" s="32"/>
      <c r="H997" s="32"/>
    </row>
    <row r="998" spans="1:8" hidden="1" x14ac:dyDescent="0.25"/>
    <row r="999" spans="1:8" hidden="1" x14ac:dyDescent="0.25">
      <c r="A999" s="8"/>
      <c r="B999" s="8"/>
      <c r="C999" s="8"/>
      <c r="D999" s="184"/>
      <c r="E999" s="8"/>
      <c r="F999" s="8"/>
      <c r="G999" s="8"/>
      <c r="H999" s="8"/>
    </row>
    <row r="1000" spans="1:8" hidden="1" x14ac:dyDescent="0.25">
      <c r="B1000" s="33"/>
      <c r="C1000" s="33"/>
      <c r="D1000" s="23"/>
      <c r="E1000" s="33"/>
      <c r="F1000" s="33"/>
      <c r="G1000" s="33"/>
      <c r="H1000" s="33"/>
    </row>
    <row r="1001" spans="1:8" ht="21" hidden="1" x14ac:dyDescent="0.35">
      <c r="A1001" s="13" t="s">
        <v>4</v>
      </c>
      <c r="B1001" s="13"/>
      <c r="C1001" s="43" t="str">
        <f>B30</f>
        <v>Facility 27</v>
      </c>
      <c r="D1001" s="44"/>
      <c r="E1001" s="23"/>
      <c r="F1001" s="23"/>
    </row>
    <row r="1002" spans="1:8" hidden="1" x14ac:dyDescent="0.25"/>
    <row r="1003" spans="1:8" ht="18.75" hidden="1" x14ac:dyDescent="0.3">
      <c r="A1003" s="9" t="s">
        <v>33</v>
      </c>
      <c r="B1003" s="9"/>
      <c r="D1003" s="132">
        <f>'Facility Detail'!$B$1159</f>
        <v>2015</v>
      </c>
      <c r="E1003" s="2">
        <f>D1003+1</f>
        <v>2016</v>
      </c>
      <c r="F1003" s="2">
        <f>E1003+1</f>
        <v>2017</v>
      </c>
      <c r="G1003" s="2">
        <f>F1003+1</f>
        <v>2018</v>
      </c>
      <c r="H1003" s="2">
        <f>G1003+1</f>
        <v>2019</v>
      </c>
    </row>
    <row r="1004" spans="1:8" hidden="1" x14ac:dyDescent="0.25">
      <c r="B1004" s="67" t="str">
        <f>"Total MWh Produced / Purchased from " &amp; C1001</f>
        <v>Total MWh Produced / Purchased from Facility 27</v>
      </c>
      <c r="C1004" s="62"/>
      <c r="D1004" s="51"/>
      <c r="E1004" s="4"/>
      <c r="F1004" s="4"/>
      <c r="G1004" s="4"/>
      <c r="H1004" s="5"/>
    </row>
    <row r="1005" spans="1:8" hidden="1" x14ac:dyDescent="0.25">
      <c r="B1005" s="67" t="s">
        <v>37</v>
      </c>
      <c r="C1005" s="62"/>
      <c r="D1005" s="185"/>
      <c r="E1005" s="146"/>
      <c r="F1005" s="146"/>
      <c r="G1005" s="146"/>
      <c r="H1005" s="147"/>
    </row>
    <row r="1006" spans="1:8" hidden="1" x14ac:dyDescent="0.25">
      <c r="B1006" s="67" t="s">
        <v>32</v>
      </c>
      <c r="C1006" s="62"/>
      <c r="D1006" s="186"/>
      <c r="E1006" s="49"/>
      <c r="F1006" s="49"/>
      <c r="G1006" s="49"/>
      <c r="H1006" s="50"/>
    </row>
    <row r="1007" spans="1:8" hidden="1" x14ac:dyDescent="0.25">
      <c r="B1007" s="64" t="s">
        <v>34</v>
      </c>
      <c r="C1007" s="65"/>
      <c r="D1007" s="187">
        <f xml:space="preserve"> D1004 * D1005 * D1006</f>
        <v>0</v>
      </c>
      <c r="E1007" s="145">
        <f xml:space="preserve"> E1004 * E1005 * E1006</f>
        <v>0</v>
      </c>
      <c r="F1007" s="145">
        <f xml:space="preserve"> F1004 * F1005 * F1006</f>
        <v>0</v>
      </c>
      <c r="G1007" s="145"/>
      <c r="H1007" s="145"/>
    </row>
    <row r="1008" spans="1:8" hidden="1" x14ac:dyDescent="0.25">
      <c r="B1008" s="23"/>
      <c r="C1008" s="33"/>
      <c r="D1008" s="24"/>
      <c r="E1008" s="40"/>
      <c r="F1008" s="40"/>
      <c r="G1008" s="40"/>
      <c r="H1008" s="40"/>
    </row>
    <row r="1009" spans="1:8" ht="18.75" hidden="1" x14ac:dyDescent="0.3">
      <c r="A1009" s="45" t="s">
        <v>131</v>
      </c>
      <c r="C1009" s="33"/>
      <c r="D1009" s="132">
        <f>'Facility Detail'!$B$1159</f>
        <v>2015</v>
      </c>
      <c r="E1009" s="2">
        <f>D1009+1</f>
        <v>2016</v>
      </c>
      <c r="F1009" s="2">
        <f>E1009+1</f>
        <v>2017</v>
      </c>
      <c r="G1009" s="2">
        <f>F1009+1</f>
        <v>2018</v>
      </c>
      <c r="H1009" s="2">
        <f>G1009+1</f>
        <v>2019</v>
      </c>
    </row>
    <row r="1010" spans="1:8" hidden="1" x14ac:dyDescent="0.25">
      <c r="B1010" s="67" t="s">
        <v>22</v>
      </c>
      <c r="C1010" s="62"/>
      <c r="D1010" s="51">
        <f>IF( $E609 = "Eligible", D1007 * 'Facility Detail'!$B$1156, 0 )</f>
        <v>0</v>
      </c>
      <c r="E1010" s="11">
        <f>IF( $E609 = "Eligible", E1007 * 'Facility Detail'!$B$1156, 0 )</f>
        <v>0</v>
      </c>
      <c r="F1010" s="121">
        <f>IF( $E609 = "Eligible", F1007 * 'Facility Detail'!$B$1156, 0 )</f>
        <v>0</v>
      </c>
      <c r="G1010" s="121">
        <f>IF( $E609 = "Eligible", G1007 * 'Facility Detail'!$B$1156, 0 )</f>
        <v>0</v>
      </c>
      <c r="H1010" s="12">
        <f>IF( $E609 = "Eligible", H1007 * 'Facility Detail'!$B$1156, 0 )</f>
        <v>0</v>
      </c>
    </row>
    <row r="1011" spans="1:8" hidden="1" x14ac:dyDescent="0.25">
      <c r="B1011" s="67" t="s">
        <v>6</v>
      </c>
      <c r="C1011" s="62"/>
      <c r="D1011" s="52">
        <f>IF( $F609 = "Eligible", D1007, 0 )</f>
        <v>0</v>
      </c>
      <c r="E1011" s="53">
        <f>IF( $F609 = "Eligible", E1007, 0 )</f>
        <v>0</v>
      </c>
      <c r="F1011" s="122">
        <f>IF( $F609 = "Eligible", F1007, 0 )</f>
        <v>0</v>
      </c>
      <c r="G1011" s="122">
        <f>IF( $F609 = "Eligible", G1007, 0 )</f>
        <v>0</v>
      </c>
      <c r="H1011" s="54">
        <f>IF( $F609 = "Eligible", H1007, 0 )</f>
        <v>0</v>
      </c>
    </row>
    <row r="1012" spans="1:8" hidden="1" x14ac:dyDescent="0.25">
      <c r="B1012" s="66" t="s">
        <v>133</v>
      </c>
      <c r="C1012" s="65"/>
      <c r="D1012" s="187">
        <f>SUM(D1010:D1011)</f>
        <v>0</v>
      </c>
      <c r="E1012" s="41">
        <f>SUM(E1010:E1011)</f>
        <v>0</v>
      </c>
      <c r="F1012" s="41">
        <f>SUM(F1010:F1011)</f>
        <v>0</v>
      </c>
      <c r="G1012" s="41">
        <f>SUM(G1010:G1011)</f>
        <v>0</v>
      </c>
      <c r="H1012" s="41">
        <f>SUM(H1010:H1011)</f>
        <v>0</v>
      </c>
    </row>
    <row r="1013" spans="1:8" hidden="1" x14ac:dyDescent="0.25">
      <c r="B1013" s="33"/>
      <c r="C1013" s="33"/>
      <c r="D1013" s="24"/>
      <c r="E1013" s="34"/>
      <c r="F1013" s="34"/>
      <c r="G1013" s="34"/>
      <c r="H1013" s="34"/>
    </row>
    <row r="1014" spans="1:8" ht="18.75" hidden="1" x14ac:dyDescent="0.3">
      <c r="A1014" s="42" t="s">
        <v>42</v>
      </c>
      <c r="C1014" s="33"/>
      <c r="D1014" s="132">
        <f>'Facility Detail'!$B$1159</f>
        <v>2015</v>
      </c>
      <c r="E1014" s="2">
        <f>D1014+1</f>
        <v>2016</v>
      </c>
      <c r="F1014" s="2">
        <f>E1014+1</f>
        <v>2017</v>
      </c>
      <c r="G1014" s="2">
        <f>F1014+1</f>
        <v>2018</v>
      </c>
      <c r="H1014" s="2">
        <f>G1014+1</f>
        <v>2019</v>
      </c>
    </row>
    <row r="1015" spans="1:8" hidden="1" x14ac:dyDescent="0.25">
      <c r="B1015" s="67" t="s">
        <v>59</v>
      </c>
      <c r="C1015" s="62"/>
      <c r="D1015" s="188"/>
      <c r="E1015" s="4"/>
      <c r="F1015" s="4"/>
      <c r="G1015" s="4"/>
      <c r="H1015" s="5"/>
    </row>
    <row r="1016" spans="1:8" hidden="1" x14ac:dyDescent="0.25">
      <c r="B1016" s="68" t="s">
        <v>35</v>
      </c>
      <c r="C1016" s="69"/>
      <c r="D1016" s="189"/>
      <c r="E1016" s="151"/>
      <c r="F1016" s="151"/>
      <c r="G1016" s="151"/>
      <c r="H1016" s="152"/>
    </row>
    <row r="1017" spans="1:8" hidden="1" x14ac:dyDescent="0.25">
      <c r="B1017" s="78" t="s">
        <v>101</v>
      </c>
      <c r="C1017" s="77"/>
      <c r="D1017" s="190"/>
      <c r="E1017" s="153"/>
      <c r="F1017" s="153"/>
      <c r="G1017" s="153"/>
      <c r="H1017" s="154"/>
    </row>
    <row r="1018" spans="1:8" hidden="1" x14ac:dyDescent="0.25">
      <c r="B1018" s="36" t="s">
        <v>102</v>
      </c>
      <c r="D1018" s="144">
        <f>SUM(D1015:D1017)</f>
        <v>0</v>
      </c>
      <c r="E1018" s="7">
        <f>SUM(E1015:E1017)</f>
        <v>0</v>
      </c>
      <c r="F1018" s="7">
        <f>SUM(F1015:F1017)</f>
        <v>0</v>
      </c>
      <c r="G1018" s="7"/>
      <c r="H1018" s="7"/>
    </row>
    <row r="1019" spans="1:8" hidden="1" x14ac:dyDescent="0.25">
      <c r="B1019" s="6"/>
      <c r="D1019" s="144"/>
      <c r="E1019" s="7"/>
      <c r="F1019" s="7"/>
      <c r="G1019" s="7"/>
      <c r="H1019" s="7"/>
    </row>
    <row r="1020" spans="1:8" ht="18.75" hidden="1" x14ac:dyDescent="0.3">
      <c r="A1020" s="9" t="s">
        <v>112</v>
      </c>
      <c r="D1020" s="132">
        <f>'Facility Detail'!$B$1159</f>
        <v>2015</v>
      </c>
      <c r="E1020" s="2">
        <f>D1020+1</f>
        <v>2016</v>
      </c>
      <c r="F1020" s="2">
        <f>E1020+1</f>
        <v>2017</v>
      </c>
      <c r="G1020" s="2">
        <f>F1020+1</f>
        <v>2018</v>
      </c>
      <c r="H1020" s="2">
        <f>G1020+1</f>
        <v>2019</v>
      </c>
    </row>
    <row r="1021" spans="1:8" hidden="1" x14ac:dyDescent="0.25">
      <c r="B1021" s="67" t="str">
        <f xml:space="preserve"> 'Facility Detail'!$B$1159 &amp; " Surplus Applied to " &amp; ( 'Facility Detail'!$B$1159 + 1 )</f>
        <v>2015 Surplus Applied to 2016</v>
      </c>
      <c r="C1021" s="62"/>
      <c r="D1021" s="51">
        <f>D1007+D1012-D1018</f>
        <v>0</v>
      </c>
      <c r="E1021" s="55">
        <f>D1021</f>
        <v>0</v>
      </c>
      <c r="F1021" s="129"/>
      <c r="G1021" s="129"/>
      <c r="H1021" s="130"/>
    </row>
    <row r="1022" spans="1:8" hidden="1" x14ac:dyDescent="0.25">
      <c r="B1022" s="67" t="str">
        <f xml:space="preserve"> ( 'Facility Detail'!$B$1159 + 1 ) &amp; " Surplus Applied to " &amp; ( 'Facility Detail'!$B$1159 )</f>
        <v>2016 Surplus Applied to 2015</v>
      </c>
      <c r="C1022" s="62"/>
      <c r="D1022" s="148">
        <f>E1022</f>
        <v>0</v>
      </c>
      <c r="E1022" s="10">
        <v>0</v>
      </c>
      <c r="F1022" s="125"/>
      <c r="G1022" s="125"/>
      <c r="H1022" s="131"/>
    </row>
    <row r="1023" spans="1:8" hidden="1" x14ac:dyDescent="0.25">
      <c r="B1023" s="67" t="str">
        <f xml:space="preserve"> ( 'Facility Detail'!$B$1159 + 1 ) &amp; " Surplus Applied to " &amp; ( 'Facility Detail'!$B$1159 + 2 )</f>
        <v>2016 Surplus Applied to 2017</v>
      </c>
      <c r="C1023" s="62"/>
      <c r="D1023" s="148"/>
      <c r="E1023" s="10">
        <f>E1007+E1012-E1018</f>
        <v>0</v>
      </c>
      <c r="F1023" s="61">
        <f>+E1023</f>
        <v>0</v>
      </c>
      <c r="G1023" s="125"/>
      <c r="H1023" s="131"/>
    </row>
    <row r="1024" spans="1:8" hidden="1" x14ac:dyDescent="0.25">
      <c r="B1024" s="67" t="str">
        <f xml:space="preserve"> ( 'Facility Detail'!$B$1159 + 2 ) &amp; " Surplus Applied to " &amp; ( 'Facility Detail'!$B$1159 + 1 )</f>
        <v>2017 Surplus Applied to 2016</v>
      </c>
      <c r="C1024" s="62"/>
      <c r="D1024" s="148"/>
      <c r="E1024" s="61">
        <f>F1024</f>
        <v>0</v>
      </c>
      <c r="F1024" s="10">
        <v>0</v>
      </c>
      <c r="G1024" s="125"/>
      <c r="H1024" s="131"/>
    </row>
    <row r="1025" spans="1:8" hidden="1" x14ac:dyDescent="0.25">
      <c r="B1025" s="67"/>
      <c r="C1025" s="33"/>
      <c r="D1025" s="148"/>
      <c r="E1025" s="125"/>
      <c r="F1025" s="10">
        <f>F1007+F1012-F1018</f>
        <v>0</v>
      </c>
      <c r="G1025" s="61">
        <f>+F1025</f>
        <v>0</v>
      </c>
      <c r="H1025" s="131"/>
    </row>
    <row r="1026" spans="1:8" hidden="1" x14ac:dyDescent="0.25">
      <c r="B1026" s="67"/>
      <c r="C1026" s="33"/>
      <c r="D1026" s="148"/>
      <c r="E1026" s="125"/>
      <c r="F1026" s="61">
        <f>G1026</f>
        <v>0</v>
      </c>
      <c r="G1026" s="10">
        <v>0</v>
      </c>
      <c r="H1026" s="131"/>
    </row>
    <row r="1027" spans="1:8" hidden="1" x14ac:dyDescent="0.25">
      <c r="B1027" s="67"/>
      <c r="C1027" s="33"/>
      <c r="D1027" s="148"/>
      <c r="E1027" s="125"/>
      <c r="F1027" s="125"/>
      <c r="G1027" s="10">
        <f>G1007+G1012-G1018</f>
        <v>0</v>
      </c>
      <c r="H1027" s="56">
        <f>+G1027</f>
        <v>0</v>
      </c>
    </row>
    <row r="1028" spans="1:8" hidden="1" x14ac:dyDescent="0.25">
      <c r="B1028" s="67"/>
      <c r="C1028" s="33"/>
      <c r="D1028" s="52"/>
      <c r="E1028" s="128"/>
      <c r="F1028" s="128"/>
      <c r="G1028" s="57">
        <f>H1028</f>
        <v>0</v>
      </c>
      <c r="H1028" s="48">
        <v>0</v>
      </c>
    </row>
    <row r="1029" spans="1:8" hidden="1" x14ac:dyDescent="0.25">
      <c r="B1029" s="36" t="s">
        <v>29</v>
      </c>
      <c r="D1029" s="144">
        <f xml:space="preserve"> D1022 - D1021</f>
        <v>0</v>
      </c>
      <c r="E1029" s="7">
        <f xml:space="preserve"> E1021 + E1024 - E1023 - E1022</f>
        <v>0</v>
      </c>
      <c r="F1029" s="7">
        <f>F1023 - F1024 - F1025 + F1026</f>
        <v>0</v>
      </c>
      <c r="G1029" s="7">
        <f>G1025  - G1026 - G1027  + G1028</f>
        <v>0</v>
      </c>
      <c r="H1029" s="7">
        <f>H1027 - H1028</f>
        <v>0</v>
      </c>
    </row>
    <row r="1030" spans="1:8" hidden="1" x14ac:dyDescent="0.25">
      <c r="B1030" s="6"/>
      <c r="D1030" s="144"/>
      <c r="E1030" s="7"/>
      <c r="F1030" s="7"/>
      <c r="G1030" s="7"/>
      <c r="H1030" s="7"/>
    </row>
    <row r="1031" spans="1:8" hidden="1" x14ac:dyDescent="0.25">
      <c r="B1031" s="64" t="s">
        <v>24</v>
      </c>
      <c r="C1031" s="62"/>
      <c r="D1031" s="191"/>
      <c r="E1031" s="85"/>
      <c r="F1031" s="123"/>
      <c r="G1031" s="123"/>
      <c r="H1031" s="86"/>
    </row>
    <row r="1032" spans="1:8" hidden="1" x14ac:dyDescent="0.25">
      <c r="B1032" s="6"/>
      <c r="D1032" s="144"/>
      <c r="E1032" s="7"/>
      <c r="F1032" s="7"/>
      <c r="G1032" s="7"/>
      <c r="H1032" s="7"/>
    </row>
    <row r="1033" spans="1:8" ht="18.75" hidden="1" x14ac:dyDescent="0.3">
      <c r="A1033" s="42" t="s">
        <v>38</v>
      </c>
      <c r="C1033" s="62"/>
      <c r="D1033" s="192">
        <f xml:space="preserve"> D1007 + D1012 - D1018 + D1029 + D1031</f>
        <v>0</v>
      </c>
      <c r="E1033" s="124">
        <f xml:space="preserve"> E1007 + E1012 - E1018 + E1029 + E1031</f>
        <v>0</v>
      </c>
      <c r="F1033" s="124">
        <f xml:space="preserve"> F1007 + F1012 - F1018 + F1029 + F1031</f>
        <v>0</v>
      </c>
      <c r="G1033" s="124"/>
      <c r="H1033" s="46"/>
    </row>
    <row r="1034" spans="1:8" hidden="1" x14ac:dyDescent="0.25">
      <c r="B1034" s="6"/>
      <c r="D1034" s="144"/>
      <c r="E1034" s="7"/>
      <c r="F1034" s="7"/>
      <c r="G1034" s="32"/>
      <c r="H1034" s="32"/>
    </row>
    <row r="1035" spans="1:8" hidden="1" x14ac:dyDescent="0.25"/>
    <row r="1036" spans="1:8" hidden="1" x14ac:dyDescent="0.25">
      <c r="A1036" s="8"/>
      <c r="B1036" s="8"/>
      <c r="C1036" s="8"/>
      <c r="D1036" s="184"/>
      <c r="E1036" s="8"/>
      <c r="F1036" s="8"/>
      <c r="G1036" s="8"/>
      <c r="H1036" s="8"/>
    </row>
    <row r="1037" spans="1:8" hidden="1" x14ac:dyDescent="0.25">
      <c r="B1037" s="33"/>
      <c r="C1037" s="33"/>
      <c r="D1037" s="23"/>
      <c r="E1037" s="33"/>
      <c r="F1037" s="33"/>
      <c r="G1037" s="33"/>
      <c r="H1037" s="33"/>
    </row>
    <row r="1038" spans="1:8" ht="21" hidden="1" x14ac:dyDescent="0.35">
      <c r="A1038" s="13" t="s">
        <v>4</v>
      </c>
      <c r="B1038" s="13"/>
      <c r="C1038" s="43" t="str">
        <f>B31</f>
        <v>Facility 28</v>
      </c>
      <c r="D1038" s="44"/>
      <c r="E1038" s="23"/>
      <c r="F1038" s="23"/>
    </row>
    <row r="1039" spans="1:8" hidden="1" x14ac:dyDescent="0.25"/>
    <row r="1040" spans="1:8" ht="18.75" hidden="1" x14ac:dyDescent="0.3">
      <c r="A1040" s="9" t="s">
        <v>33</v>
      </c>
      <c r="B1040" s="9"/>
      <c r="D1040" s="132">
        <f>'Facility Detail'!$B$1159</f>
        <v>2015</v>
      </c>
      <c r="E1040" s="2">
        <f>D1040+1</f>
        <v>2016</v>
      </c>
      <c r="F1040" s="2">
        <f>E1040+1</f>
        <v>2017</v>
      </c>
      <c r="G1040" s="2">
        <f>F1040+1</f>
        <v>2018</v>
      </c>
      <c r="H1040" s="2">
        <f>G1040+1</f>
        <v>2019</v>
      </c>
    </row>
    <row r="1041" spans="1:8" hidden="1" x14ac:dyDescent="0.25">
      <c r="B1041" s="67" t="str">
        <f>"Total MWh Produced / Purchased from " &amp; C1038</f>
        <v>Total MWh Produced / Purchased from Facility 28</v>
      </c>
      <c r="C1041" s="62"/>
      <c r="D1041" s="51"/>
      <c r="E1041" s="4"/>
      <c r="F1041" s="4"/>
      <c r="G1041" s="4"/>
      <c r="H1041" s="5"/>
    </row>
    <row r="1042" spans="1:8" hidden="1" x14ac:dyDescent="0.25">
      <c r="B1042" s="67" t="s">
        <v>37</v>
      </c>
      <c r="C1042" s="62"/>
      <c r="D1042" s="185"/>
      <c r="E1042" s="146"/>
      <c r="F1042" s="146"/>
      <c r="G1042" s="146"/>
      <c r="H1042" s="147"/>
    </row>
    <row r="1043" spans="1:8" hidden="1" x14ac:dyDescent="0.25">
      <c r="B1043" s="67" t="s">
        <v>32</v>
      </c>
      <c r="C1043" s="62"/>
      <c r="D1043" s="186"/>
      <c r="E1043" s="49"/>
      <c r="F1043" s="49"/>
      <c r="G1043" s="49"/>
      <c r="H1043" s="50"/>
    </row>
    <row r="1044" spans="1:8" hidden="1" x14ac:dyDescent="0.25">
      <c r="B1044" s="64" t="s">
        <v>34</v>
      </c>
      <c r="C1044" s="65"/>
      <c r="D1044" s="187">
        <f xml:space="preserve"> D1041 * D1042 * D1043</f>
        <v>0</v>
      </c>
      <c r="E1044" s="145">
        <f xml:space="preserve"> E1041 * E1042 * E1043</f>
        <v>0</v>
      </c>
      <c r="F1044" s="145">
        <f xml:space="preserve"> F1041 * F1042 * F1043</f>
        <v>0</v>
      </c>
      <c r="G1044" s="145"/>
      <c r="H1044" s="145"/>
    </row>
    <row r="1045" spans="1:8" hidden="1" x14ac:dyDescent="0.25">
      <c r="B1045" s="23"/>
      <c r="C1045" s="33"/>
      <c r="D1045" s="24"/>
      <c r="E1045" s="40"/>
      <c r="F1045" s="40"/>
      <c r="G1045" s="40"/>
      <c r="H1045" s="40"/>
    </row>
    <row r="1046" spans="1:8" ht="18.75" hidden="1" x14ac:dyDescent="0.3">
      <c r="A1046" s="45" t="s">
        <v>131</v>
      </c>
      <c r="C1046" s="33"/>
      <c r="D1046" s="132">
        <f>'Facility Detail'!$B$1159</f>
        <v>2015</v>
      </c>
      <c r="E1046" s="2">
        <f>D1046+1</f>
        <v>2016</v>
      </c>
      <c r="F1046" s="2">
        <f>E1046+1</f>
        <v>2017</v>
      </c>
      <c r="G1046" s="2">
        <f>F1046+1</f>
        <v>2018</v>
      </c>
      <c r="H1046" s="2">
        <f>G1046+1</f>
        <v>2019</v>
      </c>
    </row>
    <row r="1047" spans="1:8" hidden="1" x14ac:dyDescent="0.25">
      <c r="B1047" s="67" t="s">
        <v>22</v>
      </c>
      <c r="C1047" s="62"/>
      <c r="D1047" s="51">
        <f>IF( $E647 = "Eligible", D1044 * 'Facility Detail'!$B$1156, 0 )</f>
        <v>0</v>
      </c>
      <c r="E1047" s="11">
        <f>IF( $E647 = "Eligible", E1044 * 'Facility Detail'!$B$1156, 0 )</f>
        <v>0</v>
      </c>
      <c r="F1047" s="121">
        <f>IF( $E647 = "Eligible", F1044 * 'Facility Detail'!$B$1156, 0 )</f>
        <v>0</v>
      </c>
      <c r="G1047" s="121">
        <f>IF( $E647 = "Eligible", G1044 * 'Facility Detail'!$B$1156, 0 )</f>
        <v>0</v>
      </c>
      <c r="H1047" s="12">
        <f>IF( $E647 = "Eligible", H1044 * 'Facility Detail'!$B$1156, 0 )</f>
        <v>0</v>
      </c>
    </row>
    <row r="1048" spans="1:8" hidden="1" x14ac:dyDescent="0.25">
      <c r="B1048" s="67" t="s">
        <v>6</v>
      </c>
      <c r="C1048" s="62"/>
      <c r="D1048" s="52">
        <f>IF( $F647 = "Eligible", D1044, 0 )</f>
        <v>0</v>
      </c>
      <c r="E1048" s="53">
        <f>IF( $F647 = "Eligible", E1044, 0 )</f>
        <v>0</v>
      </c>
      <c r="F1048" s="122">
        <f>IF( $F647 = "Eligible", F1044, 0 )</f>
        <v>0</v>
      </c>
      <c r="G1048" s="122">
        <f>IF( $F647 = "Eligible", G1044, 0 )</f>
        <v>0</v>
      </c>
      <c r="H1048" s="54">
        <f>IF( $F647 = "Eligible", H1044, 0 )</f>
        <v>0</v>
      </c>
    </row>
    <row r="1049" spans="1:8" hidden="1" x14ac:dyDescent="0.25">
      <c r="B1049" s="66" t="s">
        <v>133</v>
      </c>
      <c r="C1049" s="65"/>
      <c r="D1049" s="187">
        <f>SUM(D1047:D1048)</f>
        <v>0</v>
      </c>
      <c r="E1049" s="41">
        <f>SUM(E1047:E1048)</f>
        <v>0</v>
      </c>
      <c r="F1049" s="41">
        <f>SUM(F1047:F1048)</f>
        <v>0</v>
      </c>
      <c r="G1049" s="41">
        <f>SUM(G1047:G1048)</f>
        <v>0</v>
      </c>
      <c r="H1049" s="41">
        <f>SUM(H1047:H1048)</f>
        <v>0</v>
      </c>
    </row>
    <row r="1050" spans="1:8" hidden="1" x14ac:dyDescent="0.25">
      <c r="B1050" s="33"/>
      <c r="C1050" s="33"/>
      <c r="D1050" s="24"/>
      <c r="E1050" s="34"/>
      <c r="F1050" s="34"/>
      <c r="G1050" s="34"/>
      <c r="H1050" s="34"/>
    </row>
    <row r="1051" spans="1:8" ht="18.75" hidden="1" x14ac:dyDescent="0.3">
      <c r="A1051" s="42" t="s">
        <v>42</v>
      </c>
      <c r="C1051" s="33"/>
      <c r="D1051" s="132">
        <f>'Facility Detail'!$B$1159</f>
        <v>2015</v>
      </c>
      <c r="E1051" s="2">
        <f>D1051+1</f>
        <v>2016</v>
      </c>
      <c r="F1051" s="2">
        <f>E1051+1</f>
        <v>2017</v>
      </c>
      <c r="G1051" s="2">
        <f>F1051+1</f>
        <v>2018</v>
      </c>
      <c r="H1051" s="2">
        <f>G1051+1</f>
        <v>2019</v>
      </c>
    </row>
    <row r="1052" spans="1:8" hidden="1" x14ac:dyDescent="0.25">
      <c r="B1052" s="67" t="s">
        <v>59</v>
      </c>
      <c r="C1052" s="62"/>
      <c r="D1052" s="188"/>
      <c r="E1052" s="4"/>
      <c r="F1052" s="4"/>
      <c r="G1052" s="4"/>
      <c r="H1052" s="5"/>
    </row>
    <row r="1053" spans="1:8" hidden="1" x14ac:dyDescent="0.25">
      <c r="B1053" s="68" t="s">
        <v>35</v>
      </c>
      <c r="C1053" s="69"/>
      <c r="D1053" s="189"/>
      <c r="E1053" s="151"/>
      <c r="F1053" s="151"/>
      <c r="G1053" s="151"/>
      <c r="H1053" s="152"/>
    </row>
    <row r="1054" spans="1:8" hidden="1" x14ac:dyDescent="0.25">
      <c r="B1054" s="78" t="s">
        <v>101</v>
      </c>
      <c r="C1054" s="77"/>
      <c r="D1054" s="190"/>
      <c r="E1054" s="153"/>
      <c r="F1054" s="153"/>
      <c r="G1054" s="153"/>
      <c r="H1054" s="154"/>
    </row>
    <row r="1055" spans="1:8" hidden="1" x14ac:dyDescent="0.25">
      <c r="B1055" s="36" t="s">
        <v>102</v>
      </c>
      <c r="D1055" s="144">
        <f>SUM(D1052:D1054)</f>
        <v>0</v>
      </c>
      <c r="E1055" s="7">
        <f>SUM(E1052:E1054)</f>
        <v>0</v>
      </c>
      <c r="F1055" s="7">
        <f>SUM(F1052:F1054)</f>
        <v>0</v>
      </c>
      <c r="G1055" s="7"/>
      <c r="H1055" s="7"/>
    </row>
    <row r="1056" spans="1:8" hidden="1" x14ac:dyDescent="0.25">
      <c r="B1056" s="6"/>
      <c r="D1056" s="144"/>
      <c r="E1056" s="7"/>
      <c r="F1056" s="7"/>
      <c r="G1056" s="7"/>
      <c r="H1056" s="7"/>
    </row>
    <row r="1057" spans="1:8" ht="18.75" hidden="1" x14ac:dyDescent="0.3">
      <c r="A1057" s="9" t="s">
        <v>112</v>
      </c>
      <c r="D1057" s="132">
        <f>'Facility Detail'!$B$1159</f>
        <v>2015</v>
      </c>
      <c r="E1057" s="2">
        <f>D1057+1</f>
        <v>2016</v>
      </c>
      <c r="F1057" s="2">
        <f>E1057+1</f>
        <v>2017</v>
      </c>
      <c r="G1057" s="2">
        <f>F1057+1</f>
        <v>2018</v>
      </c>
      <c r="H1057" s="2">
        <f>G1057+1</f>
        <v>2019</v>
      </c>
    </row>
    <row r="1058" spans="1:8" hidden="1" x14ac:dyDescent="0.25">
      <c r="B1058" s="67" t="str">
        <f xml:space="preserve"> 'Facility Detail'!$B$1159 &amp; " Surplus Applied to " &amp; ( 'Facility Detail'!$B$1159 + 1 )</f>
        <v>2015 Surplus Applied to 2016</v>
      </c>
      <c r="C1058" s="62"/>
      <c r="D1058" s="51">
        <f>D1044+D1049-D1055</f>
        <v>0</v>
      </c>
      <c r="E1058" s="55">
        <f>D1058</f>
        <v>0</v>
      </c>
      <c r="F1058" s="129"/>
      <c r="G1058" s="129"/>
      <c r="H1058" s="130"/>
    </row>
    <row r="1059" spans="1:8" hidden="1" x14ac:dyDescent="0.25">
      <c r="B1059" s="67" t="str">
        <f xml:space="preserve"> ( 'Facility Detail'!$B$1159 + 1 ) &amp; " Surplus Applied to " &amp; ( 'Facility Detail'!$B$1159 )</f>
        <v>2016 Surplus Applied to 2015</v>
      </c>
      <c r="C1059" s="62"/>
      <c r="D1059" s="148">
        <f>E1059</f>
        <v>0</v>
      </c>
      <c r="E1059" s="10">
        <v>0</v>
      </c>
      <c r="F1059" s="125"/>
      <c r="G1059" s="125"/>
      <c r="H1059" s="131"/>
    </row>
    <row r="1060" spans="1:8" hidden="1" x14ac:dyDescent="0.25">
      <c r="B1060" s="67" t="str">
        <f xml:space="preserve"> ( 'Facility Detail'!$B$1159 + 1 ) &amp; " Surplus Applied to " &amp; ( 'Facility Detail'!$B$1159 + 2 )</f>
        <v>2016 Surplus Applied to 2017</v>
      </c>
      <c r="C1060" s="62"/>
      <c r="D1060" s="148"/>
      <c r="E1060" s="10">
        <f>E1044+E1049-E1055</f>
        <v>0</v>
      </c>
      <c r="F1060" s="61">
        <f>+E1060</f>
        <v>0</v>
      </c>
      <c r="G1060" s="125"/>
      <c r="H1060" s="131"/>
    </row>
    <row r="1061" spans="1:8" hidden="1" x14ac:dyDescent="0.25">
      <c r="B1061" s="67" t="str">
        <f xml:space="preserve"> ( 'Facility Detail'!$B$1159 + 2 ) &amp; " Surplus Applied to " &amp; ( 'Facility Detail'!$B$1159 + 1 )</f>
        <v>2017 Surplus Applied to 2016</v>
      </c>
      <c r="C1061" s="62"/>
      <c r="D1061" s="148"/>
      <c r="E1061" s="61">
        <f>F1061</f>
        <v>0</v>
      </c>
      <c r="F1061" s="10">
        <v>0</v>
      </c>
      <c r="G1061" s="125"/>
      <c r="H1061" s="131"/>
    </row>
    <row r="1062" spans="1:8" hidden="1" x14ac:dyDescent="0.25">
      <c r="B1062" s="67"/>
      <c r="C1062" s="33"/>
      <c r="D1062" s="148"/>
      <c r="E1062" s="125"/>
      <c r="F1062" s="10">
        <f>F1044+F1049-F1055</f>
        <v>0</v>
      </c>
      <c r="G1062" s="61">
        <f>+F1062</f>
        <v>0</v>
      </c>
      <c r="H1062" s="131"/>
    </row>
    <row r="1063" spans="1:8" hidden="1" x14ac:dyDescent="0.25">
      <c r="B1063" s="67"/>
      <c r="C1063" s="33"/>
      <c r="D1063" s="148"/>
      <c r="E1063" s="125"/>
      <c r="F1063" s="61">
        <f>G1063</f>
        <v>0</v>
      </c>
      <c r="G1063" s="10">
        <v>0</v>
      </c>
      <c r="H1063" s="131"/>
    </row>
    <row r="1064" spans="1:8" hidden="1" x14ac:dyDescent="0.25">
      <c r="B1064" s="67"/>
      <c r="C1064" s="33"/>
      <c r="D1064" s="148"/>
      <c r="E1064" s="125"/>
      <c r="F1064" s="125"/>
      <c r="G1064" s="10">
        <f>G1044+G1049-G1055</f>
        <v>0</v>
      </c>
      <c r="H1064" s="56">
        <f>+G1064</f>
        <v>0</v>
      </c>
    </row>
    <row r="1065" spans="1:8" hidden="1" x14ac:dyDescent="0.25">
      <c r="B1065" s="67"/>
      <c r="C1065" s="33"/>
      <c r="D1065" s="52"/>
      <c r="E1065" s="128"/>
      <c r="F1065" s="128"/>
      <c r="G1065" s="57">
        <f>H1065</f>
        <v>0</v>
      </c>
      <c r="H1065" s="48">
        <v>0</v>
      </c>
    </row>
    <row r="1066" spans="1:8" hidden="1" x14ac:dyDescent="0.25">
      <c r="B1066" s="36" t="s">
        <v>29</v>
      </c>
      <c r="D1066" s="144">
        <f xml:space="preserve"> D1059 - D1058</f>
        <v>0</v>
      </c>
      <c r="E1066" s="7">
        <f xml:space="preserve"> E1058 + E1061 - E1060 - E1059</f>
        <v>0</v>
      </c>
      <c r="F1066" s="7">
        <f>F1060 - F1061 - F1062 + F1063</f>
        <v>0</v>
      </c>
      <c r="G1066" s="7">
        <f>G1062  - G1063 - G1064  + G1065</f>
        <v>0</v>
      </c>
      <c r="H1066" s="7">
        <f>H1064 - H1065</f>
        <v>0</v>
      </c>
    </row>
    <row r="1067" spans="1:8" hidden="1" x14ac:dyDescent="0.25">
      <c r="B1067" s="6"/>
      <c r="D1067" s="144"/>
      <c r="E1067" s="7"/>
      <c r="F1067" s="7"/>
      <c r="G1067" s="7"/>
      <c r="H1067" s="7"/>
    </row>
    <row r="1068" spans="1:8" hidden="1" x14ac:dyDescent="0.25">
      <c r="B1068" s="64" t="s">
        <v>24</v>
      </c>
      <c r="C1068" s="62"/>
      <c r="D1068" s="191"/>
      <c r="E1068" s="85"/>
      <c r="F1068" s="123"/>
      <c r="G1068" s="123"/>
      <c r="H1068" s="86"/>
    </row>
    <row r="1069" spans="1:8" hidden="1" x14ac:dyDescent="0.25">
      <c r="B1069" s="6"/>
      <c r="D1069" s="144"/>
      <c r="E1069" s="7"/>
      <c r="F1069" s="7"/>
      <c r="G1069" s="7"/>
      <c r="H1069" s="7"/>
    </row>
    <row r="1070" spans="1:8" ht="18.75" hidden="1" x14ac:dyDescent="0.3">
      <c r="A1070" s="42" t="s">
        <v>38</v>
      </c>
      <c r="C1070" s="62"/>
      <c r="D1070" s="192">
        <f xml:space="preserve"> D1044 + D1049 - D1055 + D1066 + D1068</f>
        <v>0</v>
      </c>
      <c r="E1070" s="124">
        <f xml:space="preserve"> E1044 + E1049 - E1055 + E1066 + E1068</f>
        <v>0</v>
      </c>
      <c r="F1070" s="124">
        <f xml:space="preserve"> F1044 + F1049 - F1055 + F1066 + F1068</f>
        <v>0</v>
      </c>
      <c r="G1070" s="124"/>
      <c r="H1070" s="46"/>
    </row>
    <row r="1071" spans="1:8" hidden="1" x14ac:dyDescent="0.25">
      <c r="B1071" s="6"/>
      <c r="D1071" s="144"/>
      <c r="E1071" s="7"/>
      <c r="F1071" s="7"/>
      <c r="G1071" s="32"/>
      <c r="H1071" s="32"/>
    </row>
    <row r="1072" spans="1:8" hidden="1" x14ac:dyDescent="0.25"/>
    <row r="1073" spans="1:8" hidden="1" x14ac:dyDescent="0.25">
      <c r="A1073" s="8"/>
      <c r="B1073" s="8"/>
      <c r="C1073" s="8"/>
      <c r="D1073" s="184"/>
      <c r="E1073" s="8"/>
      <c r="F1073" s="8"/>
      <c r="G1073" s="8"/>
      <c r="H1073" s="8"/>
    </row>
    <row r="1074" spans="1:8" hidden="1" x14ac:dyDescent="0.25">
      <c r="B1074" s="33"/>
      <c r="C1074" s="33"/>
      <c r="D1074" s="23"/>
      <c r="E1074" s="33"/>
      <c r="F1074" s="33"/>
      <c r="G1074" s="33"/>
      <c r="H1074" s="33"/>
    </row>
    <row r="1075" spans="1:8" ht="21" hidden="1" x14ac:dyDescent="0.35">
      <c r="A1075" s="13" t="s">
        <v>4</v>
      </c>
      <c r="B1075" s="13"/>
      <c r="C1075" s="43" t="str">
        <f>B32</f>
        <v>Facility 29</v>
      </c>
      <c r="D1075" s="44"/>
      <c r="E1075" s="23"/>
      <c r="F1075" s="23"/>
    </row>
    <row r="1076" spans="1:8" hidden="1" x14ac:dyDescent="0.25"/>
    <row r="1077" spans="1:8" ht="18.75" hidden="1" x14ac:dyDescent="0.3">
      <c r="A1077" s="9" t="s">
        <v>33</v>
      </c>
      <c r="B1077" s="9"/>
      <c r="D1077" s="132">
        <f>'Facility Detail'!$B$1159</f>
        <v>2015</v>
      </c>
      <c r="E1077" s="2">
        <f>D1077+1</f>
        <v>2016</v>
      </c>
      <c r="F1077" s="2">
        <f>E1077+1</f>
        <v>2017</v>
      </c>
      <c r="G1077" s="2">
        <f>F1077+1</f>
        <v>2018</v>
      </c>
      <c r="H1077" s="2">
        <f>G1077+1</f>
        <v>2019</v>
      </c>
    </row>
    <row r="1078" spans="1:8" hidden="1" x14ac:dyDescent="0.25">
      <c r="B1078" s="67" t="str">
        <f>"Total MWh Produced / Purchased from " &amp; C1075</f>
        <v>Total MWh Produced / Purchased from Facility 29</v>
      </c>
      <c r="C1078" s="62"/>
      <c r="D1078" s="51"/>
      <c r="E1078" s="4"/>
      <c r="F1078" s="4"/>
      <c r="G1078" s="4"/>
      <c r="H1078" s="5"/>
    </row>
    <row r="1079" spans="1:8" hidden="1" x14ac:dyDescent="0.25">
      <c r="B1079" s="67" t="s">
        <v>37</v>
      </c>
      <c r="C1079" s="62"/>
      <c r="D1079" s="185"/>
      <c r="E1079" s="146"/>
      <c r="F1079" s="146"/>
      <c r="G1079" s="146"/>
      <c r="H1079" s="147"/>
    </row>
    <row r="1080" spans="1:8" hidden="1" x14ac:dyDescent="0.25">
      <c r="B1080" s="67" t="s">
        <v>32</v>
      </c>
      <c r="C1080" s="62"/>
      <c r="D1080" s="186"/>
      <c r="E1080" s="49"/>
      <c r="F1080" s="49"/>
      <c r="G1080" s="49"/>
      <c r="H1080" s="50"/>
    </row>
    <row r="1081" spans="1:8" hidden="1" x14ac:dyDescent="0.25">
      <c r="B1081" s="64" t="s">
        <v>34</v>
      </c>
      <c r="C1081" s="65"/>
      <c r="D1081" s="187">
        <f xml:space="preserve"> D1078 * D1079 * D1080</f>
        <v>0</v>
      </c>
      <c r="E1081" s="145">
        <f xml:space="preserve"> E1078 * E1079 * E1080</f>
        <v>0</v>
      </c>
      <c r="F1081" s="145">
        <f xml:space="preserve"> F1078 * F1079 * F1080</f>
        <v>0</v>
      </c>
      <c r="G1081" s="145"/>
      <c r="H1081" s="145"/>
    </row>
    <row r="1082" spans="1:8" hidden="1" x14ac:dyDescent="0.25">
      <c r="B1082" s="23"/>
      <c r="C1082" s="33"/>
      <c r="D1082" s="24"/>
      <c r="E1082" s="40"/>
      <c r="F1082" s="40"/>
      <c r="G1082" s="40"/>
      <c r="H1082" s="40"/>
    </row>
    <row r="1083" spans="1:8" ht="18.75" hidden="1" x14ac:dyDescent="0.3">
      <c r="A1083" s="45" t="s">
        <v>131</v>
      </c>
      <c r="C1083" s="33"/>
      <c r="D1083" s="132">
        <f>'Facility Detail'!$B$1159</f>
        <v>2015</v>
      </c>
      <c r="E1083" s="2">
        <f>D1083+1</f>
        <v>2016</v>
      </c>
      <c r="F1083" s="2">
        <f>E1083+1</f>
        <v>2017</v>
      </c>
      <c r="G1083" s="2">
        <f>F1083+1</f>
        <v>2018</v>
      </c>
      <c r="H1083" s="2">
        <f>G1083+1</f>
        <v>2019</v>
      </c>
    </row>
    <row r="1084" spans="1:8" hidden="1" x14ac:dyDescent="0.25">
      <c r="B1084" s="67" t="s">
        <v>22</v>
      </c>
      <c r="C1084" s="62"/>
      <c r="D1084" s="51">
        <f>IF( $E684 = "Eligible", D1081 * 'Facility Detail'!$B$1156, 0 )</f>
        <v>0</v>
      </c>
      <c r="E1084" s="11">
        <f>IF( $E684 = "Eligible", E1081 * 'Facility Detail'!$B$1156, 0 )</f>
        <v>0</v>
      </c>
      <c r="F1084" s="121">
        <f>IF( $E684 = "Eligible", F1081 * 'Facility Detail'!$B$1156, 0 )</f>
        <v>0</v>
      </c>
      <c r="G1084" s="121">
        <f>IF( $E684 = "Eligible", G1081 * 'Facility Detail'!$B$1156, 0 )</f>
        <v>0</v>
      </c>
      <c r="H1084" s="12">
        <f>IF( $E684 = "Eligible", H1081 * 'Facility Detail'!$B$1156, 0 )</f>
        <v>0</v>
      </c>
    </row>
    <row r="1085" spans="1:8" hidden="1" x14ac:dyDescent="0.25">
      <c r="B1085" s="67" t="s">
        <v>6</v>
      </c>
      <c r="C1085" s="62"/>
      <c r="D1085" s="52">
        <f>IF( $F684 = "Eligible", D1081, 0 )</f>
        <v>0</v>
      </c>
      <c r="E1085" s="53">
        <f>IF( $F684 = "Eligible", E1081, 0 )</f>
        <v>0</v>
      </c>
      <c r="F1085" s="122">
        <f>IF( $F684 = "Eligible", F1081, 0 )</f>
        <v>0</v>
      </c>
      <c r="G1085" s="122">
        <f>IF( $F684 = "Eligible", G1081, 0 )</f>
        <v>0</v>
      </c>
      <c r="H1085" s="54">
        <f>IF( $F684 = "Eligible", H1081, 0 )</f>
        <v>0</v>
      </c>
    </row>
    <row r="1086" spans="1:8" hidden="1" x14ac:dyDescent="0.25">
      <c r="B1086" s="66" t="s">
        <v>133</v>
      </c>
      <c r="C1086" s="65"/>
      <c r="D1086" s="187">
        <f>SUM(D1084:D1085)</f>
        <v>0</v>
      </c>
      <c r="E1086" s="41">
        <f>SUM(E1084:E1085)</f>
        <v>0</v>
      </c>
      <c r="F1086" s="41">
        <f>SUM(F1084:F1085)</f>
        <v>0</v>
      </c>
      <c r="G1086" s="41">
        <f>SUM(G1084:G1085)</f>
        <v>0</v>
      </c>
      <c r="H1086" s="41">
        <f>SUM(H1084:H1085)</f>
        <v>0</v>
      </c>
    </row>
    <row r="1087" spans="1:8" hidden="1" x14ac:dyDescent="0.25">
      <c r="B1087" s="33"/>
      <c r="C1087" s="33"/>
      <c r="D1087" s="24"/>
      <c r="E1087" s="34"/>
      <c r="F1087" s="34"/>
      <c r="G1087" s="34"/>
      <c r="H1087" s="34"/>
    </row>
    <row r="1088" spans="1:8" ht="18.75" hidden="1" x14ac:dyDescent="0.3">
      <c r="A1088" s="42" t="s">
        <v>42</v>
      </c>
      <c r="C1088" s="33"/>
      <c r="D1088" s="132">
        <f>'Facility Detail'!$B$1159</f>
        <v>2015</v>
      </c>
      <c r="E1088" s="2">
        <f>D1088+1</f>
        <v>2016</v>
      </c>
      <c r="F1088" s="2">
        <f>E1088+1</f>
        <v>2017</v>
      </c>
      <c r="G1088" s="2">
        <f>F1088+1</f>
        <v>2018</v>
      </c>
      <c r="H1088" s="2">
        <f>G1088+1</f>
        <v>2019</v>
      </c>
    </row>
    <row r="1089" spans="1:8" hidden="1" x14ac:dyDescent="0.25">
      <c r="B1089" s="67" t="s">
        <v>59</v>
      </c>
      <c r="C1089" s="62"/>
      <c r="D1089" s="188"/>
      <c r="E1089" s="4"/>
      <c r="F1089" s="4"/>
      <c r="G1089" s="4"/>
      <c r="H1089" s="5"/>
    </row>
    <row r="1090" spans="1:8" hidden="1" x14ac:dyDescent="0.25">
      <c r="B1090" s="68" t="s">
        <v>35</v>
      </c>
      <c r="C1090" s="69"/>
      <c r="D1090" s="189"/>
      <c r="E1090" s="151"/>
      <c r="F1090" s="151"/>
      <c r="G1090" s="151"/>
      <c r="H1090" s="152"/>
    </row>
    <row r="1091" spans="1:8" hidden="1" x14ac:dyDescent="0.25">
      <c r="B1091" s="78" t="s">
        <v>101</v>
      </c>
      <c r="C1091" s="77"/>
      <c r="D1091" s="190"/>
      <c r="E1091" s="153"/>
      <c r="F1091" s="153"/>
      <c r="G1091" s="153"/>
      <c r="H1091" s="154"/>
    </row>
    <row r="1092" spans="1:8" hidden="1" x14ac:dyDescent="0.25">
      <c r="B1092" s="36" t="s">
        <v>102</v>
      </c>
      <c r="D1092" s="144">
        <f>SUM(D1089:D1091)</f>
        <v>0</v>
      </c>
      <c r="E1092" s="7">
        <f>SUM(E1089:E1091)</f>
        <v>0</v>
      </c>
      <c r="F1092" s="7">
        <f>SUM(F1089:F1091)</f>
        <v>0</v>
      </c>
      <c r="G1092" s="7"/>
      <c r="H1092" s="7"/>
    </row>
    <row r="1093" spans="1:8" hidden="1" x14ac:dyDescent="0.25">
      <c r="B1093" s="6"/>
      <c r="D1093" s="144"/>
      <c r="E1093" s="7"/>
      <c r="F1093" s="7"/>
      <c r="G1093" s="7"/>
      <c r="H1093" s="7"/>
    </row>
    <row r="1094" spans="1:8" ht="18.75" hidden="1" x14ac:dyDescent="0.3">
      <c r="A1094" s="9" t="s">
        <v>112</v>
      </c>
      <c r="D1094" s="132">
        <f>'Facility Detail'!$B$1159</f>
        <v>2015</v>
      </c>
      <c r="E1094" s="2">
        <f>D1094+1</f>
        <v>2016</v>
      </c>
      <c r="F1094" s="2">
        <f>E1094+1</f>
        <v>2017</v>
      </c>
      <c r="G1094" s="2">
        <f>F1094+1</f>
        <v>2018</v>
      </c>
      <c r="H1094" s="2">
        <f>G1094+1</f>
        <v>2019</v>
      </c>
    </row>
    <row r="1095" spans="1:8" hidden="1" x14ac:dyDescent="0.25">
      <c r="B1095" s="67" t="str">
        <f xml:space="preserve"> 'Facility Detail'!$B$1159 &amp; " Surplus Applied to " &amp; ( 'Facility Detail'!$B$1159 + 1 )</f>
        <v>2015 Surplus Applied to 2016</v>
      </c>
      <c r="C1095" s="62"/>
      <c r="D1095" s="51">
        <f>D1081+D1086-D1092</f>
        <v>0</v>
      </c>
      <c r="E1095" s="55">
        <f>D1095</f>
        <v>0</v>
      </c>
      <c r="F1095" s="129"/>
      <c r="G1095" s="129"/>
      <c r="H1095" s="130"/>
    </row>
    <row r="1096" spans="1:8" hidden="1" x14ac:dyDescent="0.25">
      <c r="B1096" s="67" t="str">
        <f xml:space="preserve"> ( 'Facility Detail'!$B$1159 + 1 ) &amp; " Surplus Applied to " &amp; ( 'Facility Detail'!$B$1159 )</f>
        <v>2016 Surplus Applied to 2015</v>
      </c>
      <c r="C1096" s="62"/>
      <c r="D1096" s="148">
        <f>E1096</f>
        <v>0</v>
      </c>
      <c r="E1096" s="10">
        <v>0</v>
      </c>
      <c r="F1096" s="125"/>
      <c r="G1096" s="125"/>
      <c r="H1096" s="131"/>
    </row>
    <row r="1097" spans="1:8" hidden="1" x14ac:dyDescent="0.25">
      <c r="B1097" s="67" t="str">
        <f xml:space="preserve"> ( 'Facility Detail'!$B$1159 + 1 ) &amp; " Surplus Applied to " &amp; ( 'Facility Detail'!$B$1159 + 2 )</f>
        <v>2016 Surplus Applied to 2017</v>
      </c>
      <c r="C1097" s="62"/>
      <c r="D1097" s="148"/>
      <c r="E1097" s="10">
        <f>E1081+E1086-E1092</f>
        <v>0</v>
      </c>
      <c r="F1097" s="61">
        <f>+E1097</f>
        <v>0</v>
      </c>
      <c r="G1097" s="125"/>
      <c r="H1097" s="131"/>
    </row>
    <row r="1098" spans="1:8" hidden="1" x14ac:dyDescent="0.25">
      <c r="B1098" s="67" t="str">
        <f xml:space="preserve"> ( 'Facility Detail'!$B$1159 + 2 ) &amp; " Surplus Applied to " &amp; ( 'Facility Detail'!$B$1159 + 1 )</f>
        <v>2017 Surplus Applied to 2016</v>
      </c>
      <c r="C1098" s="62"/>
      <c r="D1098" s="148"/>
      <c r="E1098" s="61">
        <f>F1098</f>
        <v>0</v>
      </c>
      <c r="F1098" s="10">
        <v>0</v>
      </c>
      <c r="G1098" s="125"/>
      <c r="H1098" s="131"/>
    </row>
    <row r="1099" spans="1:8" hidden="1" x14ac:dyDescent="0.25">
      <c r="B1099" s="67"/>
      <c r="C1099" s="33"/>
      <c r="D1099" s="148"/>
      <c r="E1099" s="125"/>
      <c r="F1099" s="10">
        <f>F1081+F1086-F1092</f>
        <v>0</v>
      </c>
      <c r="G1099" s="61">
        <f>+F1099</f>
        <v>0</v>
      </c>
      <c r="H1099" s="131"/>
    </row>
    <row r="1100" spans="1:8" hidden="1" x14ac:dyDescent="0.25">
      <c r="B1100" s="67"/>
      <c r="C1100" s="33"/>
      <c r="D1100" s="148"/>
      <c r="E1100" s="125"/>
      <c r="F1100" s="61">
        <f>G1100</f>
        <v>0</v>
      </c>
      <c r="G1100" s="10">
        <v>0</v>
      </c>
      <c r="H1100" s="131"/>
    </row>
    <row r="1101" spans="1:8" hidden="1" x14ac:dyDescent="0.25">
      <c r="B1101" s="67"/>
      <c r="C1101" s="33"/>
      <c r="D1101" s="148"/>
      <c r="E1101" s="125"/>
      <c r="F1101" s="125"/>
      <c r="G1101" s="10">
        <f>G1081+G1086-G1092</f>
        <v>0</v>
      </c>
      <c r="H1101" s="56">
        <f>+G1101</f>
        <v>0</v>
      </c>
    </row>
    <row r="1102" spans="1:8" hidden="1" x14ac:dyDescent="0.25">
      <c r="B1102" s="67"/>
      <c r="C1102" s="33"/>
      <c r="D1102" s="52"/>
      <c r="E1102" s="128"/>
      <c r="F1102" s="128"/>
      <c r="G1102" s="57">
        <f>H1102</f>
        <v>0</v>
      </c>
      <c r="H1102" s="48">
        <v>0</v>
      </c>
    </row>
    <row r="1103" spans="1:8" hidden="1" x14ac:dyDescent="0.25">
      <c r="B1103" s="36" t="s">
        <v>29</v>
      </c>
      <c r="D1103" s="144">
        <f xml:space="preserve"> D1096 - D1095</f>
        <v>0</v>
      </c>
      <c r="E1103" s="7">
        <f xml:space="preserve"> E1095 + E1098 - E1097 - E1096</f>
        <v>0</v>
      </c>
      <c r="F1103" s="7">
        <f>F1097 - F1098 - F1099 + F1100</f>
        <v>0</v>
      </c>
      <c r="G1103" s="7">
        <f>G1099  - G1100 - G1101  + G1102</f>
        <v>0</v>
      </c>
      <c r="H1103" s="7">
        <f>H1101 - H1102</f>
        <v>0</v>
      </c>
    </row>
    <row r="1104" spans="1:8" hidden="1" x14ac:dyDescent="0.25">
      <c r="B1104" s="6"/>
      <c r="D1104" s="144"/>
      <c r="E1104" s="7"/>
      <c r="F1104" s="7"/>
      <c r="G1104" s="7"/>
      <c r="H1104" s="7"/>
    </row>
    <row r="1105" spans="1:8" hidden="1" x14ac:dyDescent="0.25">
      <c r="B1105" s="64" t="s">
        <v>24</v>
      </c>
      <c r="C1105" s="62"/>
      <c r="D1105" s="191"/>
      <c r="E1105" s="85"/>
      <c r="F1105" s="123"/>
      <c r="G1105" s="123"/>
      <c r="H1105" s="86"/>
    </row>
    <row r="1106" spans="1:8" hidden="1" x14ac:dyDescent="0.25">
      <c r="B1106" s="6"/>
      <c r="D1106" s="144"/>
      <c r="E1106" s="7"/>
      <c r="F1106" s="7"/>
      <c r="G1106" s="7"/>
      <c r="H1106" s="7"/>
    </row>
    <row r="1107" spans="1:8" ht="18.75" hidden="1" x14ac:dyDescent="0.3">
      <c r="A1107" s="42" t="s">
        <v>38</v>
      </c>
      <c r="C1107" s="62"/>
      <c r="D1107" s="192">
        <f xml:space="preserve"> D1081 + D1086 - D1092 + D1103 + D1105</f>
        <v>0</v>
      </c>
      <c r="E1107" s="124">
        <f xml:space="preserve"> E1081 + E1086 - E1092 + E1103 + E1105</f>
        <v>0</v>
      </c>
      <c r="F1107" s="124">
        <f xml:space="preserve"> F1081 + F1086 - F1092 + F1103 + F1105</f>
        <v>0</v>
      </c>
      <c r="G1107" s="124"/>
      <c r="H1107" s="46"/>
    </row>
    <row r="1108" spans="1:8" hidden="1" x14ac:dyDescent="0.25">
      <c r="B1108" s="6"/>
      <c r="D1108" s="144"/>
      <c r="E1108" s="7"/>
      <c r="F1108" s="7"/>
      <c r="G1108" s="32"/>
      <c r="H1108" s="32"/>
    </row>
    <row r="1109" spans="1:8" hidden="1" x14ac:dyDescent="0.25"/>
    <row r="1110" spans="1:8" hidden="1" x14ac:dyDescent="0.25">
      <c r="A1110" s="8"/>
      <c r="B1110" s="8"/>
      <c r="C1110" s="8"/>
      <c r="D1110" s="184"/>
      <c r="E1110" s="8"/>
      <c r="F1110" s="8"/>
      <c r="G1110" s="8"/>
      <c r="H1110" s="8"/>
    </row>
    <row r="1111" spans="1:8" hidden="1" x14ac:dyDescent="0.25">
      <c r="B1111" s="33"/>
      <c r="C1111" s="33"/>
      <c r="D1111" s="23"/>
      <c r="E1111" s="33"/>
      <c r="F1111" s="33"/>
      <c r="G1111" s="33"/>
      <c r="H1111" s="33"/>
    </row>
    <row r="1112" spans="1:8" ht="21" hidden="1" x14ac:dyDescent="0.35">
      <c r="A1112" s="13" t="s">
        <v>4</v>
      </c>
      <c r="B1112" s="13"/>
      <c r="C1112" s="43" t="str">
        <f>B33</f>
        <v>Facility 30</v>
      </c>
      <c r="D1112" s="44"/>
      <c r="E1112" s="23"/>
      <c r="F1112" s="23"/>
    </row>
    <row r="1113" spans="1:8" hidden="1" x14ac:dyDescent="0.25"/>
    <row r="1114" spans="1:8" ht="18.75" hidden="1" x14ac:dyDescent="0.3">
      <c r="A1114" s="9" t="s">
        <v>33</v>
      </c>
      <c r="B1114" s="9"/>
      <c r="D1114" s="132">
        <f>'Facility Detail'!$B$1159</f>
        <v>2015</v>
      </c>
      <c r="E1114" s="2">
        <f>D1114+1</f>
        <v>2016</v>
      </c>
      <c r="F1114" s="2">
        <f>E1114+1</f>
        <v>2017</v>
      </c>
      <c r="G1114" s="2">
        <f>F1114+1</f>
        <v>2018</v>
      </c>
      <c r="H1114" s="2">
        <f>G1114+1</f>
        <v>2019</v>
      </c>
    </row>
    <row r="1115" spans="1:8" hidden="1" x14ac:dyDescent="0.25">
      <c r="B1115" s="67" t="str">
        <f>"Total MWh Produced / Purchased from " &amp; C1112</f>
        <v>Total MWh Produced / Purchased from Facility 30</v>
      </c>
      <c r="C1115" s="62"/>
      <c r="D1115" s="51"/>
      <c r="E1115" s="4"/>
      <c r="F1115" s="4"/>
      <c r="G1115" s="4"/>
      <c r="H1115" s="5"/>
    </row>
    <row r="1116" spans="1:8" hidden="1" x14ac:dyDescent="0.25">
      <c r="B1116" s="67" t="s">
        <v>37</v>
      </c>
      <c r="C1116" s="62"/>
      <c r="D1116" s="185"/>
      <c r="E1116" s="146"/>
      <c r="F1116" s="146"/>
      <c r="G1116" s="146"/>
      <c r="H1116" s="147"/>
    </row>
    <row r="1117" spans="1:8" hidden="1" x14ac:dyDescent="0.25">
      <c r="B1117" s="67" t="s">
        <v>32</v>
      </c>
      <c r="C1117" s="62"/>
      <c r="D1117" s="186"/>
      <c r="E1117" s="49"/>
      <c r="F1117" s="49"/>
      <c r="G1117" s="49"/>
      <c r="H1117" s="50"/>
    </row>
    <row r="1118" spans="1:8" hidden="1" x14ac:dyDescent="0.25">
      <c r="B1118" s="64" t="s">
        <v>34</v>
      </c>
      <c r="C1118" s="65"/>
      <c r="D1118" s="187">
        <f xml:space="preserve"> D1115 * D1116 * D1117</f>
        <v>0</v>
      </c>
      <c r="E1118" s="145">
        <f xml:space="preserve"> E1115 * E1116 * E1117</f>
        <v>0</v>
      </c>
      <c r="F1118" s="145">
        <f xml:space="preserve"> F1115 * F1116 * F1117</f>
        <v>0</v>
      </c>
      <c r="G1118" s="145"/>
      <c r="H1118" s="145"/>
    </row>
    <row r="1119" spans="1:8" hidden="1" x14ac:dyDescent="0.25">
      <c r="B1119" s="23"/>
      <c r="C1119" s="33"/>
      <c r="D1119" s="24"/>
      <c r="E1119" s="40"/>
      <c r="F1119" s="40"/>
      <c r="G1119" s="40"/>
      <c r="H1119" s="40"/>
    </row>
    <row r="1120" spans="1:8" ht="18.75" hidden="1" x14ac:dyDescent="0.3">
      <c r="A1120" s="45" t="s">
        <v>131</v>
      </c>
      <c r="C1120" s="33"/>
      <c r="D1120" s="132">
        <f>'Facility Detail'!$B$1159</f>
        <v>2015</v>
      </c>
      <c r="E1120" s="2">
        <f>D1120+1</f>
        <v>2016</v>
      </c>
      <c r="F1120" s="2">
        <f>E1120+1</f>
        <v>2017</v>
      </c>
      <c r="G1120" s="2">
        <f>F1120+1</f>
        <v>2018</v>
      </c>
      <c r="H1120" s="2">
        <f>G1120+1</f>
        <v>2019</v>
      </c>
    </row>
    <row r="1121" spans="1:8" hidden="1" x14ac:dyDescent="0.25">
      <c r="B1121" s="67" t="s">
        <v>22</v>
      </c>
      <c r="C1121" s="62"/>
      <c r="D1121" s="51">
        <f>IF( $F721 = "Eligible", D1118 * 'Facility Detail'!$B$1156, 0 )</f>
        <v>0</v>
      </c>
      <c r="E1121" s="11">
        <f>IF( $F721 = "Eligible", E1118 * 'Facility Detail'!$B$1156, 0 )</f>
        <v>0</v>
      </c>
      <c r="F1121" s="121">
        <f>IF( $F721 = "Eligible", F1118 * 'Facility Detail'!$B$1156, 0 )</f>
        <v>0</v>
      </c>
      <c r="G1121" s="121">
        <f>IF( $F721 = "Eligible", G1118 * 'Facility Detail'!$B$1156, 0 )</f>
        <v>0</v>
      </c>
      <c r="H1121" s="12">
        <f>IF( $F721 = "Eligible", H1118 * 'Facility Detail'!$B$1156, 0 )</f>
        <v>0</v>
      </c>
    </row>
    <row r="1122" spans="1:8" hidden="1" x14ac:dyDescent="0.25">
      <c r="B1122" s="67" t="s">
        <v>6</v>
      </c>
      <c r="C1122" s="62"/>
      <c r="D1122" s="52">
        <f>IF( $G721 = "Eligible", D1118, 0 )</f>
        <v>0</v>
      </c>
      <c r="E1122" s="53">
        <f>IF( $G721 = "Eligible", E1118, 0 )</f>
        <v>0</v>
      </c>
      <c r="F1122" s="122">
        <f>IF( $G721 = "Eligible", F1118, 0 )</f>
        <v>0</v>
      </c>
      <c r="G1122" s="122">
        <f>IF( $G721 = "Eligible", G1118, 0 )</f>
        <v>0</v>
      </c>
      <c r="H1122" s="54">
        <f>IF( $G721 = "Eligible", H1118, 0 )</f>
        <v>0</v>
      </c>
    </row>
    <row r="1123" spans="1:8" hidden="1" x14ac:dyDescent="0.25">
      <c r="B1123" s="66" t="s">
        <v>133</v>
      </c>
      <c r="C1123" s="65"/>
      <c r="D1123" s="187">
        <f>SUM(D1121:D1122)</f>
        <v>0</v>
      </c>
      <c r="E1123" s="41">
        <f>SUM(E1121:E1122)</f>
        <v>0</v>
      </c>
      <c r="F1123" s="41">
        <f>SUM(F1121:F1122)</f>
        <v>0</v>
      </c>
      <c r="G1123" s="41">
        <f>SUM(G1121:G1122)</f>
        <v>0</v>
      </c>
      <c r="H1123" s="41">
        <f>SUM(H1121:H1122)</f>
        <v>0</v>
      </c>
    </row>
    <row r="1124" spans="1:8" hidden="1" x14ac:dyDescent="0.25">
      <c r="B1124" s="33"/>
      <c r="C1124" s="33"/>
      <c r="D1124" s="24"/>
      <c r="E1124" s="34"/>
      <c r="F1124" s="34"/>
      <c r="G1124" s="34"/>
      <c r="H1124" s="34"/>
    </row>
    <row r="1125" spans="1:8" ht="18.75" hidden="1" x14ac:dyDescent="0.3">
      <c r="A1125" s="42" t="s">
        <v>42</v>
      </c>
      <c r="C1125" s="33"/>
      <c r="D1125" s="132">
        <f>'Facility Detail'!$B$1159</f>
        <v>2015</v>
      </c>
      <c r="E1125" s="2">
        <f>D1125+1</f>
        <v>2016</v>
      </c>
      <c r="F1125" s="2">
        <f>E1125+1</f>
        <v>2017</v>
      </c>
      <c r="G1125" s="2">
        <f>F1125+1</f>
        <v>2018</v>
      </c>
      <c r="H1125" s="2">
        <f>G1125+1</f>
        <v>2019</v>
      </c>
    </row>
    <row r="1126" spans="1:8" hidden="1" x14ac:dyDescent="0.25">
      <c r="B1126" s="67" t="s">
        <v>59</v>
      </c>
      <c r="C1126" s="62"/>
      <c r="D1126" s="188"/>
      <c r="E1126" s="4"/>
      <c r="F1126" s="4"/>
      <c r="G1126" s="4"/>
      <c r="H1126" s="5"/>
    </row>
    <row r="1127" spans="1:8" hidden="1" x14ac:dyDescent="0.25">
      <c r="B1127" s="68" t="s">
        <v>35</v>
      </c>
      <c r="C1127" s="69"/>
      <c r="D1127" s="189"/>
      <c r="E1127" s="151"/>
      <c r="F1127" s="151"/>
      <c r="G1127" s="151"/>
      <c r="H1127" s="152"/>
    </row>
    <row r="1128" spans="1:8" hidden="1" x14ac:dyDescent="0.25">
      <c r="B1128" s="78" t="s">
        <v>101</v>
      </c>
      <c r="C1128" s="77"/>
      <c r="D1128" s="190"/>
      <c r="E1128" s="153"/>
      <c r="F1128" s="153"/>
      <c r="G1128" s="153"/>
      <c r="H1128" s="154"/>
    </row>
    <row r="1129" spans="1:8" hidden="1" x14ac:dyDescent="0.25">
      <c r="B1129" s="36" t="s">
        <v>102</v>
      </c>
      <c r="D1129" s="144">
        <f>SUM(D1126:D1128)</f>
        <v>0</v>
      </c>
      <c r="E1129" s="7">
        <f>SUM(E1126:E1128)</f>
        <v>0</v>
      </c>
      <c r="F1129" s="7">
        <f>SUM(F1126:F1128)</f>
        <v>0</v>
      </c>
      <c r="G1129" s="7"/>
      <c r="H1129" s="7"/>
    </row>
    <row r="1130" spans="1:8" hidden="1" x14ac:dyDescent="0.25">
      <c r="B1130" s="6"/>
      <c r="D1130" s="144"/>
      <c r="E1130" s="7"/>
      <c r="F1130" s="7"/>
      <c r="G1130" s="7"/>
      <c r="H1130" s="7"/>
    </row>
    <row r="1131" spans="1:8" ht="18.75" hidden="1" x14ac:dyDescent="0.3">
      <c r="A1131" s="9" t="s">
        <v>112</v>
      </c>
      <c r="D1131" s="132">
        <f>'Facility Detail'!$B$1159</f>
        <v>2015</v>
      </c>
      <c r="E1131" s="2">
        <f>D1131+1</f>
        <v>2016</v>
      </c>
      <c r="F1131" s="2">
        <f>E1131+1</f>
        <v>2017</v>
      </c>
      <c r="G1131" s="2">
        <f>F1131+1</f>
        <v>2018</v>
      </c>
      <c r="H1131" s="2">
        <f>G1131+1</f>
        <v>2019</v>
      </c>
    </row>
    <row r="1132" spans="1:8" hidden="1" x14ac:dyDescent="0.25">
      <c r="B1132" s="67" t="str">
        <f xml:space="preserve"> 'Facility Detail'!$B$1159 &amp; " Surplus Applied to " &amp; ( 'Facility Detail'!$B$1159 + 1 )</f>
        <v>2015 Surplus Applied to 2016</v>
      </c>
      <c r="C1132" s="62"/>
      <c r="D1132" s="51">
        <f>D1118+D1123-D1129</f>
        <v>0</v>
      </c>
      <c r="E1132" s="55">
        <f>D1132</f>
        <v>0</v>
      </c>
      <c r="F1132" s="129"/>
      <c r="G1132" s="129"/>
      <c r="H1132" s="130"/>
    </row>
    <row r="1133" spans="1:8" hidden="1" x14ac:dyDescent="0.25">
      <c r="B1133" s="67" t="str">
        <f xml:space="preserve"> ( 'Facility Detail'!$B$1159 + 1 ) &amp; " Surplus Applied to " &amp; ( 'Facility Detail'!$B$1159 )</f>
        <v>2016 Surplus Applied to 2015</v>
      </c>
      <c r="C1133" s="62"/>
      <c r="D1133" s="148">
        <f>E1133</f>
        <v>0</v>
      </c>
      <c r="E1133" s="10">
        <v>0</v>
      </c>
      <c r="F1133" s="125"/>
      <c r="G1133" s="125"/>
      <c r="H1133" s="131"/>
    </row>
    <row r="1134" spans="1:8" hidden="1" x14ac:dyDescent="0.25">
      <c r="B1134" s="67" t="str">
        <f xml:space="preserve"> ( 'Facility Detail'!$B$1159 + 1 ) &amp; " Surplus Applied to " &amp; ( 'Facility Detail'!$B$1159 + 2 )</f>
        <v>2016 Surplus Applied to 2017</v>
      </c>
      <c r="C1134" s="62"/>
      <c r="D1134" s="148"/>
      <c r="E1134" s="10">
        <f>E1118+E1123-E1129</f>
        <v>0</v>
      </c>
      <c r="F1134" s="61">
        <f>+E1134</f>
        <v>0</v>
      </c>
      <c r="G1134" s="125"/>
      <c r="H1134" s="131"/>
    </row>
    <row r="1135" spans="1:8" hidden="1" x14ac:dyDescent="0.25">
      <c r="B1135" s="67" t="str">
        <f xml:space="preserve"> ( 'Facility Detail'!$B$1159 + 2 ) &amp; " Surplus Applied to " &amp; ( 'Facility Detail'!$B$1159 + 1 )</f>
        <v>2017 Surplus Applied to 2016</v>
      </c>
      <c r="C1135" s="62"/>
      <c r="D1135" s="148"/>
      <c r="E1135" s="61">
        <f>F1135</f>
        <v>0</v>
      </c>
      <c r="F1135" s="10">
        <v>0</v>
      </c>
      <c r="G1135" s="125"/>
      <c r="H1135" s="131"/>
    </row>
    <row r="1136" spans="1:8" hidden="1" x14ac:dyDescent="0.25">
      <c r="B1136" s="67"/>
      <c r="C1136" s="33"/>
      <c r="D1136" s="148"/>
      <c r="E1136" s="125"/>
      <c r="F1136" s="10">
        <f>F1118+F1123-F1129</f>
        <v>0</v>
      </c>
      <c r="G1136" s="61">
        <f>+F1136</f>
        <v>0</v>
      </c>
      <c r="H1136" s="131"/>
    </row>
    <row r="1137" spans="1:8" hidden="1" x14ac:dyDescent="0.25">
      <c r="B1137" s="67"/>
      <c r="C1137" s="33"/>
      <c r="D1137" s="148"/>
      <c r="E1137" s="125"/>
      <c r="F1137" s="61">
        <f>G1137</f>
        <v>0</v>
      </c>
      <c r="G1137" s="10">
        <v>0</v>
      </c>
      <c r="H1137" s="131"/>
    </row>
    <row r="1138" spans="1:8" hidden="1" x14ac:dyDescent="0.25">
      <c r="B1138" s="67"/>
      <c r="C1138" s="33"/>
      <c r="D1138" s="148"/>
      <c r="E1138" s="125"/>
      <c r="F1138" s="125"/>
      <c r="G1138" s="10">
        <f>G1118+G1123-G1129</f>
        <v>0</v>
      </c>
      <c r="H1138" s="56">
        <f>+G1138</f>
        <v>0</v>
      </c>
    </row>
    <row r="1139" spans="1:8" hidden="1" x14ac:dyDescent="0.25">
      <c r="B1139" s="67"/>
      <c r="C1139" s="33"/>
      <c r="D1139" s="52"/>
      <c r="E1139" s="128"/>
      <c r="F1139" s="128"/>
      <c r="G1139" s="57">
        <f>H1139</f>
        <v>0</v>
      </c>
      <c r="H1139" s="48">
        <v>0</v>
      </c>
    </row>
    <row r="1140" spans="1:8" hidden="1" x14ac:dyDescent="0.25">
      <c r="B1140" s="36" t="s">
        <v>29</v>
      </c>
      <c r="D1140" s="144">
        <f xml:space="preserve"> D1133 - D1132</f>
        <v>0</v>
      </c>
      <c r="E1140" s="7">
        <f xml:space="preserve"> E1132 + E1135 - E1134 - E1133</f>
        <v>0</v>
      </c>
      <c r="F1140" s="7">
        <f>F1134 - F1135 - F1136 + F1137</f>
        <v>0</v>
      </c>
      <c r="G1140" s="7">
        <f>G1136  - G1137 - G1138  + G1139</f>
        <v>0</v>
      </c>
      <c r="H1140" s="7">
        <f>H1138 - H1139</f>
        <v>0</v>
      </c>
    </row>
    <row r="1141" spans="1:8" hidden="1" x14ac:dyDescent="0.25">
      <c r="B1141" s="6"/>
      <c r="D1141" s="144"/>
      <c r="E1141" s="7"/>
      <c r="F1141" s="7"/>
      <c r="G1141" s="7"/>
      <c r="H1141" s="7"/>
    </row>
    <row r="1142" spans="1:8" hidden="1" x14ac:dyDescent="0.25">
      <c r="B1142" s="64" t="s">
        <v>24</v>
      </c>
      <c r="C1142" s="62"/>
      <c r="D1142" s="191"/>
      <c r="E1142" s="85"/>
      <c r="F1142" s="123"/>
      <c r="G1142" s="123"/>
      <c r="H1142" s="86"/>
    </row>
    <row r="1143" spans="1:8" hidden="1" x14ac:dyDescent="0.25">
      <c r="B1143" s="6"/>
      <c r="D1143" s="144"/>
      <c r="E1143" s="7"/>
      <c r="F1143" s="7"/>
      <c r="G1143" s="7"/>
      <c r="H1143" s="7"/>
    </row>
    <row r="1144" spans="1:8" ht="18.75" hidden="1" x14ac:dyDescent="0.3">
      <c r="A1144" s="42" t="s">
        <v>38</v>
      </c>
      <c r="C1144" s="62"/>
      <c r="D1144" s="192">
        <f xml:space="preserve"> D1118 + D1123 - D1129 + D1140 + D1142</f>
        <v>0</v>
      </c>
      <c r="E1144" s="124">
        <f xml:space="preserve"> E1118 + E1123 - E1129 + E1140 + E1142</f>
        <v>0</v>
      </c>
      <c r="F1144" s="124">
        <f xml:space="preserve"> F1118 + F1123 - F1129 + F1140 + F1142</f>
        <v>0</v>
      </c>
      <c r="G1144" s="124"/>
      <c r="H1144" s="46"/>
    </row>
    <row r="1145" spans="1:8" hidden="1" x14ac:dyDescent="0.25">
      <c r="B1145" s="6"/>
      <c r="D1145" s="144"/>
      <c r="E1145" s="7"/>
      <c r="F1145" s="7"/>
      <c r="G1145" s="32"/>
      <c r="H1145" s="32"/>
    </row>
    <row r="1146" spans="1:8" hidden="1" x14ac:dyDescent="0.25"/>
    <row r="1147" spans="1:8" hidden="1" x14ac:dyDescent="0.25"/>
    <row r="1149" spans="1:8" outlineLevel="1" x14ac:dyDescent="0.25"/>
    <row r="1150" spans="1:8" outlineLevel="1" x14ac:dyDescent="0.25">
      <c r="B1150" s="6" t="s">
        <v>41</v>
      </c>
    </row>
    <row r="1151" spans="1:8" outlineLevel="1" x14ac:dyDescent="0.25">
      <c r="B1151" s="15" t="s">
        <v>0</v>
      </c>
    </row>
    <row r="1152" spans="1:8" outlineLevel="1" x14ac:dyDescent="0.25">
      <c r="B1152" s="17" t="s">
        <v>1</v>
      </c>
    </row>
    <row r="1153" spans="2:2" outlineLevel="1" x14ac:dyDescent="0.25">
      <c r="B1153" s="18" t="s">
        <v>2</v>
      </c>
    </row>
    <row r="1154" spans="2:2" outlineLevel="1" x14ac:dyDescent="0.25"/>
    <row r="1155" spans="2:2" outlineLevel="1" x14ac:dyDescent="0.25">
      <c r="B1155" s="6" t="s">
        <v>40</v>
      </c>
    </row>
    <row r="1156" spans="2:2" outlineLevel="1" x14ac:dyDescent="0.25">
      <c r="B1156" s="16">
        <v>0.2</v>
      </c>
    </row>
    <row r="1157" spans="2:2" outlineLevel="1" x14ac:dyDescent="0.25"/>
    <row r="1158" spans="2:2" outlineLevel="1" x14ac:dyDescent="0.25">
      <c r="B1158" s="6" t="s">
        <v>8</v>
      </c>
    </row>
    <row r="1159" spans="2:2" outlineLevel="1" x14ac:dyDescent="0.25">
      <c r="B1159" s="16">
        <v>2015</v>
      </c>
    </row>
    <row r="1160" spans="2:2" outlineLevel="1" x14ac:dyDescent="0.25"/>
    <row r="1161" spans="2:2" outlineLevel="1" x14ac:dyDescent="0.25">
      <c r="B1161" s="6" t="s">
        <v>118</v>
      </c>
    </row>
    <row r="1162" spans="2:2" outlineLevel="1" x14ac:dyDescent="0.25">
      <c r="B1162" s="15"/>
    </row>
    <row r="1163" spans="2:2" outlineLevel="1" x14ac:dyDescent="0.25">
      <c r="B1163" s="17" t="s">
        <v>119</v>
      </c>
    </row>
    <row r="1164" spans="2:2" outlineLevel="1" x14ac:dyDescent="0.25">
      <c r="B1164" s="17" t="s">
        <v>120</v>
      </c>
    </row>
    <row r="1165" spans="2:2" outlineLevel="1" x14ac:dyDescent="0.25">
      <c r="B1165" s="17" t="s">
        <v>126</v>
      </c>
    </row>
    <row r="1166" spans="2:2" outlineLevel="1" x14ac:dyDescent="0.25">
      <c r="B1166" s="17" t="s">
        <v>124</v>
      </c>
    </row>
    <row r="1167" spans="2:2" outlineLevel="1" x14ac:dyDescent="0.25">
      <c r="B1167" s="17" t="s">
        <v>121</v>
      </c>
    </row>
    <row r="1168" spans="2:2" outlineLevel="1" x14ac:dyDescent="0.25">
      <c r="B1168" s="17" t="s">
        <v>122</v>
      </c>
    </row>
    <row r="1169" spans="2:2" outlineLevel="1" x14ac:dyDescent="0.25">
      <c r="B1169" s="17" t="s">
        <v>125</v>
      </c>
    </row>
    <row r="1170" spans="2:2" outlineLevel="1" x14ac:dyDescent="0.25">
      <c r="B1170" s="17" t="s">
        <v>123</v>
      </c>
    </row>
    <row r="1171" spans="2:2" outlineLevel="1" x14ac:dyDescent="0.25">
      <c r="B1171" s="89" t="s">
        <v>132</v>
      </c>
    </row>
    <row r="1172" spans="2:2" outlineLevel="1" x14ac:dyDescent="0.25"/>
  </sheetData>
  <mergeCells count="1">
    <mergeCell ref="B35:F35"/>
  </mergeCells>
  <phoneticPr fontId="7" type="noConversion"/>
  <dataValidations count="2">
    <dataValidation type="list" allowBlank="1" showInputMessage="1" showErrorMessage="1" sqref="F4:G33">
      <formula1>LaborBonus</formula1>
    </dataValidation>
    <dataValidation type="list" allowBlank="1" showInputMessage="1" showErrorMessage="1" sqref="E4:E33">
      <formula1>Facility</formula1>
    </dataValidation>
  </dataValidations>
  <pageMargins left="0.25" right="0.25" top="0.92" bottom="0.17" header="0.17" footer="0.17"/>
  <pageSetup scale="59" fitToHeight="2" orientation="landscape" r:id="rId1"/>
  <headerFooter alignWithMargins="0"/>
  <rowBreaks count="24" manualBreakCount="24">
    <brk id="37" max="16383" man="1"/>
    <brk id="73" max="16383" man="1"/>
    <brk id="109" max="16383" man="1"/>
    <brk id="146" max="16383" man="1"/>
    <brk id="182" max="16383" man="1"/>
    <brk id="220" max="16383" man="1"/>
    <brk id="256" max="16383" man="1"/>
    <brk id="294" max="16383" man="1"/>
    <brk id="329" max="16383" man="1"/>
    <brk id="368" max="16383" man="1"/>
    <brk id="404" max="7" man="1"/>
    <brk id="442" max="7" man="1"/>
    <brk id="478" max="7" man="1"/>
    <brk id="516" max="7" man="1"/>
    <brk id="552" max="7" man="1"/>
    <brk id="591" max="7" man="1"/>
    <brk id="627" max="7" man="1"/>
    <brk id="666" max="7" man="1"/>
    <brk id="740" max="7" man="1"/>
    <brk id="814" max="7" man="1"/>
    <brk id="888" max="7" man="1"/>
    <brk id="962" max="7" man="1"/>
    <brk id="1036" max="7" man="1"/>
    <brk id="1110" max="7" man="1"/>
  </rowBreaks>
  <ignoredErrors>
    <ignoredError sqref="D180 D217 D144 D254 D29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G11" sqref="G11"/>
    </sheetView>
  </sheetViews>
  <sheetFormatPr defaultColWidth="9.140625" defaultRowHeight="12.75" outlineLevelRow="1" x14ac:dyDescent="0.2"/>
  <cols>
    <col min="1" max="1" width="27.85546875" style="90" customWidth="1"/>
    <col min="2" max="2" width="25.140625" style="90" bestFit="1" customWidth="1"/>
    <col min="3" max="3" width="11.85546875" style="90" customWidth="1"/>
    <col min="4" max="4" width="12.5703125" style="90" customWidth="1"/>
    <col min="5" max="6" width="14.85546875" style="90" customWidth="1"/>
    <col min="7" max="8" width="14.28515625" style="90" customWidth="1"/>
    <col min="9" max="16384" width="9.140625" style="90"/>
  </cols>
  <sheetData>
    <row r="1" spans="1:7" x14ac:dyDescent="0.2">
      <c r="A1" s="140" t="s">
        <v>183</v>
      </c>
    </row>
    <row r="2" spans="1:7" ht="21" x14ac:dyDescent="0.35">
      <c r="A2" s="107" t="s">
        <v>130</v>
      </c>
    </row>
    <row r="4" spans="1:7" ht="15" x14ac:dyDescent="0.25">
      <c r="C4" s="92">
        <f>C18</f>
        <v>2015</v>
      </c>
      <c r="D4" s="92">
        <f>D18</f>
        <v>2016</v>
      </c>
      <c r="E4" s="92">
        <f>E18</f>
        <v>2017</v>
      </c>
      <c r="F4" s="92">
        <f>F18</f>
        <v>2018</v>
      </c>
      <c r="G4" s="92">
        <f>G18</f>
        <v>2019</v>
      </c>
    </row>
    <row r="5" spans="1:7" ht="15" x14ac:dyDescent="0.25">
      <c r="A5" s="91" t="s">
        <v>119</v>
      </c>
      <c r="C5" s="94">
        <f t="shared" ref="C5:G6" si="0" xml:space="preserve"> SUMIF( $B$19:$B$48, $A5, C$19:C$48 )</f>
        <v>0</v>
      </c>
      <c r="D5" s="95">
        <f t="shared" si="0"/>
        <v>1757710.2000000002</v>
      </c>
      <c r="E5" s="95">
        <f t="shared" si="0"/>
        <v>1767728.6</v>
      </c>
      <c r="F5" s="95">
        <f t="shared" si="0"/>
        <v>1771252</v>
      </c>
      <c r="G5" s="96">
        <f t="shared" si="0"/>
        <v>2417819.58641122</v>
      </c>
    </row>
    <row r="6" spans="1:7" ht="15" x14ac:dyDescent="0.25">
      <c r="A6" s="91" t="s">
        <v>120</v>
      </c>
      <c r="C6" s="98">
        <f t="shared" si="0"/>
        <v>0</v>
      </c>
      <c r="D6" s="99">
        <f t="shared" si="0"/>
        <v>0</v>
      </c>
      <c r="E6" s="99">
        <f t="shared" si="0"/>
        <v>37300</v>
      </c>
      <c r="F6" s="99">
        <f t="shared" si="0"/>
        <v>0</v>
      </c>
      <c r="G6" s="100">
        <f t="shared" si="0"/>
        <v>0</v>
      </c>
    </row>
    <row r="7" spans="1:7" ht="15" x14ac:dyDescent="0.25">
      <c r="A7" s="91" t="s">
        <v>126</v>
      </c>
      <c r="C7" s="98"/>
      <c r="D7" s="99">
        <f t="shared" ref="D7:G13" si="1" xml:space="preserve"> SUMIF( $B$19:$B$48, $A7, D$19:D$48 )</f>
        <v>119024.37899999999</v>
      </c>
      <c r="E7" s="99">
        <f t="shared" si="1"/>
        <v>105187.99999999999</v>
      </c>
      <c r="F7" s="99">
        <f t="shared" si="1"/>
        <v>125494</v>
      </c>
      <c r="G7" s="100">
        <f t="shared" si="1"/>
        <v>115922</v>
      </c>
    </row>
    <row r="8" spans="1:7" ht="15" x14ac:dyDescent="0.25">
      <c r="A8" s="91" t="s">
        <v>124</v>
      </c>
      <c r="C8" s="98">
        <f t="shared" ref="C8:C13" si="2" xml:space="preserve"> SUMIF( $B$19:$B$48, $A8, C$19:C$48 )</f>
        <v>0</v>
      </c>
      <c r="D8" s="99">
        <f t="shared" si="1"/>
        <v>0</v>
      </c>
      <c r="E8" s="99">
        <f t="shared" si="1"/>
        <v>0</v>
      </c>
      <c r="F8" s="99">
        <f t="shared" si="1"/>
        <v>0</v>
      </c>
      <c r="G8" s="100">
        <f t="shared" si="1"/>
        <v>0</v>
      </c>
    </row>
    <row r="9" spans="1:7" ht="15" x14ac:dyDescent="0.25">
      <c r="A9" s="91" t="s">
        <v>121</v>
      </c>
      <c r="C9" s="98">
        <f t="shared" si="2"/>
        <v>0</v>
      </c>
      <c r="D9" s="99">
        <f t="shared" si="1"/>
        <v>0</v>
      </c>
      <c r="E9" s="99">
        <f t="shared" si="1"/>
        <v>0</v>
      </c>
      <c r="F9" s="99">
        <f t="shared" si="1"/>
        <v>0</v>
      </c>
      <c r="G9" s="100">
        <f t="shared" si="1"/>
        <v>0</v>
      </c>
    </row>
    <row r="10" spans="1:7" ht="15" x14ac:dyDescent="0.25">
      <c r="A10" s="91" t="s">
        <v>122</v>
      </c>
      <c r="C10" s="98">
        <f t="shared" si="2"/>
        <v>0</v>
      </c>
      <c r="D10" s="99">
        <f t="shared" si="1"/>
        <v>0</v>
      </c>
      <c r="E10" s="99">
        <f t="shared" si="1"/>
        <v>0</v>
      </c>
      <c r="F10" s="99">
        <f t="shared" si="1"/>
        <v>0</v>
      </c>
      <c r="G10" s="100">
        <f t="shared" si="1"/>
        <v>0</v>
      </c>
    </row>
    <row r="11" spans="1:7" ht="15" x14ac:dyDescent="0.25">
      <c r="A11" s="91" t="s">
        <v>125</v>
      </c>
      <c r="C11" s="98">
        <f t="shared" si="2"/>
        <v>0</v>
      </c>
      <c r="D11" s="99">
        <f t="shared" si="1"/>
        <v>0</v>
      </c>
      <c r="E11" s="99">
        <f t="shared" si="1"/>
        <v>0</v>
      </c>
      <c r="F11" s="99">
        <f t="shared" si="1"/>
        <v>0</v>
      </c>
      <c r="G11" s="100">
        <f t="shared" si="1"/>
        <v>0</v>
      </c>
    </row>
    <row r="12" spans="1:7" ht="15" x14ac:dyDescent="0.25">
      <c r="A12" s="91" t="s">
        <v>123</v>
      </c>
      <c r="C12" s="98">
        <f t="shared" si="2"/>
        <v>0</v>
      </c>
      <c r="D12" s="99">
        <f t="shared" si="1"/>
        <v>0</v>
      </c>
      <c r="E12" s="99">
        <f t="shared" si="1"/>
        <v>0</v>
      </c>
      <c r="F12" s="99">
        <f t="shared" si="1"/>
        <v>0</v>
      </c>
      <c r="G12" s="100">
        <f t="shared" si="1"/>
        <v>0</v>
      </c>
    </row>
    <row r="13" spans="1:7" ht="15" x14ac:dyDescent="0.25">
      <c r="A13" s="91" t="s">
        <v>132</v>
      </c>
      <c r="C13" s="102">
        <f t="shared" si="2"/>
        <v>0</v>
      </c>
      <c r="D13" s="103">
        <f t="shared" si="1"/>
        <v>0</v>
      </c>
      <c r="E13" s="103">
        <f t="shared" si="1"/>
        <v>0</v>
      </c>
      <c r="F13" s="103">
        <f t="shared" si="1"/>
        <v>0</v>
      </c>
      <c r="G13" s="104">
        <f t="shared" si="1"/>
        <v>0</v>
      </c>
    </row>
    <row r="14" spans="1:7" ht="15.75" x14ac:dyDescent="0.25">
      <c r="A14" s="108"/>
      <c r="B14" s="109"/>
      <c r="C14" s="109"/>
      <c r="D14" s="109"/>
      <c r="E14" s="109"/>
      <c r="F14" s="109"/>
    </row>
    <row r="17" spans="1:8" ht="15" outlineLevel="1" x14ac:dyDescent="0.25">
      <c r="G17" s="105"/>
    </row>
    <row r="18" spans="1:8" ht="15" outlineLevel="1" x14ac:dyDescent="0.25">
      <c r="A18" s="106" t="s">
        <v>60</v>
      </c>
      <c r="B18" s="105" t="s">
        <v>127</v>
      </c>
      <c r="C18" s="105">
        <f>'Facility Detail'!D41</f>
        <v>2015</v>
      </c>
      <c r="D18" s="105">
        <f>'Facility Detail'!E41</f>
        <v>2016</v>
      </c>
      <c r="E18" s="105">
        <f>'Facility Detail'!F41</f>
        <v>2017</v>
      </c>
      <c r="F18" s="105">
        <f>'Facility Detail'!G41</f>
        <v>2018</v>
      </c>
      <c r="G18" s="105">
        <f>'Facility Detail'!H41</f>
        <v>2019</v>
      </c>
      <c r="H18" s="140"/>
    </row>
    <row r="19" spans="1:8" ht="15" outlineLevel="1" x14ac:dyDescent="0.25">
      <c r="A19" s="93" t="str">
        <f>'Facility Detail'!B4</f>
        <v>Wild Horse</v>
      </c>
      <c r="B19" s="193" t="s">
        <v>119</v>
      </c>
      <c r="C19" s="194">
        <f>'Facility Detail'!D71</f>
        <v>0</v>
      </c>
      <c r="D19" s="195">
        <f>'Facility Detail'!E71</f>
        <v>469503</v>
      </c>
      <c r="E19" s="195">
        <f>'Facility Detail'!F71</f>
        <v>305994</v>
      </c>
      <c r="F19" s="195">
        <f>'Facility Detail'!G71</f>
        <v>471878</v>
      </c>
      <c r="G19" s="196">
        <f>'Facility Detail'!H71</f>
        <v>592696.64612571802</v>
      </c>
    </row>
    <row r="20" spans="1:8" ht="15" outlineLevel="1" x14ac:dyDescent="0.25">
      <c r="A20" s="97" t="str">
        <f>'Facility Detail'!B5</f>
        <v>Hopkins Ridge</v>
      </c>
      <c r="B20" s="97" t="str">
        <f xml:space="preserve"> IF( 'Facility Detail'!E5 = "", "", 'Facility Detail'!E5 )</f>
        <v>Wind</v>
      </c>
      <c r="C20" s="197">
        <f>'Facility Detail'!D107</f>
        <v>0</v>
      </c>
      <c r="D20" s="198">
        <f>'Facility Detail'!E107</f>
        <v>238385</v>
      </c>
      <c r="E20" s="198">
        <f>'Facility Detail'!F107</f>
        <v>207498</v>
      </c>
      <c r="F20" s="198">
        <f>'Facility Detail'!G107</f>
        <v>255144</v>
      </c>
      <c r="G20" s="199">
        <f>'Facility Detail'!H107</f>
        <v>306662.75035200565</v>
      </c>
    </row>
    <row r="21" spans="1:8" ht="15" outlineLevel="1" x14ac:dyDescent="0.25">
      <c r="A21" s="97" t="str">
        <f>'Facility Detail'!B6</f>
        <v>Klondike III</v>
      </c>
      <c r="B21" s="97" t="str">
        <f xml:space="preserve"> IF( 'Facility Detail'!E6 = "", "", 'Facility Detail'!E6 )</f>
        <v>Wind</v>
      </c>
      <c r="C21" s="197">
        <f>'Facility Detail'!D144</f>
        <v>0</v>
      </c>
      <c r="D21" s="198">
        <f>'Facility Detail'!E144</f>
        <v>60908</v>
      </c>
      <c r="E21" s="198">
        <f>'Facility Detail'!F144</f>
        <v>64389</v>
      </c>
      <c r="F21" s="198">
        <f>'Facility Detail'!G144</f>
        <v>53421</v>
      </c>
      <c r="G21" s="199">
        <f>'Facility Detail'!H144</f>
        <v>84667.363636363632</v>
      </c>
    </row>
    <row r="22" spans="1:8" ht="15" outlineLevel="1" x14ac:dyDescent="0.25">
      <c r="A22" s="97" t="str">
        <f>'Facility Detail'!B7</f>
        <v>Wild Horse Phase II</v>
      </c>
      <c r="B22" s="97" t="str">
        <f xml:space="preserve"> IF( 'Facility Detail'!E7 = "", "", 'Facility Detail'!E7 )</f>
        <v>Wind</v>
      </c>
      <c r="C22" s="197">
        <f>'Facility Detail'!D180</f>
        <v>0</v>
      </c>
      <c r="D22" s="198">
        <f>'Facility Detail'!E180</f>
        <v>106431.6</v>
      </c>
      <c r="E22" s="198">
        <f>'Facility Detail'!F180</f>
        <v>130423.2</v>
      </c>
      <c r="F22" s="198">
        <f>'Facility Detail'!G180</f>
        <v>119241.60000000001</v>
      </c>
      <c r="G22" s="199">
        <f>'Facility Detail'!H180</f>
        <v>159648.36464913838</v>
      </c>
    </row>
    <row r="23" spans="1:8" ht="15" outlineLevel="1" x14ac:dyDescent="0.25">
      <c r="A23" s="97" t="str">
        <f>'Facility Detail'!B8</f>
        <v>Hopkins Ridge Phase II</v>
      </c>
      <c r="B23" s="97" t="str">
        <f xml:space="preserve"> IF( 'Facility Detail'!E8 = "", "", 'Facility Detail'!E8 )</f>
        <v>Wind</v>
      </c>
      <c r="C23" s="197">
        <f>'Facility Detail'!D217</f>
        <v>0</v>
      </c>
      <c r="D23" s="200">
        <f>'Facility Detail'!E217</f>
        <v>14879</v>
      </c>
      <c r="E23" s="200">
        <f>'Facility Detail'!F217</f>
        <v>10000</v>
      </c>
      <c r="F23" s="200">
        <f>'Facility Detail'!G217</f>
        <v>15881</v>
      </c>
      <c r="G23" s="201">
        <f>'Facility Detail'!H217</f>
        <v>13055.329647994351</v>
      </c>
    </row>
    <row r="24" spans="1:8" ht="15" outlineLevel="1" x14ac:dyDescent="0.25">
      <c r="A24" s="97" t="str">
        <f>'Facility Detail'!B9</f>
        <v>Lower Snake River - Dodge Junction</v>
      </c>
      <c r="B24" s="97" t="str">
        <f xml:space="preserve"> IF( 'Facility Detail'!E9 = "", "", 'Facility Detail'!E9 )</f>
        <v>Wind</v>
      </c>
      <c r="C24" s="197">
        <f>'Facility Detail'!D254</f>
        <v>0</v>
      </c>
      <c r="D24" s="200">
        <f>'Facility Detail'!E254</f>
        <v>505872</v>
      </c>
      <c r="E24" s="200">
        <f>'Facility Detail'!F254</f>
        <v>600880.80000000005</v>
      </c>
      <c r="F24" s="200">
        <f>'Facility Detail'!G254</f>
        <v>496567.2</v>
      </c>
      <c r="G24" s="201">
        <f>'Facility Detail'!H254</f>
        <v>730413.45600000001</v>
      </c>
    </row>
    <row r="25" spans="1:8" ht="15" outlineLevel="1" x14ac:dyDescent="0.25">
      <c r="A25" s="97" t="str">
        <f>'Facility Detail'!B10</f>
        <v>Lower Snake River - Phalen Gulch</v>
      </c>
      <c r="B25" s="97" t="str">
        <f xml:space="preserve"> IF( 'Facility Detail'!E10 = "", "", 'Facility Detail'!E10 )</f>
        <v>Wind</v>
      </c>
      <c r="C25" s="197">
        <f>'Facility Detail'!D291</f>
        <v>0</v>
      </c>
      <c r="D25" s="200">
        <f>'Facility Detail'!E291</f>
        <v>361731.6</v>
      </c>
      <c r="E25" s="200">
        <f>'Facility Detail'!F291</f>
        <v>441543.6</v>
      </c>
      <c r="F25" s="200">
        <f>'Facility Detail'!G291</f>
        <v>359119.2</v>
      </c>
      <c r="G25" s="201">
        <f>'Facility Detail'!H291</f>
        <v>530675.67599999998</v>
      </c>
    </row>
    <row r="26" spans="1:8" ht="15" outlineLevel="1" x14ac:dyDescent="0.25">
      <c r="A26" s="97" t="str">
        <f>'Facility Detail'!B11</f>
        <v>Wanapum Fish Bypass</v>
      </c>
      <c r="B26" s="97" t="str">
        <f xml:space="preserve"> IF( 'Facility Detail'!E11 = "", "", 'Facility Detail'!E11 )</f>
        <v>Water (Incremental Hydro)</v>
      </c>
      <c r="C26" s="197">
        <f>'Facility Detail'!D328</f>
        <v>0</v>
      </c>
      <c r="D26" s="200">
        <f>'Facility Detail'!E328</f>
        <v>0</v>
      </c>
      <c r="E26" s="200">
        <f>'Facility Detail'!F328</f>
        <v>0</v>
      </c>
      <c r="F26" s="200">
        <f>'Facility Detail'!G328</f>
        <v>0</v>
      </c>
      <c r="G26" s="201">
        <f>'Facility Detail'!H328</f>
        <v>0</v>
      </c>
    </row>
    <row r="27" spans="1:8" ht="15" outlineLevel="1" x14ac:dyDescent="0.25">
      <c r="A27" s="97" t="str">
        <f>'Facility Detail'!B12</f>
        <v>Baker River Project</v>
      </c>
      <c r="B27" s="97" t="str">
        <f xml:space="preserve"> IF( 'Facility Detail'!E12 = "", "", 'Facility Detail'!E12 )</f>
        <v>Water (Incremental Hydro)</v>
      </c>
      <c r="C27" s="197">
        <f>'Facility Detail'!D365</f>
        <v>87336.912999999986</v>
      </c>
      <c r="D27" s="200">
        <f>'Facility Detail'!E365</f>
        <v>101549.73899999999</v>
      </c>
      <c r="E27" s="200">
        <f>'Facility Detail'!F365</f>
        <v>88578.999999999985</v>
      </c>
      <c r="F27" s="200">
        <f>'Facility Detail'!G365</f>
        <v>108971</v>
      </c>
      <c r="G27" s="201">
        <f>'Facility Detail'!H365</f>
        <v>99050</v>
      </c>
    </row>
    <row r="28" spans="1:8" ht="15" outlineLevel="1" x14ac:dyDescent="0.25">
      <c r="A28" s="97" t="str">
        <f>'Facility Detail'!B13</f>
        <v>Snoqualmie Falls Project</v>
      </c>
      <c r="B28" s="97" t="str">
        <f xml:space="preserve"> IF( 'Facility Detail'!E13 = "", "", 'Facility Detail'!E13 )</f>
        <v>Water (Incremental Hydro)</v>
      </c>
      <c r="C28" s="197">
        <f>'Facility Detail'!D402</f>
        <v>10104.035</v>
      </c>
      <c r="D28" s="200">
        <f>'Facility Detail'!E402</f>
        <v>17474.640000000003</v>
      </c>
      <c r="E28" s="200">
        <f>'Facility Detail'!F402</f>
        <v>16609</v>
      </c>
      <c r="F28" s="200">
        <f>'Facility Detail'!G402</f>
        <v>16523</v>
      </c>
      <c r="G28" s="201">
        <f>'Facility Detail'!H402</f>
        <v>16872</v>
      </c>
    </row>
    <row r="29" spans="1:8" ht="15" outlineLevel="1" x14ac:dyDescent="0.25">
      <c r="A29" s="97" t="str">
        <f>'Facility Detail'!B14</f>
        <v>Klondike 1--REC only**</v>
      </c>
      <c r="B29" s="97" t="str">
        <f xml:space="preserve"> IF( 'Facility Detail'!E14 = "", "", 'Facility Detail'!E14 )</f>
        <v>Wind</v>
      </c>
      <c r="C29" s="197">
        <f>'Facility Detail'!D439</f>
        <v>0</v>
      </c>
      <c r="D29" s="200">
        <f>'Facility Detail'!E439</f>
        <v>0</v>
      </c>
      <c r="E29" s="200">
        <f>'Facility Detail'!F439</f>
        <v>968</v>
      </c>
      <c r="F29" s="200">
        <f>'Facility Detail'!G439</f>
        <v>0</v>
      </c>
      <c r="G29" s="201">
        <f>'Facility Detail'!H439</f>
        <v>0</v>
      </c>
    </row>
    <row r="30" spans="1:8" ht="15" outlineLevel="1" x14ac:dyDescent="0.25">
      <c r="A30" s="97" t="str">
        <f>'Facility Detail'!B15</f>
        <v>Stateline WA Wind--REC Only **</v>
      </c>
      <c r="B30" s="97" t="str">
        <f xml:space="preserve"> IF( 'Facility Detail'!E15 = "", "", 'Facility Detail'!E15 )</f>
        <v>Wind</v>
      </c>
      <c r="C30" s="197">
        <f>'Facility Detail'!D476</f>
        <v>0</v>
      </c>
      <c r="D30" s="200">
        <f>'Facility Detail'!E476</f>
        <v>0</v>
      </c>
      <c r="E30" s="200">
        <f>'Facility Detail'!F476</f>
        <v>3890</v>
      </c>
      <c r="F30" s="200">
        <f>'Facility Detail'!G476</f>
        <v>0</v>
      </c>
      <c r="G30" s="201">
        <f>'Facility Detail'!H476</f>
        <v>0</v>
      </c>
    </row>
    <row r="31" spans="1:8" ht="15" outlineLevel="1" x14ac:dyDescent="0.25">
      <c r="A31" s="97" t="str">
        <f>'Facility Detail'!B16</f>
        <v>Horse Butte Wind--REC only **</v>
      </c>
      <c r="B31" s="97" t="str">
        <f xml:space="preserve"> IF( 'Facility Detail'!E16 = "", "", 'Facility Detail'!E16 )</f>
        <v>Wind</v>
      </c>
      <c r="C31" s="197">
        <f>'Facility Detail'!D513</f>
        <v>0</v>
      </c>
      <c r="D31" s="200">
        <f>'Facility Detail'!E513</f>
        <v>0</v>
      </c>
      <c r="E31" s="200">
        <f>'Facility Detail'!F513</f>
        <v>27</v>
      </c>
      <c r="F31" s="200">
        <f>'Facility Detail'!G513</f>
        <v>0</v>
      </c>
      <c r="G31" s="201">
        <f>'Facility Detail'!H513</f>
        <v>0</v>
      </c>
    </row>
    <row r="32" spans="1:8" ht="15" outlineLevel="1" x14ac:dyDescent="0.25">
      <c r="A32" s="97" t="str">
        <f>'Facility Detail'!B17</f>
        <v>Grand View 5 East--REC Only**</v>
      </c>
      <c r="B32" s="97" t="str">
        <f xml:space="preserve"> IF( 'Facility Detail'!E17 = "", "", 'Facility Detail'!E17 )</f>
        <v>Solar</v>
      </c>
      <c r="C32" s="197">
        <f>'Facility Detail'!D550</f>
        <v>0</v>
      </c>
      <c r="D32" s="200">
        <f>'Facility Detail'!E550</f>
        <v>0</v>
      </c>
      <c r="E32" s="200">
        <f>'Facility Detail'!F550</f>
        <v>6741</v>
      </c>
      <c r="F32" s="200">
        <f>'Facility Detail'!G550</f>
        <v>0</v>
      </c>
      <c r="G32" s="201">
        <f>'Facility Detail'!H550</f>
        <v>0</v>
      </c>
    </row>
    <row r="33" spans="1:7" ht="15" outlineLevel="1" x14ac:dyDescent="0.25">
      <c r="A33" s="97" t="str">
        <f>'Facility Detail'!B18</f>
        <v>Grand View 2 West--REC Only **</v>
      </c>
      <c r="B33" s="97" t="str">
        <f xml:space="preserve"> IF( 'Facility Detail'!E18 = "", "", 'Facility Detail'!E18 )</f>
        <v>Solar</v>
      </c>
      <c r="C33" s="197">
        <f>'Facility Detail'!D588</f>
        <v>0</v>
      </c>
      <c r="D33" s="200">
        <f>'Facility Detail'!E588</f>
        <v>0</v>
      </c>
      <c r="E33" s="200">
        <f>'Facility Detail'!F588</f>
        <v>18511</v>
      </c>
      <c r="F33" s="200">
        <f>'Facility Detail'!G588</f>
        <v>0</v>
      </c>
      <c r="G33" s="201">
        <f>'Facility Detail'!H588</f>
        <v>0</v>
      </c>
    </row>
    <row r="34" spans="1:7" ht="15" outlineLevel="1" x14ac:dyDescent="0.25">
      <c r="A34" s="97" t="str">
        <f>'Facility Detail'!B19</f>
        <v>ID Solar 1 -- REC Only **</v>
      </c>
      <c r="B34" s="97" t="str">
        <f xml:space="preserve"> IF( 'Facility Detail'!E19 = "", "", 'Facility Detail'!E19 )</f>
        <v>Solar</v>
      </c>
      <c r="C34" s="197">
        <f>'Facility Detail'!D625</f>
        <v>0</v>
      </c>
      <c r="D34" s="200">
        <f>'Facility Detail'!E625</f>
        <v>0</v>
      </c>
      <c r="E34" s="200">
        <f>'Facility Detail'!F625</f>
        <v>12048</v>
      </c>
      <c r="F34" s="200">
        <f>'Facility Detail'!G625</f>
        <v>0</v>
      </c>
      <c r="G34" s="201">
        <f>'Facility Detail'!H625</f>
        <v>0</v>
      </c>
    </row>
    <row r="35" spans="1:7" ht="15" outlineLevel="1" x14ac:dyDescent="0.25">
      <c r="A35" s="97" t="str">
        <f>'Facility Detail'!B20</f>
        <v>Condon Wind Power -- REC Only **</v>
      </c>
      <c r="B35" s="97" t="str">
        <f xml:space="preserve"> IF( 'Facility Detail'!E20 = "", "", 'Facility Detail'!E20 )</f>
        <v>Wind</v>
      </c>
      <c r="C35" s="197">
        <f>'Facility Detail'!D663</f>
        <v>0</v>
      </c>
      <c r="D35" s="200">
        <f>'Facility Detail'!E663</f>
        <v>0</v>
      </c>
      <c r="E35" s="200">
        <f>'Facility Detail'!F663</f>
        <v>1046</v>
      </c>
      <c r="F35" s="200">
        <f>'Facility Detail'!G663</f>
        <v>0</v>
      </c>
      <c r="G35" s="201">
        <f>'Facility Detail'!H663</f>
        <v>0</v>
      </c>
    </row>
    <row r="36" spans="1:7" ht="15" outlineLevel="1" x14ac:dyDescent="0.25">
      <c r="A36" s="97" t="str">
        <f>'Facility Detail'!B21</f>
        <v>Condon Wind Power Phase II -- REC Only **</v>
      </c>
      <c r="B36" s="97" t="str">
        <f xml:space="preserve"> IF( 'Facility Detail'!E21 = "", "", 'Facility Detail'!E21 )</f>
        <v>Wind</v>
      </c>
      <c r="C36" s="197">
        <f>'Facility Detail'!D700</f>
        <v>0</v>
      </c>
      <c r="D36" s="200">
        <f>'Facility Detail'!E700</f>
        <v>0</v>
      </c>
      <c r="E36" s="200">
        <f>'Facility Detail'!F700</f>
        <v>1069</v>
      </c>
      <c r="F36" s="200">
        <f>'Facility Detail'!G700</f>
        <v>0</v>
      </c>
      <c r="G36" s="201">
        <f>'Facility Detail'!H700</f>
        <v>0</v>
      </c>
    </row>
    <row r="37" spans="1:7" ht="15" outlineLevel="1" x14ac:dyDescent="0.25">
      <c r="A37" s="97" t="str">
        <f>'Facility Detail'!B22</f>
        <v>Facility 19</v>
      </c>
      <c r="B37" s="97" t="str">
        <f xml:space="preserve"> IF( 'Facility Detail'!E22 = "", "", 'Facility Detail'!E22 )</f>
        <v/>
      </c>
      <c r="C37" s="98">
        <f>'Facility Detail'!D737</f>
        <v>0</v>
      </c>
      <c r="D37" s="99">
        <f>'Facility Detail'!E737</f>
        <v>0</v>
      </c>
      <c r="E37" s="99">
        <f>'Facility Detail'!F737</f>
        <v>0</v>
      </c>
      <c r="F37" s="99">
        <f>'Facility Detail'!G737</f>
        <v>0</v>
      </c>
      <c r="G37" s="100">
        <f>'Facility Detail'!H737</f>
        <v>0</v>
      </c>
    </row>
    <row r="38" spans="1:7" ht="15" outlineLevel="1" x14ac:dyDescent="0.25">
      <c r="A38" s="97" t="str">
        <f>'Facility Detail'!B23</f>
        <v>Facility 20</v>
      </c>
      <c r="B38" s="97" t="str">
        <f xml:space="preserve"> IF( 'Facility Detail'!E23 = "", "", 'Facility Detail'!E23 )</f>
        <v/>
      </c>
      <c r="C38" s="98">
        <f>'Facility Detail'!D774</f>
        <v>0</v>
      </c>
      <c r="D38" s="99">
        <f>'Facility Detail'!E774</f>
        <v>0</v>
      </c>
      <c r="E38" s="99">
        <f>'Facility Detail'!F774</f>
        <v>0</v>
      </c>
      <c r="F38" s="99">
        <f>'Facility Detail'!G774</f>
        <v>0</v>
      </c>
      <c r="G38" s="100">
        <f>'Facility Detail'!H774</f>
        <v>0</v>
      </c>
    </row>
    <row r="39" spans="1:7" ht="15" outlineLevel="1" x14ac:dyDescent="0.25">
      <c r="A39" s="97" t="str">
        <f>'Facility Detail'!B24</f>
        <v>Facility 21</v>
      </c>
      <c r="B39" s="97" t="str">
        <f xml:space="preserve"> IF( 'Facility Detail'!E24 = "", "", 'Facility Detail'!E24 )</f>
        <v/>
      </c>
      <c r="C39" s="98">
        <f>'Facility Detail'!D811</f>
        <v>0</v>
      </c>
      <c r="D39" s="99">
        <f>'Facility Detail'!E811</f>
        <v>0</v>
      </c>
      <c r="E39" s="99">
        <f>'Facility Detail'!F811</f>
        <v>0</v>
      </c>
      <c r="F39" s="99">
        <f>'Facility Detail'!G811</f>
        <v>0</v>
      </c>
      <c r="G39" s="100">
        <f>'Facility Detail'!H811</f>
        <v>0</v>
      </c>
    </row>
    <row r="40" spans="1:7" ht="15" outlineLevel="1" x14ac:dyDescent="0.25">
      <c r="A40" s="97" t="str">
        <f>'Facility Detail'!B25</f>
        <v>Facility 22</v>
      </c>
      <c r="B40" s="97" t="str">
        <f xml:space="preserve"> IF( 'Facility Detail'!E25 = "", "", 'Facility Detail'!E25 )</f>
        <v/>
      </c>
      <c r="C40" s="98">
        <f>'Facility Detail'!D848</f>
        <v>0</v>
      </c>
      <c r="D40" s="99">
        <f>'Facility Detail'!E848</f>
        <v>0</v>
      </c>
      <c r="E40" s="99">
        <f>'Facility Detail'!F848</f>
        <v>0</v>
      </c>
      <c r="F40" s="99">
        <f>'Facility Detail'!G848</f>
        <v>0</v>
      </c>
      <c r="G40" s="100">
        <f>'Facility Detail'!H848</f>
        <v>0</v>
      </c>
    </row>
    <row r="41" spans="1:7" ht="15" outlineLevel="1" x14ac:dyDescent="0.25">
      <c r="A41" s="97" t="str">
        <f>'Facility Detail'!B26</f>
        <v>Facility 23</v>
      </c>
      <c r="B41" s="97" t="str">
        <f xml:space="preserve"> IF( 'Facility Detail'!E26 = "", "", 'Facility Detail'!E26 )</f>
        <v/>
      </c>
      <c r="C41" s="98">
        <f>'Facility Detail'!D885</f>
        <v>0</v>
      </c>
      <c r="D41" s="99">
        <f>'Facility Detail'!E885</f>
        <v>0</v>
      </c>
      <c r="E41" s="99">
        <f>'Facility Detail'!F885</f>
        <v>0</v>
      </c>
      <c r="F41" s="99">
        <f>'Facility Detail'!G885</f>
        <v>0</v>
      </c>
      <c r="G41" s="100">
        <f>'Facility Detail'!H885</f>
        <v>0</v>
      </c>
    </row>
    <row r="42" spans="1:7" ht="15" outlineLevel="1" x14ac:dyDescent="0.25">
      <c r="A42" s="97" t="str">
        <f>'Facility Detail'!B27</f>
        <v>Facility 24</v>
      </c>
      <c r="B42" s="97" t="str">
        <f xml:space="preserve"> IF( 'Facility Detail'!E27 = "", "", 'Facility Detail'!E27 )</f>
        <v/>
      </c>
      <c r="C42" s="98">
        <f>'Facility Detail'!D922</f>
        <v>0</v>
      </c>
      <c r="D42" s="99">
        <f>'Facility Detail'!E922</f>
        <v>0</v>
      </c>
      <c r="E42" s="99">
        <f>'Facility Detail'!F922</f>
        <v>0</v>
      </c>
      <c r="F42" s="99">
        <f>'Facility Detail'!G922</f>
        <v>0</v>
      </c>
      <c r="G42" s="100">
        <f>'Facility Detail'!H922</f>
        <v>0</v>
      </c>
    </row>
    <row r="43" spans="1:7" ht="15" outlineLevel="1" x14ac:dyDescent="0.25">
      <c r="A43" s="97" t="str">
        <f>'Facility Detail'!B28</f>
        <v>Facility 25</v>
      </c>
      <c r="B43" s="97" t="str">
        <f xml:space="preserve"> IF( 'Facility Detail'!E28 = "", "", 'Facility Detail'!E28 )</f>
        <v/>
      </c>
      <c r="C43" s="98">
        <f>'Facility Detail'!D959</f>
        <v>0</v>
      </c>
      <c r="D43" s="99">
        <f>'Facility Detail'!E959</f>
        <v>0</v>
      </c>
      <c r="E43" s="99">
        <f>'Facility Detail'!F959</f>
        <v>0</v>
      </c>
      <c r="F43" s="99">
        <f>'Facility Detail'!G959</f>
        <v>0</v>
      </c>
      <c r="G43" s="100">
        <f>'Facility Detail'!H959</f>
        <v>0</v>
      </c>
    </row>
    <row r="44" spans="1:7" ht="15" outlineLevel="1" x14ac:dyDescent="0.25">
      <c r="A44" s="97" t="str">
        <f>'Facility Detail'!B29</f>
        <v>Facility 26</v>
      </c>
      <c r="B44" s="97" t="str">
        <f xml:space="preserve"> IF( 'Facility Detail'!E29 = "", "", 'Facility Detail'!E29 )</f>
        <v/>
      </c>
      <c r="C44" s="98">
        <f>'Facility Detail'!D996</f>
        <v>0</v>
      </c>
      <c r="D44" s="99">
        <f>'Facility Detail'!E996</f>
        <v>0</v>
      </c>
      <c r="E44" s="99">
        <f>'Facility Detail'!F996</f>
        <v>0</v>
      </c>
      <c r="F44" s="99">
        <f>'Facility Detail'!G996</f>
        <v>0</v>
      </c>
      <c r="G44" s="100">
        <f>'Facility Detail'!H996</f>
        <v>0</v>
      </c>
    </row>
    <row r="45" spans="1:7" ht="15" outlineLevel="1" x14ac:dyDescent="0.25">
      <c r="A45" s="97" t="str">
        <f>'Facility Detail'!B30</f>
        <v>Facility 27</v>
      </c>
      <c r="B45" s="97" t="str">
        <f xml:space="preserve"> IF( 'Facility Detail'!E30 = "", "", 'Facility Detail'!E30 )</f>
        <v/>
      </c>
      <c r="C45" s="98">
        <f>'Facility Detail'!D1033</f>
        <v>0</v>
      </c>
      <c r="D45" s="99">
        <f>'Facility Detail'!E1033</f>
        <v>0</v>
      </c>
      <c r="E45" s="99">
        <f>'Facility Detail'!F1033</f>
        <v>0</v>
      </c>
      <c r="F45" s="99">
        <f>'Facility Detail'!G1033</f>
        <v>0</v>
      </c>
      <c r="G45" s="100">
        <f>'Facility Detail'!H1033</f>
        <v>0</v>
      </c>
    </row>
    <row r="46" spans="1:7" ht="15" outlineLevel="1" x14ac:dyDescent="0.25">
      <c r="A46" s="97" t="str">
        <f>'Facility Detail'!B31</f>
        <v>Facility 28</v>
      </c>
      <c r="B46" s="97" t="str">
        <f xml:space="preserve"> IF( 'Facility Detail'!E31 = "", "", 'Facility Detail'!E31 )</f>
        <v/>
      </c>
      <c r="C46" s="98">
        <f>'Facility Detail'!D1070</f>
        <v>0</v>
      </c>
      <c r="D46" s="99">
        <f>'Facility Detail'!E1070</f>
        <v>0</v>
      </c>
      <c r="E46" s="99">
        <f>'Facility Detail'!F1070</f>
        <v>0</v>
      </c>
      <c r="F46" s="99">
        <f>'Facility Detail'!G1070</f>
        <v>0</v>
      </c>
      <c r="G46" s="100">
        <f>'Facility Detail'!H1070</f>
        <v>0</v>
      </c>
    </row>
    <row r="47" spans="1:7" ht="15" outlineLevel="1" x14ac:dyDescent="0.25">
      <c r="A47" s="97" t="str">
        <f>'Facility Detail'!B32</f>
        <v>Facility 29</v>
      </c>
      <c r="B47" s="97" t="str">
        <f xml:space="preserve"> IF( 'Facility Detail'!E32 = "", "", 'Facility Detail'!E32 )</f>
        <v/>
      </c>
      <c r="C47" s="98">
        <f>'Facility Detail'!D1107</f>
        <v>0</v>
      </c>
      <c r="D47" s="99">
        <f>'Facility Detail'!E1107</f>
        <v>0</v>
      </c>
      <c r="E47" s="99">
        <f>'Facility Detail'!F1107</f>
        <v>0</v>
      </c>
      <c r="F47" s="99">
        <f>'Facility Detail'!G1107</f>
        <v>0</v>
      </c>
      <c r="G47" s="100">
        <f>'Facility Detail'!H1107</f>
        <v>0</v>
      </c>
    </row>
    <row r="48" spans="1:7" ht="15" outlineLevel="1" x14ac:dyDescent="0.25">
      <c r="A48" s="101" t="str">
        <f>'Facility Detail'!B33</f>
        <v>Facility 30</v>
      </c>
      <c r="B48" s="101" t="str">
        <f xml:space="preserve"> IF( 'Facility Detail'!E33 = "", "", 'Facility Detail'!E33 )</f>
        <v/>
      </c>
      <c r="C48" s="102">
        <f>'Facility Detail'!D1144</f>
        <v>0</v>
      </c>
      <c r="D48" s="103">
        <f>'Facility Detail'!E1144</f>
        <v>0</v>
      </c>
      <c r="E48" s="103">
        <f>'Facility Detail'!F1144</f>
        <v>0</v>
      </c>
      <c r="F48" s="103">
        <f>'Facility Detail'!G1144</f>
        <v>0</v>
      </c>
      <c r="G48" s="104">
        <f>'Facility Detail'!H1144</f>
        <v>0</v>
      </c>
    </row>
    <row r="49" outlineLevel="1" x14ac:dyDescent="0.2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2019-05-24T07:00:00+00:00</OpenedDate>
    <Date1 xmlns="dc463f71-b30c-4ab2-9473-d307f9d35888">2019-05-24T07:00:00+00:00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190411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E39B697837314491696B6DF643956D" ma:contentTypeVersion="48" ma:contentTypeDescription="" ma:contentTypeScope="" ma:versionID="a31e921d3902a78bd90f4130ff9608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7A3E9-22A9-4FC0-AFA5-F1B3AE574A5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7CA2EEB-7738-4ED9-B419-A31A19063359}">
  <ds:schemaRefs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CEFCBD-303E-49A8-B198-2C3FF0FE3FD8}"/>
</file>

<file path=customXml/itemProps4.xml><?xml version="1.0" encoding="utf-8"?>
<ds:datastoreItem xmlns:ds="http://schemas.openxmlformats.org/officeDocument/2006/customXml" ds:itemID="{7F2E34CC-08D2-41FF-B805-82B658B69809}"/>
</file>

<file path=customXml/itemProps5.xml><?xml version="1.0" encoding="utf-8"?>
<ds:datastoreItem xmlns:ds="http://schemas.openxmlformats.org/officeDocument/2006/customXml" ds:itemID="{4F426CE5-D4AB-4ECF-A56A-EC27F10011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Instructions</vt:lpstr>
      <vt:lpstr>Compliance Summary</vt:lpstr>
      <vt:lpstr>Facility Detail</vt:lpstr>
      <vt:lpstr>Generation Rollup</vt:lpstr>
      <vt:lpstr>Facility</vt:lpstr>
      <vt:lpstr>LaborBonus</vt:lpstr>
      <vt:lpstr>'Compliance Summary'!Print_Area</vt:lpstr>
      <vt:lpstr>'Facility Detail'!Print_Area</vt:lpstr>
      <vt:lpstr>Instructions!Print_Area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Watts</dc:creator>
  <cp:lastModifiedBy>Barnard, Kathie</cp:lastModifiedBy>
  <cp:lastPrinted>2019-05-24T14:32:36Z</cp:lastPrinted>
  <dcterms:created xsi:type="dcterms:W3CDTF">2011-06-02T16:07:19Z</dcterms:created>
  <dcterms:modified xsi:type="dcterms:W3CDTF">2019-05-24T14:33:34Z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Description">
    <vt:lpwstr>Compliance Reporting Tool</vt:lpwstr>
  </property>
  <property fmtid="{D5CDD505-2E9C-101B-9397-08002B2CF9AE}" pid="3" name="EFilingId">
    <vt:lpwstr>853.000000000000</vt:lpwstr>
  </property>
  <property fmtid="{D5CDD505-2E9C-101B-9397-08002B2CF9AE}" pid="4" name="_docset_NoMedatataSyncRequired">
    <vt:lpwstr>False</vt:lpwstr>
  </property>
  <property fmtid="{D5CDD505-2E9C-101B-9397-08002B2CF9AE}" pid="5" name="ContentTypeId">
    <vt:lpwstr>0x0101006E56B4D1795A2E4DB2F0B01679ED314A0068E39B697837314491696B6DF643956D</vt:lpwstr>
  </property>
  <property fmtid="{D5CDD505-2E9C-101B-9397-08002B2CF9AE}" pid="6" name="IsEFSEC">
    <vt:bool>false</vt:bool>
  </property>
</Properties>
</file>