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19-14 Electric Schedule 140 - Property Tax Tracker - (UE-190227) (Eff. 05-01-19)\Workpapers\"/>
    </mc:Choice>
  </mc:AlternateContent>
  <bookViews>
    <workbookView xWindow="180" yWindow="75" windowWidth="14445" windowHeight="10470" firstSheet="2" activeTab="5"/>
  </bookViews>
  <sheets>
    <sheet name="+2019 Prop Tax Rate Impacts" sheetId="12" r:id="rId1"/>
    <sheet name="+FINAL 2019 Prop Tax Rate Des" sheetId="10" r:id="rId2"/>
    <sheet name="+Sch 449-459 Rate Design" sheetId="37" r:id="rId3"/>
    <sheet name="+UE-180280 Compliance ECOS " sheetId="35" r:id="rId4"/>
    <sheet name="+2019 FINAL Rev Req" sheetId="11" r:id="rId5"/>
    <sheet name="+2019 Street &amp; Area Lighting" sheetId="34" r:id="rId6"/>
    <sheet name="+Typical Res Customer Sch 140" sheetId="27" r:id="rId7"/>
    <sheet name="+Projected Revenue on F2017" sheetId="31" r:id="rId8"/>
    <sheet name="+2018 Prop Tax Rate Design" sheetId="26" r:id="rId9"/>
  </sheets>
  <externalReferences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8">{"'Sheet1'!$A$1:$J$121"}</definedName>
    <definedName name="HTML_Control" localSheetId="6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0">'+2019 Prop Tax Rate Impacts'!$A$1:$I$35</definedName>
    <definedName name="_xlnm.Print_Area" localSheetId="5">'+2019 Street &amp; Area Lighting'!$A$1:$K$195</definedName>
    <definedName name="_xlnm.Print_Area" localSheetId="1">'+FINAL 2019 Prop Tax Rate Des'!$A$1:$Q$38</definedName>
    <definedName name="_xlnm.Print_Area" localSheetId="7">'+Projected Revenue on F2017'!$A$1:$N$41</definedName>
    <definedName name="_xlnm.Print_Area" localSheetId="2">'+Sch 449-459 Rate Design'!$A$1:$F$29</definedName>
    <definedName name="_xlnm.Print_Area" localSheetId="6">'+Typical Res Customer Sch 140'!$A$1:$T$61</definedName>
    <definedName name="_xlnm.Print_Area" localSheetId="3">'+UE-180280 Compliance ECOS '!$A$1:$U$70</definedName>
    <definedName name="_xlnm.Print_Titles" localSheetId="5">'+2019 Street &amp; Area Lighting'!$1:$8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H194" i="34" l="1"/>
  <c r="H191" i="34"/>
  <c r="H189" i="34"/>
  <c r="H188" i="34"/>
  <c r="H185" i="34"/>
  <c r="H182" i="34"/>
  <c r="H181" i="34"/>
  <c r="H180" i="34"/>
  <c r="H179" i="34"/>
  <c r="H178" i="34"/>
  <c r="H177" i="34"/>
  <c r="H176" i="34"/>
  <c r="H175" i="34"/>
  <c r="H174" i="34"/>
  <c r="H173" i="34"/>
  <c r="H172" i="34"/>
  <c r="H171" i="34"/>
  <c r="H170" i="34"/>
  <c r="H169" i="34"/>
  <c r="H168" i="34"/>
  <c r="H165" i="34"/>
  <c r="H164" i="34"/>
  <c r="H162" i="34"/>
  <c r="H161" i="34"/>
  <c r="H160" i="34"/>
  <c r="H159" i="34"/>
  <c r="H157" i="34"/>
  <c r="H156" i="34"/>
  <c r="H155" i="34"/>
  <c r="H154" i="34"/>
  <c r="H153" i="34"/>
  <c r="H151" i="34"/>
  <c r="H150" i="34"/>
  <c r="H149" i="34"/>
  <c r="H148" i="34"/>
  <c r="H147" i="34"/>
  <c r="H146" i="34"/>
  <c r="H143" i="34"/>
  <c r="H142" i="34"/>
  <c r="H141" i="34"/>
  <c r="H140" i="34"/>
  <c r="H139" i="34"/>
  <c r="H138" i="34"/>
  <c r="H137" i="34"/>
  <c r="H136" i="34"/>
  <c r="H135" i="34"/>
  <c r="H133" i="34"/>
  <c r="H131" i="34"/>
  <c r="H130" i="34"/>
  <c r="H129" i="34"/>
  <c r="H128" i="34"/>
  <c r="H127" i="34"/>
  <c r="H126" i="34"/>
  <c r="H123" i="34"/>
  <c r="H122" i="34"/>
  <c r="H121" i="34"/>
  <c r="H120" i="34"/>
  <c r="H119" i="34"/>
  <c r="H118" i="34"/>
  <c r="H117" i="34"/>
  <c r="H116" i="34"/>
  <c r="H115" i="34"/>
  <c r="H112" i="34"/>
  <c r="H111" i="34"/>
  <c r="H110" i="34"/>
  <c r="H109" i="34"/>
  <c r="H108" i="34"/>
  <c r="H107" i="34"/>
  <c r="H106" i="34"/>
  <c r="H105" i="34"/>
  <c r="H104" i="34"/>
  <c r="H101" i="34"/>
  <c r="H100" i="34"/>
  <c r="H99" i="34"/>
  <c r="H98" i="34"/>
  <c r="H97" i="34"/>
  <c r="H96" i="34"/>
  <c r="H95" i="34"/>
  <c r="H94" i="34"/>
  <c r="H93" i="34"/>
  <c r="H91" i="34"/>
  <c r="H90" i="34"/>
  <c r="H89" i="34"/>
  <c r="H88" i="34"/>
  <c r="H87" i="34"/>
  <c r="H86" i="34"/>
  <c r="H84" i="34"/>
  <c r="H83" i="34"/>
  <c r="H82" i="34"/>
  <c r="H81" i="34"/>
  <c r="H80" i="34"/>
  <c r="H79" i="34"/>
  <c r="H78" i="34"/>
  <c r="H77" i="34"/>
  <c r="H76" i="34"/>
  <c r="H74" i="34"/>
  <c r="H73" i="34"/>
  <c r="H72" i="34"/>
  <c r="H71" i="34"/>
  <c r="H70" i="34"/>
  <c r="H69" i="34"/>
  <c r="H68" i="34"/>
  <c r="H67" i="34"/>
  <c r="H66" i="34"/>
  <c r="H64" i="34"/>
  <c r="H63" i="34"/>
  <c r="H62" i="34"/>
  <c r="H61" i="34"/>
  <c r="H60" i="34"/>
  <c r="H58" i="34"/>
  <c r="H57" i="34"/>
  <c r="H56" i="34"/>
  <c r="H55" i="34"/>
  <c r="H54" i="34"/>
  <c r="H53" i="34"/>
  <c r="H52" i="34"/>
  <c r="H51" i="34"/>
  <c r="H50" i="34"/>
  <c r="H47" i="34"/>
  <c r="H46" i="34"/>
  <c r="H45" i="34"/>
  <c r="H44" i="34"/>
  <c r="H43" i="34"/>
  <c r="H42" i="34"/>
  <c r="H41" i="34"/>
  <c r="H39" i="34"/>
  <c r="H38" i="34"/>
  <c r="H37" i="34"/>
  <c r="H36" i="34"/>
  <c r="H35" i="34"/>
  <c r="H34" i="34"/>
  <c r="H33" i="34"/>
  <c r="H32" i="34"/>
  <c r="H29" i="34"/>
  <c r="H28" i="34"/>
  <c r="H27" i="34"/>
  <c r="H26" i="34"/>
  <c r="H25" i="34"/>
  <c r="H24" i="34"/>
  <c r="H23" i="34"/>
  <c r="H22" i="34"/>
  <c r="H21" i="34"/>
  <c r="H18" i="34"/>
  <c r="H17" i="34"/>
  <c r="H16" i="34"/>
  <c r="H15" i="34"/>
  <c r="H14" i="34"/>
  <c r="H13" i="34"/>
  <c r="H12" i="34"/>
  <c r="H10" i="34"/>
  <c r="H37" i="10" l="1"/>
  <c r="G37" i="10"/>
  <c r="E28" i="37" l="1"/>
  <c r="D28" i="37"/>
  <c r="C28" i="37"/>
  <c r="F27" i="37"/>
  <c r="F26" i="37"/>
  <c r="F25" i="37"/>
  <c r="F24" i="37"/>
  <c r="F23" i="37"/>
  <c r="F22" i="37"/>
  <c r="F21" i="37"/>
  <c r="F20" i="37"/>
  <c r="F19" i="37"/>
  <c r="F18" i="37"/>
  <c r="F17" i="37"/>
  <c r="F16" i="37"/>
  <c r="A9" i="37"/>
  <c r="A10" i="37" s="1"/>
  <c r="A8" i="37"/>
  <c r="F28" i="37" l="1"/>
  <c r="C8" i="37" s="1"/>
  <c r="K31" i="31" l="1"/>
  <c r="G31" i="31"/>
  <c r="K19" i="31"/>
  <c r="I10" i="31"/>
  <c r="K10" i="31"/>
  <c r="E78" i="27"/>
  <c r="E76" i="27"/>
  <c r="E74" i="27"/>
  <c r="E72" i="27"/>
  <c r="E70" i="27"/>
  <c r="E68" i="27"/>
  <c r="E67" i="27" l="1"/>
  <c r="E69" i="27"/>
  <c r="E71" i="27"/>
  <c r="E73" i="27"/>
  <c r="E75" i="27"/>
  <c r="E77" i="27"/>
  <c r="F10" i="31"/>
  <c r="F31" i="31"/>
  <c r="J31" i="31"/>
  <c r="D10" i="31"/>
  <c r="H10" i="31"/>
  <c r="L10" i="31"/>
  <c r="J10" i="31"/>
  <c r="D19" i="31"/>
  <c r="H19" i="31"/>
  <c r="D31" i="31"/>
  <c r="H31" i="31"/>
  <c r="E10" i="31"/>
  <c r="M10" i="31"/>
  <c r="G25" i="31"/>
  <c r="M31" i="31"/>
  <c r="D25" i="31"/>
  <c r="H25" i="31"/>
  <c r="K25" i="31"/>
  <c r="K37" i="31" s="1"/>
  <c r="K41" i="31" s="1"/>
  <c r="E31" i="31"/>
  <c r="I31" i="31"/>
  <c r="L31" i="31"/>
  <c r="F19" i="31"/>
  <c r="J19" i="31"/>
  <c r="M19" i="31"/>
  <c r="E19" i="31"/>
  <c r="I19" i="31"/>
  <c r="L19" i="31"/>
  <c r="E25" i="31"/>
  <c r="I25" i="31"/>
  <c r="L25" i="31"/>
  <c r="G10" i="31"/>
  <c r="G19" i="31"/>
  <c r="F25" i="31"/>
  <c r="J25" i="31"/>
  <c r="M25" i="31"/>
  <c r="L37" i="31" l="1"/>
  <c r="L41" i="31" s="1"/>
  <c r="D37" i="31"/>
  <c r="D41" i="31" s="1"/>
  <c r="H37" i="31"/>
  <c r="H41" i="31" s="1"/>
  <c r="E37" i="31"/>
  <c r="E41" i="31" s="1"/>
  <c r="M37" i="31"/>
  <c r="M41" i="31" s="1"/>
  <c r="I37" i="31"/>
  <c r="I41" i="31" s="1"/>
  <c r="G37" i="31"/>
  <c r="G41" i="31" s="1"/>
  <c r="J37" i="31"/>
  <c r="J41" i="31" s="1"/>
  <c r="F37" i="31"/>
  <c r="F41" i="31" s="1"/>
  <c r="M69" i="35" l="1"/>
  <c r="E69" i="35" s="1"/>
  <c r="M68" i="35"/>
  <c r="E68" i="35" s="1"/>
  <c r="S64" i="35"/>
  <c r="R64" i="35"/>
  <c r="Q64" i="35"/>
  <c r="O64" i="35"/>
  <c r="N64" i="35"/>
  <c r="M64" i="35"/>
  <c r="L64" i="35"/>
  <c r="K64" i="35"/>
  <c r="J64" i="35"/>
  <c r="I64" i="35"/>
  <c r="H64" i="35"/>
  <c r="G64" i="35"/>
  <c r="F64" i="35"/>
  <c r="E64" i="35"/>
  <c r="U63" i="35"/>
  <c r="T63" i="35"/>
  <c r="U62" i="35"/>
  <c r="T62" i="35"/>
  <c r="U61" i="35"/>
  <c r="T61" i="35"/>
  <c r="U60" i="35"/>
  <c r="T60" i="35"/>
  <c r="U59" i="35"/>
  <c r="T59" i="35"/>
  <c r="U58" i="35"/>
  <c r="T58" i="35"/>
  <c r="U57" i="35"/>
  <c r="T57" i="35"/>
  <c r="U56" i="35"/>
  <c r="T56" i="35"/>
  <c r="U55" i="35"/>
  <c r="T55" i="35"/>
  <c r="U54" i="35"/>
  <c r="T54" i="35"/>
  <c r="T64" i="35" s="1"/>
  <c r="U53" i="35"/>
  <c r="T53" i="35"/>
  <c r="S50" i="35"/>
  <c r="R50" i="35"/>
  <c r="Q50" i="35"/>
  <c r="O50" i="35"/>
  <c r="N50" i="35"/>
  <c r="M50" i="35"/>
  <c r="L50" i="35"/>
  <c r="K50" i="35"/>
  <c r="J50" i="35"/>
  <c r="I50" i="35"/>
  <c r="H50" i="35"/>
  <c r="G50" i="35"/>
  <c r="F50" i="35"/>
  <c r="E50" i="35"/>
  <c r="U49" i="35"/>
  <c r="T49" i="35"/>
  <c r="U48" i="35"/>
  <c r="T48" i="35"/>
  <c r="U47" i="35"/>
  <c r="T47" i="35"/>
  <c r="U46" i="35"/>
  <c r="T46" i="35"/>
  <c r="U45" i="35"/>
  <c r="T45" i="35"/>
  <c r="U44" i="35"/>
  <c r="T44" i="35"/>
  <c r="U43" i="35"/>
  <c r="T43" i="35"/>
  <c r="U42" i="35"/>
  <c r="T42" i="35"/>
  <c r="U41" i="35"/>
  <c r="T41" i="35"/>
  <c r="U40" i="35"/>
  <c r="T40" i="35"/>
  <c r="U39" i="35"/>
  <c r="T39" i="35"/>
  <c r="U38" i="35"/>
  <c r="T38" i="35"/>
  <c r="U37" i="35"/>
  <c r="T37" i="35"/>
  <c r="U36" i="35"/>
  <c r="T36" i="35"/>
  <c r="U35" i="35"/>
  <c r="T35" i="35"/>
  <c r="U34" i="35"/>
  <c r="T34" i="35"/>
  <c r="U33" i="35"/>
  <c r="T33" i="35"/>
  <c r="U32" i="35"/>
  <c r="T32" i="35"/>
  <c r="T50" i="35" s="1"/>
  <c r="U31" i="35"/>
  <c r="T31" i="35"/>
  <c r="U30" i="35"/>
  <c r="T30" i="35"/>
  <c r="U29" i="35"/>
  <c r="U50" i="35" s="1"/>
  <c r="T29" i="35"/>
  <c r="S26" i="35"/>
  <c r="R26" i="35"/>
  <c r="Q26" i="35"/>
  <c r="O26" i="35"/>
  <c r="N26" i="35"/>
  <c r="M26" i="35"/>
  <c r="L26" i="35"/>
  <c r="K26" i="35"/>
  <c r="J26" i="35"/>
  <c r="I26" i="35"/>
  <c r="H26" i="35"/>
  <c r="G26" i="35"/>
  <c r="F26" i="35"/>
  <c r="E26" i="35"/>
  <c r="U25" i="35"/>
  <c r="T25" i="35"/>
  <c r="U24" i="35"/>
  <c r="T24" i="35"/>
  <c r="U23" i="35"/>
  <c r="U26" i="35" s="1"/>
  <c r="T23" i="35"/>
  <c r="S20" i="35"/>
  <c r="R20" i="35"/>
  <c r="Q20" i="35"/>
  <c r="O20" i="35"/>
  <c r="N20" i="35"/>
  <c r="M20" i="35"/>
  <c r="L20" i="35"/>
  <c r="K20" i="35"/>
  <c r="J20" i="35"/>
  <c r="I20" i="35"/>
  <c r="H20" i="35"/>
  <c r="G20" i="35"/>
  <c r="F20" i="35"/>
  <c r="E20" i="35"/>
  <c r="U19" i="35"/>
  <c r="T19" i="35"/>
  <c r="U18" i="35"/>
  <c r="T18" i="35"/>
  <c r="U17" i="35"/>
  <c r="U20" i="35" s="1"/>
  <c r="T17" i="35"/>
  <c r="S14" i="35"/>
  <c r="R14" i="35"/>
  <c r="Q14" i="35"/>
  <c r="O14" i="35"/>
  <c r="N14" i="35"/>
  <c r="M14" i="35"/>
  <c r="L14" i="35"/>
  <c r="K14" i="35"/>
  <c r="J14" i="35"/>
  <c r="I14" i="35"/>
  <c r="H14" i="35"/>
  <c r="G14" i="35"/>
  <c r="F14" i="35"/>
  <c r="E14" i="35"/>
  <c r="U13" i="35"/>
  <c r="T13" i="35"/>
  <c r="U12" i="35"/>
  <c r="T12" i="35"/>
  <c r="U11" i="35"/>
  <c r="U14" i="35" s="1"/>
  <c r="T11" i="35"/>
  <c r="A8" i="35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H66" i="35" l="1"/>
  <c r="H70" i="35" s="1"/>
  <c r="D14" i="10" s="1"/>
  <c r="I66" i="35"/>
  <c r="I70" i="35" s="1"/>
  <c r="D15" i="10" s="1"/>
  <c r="R66" i="35"/>
  <c r="R70" i="35" s="1"/>
  <c r="F66" i="35"/>
  <c r="F70" i="35" s="1"/>
  <c r="D9" i="10" s="1"/>
  <c r="J66" i="35"/>
  <c r="J70" i="35" s="1"/>
  <c r="N66" i="35"/>
  <c r="N70" i="35" s="1"/>
  <c r="D27" i="10" s="1"/>
  <c r="S66" i="35"/>
  <c r="S70" i="35" s="1"/>
  <c r="D20" i="10" s="1"/>
  <c r="U64" i="35"/>
  <c r="U66" i="35" s="1"/>
  <c r="U70" i="35" s="1"/>
  <c r="D19" i="10" s="1"/>
  <c r="L66" i="35"/>
  <c r="L70" i="35" s="1"/>
  <c r="D25" i="10" s="1"/>
  <c r="Q66" i="35"/>
  <c r="Q70" i="35" s="1"/>
  <c r="E66" i="35"/>
  <c r="E70" i="35" s="1"/>
  <c r="M66" i="35"/>
  <c r="M70" i="35" s="1"/>
  <c r="D29" i="10" s="1"/>
  <c r="T14" i="35"/>
  <c r="T20" i="35"/>
  <c r="T26" i="35"/>
  <c r="G66" i="35"/>
  <c r="G70" i="35" s="1"/>
  <c r="D13" i="10" s="1"/>
  <c r="K66" i="35"/>
  <c r="K70" i="35" s="1"/>
  <c r="D23" i="10" s="1"/>
  <c r="O66" i="35"/>
  <c r="O70" i="35" s="1"/>
  <c r="D33" i="10" s="1"/>
  <c r="T66" i="35"/>
  <c r="T70" i="35" s="1"/>
  <c r="A38" i="35"/>
  <c r="A39" i="35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B169" i="34" l="1"/>
  <c r="B170" i="34" s="1"/>
  <c r="B171" i="34" s="1"/>
  <c r="B172" i="34" s="1"/>
  <c r="B173" i="34" s="1"/>
  <c r="B174" i="34" s="1"/>
  <c r="B175" i="34" s="1"/>
  <c r="B176" i="34" s="1"/>
  <c r="B177" i="34" s="1"/>
  <c r="B178" i="34" s="1"/>
  <c r="B179" i="34" s="1"/>
  <c r="B180" i="34" s="1"/>
  <c r="B181" i="34" s="1"/>
  <c r="B182" i="34" s="1"/>
  <c r="B164" i="34"/>
  <c r="B165" i="34" s="1"/>
  <c r="B162" i="34"/>
  <c r="B154" i="34"/>
  <c r="B155" i="34" s="1"/>
  <c r="B156" i="34" s="1"/>
  <c r="B157" i="34" s="1"/>
  <c r="B147" i="34"/>
  <c r="B159" i="34" s="1"/>
  <c r="B160" i="34" s="1"/>
  <c r="B161" i="34" s="1"/>
  <c r="B127" i="34"/>
  <c r="B128" i="34" s="1"/>
  <c r="B129" i="34" s="1"/>
  <c r="B130" i="34" s="1"/>
  <c r="B131" i="34" s="1"/>
  <c r="B133" i="34" s="1"/>
  <c r="B105" i="34"/>
  <c r="B106" i="34" s="1"/>
  <c r="B107" i="34" s="1"/>
  <c r="B108" i="34" s="1"/>
  <c r="B109" i="34" s="1"/>
  <c r="B110" i="34" s="1"/>
  <c r="B111" i="34" s="1"/>
  <c r="B112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B77" i="34"/>
  <c r="B78" i="34" s="1"/>
  <c r="B79" i="34" s="1"/>
  <c r="B80" i="34" s="1"/>
  <c r="B81" i="34" s="1"/>
  <c r="B82" i="34" s="1"/>
  <c r="B83" i="34" s="1"/>
  <c r="B84" i="34" s="1"/>
  <c r="B86" i="34" s="1"/>
  <c r="B87" i="34" s="1"/>
  <c r="B88" i="34" s="1"/>
  <c r="B89" i="34" s="1"/>
  <c r="B90" i="34" s="1"/>
  <c r="B91" i="34" s="1"/>
  <c r="B93" i="34" s="1"/>
  <c r="B94" i="34" s="1"/>
  <c r="B95" i="34" s="1"/>
  <c r="B96" i="34" s="1"/>
  <c r="B97" i="34" s="1"/>
  <c r="B98" i="34" s="1"/>
  <c r="B99" i="34" s="1"/>
  <c r="B100" i="34" s="1"/>
  <c r="B101" i="34" s="1"/>
  <c r="B51" i="34"/>
  <c r="B52" i="34" s="1"/>
  <c r="B53" i="34" s="1"/>
  <c r="B54" i="34" s="1"/>
  <c r="B55" i="34" s="1"/>
  <c r="B56" i="34" s="1"/>
  <c r="B57" i="34" s="1"/>
  <c r="B58" i="34" s="1"/>
  <c r="B60" i="34" s="1"/>
  <c r="B61" i="34" s="1"/>
  <c r="B62" i="34" s="1"/>
  <c r="B63" i="34" s="1"/>
  <c r="B64" i="34" s="1"/>
  <c r="B66" i="34" s="1"/>
  <c r="B67" i="34" s="1"/>
  <c r="B68" i="34" s="1"/>
  <c r="B69" i="34" s="1"/>
  <c r="B70" i="34" s="1"/>
  <c r="B71" i="34" s="1"/>
  <c r="B72" i="34" s="1"/>
  <c r="B73" i="34" s="1"/>
  <c r="B74" i="34" s="1"/>
  <c r="C45" i="34"/>
  <c r="C46" i="34" s="1"/>
  <c r="C47" i="34" s="1"/>
  <c r="B33" i="34"/>
  <c r="B34" i="34" s="1"/>
  <c r="B35" i="34" s="1"/>
  <c r="B36" i="34" s="1"/>
  <c r="B16" i="34"/>
  <c r="B17" i="34" s="1"/>
  <c r="B18" i="34" s="1"/>
  <c r="C13" i="34"/>
  <c r="C14" i="34" s="1"/>
  <c r="C15" i="34" s="1"/>
  <c r="C16" i="34" s="1"/>
  <c r="C17" i="34" s="1"/>
  <c r="C18" i="34" s="1"/>
  <c r="B13" i="34"/>
  <c r="B14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H193" i="34" l="1"/>
  <c r="H195" i="34" s="1"/>
  <c r="B41" i="34"/>
  <c r="B37" i="34"/>
  <c r="B148" i="34"/>
  <c r="B149" i="34" s="1"/>
  <c r="B150" i="34" s="1"/>
  <c r="B151" i="34" s="1"/>
  <c r="B42" i="34" l="1"/>
  <c r="B38" i="34"/>
  <c r="B43" i="34" l="1"/>
  <c r="B39" i="34"/>
  <c r="B44" i="34" s="1"/>
  <c r="B45" i="34" s="1"/>
  <c r="B46" i="34" s="1"/>
  <c r="B47" i="34" s="1"/>
  <c r="D21" i="10" l="1"/>
  <c r="D10" i="10"/>
  <c r="D16" i="10" l="1"/>
  <c r="D31" i="10" s="1"/>
  <c r="D35" i="10" l="1"/>
  <c r="E27" i="10" l="1"/>
  <c r="E20" i="10"/>
  <c r="E15" i="10"/>
  <c r="E23" i="10"/>
  <c r="E13" i="10"/>
  <c r="E29" i="10"/>
  <c r="E10" i="10"/>
  <c r="E9" i="10"/>
  <c r="E33" i="10"/>
  <c r="E25" i="10"/>
  <c r="E19" i="10"/>
  <c r="E14" i="10"/>
  <c r="E16" i="10"/>
  <c r="E21" i="10"/>
  <c r="E31" i="10"/>
  <c r="C10" i="31" l="1"/>
  <c r="C19" i="31"/>
  <c r="C31" i="31"/>
  <c r="C25" i="31"/>
  <c r="H55" i="27"/>
  <c r="H57" i="27"/>
  <c r="H56" i="27"/>
  <c r="G58" i="27"/>
  <c r="H54" i="27"/>
  <c r="H53" i="27"/>
  <c r="H50" i="27"/>
  <c r="H49" i="27"/>
  <c r="H46" i="27"/>
  <c r="H45" i="27"/>
  <c r="H43" i="27"/>
  <c r="H42" i="27"/>
  <c r="H39" i="27"/>
  <c r="H38" i="27"/>
  <c r="H36" i="27"/>
  <c r="H35" i="27"/>
  <c r="G33" i="27"/>
  <c r="H32" i="27"/>
  <c r="H31" i="27"/>
  <c r="C37" i="31" l="1"/>
  <c r="C41" i="31" s="1"/>
  <c r="H33" i="27"/>
  <c r="C79" i="27"/>
  <c r="D79" i="27"/>
  <c r="H58" i="27"/>
  <c r="N17" i="31" l="1"/>
  <c r="N13" i="31"/>
  <c r="N9" i="31"/>
  <c r="N8" i="31"/>
  <c r="N22" i="31" l="1"/>
  <c r="N29" i="31"/>
  <c r="N39" i="31"/>
  <c r="N23" i="31"/>
  <c r="N15" i="31"/>
  <c r="N18" i="31"/>
  <c r="N24" i="31"/>
  <c r="N33" i="31"/>
  <c r="N14" i="31"/>
  <c r="N30" i="31"/>
  <c r="N12" i="31"/>
  <c r="N16" i="31"/>
  <c r="N21" i="31"/>
  <c r="N27" i="31"/>
  <c r="N35" i="31"/>
  <c r="G9" i="10"/>
  <c r="H33" i="10" l="1"/>
  <c r="H23" i="10"/>
  <c r="H14" i="10"/>
  <c r="H27" i="10"/>
  <c r="H25" i="10"/>
  <c r="H15" i="10"/>
  <c r="H29" i="10"/>
  <c r="E7" i="37" s="1"/>
  <c r="E9" i="37" s="1"/>
  <c r="H20" i="10"/>
  <c r="H13" i="10"/>
  <c r="H19" i="10"/>
  <c r="H9" i="10"/>
  <c r="E19" i="12"/>
  <c r="E14" i="12"/>
  <c r="E13" i="12"/>
  <c r="E12" i="12"/>
  <c r="E33" i="12"/>
  <c r="E31" i="12"/>
  <c r="E28" i="12"/>
  <c r="E27" i="12"/>
  <c r="E24" i="12"/>
  <c r="E21" i="12"/>
  <c r="E20" i="12"/>
  <c r="E15" i="12"/>
  <c r="E8" i="12"/>
  <c r="E9" i="12" s="1"/>
  <c r="D33" i="12"/>
  <c r="D31" i="12"/>
  <c r="D28" i="12"/>
  <c r="D27" i="12"/>
  <c r="D24" i="12"/>
  <c r="D21" i="12"/>
  <c r="D20" i="12"/>
  <c r="D19" i="12"/>
  <c r="D15" i="12"/>
  <c r="D14" i="12"/>
  <c r="D13" i="12"/>
  <c r="D12" i="12"/>
  <c r="D8" i="12"/>
  <c r="K33" i="10"/>
  <c r="K29" i="10"/>
  <c r="K27" i="10"/>
  <c r="K25" i="10"/>
  <c r="K23" i="10"/>
  <c r="K20" i="10"/>
  <c r="K19" i="10"/>
  <c r="K15" i="10"/>
  <c r="K14" i="10"/>
  <c r="K13" i="10"/>
  <c r="K9" i="10"/>
  <c r="N31" i="31"/>
  <c r="N25" i="31"/>
  <c r="N19" i="31"/>
  <c r="N10" i="3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F33" i="12"/>
  <c r="F31" i="12"/>
  <c r="F27" i="12"/>
  <c r="F28" i="12" s="1"/>
  <c r="F24" i="12"/>
  <c r="F21" i="12"/>
  <c r="F19" i="12"/>
  <c r="F20" i="12" s="1"/>
  <c r="F14" i="12"/>
  <c r="F13" i="12"/>
  <c r="F15" i="12" s="1"/>
  <c r="F12" i="12"/>
  <c r="F8" i="12"/>
  <c r="G37" i="27" l="1"/>
  <c r="E29" i="12"/>
  <c r="E22" i="12"/>
  <c r="E16" i="12"/>
  <c r="N37" i="31"/>
  <c r="N41" i="31" s="1"/>
  <c r="G44" i="27" l="1"/>
  <c r="G47" i="27" s="1"/>
  <c r="G61" i="27" s="1"/>
  <c r="G40" i="27"/>
  <c r="G60" i="27" s="1"/>
  <c r="E35" i="12"/>
  <c r="C18" i="27"/>
  <c r="J18" i="27" s="1"/>
  <c r="B78" i="27"/>
  <c r="C17" i="27"/>
  <c r="K17" i="27" s="1"/>
  <c r="P17" i="27" s="1"/>
  <c r="B77" i="27"/>
  <c r="C16" i="27"/>
  <c r="B76" i="27"/>
  <c r="C15" i="27"/>
  <c r="G15" i="27" s="1"/>
  <c r="B75" i="27"/>
  <c r="C14" i="27"/>
  <c r="B74" i="27"/>
  <c r="C13" i="27"/>
  <c r="B73" i="27"/>
  <c r="C12" i="27"/>
  <c r="B72" i="27"/>
  <c r="C11" i="27"/>
  <c r="M11" i="27" s="1"/>
  <c r="B71" i="27"/>
  <c r="C10" i="27"/>
  <c r="K10" i="27" s="1"/>
  <c r="P10" i="27" s="1"/>
  <c r="B70" i="27"/>
  <c r="C9" i="27"/>
  <c r="K9" i="27" s="1"/>
  <c r="P9" i="27" s="1"/>
  <c r="B69" i="27"/>
  <c r="C8" i="27"/>
  <c r="L8" i="27" s="1"/>
  <c r="B68" i="27"/>
  <c r="B67" i="27"/>
  <c r="N26" i="27"/>
  <c r="M26" i="27"/>
  <c r="K26" i="27"/>
  <c r="P26" i="27" s="1"/>
  <c r="J26" i="27"/>
  <c r="I26" i="27"/>
  <c r="H26" i="27"/>
  <c r="F26" i="27"/>
  <c r="E26" i="27"/>
  <c r="D26" i="27"/>
  <c r="A10" i="27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8" i="27"/>
  <c r="A9" i="27" s="1"/>
  <c r="I18" i="27" l="1"/>
  <c r="N18" i="27"/>
  <c r="E81" i="27"/>
  <c r="F18" i="27"/>
  <c r="I13" i="27"/>
  <c r="D13" i="27"/>
  <c r="M15" i="27"/>
  <c r="K14" i="27"/>
  <c r="P14" i="27" s="1"/>
  <c r="F14" i="27"/>
  <c r="M14" i="27"/>
  <c r="E11" i="27"/>
  <c r="J11" i="27"/>
  <c r="F15" i="27"/>
  <c r="H17" i="27"/>
  <c r="K15" i="27"/>
  <c r="P15" i="27" s="1"/>
  <c r="F10" i="27"/>
  <c r="L10" i="27"/>
  <c r="C7" i="27"/>
  <c r="K7" i="27" s="1"/>
  <c r="P7" i="27" s="1"/>
  <c r="L12" i="27"/>
  <c r="K12" i="27"/>
  <c r="P12" i="27" s="1"/>
  <c r="F12" i="27"/>
  <c r="L16" i="27"/>
  <c r="J16" i="27"/>
  <c r="D16" i="27"/>
  <c r="E9" i="27"/>
  <c r="M7" i="27"/>
  <c r="J8" i="27"/>
  <c r="L9" i="27"/>
  <c r="E10" i="27"/>
  <c r="J10" i="27"/>
  <c r="E14" i="27"/>
  <c r="J14" i="27"/>
  <c r="E17" i="27"/>
  <c r="M17" i="27"/>
  <c r="H10" i="27"/>
  <c r="M10" i="27"/>
  <c r="H14" i="27"/>
  <c r="N14" i="27"/>
  <c r="I17" i="27"/>
  <c r="D8" i="27"/>
  <c r="D10" i="27"/>
  <c r="I10" i="27"/>
  <c r="N10" i="27"/>
  <c r="D14" i="27"/>
  <c r="I14" i="27"/>
  <c r="D17" i="27"/>
  <c r="L17" i="27"/>
  <c r="G12" i="27"/>
  <c r="G9" i="27"/>
  <c r="F8" i="27"/>
  <c r="K8" i="27"/>
  <c r="P8" i="27" s="1"/>
  <c r="N9" i="27"/>
  <c r="J9" i="27"/>
  <c r="F9" i="27"/>
  <c r="H9" i="27"/>
  <c r="M9" i="27"/>
  <c r="F11" i="27"/>
  <c r="K11" i="27"/>
  <c r="P11" i="27" s="1"/>
  <c r="M12" i="27"/>
  <c r="I12" i="27"/>
  <c r="E12" i="27"/>
  <c r="H12" i="27"/>
  <c r="N12" i="27"/>
  <c r="E13" i="27"/>
  <c r="K13" i="27"/>
  <c r="P13" i="27" s="1"/>
  <c r="L14" i="27"/>
  <c r="L15" i="27"/>
  <c r="H15" i="27"/>
  <c r="D15" i="27"/>
  <c r="I15" i="27"/>
  <c r="N15" i="27"/>
  <c r="F16" i="27"/>
  <c r="K16" i="27"/>
  <c r="L18" i="27"/>
  <c r="H18" i="27"/>
  <c r="D18" i="27"/>
  <c r="K18" i="27"/>
  <c r="P18" i="27" s="1"/>
  <c r="G18" i="27"/>
  <c r="G8" i="27"/>
  <c r="D9" i="27"/>
  <c r="I9" i="27"/>
  <c r="G11" i="27"/>
  <c r="D12" i="27"/>
  <c r="J12" i="27"/>
  <c r="G13" i="27"/>
  <c r="L13" i="27"/>
  <c r="E15" i="27"/>
  <c r="J15" i="27"/>
  <c r="G16" i="27"/>
  <c r="E18" i="27"/>
  <c r="M18" i="27"/>
  <c r="M8" i="27"/>
  <c r="I8" i="27"/>
  <c r="E8" i="27"/>
  <c r="H8" i="27"/>
  <c r="N8" i="27"/>
  <c r="L11" i="27"/>
  <c r="H11" i="27"/>
  <c r="D11" i="27"/>
  <c r="I11" i="27"/>
  <c r="N11" i="27"/>
  <c r="N13" i="27"/>
  <c r="J13" i="27"/>
  <c r="F13" i="27"/>
  <c r="H13" i="27"/>
  <c r="M13" i="27"/>
  <c r="N16" i="27"/>
  <c r="M16" i="27"/>
  <c r="I16" i="27"/>
  <c r="E16" i="27"/>
  <c r="H16" i="27"/>
  <c r="L26" i="27"/>
  <c r="G26" i="27"/>
  <c r="G10" i="27"/>
  <c r="G14" i="27"/>
  <c r="F17" i="27"/>
  <c r="J17" i="27"/>
  <c r="N17" i="27"/>
  <c r="E79" i="27"/>
  <c r="G17" i="27"/>
  <c r="C20" i="27" l="1"/>
  <c r="C22" i="27" s="1"/>
  <c r="F7" i="27"/>
  <c r="F20" i="27" s="1"/>
  <c r="F22" i="27" s="1"/>
  <c r="I7" i="27"/>
  <c r="I20" i="27" s="1"/>
  <c r="D7" i="27"/>
  <c r="D20" i="27" s="1"/>
  <c r="J7" i="27"/>
  <c r="J20" i="27" s="1"/>
  <c r="E7" i="27"/>
  <c r="E20" i="27" s="1"/>
  <c r="H7" i="27"/>
  <c r="H20" i="27" s="1"/>
  <c r="N7" i="27"/>
  <c r="N20" i="27" s="1"/>
  <c r="N22" i="27" s="1"/>
  <c r="L7" i="27"/>
  <c r="L20" i="27" s="1"/>
  <c r="G7" i="27"/>
  <c r="O10" i="27"/>
  <c r="M20" i="27"/>
  <c r="M22" i="27" s="1"/>
  <c r="K20" i="27"/>
  <c r="K24" i="27" s="1"/>
  <c r="P16" i="27"/>
  <c r="P20" i="27" s="1"/>
  <c r="O16" i="27"/>
  <c r="O11" i="27"/>
  <c r="O12" i="27"/>
  <c r="O8" i="27"/>
  <c r="O26" i="27"/>
  <c r="O13" i="27"/>
  <c r="O14" i="27"/>
  <c r="O15" i="27"/>
  <c r="O17" i="27"/>
  <c r="O18" i="27"/>
  <c r="O9" i="27"/>
  <c r="O7" i="27" l="1"/>
  <c r="O20" i="27" s="1"/>
  <c r="G20" i="27"/>
  <c r="G24" i="27" s="1"/>
  <c r="K22" i="27"/>
  <c r="M24" i="27"/>
  <c r="F24" i="27"/>
  <c r="N24" i="27"/>
  <c r="H22" i="27"/>
  <c r="H24" i="27"/>
  <c r="I24" i="27"/>
  <c r="I22" i="27"/>
  <c r="D22" i="27"/>
  <c r="D24" i="27"/>
  <c r="E24" i="27"/>
  <c r="E22" i="27"/>
  <c r="J24" i="27"/>
  <c r="J22" i="27"/>
  <c r="L22" i="27"/>
  <c r="L24" i="27"/>
  <c r="P22" i="27"/>
  <c r="P24" i="27"/>
  <c r="G22" i="27" l="1"/>
  <c r="O22" i="27"/>
  <c r="O24" i="27"/>
  <c r="K6" i="10" l="1"/>
  <c r="I37" i="10" l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F9" i="12" l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l="1"/>
  <c r="A31" i="10" s="1"/>
  <c r="A32" i="10" s="1"/>
  <c r="A33" i="10" s="1"/>
  <c r="A34" i="10" s="1"/>
  <c r="A35" i="10" s="1"/>
  <c r="A36" i="10" s="1"/>
  <c r="A37" i="10" s="1"/>
  <c r="F29" i="12" l="1"/>
  <c r="D29" i="12"/>
  <c r="K21" i="10" l="1"/>
  <c r="D22" i="12"/>
  <c r="F22" i="12"/>
  <c r="K16" i="10" l="1"/>
  <c r="D16" i="12"/>
  <c r="F16" i="12"/>
  <c r="K10" i="10" l="1"/>
  <c r="D9" i="12"/>
  <c r="D35" i="12" l="1"/>
  <c r="F35" i="12" s="1"/>
  <c r="K31" i="10"/>
  <c r="K35" i="10" l="1"/>
  <c r="G33" i="10" l="1"/>
  <c r="G29" i="10"/>
  <c r="D7" i="37" s="1"/>
  <c r="G25" i="10"/>
  <c r="G19" i="10"/>
  <c r="G15" i="10"/>
  <c r="G13" i="10"/>
  <c r="G23" i="10"/>
  <c r="G27" i="10"/>
  <c r="G20" i="10"/>
  <c r="G14" i="10"/>
  <c r="C7" i="37" l="1"/>
  <c r="D9" i="37"/>
  <c r="C9" i="37" s="1"/>
  <c r="I194" i="34"/>
  <c r="E35" i="10"/>
  <c r="N25" i="10"/>
  <c r="N14" i="10"/>
  <c r="N20" i="10"/>
  <c r="N23" i="10"/>
  <c r="N15" i="10"/>
  <c r="J194" i="34" l="1"/>
  <c r="N13" i="10"/>
  <c r="H16" i="10"/>
  <c r="N16" i="10" s="1"/>
  <c r="H21" i="10"/>
  <c r="N21" i="10" s="1"/>
  <c r="N19" i="10"/>
  <c r="N9" i="10"/>
  <c r="H10" i="10"/>
  <c r="M27" i="10"/>
  <c r="I27" i="10"/>
  <c r="N29" i="10"/>
  <c r="I33" i="10"/>
  <c r="M15" i="10"/>
  <c r="O15" i="10" s="1"/>
  <c r="I15" i="10"/>
  <c r="I13" i="10"/>
  <c r="G16" i="10"/>
  <c r="M16" i="10" s="1"/>
  <c r="M13" i="10"/>
  <c r="I19" i="10"/>
  <c r="G21" i="10"/>
  <c r="M21" i="10" s="1"/>
  <c r="M19" i="10"/>
  <c r="I9" i="10"/>
  <c r="I10" i="10" s="1"/>
  <c r="G10" i="10"/>
  <c r="M9" i="10"/>
  <c r="M23" i="10"/>
  <c r="O23" i="10" s="1"/>
  <c r="I23" i="10"/>
  <c r="I20" i="10"/>
  <c r="M20" i="10"/>
  <c r="O20" i="10" s="1"/>
  <c r="I14" i="10"/>
  <c r="M14" i="10"/>
  <c r="O14" i="10" s="1"/>
  <c r="N27" i="10"/>
  <c r="I29" i="10"/>
  <c r="M29" i="10"/>
  <c r="I25" i="10"/>
  <c r="M25" i="10"/>
  <c r="O25" i="10" s="1"/>
  <c r="K194" i="34" l="1"/>
  <c r="O29" i="10"/>
  <c r="Q29" i="10" s="1"/>
  <c r="O19" i="10"/>
  <c r="Q19" i="10" s="1"/>
  <c r="O16" i="10"/>
  <c r="Q25" i="10"/>
  <c r="G27" i="12"/>
  <c r="Q23" i="10"/>
  <c r="G24" i="12"/>
  <c r="I21" i="10"/>
  <c r="O27" i="10"/>
  <c r="Q14" i="10"/>
  <c r="G13" i="12"/>
  <c r="G21" i="12"/>
  <c r="Q20" i="10"/>
  <c r="O9" i="10"/>
  <c r="O21" i="10"/>
  <c r="O13" i="10"/>
  <c r="I16" i="10"/>
  <c r="G14" i="12"/>
  <c r="Q15" i="10"/>
  <c r="N10" i="10"/>
  <c r="H31" i="10"/>
  <c r="M10" i="10"/>
  <c r="G31" i="10"/>
  <c r="G33" i="12" l="1"/>
  <c r="H33" i="12" s="1"/>
  <c r="I33" i="12" s="1"/>
  <c r="Q27" i="10"/>
  <c r="G31" i="12"/>
  <c r="H24" i="12"/>
  <c r="I24" i="12" s="1"/>
  <c r="H21" i="12"/>
  <c r="I21" i="12" s="1"/>
  <c r="H14" i="12"/>
  <c r="I14" i="12" s="1"/>
  <c r="O10" i="10"/>
  <c r="G19" i="12"/>
  <c r="I31" i="10"/>
  <c r="I35" i="10" s="1"/>
  <c r="Q21" i="10"/>
  <c r="M31" i="10"/>
  <c r="G35" i="10"/>
  <c r="M35" i="10" s="1"/>
  <c r="N31" i="10"/>
  <c r="H35" i="10"/>
  <c r="N35" i="10" s="1"/>
  <c r="Q9" i="10"/>
  <c r="Q10" i="10" s="1"/>
  <c r="G8" i="12"/>
  <c r="Q13" i="10"/>
  <c r="Q16" i="10" s="1"/>
  <c r="G12" i="12"/>
  <c r="H13" i="12"/>
  <c r="G15" i="12"/>
  <c r="G28" i="12"/>
  <c r="H27" i="12"/>
  <c r="H37" i="27" l="1"/>
  <c r="H28" i="12"/>
  <c r="I28" i="12" s="1"/>
  <c r="H15" i="12"/>
  <c r="I15" i="12" s="1"/>
  <c r="H19" i="12"/>
  <c r="I19" i="12" s="1"/>
  <c r="I13" i="12"/>
  <c r="G20" i="12"/>
  <c r="Q31" i="10"/>
  <c r="Q35" i="10" s="1"/>
  <c r="O31" i="10"/>
  <c r="I27" i="12"/>
  <c r="G29" i="12"/>
  <c r="G16" i="12"/>
  <c r="H12" i="12"/>
  <c r="H8" i="12"/>
  <c r="G9" i="12"/>
  <c r="O35" i="10"/>
  <c r="H44" i="27" l="1"/>
  <c r="H40" i="27"/>
  <c r="H60" i="27" s="1"/>
  <c r="H29" i="12"/>
  <c r="I29" i="12" s="1"/>
  <c r="H20" i="12"/>
  <c r="I20" i="12" s="1"/>
  <c r="G22" i="12"/>
  <c r="I8" i="12"/>
  <c r="H9" i="12"/>
  <c r="I12" i="12"/>
  <c r="H16" i="12"/>
  <c r="I16" i="12" s="1"/>
  <c r="H47" i="27" l="1"/>
  <c r="H61" i="27" s="1"/>
  <c r="Q8" i="27"/>
  <c r="R8" i="27" s="1"/>
  <c r="Q15" i="27"/>
  <c r="R15" i="27" s="1"/>
  <c r="Q17" i="27"/>
  <c r="R17" i="27" s="1"/>
  <c r="Q26" i="27"/>
  <c r="R26" i="27" s="1"/>
  <c r="Q18" i="27"/>
  <c r="R18" i="27" s="1"/>
  <c r="Q11" i="27"/>
  <c r="R11" i="27" s="1"/>
  <c r="Q9" i="27"/>
  <c r="R9" i="27" s="1"/>
  <c r="Q16" i="27"/>
  <c r="R16" i="27" s="1"/>
  <c r="Q10" i="27"/>
  <c r="R10" i="27" s="1"/>
  <c r="Q7" i="27"/>
  <c r="Q12" i="27"/>
  <c r="R12" i="27" s="1"/>
  <c r="Q13" i="27"/>
  <c r="R13" i="27" s="1"/>
  <c r="Q14" i="27"/>
  <c r="R14" i="27" s="1"/>
  <c r="H22" i="12"/>
  <c r="I22" i="12" s="1"/>
  <c r="I9" i="12"/>
  <c r="S9" i="27" l="1"/>
  <c r="T9" i="27"/>
  <c r="Q20" i="27"/>
  <c r="R7" i="27"/>
  <c r="S15" i="27"/>
  <c r="T15" i="27"/>
  <c r="S12" i="27"/>
  <c r="T12" i="27"/>
  <c r="T17" i="27"/>
  <c r="S17" i="27"/>
  <c r="T11" i="27"/>
  <c r="S11" i="27"/>
  <c r="S14" i="27"/>
  <c r="T14" i="27"/>
  <c r="S10" i="27"/>
  <c r="T10" i="27"/>
  <c r="S18" i="27"/>
  <c r="T18" i="27"/>
  <c r="T8" i="27"/>
  <c r="S8" i="27"/>
  <c r="T13" i="27"/>
  <c r="S13" i="27"/>
  <c r="T16" i="27"/>
  <c r="S16" i="27"/>
  <c r="S26" i="27"/>
  <c r="T26" i="27"/>
  <c r="S7" i="27" l="1"/>
  <c r="S20" i="27" s="1"/>
  <c r="R20" i="27"/>
  <c r="T7" i="27"/>
  <c r="Q24" i="27"/>
  <c r="Q22" i="27"/>
  <c r="G35" i="12"/>
  <c r="H31" i="12"/>
  <c r="F185" i="34" l="1"/>
  <c r="R24" i="27"/>
  <c r="R22" i="27"/>
  <c r="T22" i="27" s="1"/>
  <c r="T20" i="27"/>
  <c r="S22" i="27"/>
  <c r="S24" i="27"/>
  <c r="I31" i="12"/>
  <c r="H35" i="12"/>
  <c r="F189" i="34" l="1"/>
  <c r="F188" i="34"/>
  <c r="F191" i="34"/>
  <c r="I35" i="12"/>
  <c r="E185" i="34" l="1"/>
  <c r="F129" i="34"/>
  <c r="F157" i="34"/>
  <c r="F140" i="34"/>
  <c r="F142" i="34"/>
  <c r="F139" i="34"/>
  <c r="F175" i="34"/>
  <c r="F169" i="34"/>
  <c r="F61" i="34"/>
  <c r="F160" i="34"/>
  <c r="F165" i="34"/>
  <c r="F56" i="34"/>
  <c r="F172" i="34"/>
  <c r="F63" i="34"/>
  <c r="F55" i="34"/>
  <c r="F138" i="34"/>
  <c r="F182" i="34"/>
  <c r="F148" i="34"/>
  <c r="F180" i="34"/>
  <c r="F146" i="34"/>
  <c r="F135" i="34"/>
  <c r="F127" i="34"/>
  <c r="F171" i="34"/>
  <c r="F130" i="34"/>
  <c r="F161" i="34"/>
  <c r="F62" i="34"/>
  <c r="F181" i="34"/>
  <c r="F173" i="34"/>
  <c r="F149" i="34"/>
  <c r="F128" i="34"/>
  <c r="F164" i="34"/>
  <c r="F141" i="34"/>
  <c r="F137" i="34"/>
  <c r="F60" i="34"/>
  <c r="F115" i="34"/>
  <c r="F159" i="34"/>
  <c r="F18" i="34"/>
  <c r="F83" i="34"/>
  <c r="F168" i="34"/>
  <c r="F13" i="34"/>
  <c r="F86" i="34"/>
  <c r="F111" i="34"/>
  <c r="F51" i="34"/>
  <c r="F91" i="34"/>
  <c r="F77" i="34"/>
  <c r="F15" i="34"/>
  <c r="F155" i="34"/>
  <c r="F104" i="34"/>
  <c r="F71" i="34"/>
  <c r="F88" i="34"/>
  <c r="F131" i="34"/>
  <c r="F122" i="34"/>
  <c r="F25" i="34"/>
  <c r="F177" i="34"/>
  <c r="F14" i="34"/>
  <c r="F67" i="34"/>
  <c r="F116" i="34"/>
  <c r="F176" i="34"/>
  <c r="F17" i="34"/>
  <c r="F95" i="34"/>
  <c r="F178" i="34"/>
  <c r="F105" i="34"/>
  <c r="F73" i="34"/>
  <c r="F34" i="34"/>
  <c r="F38" i="34"/>
  <c r="F44" i="34"/>
  <c r="F21" i="34"/>
  <c r="F52" i="34"/>
  <c r="F76" i="34"/>
  <c r="F119" i="34"/>
  <c r="F179" i="34"/>
  <c r="F53" i="34"/>
  <c r="F82" i="34"/>
  <c r="F70" i="34"/>
  <c r="F110" i="34"/>
  <c r="F68" i="34"/>
  <c r="F36" i="34"/>
  <c r="F118" i="34"/>
  <c r="F120" i="34"/>
  <c r="F69" i="34"/>
  <c r="F108" i="34"/>
  <c r="F28" i="34"/>
  <c r="F97" i="34"/>
  <c r="F90" i="34"/>
  <c r="F112" i="34"/>
  <c r="F74" i="34"/>
  <c r="F98" i="34"/>
  <c r="F78" i="34"/>
  <c r="F66" i="34"/>
  <c r="F12" i="34"/>
  <c r="F57" i="34"/>
  <c r="F58" i="34"/>
  <c r="F43" i="34"/>
  <c r="F143" i="34"/>
  <c r="F106" i="34"/>
  <c r="F54" i="34"/>
  <c r="F147" i="34"/>
  <c r="F80" i="34"/>
  <c r="F109" i="34"/>
  <c r="F27" i="34"/>
  <c r="F170" i="34"/>
  <c r="F33" i="34"/>
  <c r="F37" i="34"/>
  <c r="F156" i="34"/>
  <c r="F117" i="34"/>
  <c r="F45" i="34"/>
  <c r="F79" i="34"/>
  <c r="F123" i="34"/>
  <c r="F47" i="34"/>
  <c r="F101" i="34"/>
  <c r="F22" i="34"/>
  <c r="F162" i="34"/>
  <c r="F99" i="34"/>
  <c r="F96" i="34"/>
  <c r="F46" i="34"/>
  <c r="F133" i="34"/>
  <c r="F150" i="34"/>
  <c r="F121" i="34"/>
  <c r="F153" i="34"/>
  <c r="F39" i="34"/>
  <c r="F32" i="34"/>
  <c r="F151" i="34"/>
  <c r="F89" i="34"/>
  <c r="F41" i="34"/>
  <c r="F35" i="34"/>
  <c r="F81" i="34"/>
  <c r="F126" i="34"/>
  <c r="F154" i="34"/>
  <c r="F72" i="34"/>
  <c r="F23" i="34"/>
  <c r="F50" i="34"/>
  <c r="F100" i="34"/>
  <c r="F24" i="34"/>
  <c r="F64" i="34"/>
  <c r="F136" i="34"/>
  <c r="F26" i="34"/>
  <c r="F93" i="34"/>
  <c r="F87" i="34"/>
  <c r="F10" i="34"/>
  <c r="F42" i="34"/>
  <c r="F84" i="34"/>
  <c r="F174" i="34"/>
  <c r="F29" i="34"/>
  <c r="F16" i="34"/>
  <c r="F107" i="34"/>
  <c r="F94" i="34"/>
  <c r="J185" i="34"/>
  <c r="E188" i="34" l="1"/>
  <c r="E54" i="34"/>
  <c r="E14" i="34"/>
  <c r="E164" i="34"/>
  <c r="E100" i="34"/>
  <c r="E162" i="34"/>
  <c r="E68" i="34"/>
  <c r="E83" i="34"/>
  <c r="E139" i="34"/>
  <c r="E16" i="34"/>
  <c r="E156" i="34"/>
  <c r="E98" i="34"/>
  <c r="E74" i="34"/>
  <c r="E15" i="34"/>
  <c r="E180" i="34"/>
  <c r="E153" i="34"/>
  <c r="E121" i="34"/>
  <c r="E97" i="34"/>
  <c r="E136" i="34"/>
  <c r="E39" i="34"/>
  <c r="E99" i="34"/>
  <c r="E117" i="34"/>
  <c r="E147" i="34"/>
  <c r="E21" i="34"/>
  <c r="E17" i="34"/>
  <c r="E122" i="34"/>
  <c r="E171" i="34"/>
  <c r="E89" i="34"/>
  <c r="E27" i="34"/>
  <c r="E95" i="34"/>
  <c r="E181" i="34"/>
  <c r="E160" i="34"/>
  <c r="E189" i="34"/>
  <c r="E191" i="34"/>
  <c r="J188" i="34"/>
  <c r="J189" i="34"/>
  <c r="J191" i="34"/>
  <c r="E47" i="34" l="1"/>
  <c r="E10" i="34"/>
  <c r="E78" i="34"/>
  <c r="E126" i="34"/>
  <c r="E148" i="34"/>
  <c r="E168" i="34"/>
  <c r="E123" i="34"/>
  <c r="E165" i="34"/>
  <c r="E170" i="34"/>
  <c r="E60" i="34"/>
  <c r="E76" i="34"/>
  <c r="E67" i="34"/>
  <c r="E55" i="34"/>
  <c r="E127" i="34"/>
  <c r="E104" i="34"/>
  <c r="E63" i="34"/>
  <c r="E43" i="34"/>
  <c r="E154" i="34"/>
  <c r="E128" i="34"/>
  <c r="E175" i="34"/>
  <c r="E119" i="34"/>
  <c r="E34" i="34"/>
  <c r="E26" i="34"/>
  <c r="E51" i="34"/>
  <c r="E155" i="34"/>
  <c r="E36" i="34"/>
  <c r="E28" i="34"/>
  <c r="E129" i="34"/>
  <c r="E111" i="34"/>
  <c r="E157" i="34"/>
  <c r="E118" i="34"/>
  <c r="E41" i="34"/>
  <c r="E73" i="34"/>
  <c r="E150" i="34"/>
  <c r="E62" i="34"/>
  <c r="E131" i="34"/>
  <c r="E58" i="34"/>
  <c r="E115" i="34"/>
  <c r="E66" i="34"/>
  <c r="E94" i="34"/>
  <c r="E161" i="34"/>
  <c r="E141" i="34"/>
  <c r="E38" i="34"/>
  <c r="E12" i="34"/>
  <c r="E32" i="34"/>
  <c r="E172" i="34"/>
  <c r="E77" i="34"/>
  <c r="E53" i="34"/>
  <c r="E109" i="34"/>
  <c r="E23" i="34"/>
  <c r="E146" i="34"/>
  <c r="E182" i="34"/>
  <c r="E82" i="34"/>
  <c r="E37" i="34"/>
  <c r="E42" i="34"/>
  <c r="E130" i="34"/>
  <c r="E116" i="34"/>
  <c r="E80" i="34"/>
  <c r="E56" i="34"/>
  <c r="E173" i="34"/>
  <c r="E91" i="34"/>
  <c r="E178" i="34"/>
  <c r="E90" i="34"/>
  <c r="E33" i="34"/>
  <c r="E72" i="34"/>
  <c r="E84" i="34"/>
  <c r="E107" i="34"/>
  <c r="E61" i="34"/>
  <c r="E135" i="34"/>
  <c r="E86" i="34"/>
  <c r="E177" i="34"/>
  <c r="E52" i="34"/>
  <c r="E69" i="34"/>
  <c r="E106" i="34"/>
  <c r="E22" i="34"/>
  <c r="E81" i="34"/>
  <c r="E64" i="34"/>
  <c r="E138" i="34"/>
  <c r="E71" i="34"/>
  <c r="E179" i="34"/>
  <c r="E45" i="34"/>
  <c r="E93" i="34"/>
  <c r="E149" i="34"/>
  <c r="E176" i="34"/>
  <c r="E108" i="34"/>
  <c r="E46" i="34"/>
  <c r="E87" i="34"/>
  <c r="E140" i="34"/>
  <c r="E159" i="34"/>
  <c r="E25" i="34"/>
  <c r="E70" i="34"/>
  <c r="E143" i="34"/>
  <c r="E101" i="34"/>
  <c r="E35" i="34"/>
  <c r="E137" i="34"/>
  <c r="E105" i="34"/>
  <c r="E112" i="34"/>
  <c r="E133" i="34"/>
  <c r="E50" i="34"/>
  <c r="E169" i="34"/>
  <c r="E13" i="34"/>
  <c r="E120" i="34"/>
  <c r="E96" i="34"/>
  <c r="E174" i="34"/>
  <c r="E142" i="34"/>
  <c r="E18" i="34"/>
  <c r="E88" i="34"/>
  <c r="E44" i="34"/>
  <c r="E110" i="34"/>
  <c r="E57" i="34"/>
  <c r="E79" i="34"/>
  <c r="E151" i="34"/>
  <c r="E24" i="34"/>
  <c r="E29" i="34"/>
  <c r="I185" i="34"/>
  <c r="K185" i="34" s="1"/>
  <c r="G185" i="34"/>
  <c r="J120" i="34"/>
  <c r="J80" i="34"/>
  <c r="J33" i="34"/>
  <c r="J95" i="34"/>
  <c r="J32" i="34"/>
  <c r="J78" i="34"/>
  <c r="J16" i="34"/>
  <c r="J104" i="34"/>
  <c r="J83" i="34"/>
  <c r="J27" i="34"/>
  <c r="J122" i="34"/>
  <c r="J28" i="34"/>
  <c r="J96" i="34"/>
  <c r="J67" i="34"/>
  <c r="J111" i="34"/>
  <c r="J93" i="34"/>
  <c r="J86" i="34"/>
  <c r="J76" i="34"/>
  <c r="J46" i="34"/>
  <c r="J115" i="34"/>
  <c r="J22" i="34"/>
  <c r="J98" i="34"/>
  <c r="J100" i="34"/>
  <c r="J24" i="34"/>
  <c r="J118" i="34"/>
  <c r="J121" i="34"/>
  <c r="J87" i="34"/>
  <c r="J117" i="34"/>
  <c r="J91" i="34"/>
  <c r="J17" i="34"/>
  <c r="J41" i="34"/>
  <c r="J18" i="34"/>
  <c r="J44" i="34"/>
  <c r="J69" i="34"/>
  <c r="J36" i="34"/>
  <c r="J13" i="34"/>
  <c r="J38" i="34"/>
  <c r="J77" i="34"/>
  <c r="J34" i="34"/>
  <c r="J37" i="34"/>
  <c r="J112" i="34"/>
  <c r="J71" i="34"/>
  <c r="J73" i="34"/>
  <c r="J88" i="34"/>
  <c r="J45" i="34"/>
  <c r="J90" i="34"/>
  <c r="J26" i="34"/>
  <c r="J116" i="34"/>
  <c r="J25" i="34"/>
  <c r="J23" i="34"/>
  <c r="J82" i="34"/>
  <c r="J10" i="34"/>
  <c r="J97" i="34"/>
  <c r="J84" i="34"/>
  <c r="J39" i="34"/>
  <c r="J108" i="34"/>
  <c r="J43" i="34"/>
  <c r="J74" i="34"/>
  <c r="J101" i="34"/>
  <c r="J105" i="34"/>
  <c r="J133" i="34"/>
  <c r="J47" i="34"/>
  <c r="J14" i="34"/>
  <c r="J66" i="34"/>
  <c r="J119" i="34"/>
  <c r="J79" i="34"/>
  <c r="J72" i="34"/>
  <c r="J42" i="34"/>
  <c r="J107" i="34"/>
  <c r="J68" i="34"/>
  <c r="J70" i="34"/>
  <c r="J35" i="34"/>
  <c r="J174" i="34"/>
  <c r="J29" i="34"/>
  <c r="J99" i="34"/>
  <c r="J106" i="34"/>
  <c r="J94" i="34"/>
  <c r="J15" i="34"/>
  <c r="J81" i="34"/>
  <c r="J123" i="34"/>
  <c r="J12" i="34"/>
  <c r="J21" i="34"/>
  <c r="J110" i="34"/>
  <c r="J109" i="34"/>
  <c r="J89" i="34"/>
  <c r="I189" i="34" l="1"/>
  <c r="K189" i="34" s="1"/>
  <c r="G189" i="34"/>
  <c r="I188" i="34"/>
  <c r="K188" i="34" s="1"/>
  <c r="G188" i="34"/>
  <c r="I191" i="34"/>
  <c r="K191" i="34" s="1"/>
  <c r="G191" i="34"/>
  <c r="J142" i="34"/>
  <c r="J175" i="34"/>
  <c r="J135" i="34"/>
  <c r="J159" i="34"/>
  <c r="J147" i="34"/>
  <c r="J146" i="34"/>
  <c r="J151" i="34"/>
  <c r="J62" i="34"/>
  <c r="J64" i="34"/>
  <c r="J150" i="34"/>
  <c r="J57" i="34"/>
  <c r="J128" i="34"/>
  <c r="J58" i="34"/>
  <c r="J153" i="34"/>
  <c r="J56" i="34"/>
  <c r="J155" i="34"/>
  <c r="J178" i="34"/>
  <c r="J172" i="34"/>
  <c r="J160" i="34"/>
  <c r="J143" i="34"/>
  <c r="J161" i="34"/>
  <c r="J181" i="34"/>
  <c r="J179" i="34"/>
  <c r="J52" i="34"/>
  <c r="J171" i="34"/>
  <c r="J148" i="34"/>
  <c r="J180" i="34"/>
  <c r="J162" i="34"/>
  <c r="J140" i="34"/>
  <c r="J177" i="34"/>
  <c r="J156" i="34"/>
  <c r="J63" i="34"/>
  <c r="J165" i="34"/>
  <c r="J173" i="34"/>
  <c r="J50" i="34"/>
  <c r="J139" i="34"/>
  <c r="J131" i="34"/>
  <c r="J138" i="34"/>
  <c r="J136" i="34"/>
  <c r="J168" i="34"/>
  <c r="J182" i="34"/>
  <c r="J129" i="34"/>
  <c r="J54" i="34"/>
  <c r="J154" i="34"/>
  <c r="J164" i="34"/>
  <c r="J55" i="34"/>
  <c r="J149" i="34"/>
  <c r="J127" i="34"/>
  <c r="J137" i="34"/>
  <c r="J60" i="34"/>
  <c r="J170" i="34"/>
  <c r="J141" i="34"/>
  <c r="J51" i="34"/>
  <c r="J130" i="34"/>
  <c r="J126" i="34"/>
  <c r="J53" i="34"/>
  <c r="J157" i="34"/>
  <c r="J169" i="34"/>
  <c r="J61" i="34"/>
  <c r="J176" i="34"/>
  <c r="J193" i="34" l="1"/>
  <c r="J195" i="34" s="1"/>
  <c r="I100" i="34"/>
  <c r="K100" i="34" s="1"/>
  <c r="G100" i="34"/>
  <c r="I38" i="34"/>
  <c r="K38" i="34" s="1"/>
  <c r="G38" i="34"/>
  <c r="I72" i="34"/>
  <c r="K72" i="34" s="1"/>
  <c r="G72" i="34"/>
  <c r="I91" i="34"/>
  <c r="K91" i="34" s="1"/>
  <c r="G91" i="34"/>
  <c r="I104" i="34"/>
  <c r="K104" i="34" s="1"/>
  <c r="G104" i="34"/>
  <c r="I45" i="34"/>
  <c r="K45" i="34" s="1"/>
  <c r="G45" i="34"/>
  <c r="I15" i="34"/>
  <c r="K15" i="34" s="1"/>
  <c r="G15" i="34"/>
  <c r="I98" i="34"/>
  <c r="K98" i="34" s="1"/>
  <c r="G98" i="34"/>
  <c r="I76" i="34"/>
  <c r="K76" i="34" s="1"/>
  <c r="G76" i="34"/>
  <c r="I133" i="34"/>
  <c r="K133" i="34" s="1"/>
  <c r="G133" i="34"/>
  <c r="I22" i="34"/>
  <c r="K22" i="34" s="1"/>
  <c r="G22" i="34"/>
  <c r="I107" i="34"/>
  <c r="K107" i="34" s="1"/>
  <c r="G107" i="34"/>
  <c r="I23" i="34"/>
  <c r="K23" i="34" s="1"/>
  <c r="G23" i="34"/>
  <c r="I70" i="34"/>
  <c r="K70" i="34" s="1"/>
  <c r="G70" i="34"/>
  <c r="I110" i="34"/>
  <c r="K110" i="34" s="1"/>
  <c r="G110" i="34"/>
  <c r="I27" i="34"/>
  <c r="K27" i="34" s="1"/>
  <c r="G27" i="34"/>
  <c r="I18" i="34"/>
  <c r="K18" i="34" s="1"/>
  <c r="G18" i="34"/>
  <c r="I47" i="34"/>
  <c r="K47" i="34" s="1"/>
  <c r="G47" i="34"/>
  <c r="I122" i="34"/>
  <c r="K122" i="34" s="1"/>
  <c r="G122" i="34"/>
  <c r="I21" i="34"/>
  <c r="K21" i="34" s="1"/>
  <c r="G21" i="34"/>
  <c r="I90" i="34"/>
  <c r="K90" i="34" s="1"/>
  <c r="G90" i="34"/>
  <c r="I80" i="34"/>
  <c r="K80" i="34" s="1"/>
  <c r="G80" i="34"/>
  <c r="I25" i="34"/>
  <c r="K25" i="34" s="1"/>
  <c r="G25" i="34"/>
  <c r="I28" i="34"/>
  <c r="K28" i="34" s="1"/>
  <c r="G28" i="34"/>
  <c r="I82" i="34"/>
  <c r="K82" i="34" s="1"/>
  <c r="G82" i="34"/>
  <c r="I29" i="34"/>
  <c r="K29" i="34" s="1"/>
  <c r="G29" i="34"/>
  <c r="I32" i="34"/>
  <c r="K32" i="34" s="1"/>
  <c r="G32" i="34"/>
  <c r="I39" i="34"/>
  <c r="K39" i="34" s="1"/>
  <c r="G39" i="34"/>
  <c r="I73" i="34"/>
  <c r="K73" i="34" s="1"/>
  <c r="G73" i="34"/>
  <c r="I120" i="34"/>
  <c r="K120" i="34" s="1"/>
  <c r="G120" i="34"/>
  <c r="I74" i="34"/>
  <c r="K74" i="34" s="1"/>
  <c r="G74" i="34"/>
  <c r="I175" i="34"/>
  <c r="K175" i="34" s="1"/>
  <c r="G175" i="34"/>
  <c r="I12" i="34"/>
  <c r="K12" i="34" s="1"/>
  <c r="G12" i="34"/>
  <c r="I41" i="34"/>
  <c r="K41" i="34" s="1"/>
  <c r="G41" i="34"/>
  <c r="I105" i="34"/>
  <c r="K105" i="34" s="1"/>
  <c r="G105" i="34"/>
  <c r="I95" i="34"/>
  <c r="K95" i="34" s="1"/>
  <c r="G95" i="34"/>
  <c r="I123" i="34"/>
  <c r="K123" i="34" s="1"/>
  <c r="G123" i="34"/>
  <c r="I88" i="34"/>
  <c r="K88" i="34" s="1"/>
  <c r="G88" i="34"/>
  <c r="I109" i="34"/>
  <c r="K109" i="34" s="1"/>
  <c r="G109" i="34"/>
  <c r="I34" i="34"/>
  <c r="K34" i="34" s="1"/>
  <c r="G34" i="34"/>
  <c r="I16" i="34"/>
  <c r="K16" i="34" s="1"/>
  <c r="G16" i="34"/>
  <c r="I121" i="34"/>
  <c r="K121" i="34" s="1"/>
  <c r="G121" i="34"/>
  <c r="I101" i="34"/>
  <c r="K101" i="34" s="1"/>
  <c r="G101" i="34"/>
  <c r="I26" i="34"/>
  <c r="K26" i="34" s="1"/>
  <c r="G26" i="34"/>
  <c r="I10" i="34"/>
  <c r="G10" i="34"/>
  <c r="I81" i="34"/>
  <c r="K81" i="34" s="1"/>
  <c r="G81" i="34"/>
  <c r="I77" i="34"/>
  <c r="K77" i="34" s="1"/>
  <c r="G77" i="34"/>
  <c r="I44" i="34"/>
  <c r="K44" i="34" s="1"/>
  <c r="G44" i="34"/>
  <c r="I42" i="34"/>
  <c r="K42" i="34" s="1"/>
  <c r="G42" i="34"/>
  <c r="I118" i="34"/>
  <c r="K118" i="34" s="1"/>
  <c r="G118" i="34"/>
  <c r="I99" i="34"/>
  <c r="K99" i="34" s="1"/>
  <c r="G99" i="34"/>
  <c r="I87" i="34"/>
  <c r="K87" i="34" s="1"/>
  <c r="G87" i="34"/>
  <c r="I14" i="34"/>
  <c r="K14" i="34" s="1"/>
  <c r="G14" i="34"/>
  <c r="I83" i="34"/>
  <c r="K83" i="34" s="1"/>
  <c r="G83" i="34"/>
  <c r="I35" i="34"/>
  <c r="K35" i="34" s="1"/>
  <c r="G35" i="34"/>
  <c r="I24" i="34"/>
  <c r="K24" i="34" s="1"/>
  <c r="G24" i="34"/>
  <c r="I36" i="34"/>
  <c r="K36" i="34" s="1"/>
  <c r="G36" i="34"/>
  <c r="I79" i="34"/>
  <c r="K79" i="34" s="1"/>
  <c r="G79" i="34"/>
  <c r="I89" i="34"/>
  <c r="K89" i="34" s="1"/>
  <c r="G89" i="34"/>
  <c r="I96" i="34"/>
  <c r="K96" i="34" s="1"/>
  <c r="G96" i="34"/>
  <c r="I67" i="34"/>
  <c r="K67" i="34" s="1"/>
  <c r="G67" i="34"/>
  <c r="I37" i="34"/>
  <c r="K37" i="34" s="1"/>
  <c r="G37" i="34"/>
  <c r="I84" i="34"/>
  <c r="K84" i="34" s="1"/>
  <c r="G84" i="34"/>
  <c r="I68" i="34"/>
  <c r="K68" i="34" s="1"/>
  <c r="G68" i="34"/>
  <c r="I33" i="34"/>
  <c r="K33" i="34" s="1"/>
  <c r="G33" i="34"/>
  <c r="I117" i="34"/>
  <c r="K117" i="34" s="1"/>
  <c r="G117" i="34"/>
  <c r="I161" i="34"/>
  <c r="K161" i="34" s="1"/>
  <c r="G161" i="34"/>
  <c r="I46" i="34"/>
  <c r="K46" i="34" s="1"/>
  <c r="G46" i="34"/>
  <c r="I69" i="34"/>
  <c r="K69" i="34" s="1"/>
  <c r="G69" i="34"/>
  <c r="I97" i="34"/>
  <c r="K97" i="34" s="1"/>
  <c r="G97" i="34"/>
  <c r="I119" i="34"/>
  <c r="K119" i="34" s="1"/>
  <c r="G119" i="34"/>
  <c r="I135" i="34"/>
  <c r="K135" i="34" s="1"/>
  <c r="G135" i="34"/>
  <c r="I115" i="34"/>
  <c r="K115" i="34" s="1"/>
  <c r="G115" i="34"/>
  <c r="I94" i="34"/>
  <c r="K94" i="34" s="1"/>
  <c r="G94" i="34"/>
  <c r="I78" i="34"/>
  <c r="K78" i="34" s="1"/>
  <c r="G78" i="34"/>
  <c r="I17" i="34"/>
  <c r="K17" i="34" s="1"/>
  <c r="G17" i="34"/>
  <c r="I112" i="34"/>
  <c r="K112" i="34" s="1"/>
  <c r="G112" i="34"/>
  <c r="I43" i="34"/>
  <c r="K43" i="34" s="1"/>
  <c r="G43" i="34"/>
  <c r="I174" i="34"/>
  <c r="K174" i="34" s="1"/>
  <c r="G174" i="34"/>
  <c r="I93" i="34"/>
  <c r="K93" i="34" s="1"/>
  <c r="G93" i="34"/>
  <c r="I116" i="34"/>
  <c r="K116" i="34" s="1"/>
  <c r="G116" i="34"/>
  <c r="I86" i="34"/>
  <c r="K86" i="34" s="1"/>
  <c r="G86" i="34"/>
  <c r="I71" i="34"/>
  <c r="K71" i="34" s="1"/>
  <c r="G71" i="34"/>
  <c r="I108" i="34"/>
  <c r="K108" i="34" s="1"/>
  <c r="G108" i="34"/>
  <c r="I106" i="34"/>
  <c r="K106" i="34" s="1"/>
  <c r="G106" i="34"/>
  <c r="I111" i="34"/>
  <c r="K111" i="34" s="1"/>
  <c r="G111" i="34"/>
  <c r="I13" i="34"/>
  <c r="K13" i="34" s="1"/>
  <c r="G13" i="34"/>
  <c r="I66" i="34"/>
  <c r="K66" i="34" s="1"/>
  <c r="G66" i="34"/>
  <c r="I149" i="34" l="1"/>
  <c r="K149" i="34" s="1"/>
  <c r="G149" i="34"/>
  <c r="I176" i="34"/>
  <c r="K176" i="34" s="1"/>
  <c r="G176" i="34"/>
  <c r="I54" i="34"/>
  <c r="K54" i="34" s="1"/>
  <c r="G54" i="34"/>
  <c r="I131" i="34"/>
  <c r="K131" i="34" s="1"/>
  <c r="G131" i="34"/>
  <c r="I51" i="34"/>
  <c r="K51" i="34" s="1"/>
  <c r="G51" i="34"/>
  <c r="I150" i="34"/>
  <c r="K150" i="34" s="1"/>
  <c r="G150" i="34"/>
  <c r="I136" i="34"/>
  <c r="K136" i="34" s="1"/>
  <c r="G136" i="34"/>
  <c r="I53" i="34"/>
  <c r="K53" i="34" s="1"/>
  <c r="G53" i="34"/>
  <c r="I60" i="34"/>
  <c r="K60" i="34" s="1"/>
  <c r="G60" i="34"/>
  <c r="I148" i="34"/>
  <c r="K148" i="34" s="1"/>
  <c r="G148" i="34"/>
  <c r="I156" i="34"/>
  <c r="K156" i="34" s="1"/>
  <c r="G156" i="34"/>
  <c r="I139" i="34"/>
  <c r="K139" i="34" s="1"/>
  <c r="G139" i="34"/>
  <c r="I58" i="34"/>
  <c r="K58" i="34" s="1"/>
  <c r="G58" i="34"/>
  <c r="I160" i="34"/>
  <c r="K160" i="34" s="1"/>
  <c r="G160" i="34"/>
  <c r="I179" i="34"/>
  <c r="K179" i="34" s="1"/>
  <c r="G179" i="34"/>
  <c r="I151" i="34"/>
  <c r="K151" i="34" s="1"/>
  <c r="G151" i="34"/>
  <c r="I141" i="34"/>
  <c r="K141" i="34" s="1"/>
  <c r="G141" i="34"/>
  <c r="I168" i="34"/>
  <c r="K168" i="34" s="1"/>
  <c r="G168" i="34"/>
  <c r="I182" i="34"/>
  <c r="K182" i="34" s="1"/>
  <c r="G182" i="34"/>
  <c r="I157" i="34"/>
  <c r="K157" i="34" s="1"/>
  <c r="G157" i="34"/>
  <c r="I153" i="34"/>
  <c r="K153" i="34" s="1"/>
  <c r="G153" i="34"/>
  <c r="I126" i="34"/>
  <c r="K126" i="34" s="1"/>
  <c r="G126" i="34"/>
  <c r="I177" i="34"/>
  <c r="K177" i="34" s="1"/>
  <c r="G177" i="34"/>
  <c r="I130" i="34"/>
  <c r="K130" i="34" s="1"/>
  <c r="G130" i="34"/>
  <c r="I62" i="34"/>
  <c r="K62" i="34" s="1"/>
  <c r="G62" i="34"/>
  <c r="I50" i="34"/>
  <c r="K50" i="34" s="1"/>
  <c r="G50" i="34"/>
  <c r="I154" i="34"/>
  <c r="K154" i="34" s="1"/>
  <c r="G154" i="34"/>
  <c r="I180" i="34"/>
  <c r="K180" i="34" s="1"/>
  <c r="G180" i="34"/>
  <c r="I159" i="34"/>
  <c r="K159" i="34" s="1"/>
  <c r="G159" i="34"/>
  <c r="I171" i="34"/>
  <c r="K171" i="34" s="1"/>
  <c r="G171" i="34"/>
  <c r="I129" i="34"/>
  <c r="K129" i="34" s="1"/>
  <c r="G129" i="34"/>
  <c r="I164" i="34"/>
  <c r="K164" i="34" s="1"/>
  <c r="G164" i="34"/>
  <c r="I155" i="34"/>
  <c r="K155" i="34" s="1"/>
  <c r="G155" i="34"/>
  <c r="I172" i="34"/>
  <c r="K172" i="34" s="1"/>
  <c r="G172" i="34"/>
  <c r="I63" i="34"/>
  <c r="K63" i="34" s="1"/>
  <c r="G63" i="34"/>
  <c r="I173" i="34"/>
  <c r="K173" i="34" s="1"/>
  <c r="G173" i="34"/>
  <c r="I169" i="34"/>
  <c r="K169" i="34" s="1"/>
  <c r="G169" i="34"/>
  <c r="I128" i="34"/>
  <c r="K128" i="34" s="1"/>
  <c r="G128" i="34"/>
  <c r="I170" i="34"/>
  <c r="K170" i="34" s="1"/>
  <c r="G170" i="34"/>
  <c r="I143" i="34"/>
  <c r="K143" i="34" s="1"/>
  <c r="G143" i="34"/>
  <c r="I57" i="34"/>
  <c r="K57" i="34" s="1"/>
  <c r="G57" i="34"/>
  <c r="I147" i="34"/>
  <c r="K147" i="34" s="1"/>
  <c r="G147" i="34"/>
  <c r="I55" i="34"/>
  <c r="K55" i="34" s="1"/>
  <c r="G55" i="34"/>
  <c r="I165" i="34"/>
  <c r="K165" i="34" s="1"/>
  <c r="G165" i="34"/>
  <c r="I137" i="34"/>
  <c r="K137" i="34" s="1"/>
  <c r="G137" i="34"/>
  <c r="I162" i="34"/>
  <c r="K162" i="34" s="1"/>
  <c r="G162" i="34"/>
  <c r="I52" i="34"/>
  <c r="K52" i="34" s="1"/>
  <c r="G52" i="34"/>
  <c r="I127" i="34"/>
  <c r="K127" i="34" s="1"/>
  <c r="G127" i="34"/>
  <c r="I138" i="34"/>
  <c r="K138" i="34" s="1"/>
  <c r="G138" i="34"/>
  <c r="I146" i="34"/>
  <c r="K146" i="34" s="1"/>
  <c r="G146" i="34"/>
  <c r="I181" i="34"/>
  <c r="K181" i="34" s="1"/>
  <c r="G181" i="34"/>
  <c r="I61" i="34"/>
  <c r="K61" i="34" s="1"/>
  <c r="G61" i="34"/>
  <c r="I64" i="34"/>
  <c r="K64" i="34" s="1"/>
  <c r="G64" i="34"/>
  <c r="I140" i="34"/>
  <c r="K140" i="34" s="1"/>
  <c r="G140" i="34"/>
  <c r="I56" i="34"/>
  <c r="K56" i="34" s="1"/>
  <c r="G56" i="34"/>
  <c r="K10" i="34"/>
  <c r="I178" i="34" l="1"/>
  <c r="K178" i="34" s="1"/>
  <c r="G178" i="34"/>
  <c r="I142" i="34"/>
  <c r="G142" i="34"/>
  <c r="K142" i="34" l="1"/>
  <c r="K193" i="34" s="1"/>
  <c r="K195" i="34" s="1"/>
  <c r="I193" i="34"/>
  <c r="I195" i="34" s="1"/>
</calcChain>
</file>

<file path=xl/sharedStrings.xml><?xml version="1.0" encoding="utf-8"?>
<sst xmlns="http://schemas.openxmlformats.org/spreadsheetml/2006/main" count="753" uniqueCount="397">
  <si>
    <t>Puget Sound Energy</t>
  </si>
  <si>
    <t>Line No.</t>
  </si>
  <si>
    <t>Voltage Level</t>
  </si>
  <si>
    <t>Schedule</t>
  </si>
  <si>
    <t>Electric
Cost of Service 
PTDGP.T 
Allocation Factor
Docket No. 
UE-111048</t>
  </si>
  <si>
    <t>Percent of Total</t>
  </si>
  <si>
    <t>A</t>
  </si>
  <si>
    <t>B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</si>
  <si>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</si>
  <si>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</si>
  <si>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</si>
  <si>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</si>
  <si>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</si>
  <si>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</si>
  <si>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</si>
  <si>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Interruptible Total Electric Schools</t>
  </si>
  <si>
    <t>Total Primary Voltage</t>
  </si>
  <si>
    <t>Campus Rate</t>
  </si>
  <si>
    <t>Total High Voltage</t>
  </si>
  <si>
    <t>Lighting</t>
  </si>
  <si>
    <t>50-59</t>
  </si>
  <si>
    <t>Total Jurisdictional Retail Sales</t>
  </si>
  <si>
    <t>Total Sales to Customers</t>
  </si>
  <si>
    <t>Total Firm Resale / Special Contract</t>
  </si>
  <si>
    <t>Total Choice /Retail Wheeling</t>
  </si>
  <si>
    <t>General Service</t>
  </si>
  <si>
    <t>Interruptible</t>
  </si>
  <si>
    <t>High Voltage</t>
  </si>
  <si>
    <t>Seasonal Irrigation &amp; Drainage Pumping</t>
  </si>
  <si>
    <t>Total Residential</t>
  </si>
  <si>
    <t>(f)</t>
  </si>
  <si>
    <t>(c)</t>
  </si>
  <si>
    <t>(b)</t>
  </si>
  <si>
    <t>(a)</t>
  </si>
  <si>
    <t>(e)</t>
  </si>
  <si>
    <t>(d)</t>
  </si>
  <si>
    <t>Tariff</t>
  </si>
  <si>
    <t>Month</t>
  </si>
  <si>
    <t>Total</t>
  </si>
  <si>
    <t>Schedule 194 - BPA Exchange Credit</t>
  </si>
  <si>
    <t>Schedule 142 - Decoupling Rider</t>
  </si>
  <si>
    <t>per Month</t>
  </si>
  <si>
    <t>Schedule 140 - Property Tax Rider</t>
  </si>
  <si>
    <t>Schedule 137 - Renewable Energy Credit</t>
  </si>
  <si>
    <t>Schedule 133 - Regulatory Asset Tracker</t>
  </si>
  <si>
    <t>Schedule 132 - Merger Credit</t>
  </si>
  <si>
    <t>Schedule 129 - Low Income</t>
  </si>
  <si>
    <t>Schedule 120 - Conservation Rider</t>
  </si>
  <si>
    <t>Schedule 95A - Wind Power Production Credit</t>
  </si>
  <si>
    <t>Schedule 95 - Power Cost Adjustment Clause</t>
  </si>
  <si>
    <t>Schedule 7 over 600 kWh</t>
  </si>
  <si>
    <t>Schedule 7 first 600 kWh</t>
  </si>
  <si>
    <t>Energy Charge:</t>
  </si>
  <si>
    <t>Customer Monthly Charge:</t>
  </si>
  <si>
    <t>Average Cents</t>
  </si>
  <si>
    <t>Annual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</si>
  <si>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</si>
  <si>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</si>
  <si>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</si>
  <si>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</si>
  <si>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</si>
  <si>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</si>
  <si>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</si>
  <si>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</si>
  <si>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</si>
  <si>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</si>
  <si>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</si>
  <si>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</si>
  <si>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% Difference</t>
  </si>
  <si>
    <t>$ Difference</t>
  </si>
  <si>
    <t>kWh</t>
  </si>
  <si>
    <t>Customer Bill</t>
  </si>
  <si>
    <t>Residential Customer Impacts</t>
  </si>
  <si>
    <t>Revenue Requirement Property Tax - Current</t>
  </si>
  <si>
    <t>46 &amp; 49</t>
  </si>
  <si>
    <t>449 &amp; 459</t>
  </si>
  <si>
    <t>Schedule 140 Property Tax Rider - Current</t>
  </si>
  <si>
    <t>Schedule 140 Property Tax Rider - Deferred</t>
  </si>
  <si>
    <t>Calculation of Property Tax Rider Rate</t>
  </si>
  <si>
    <t>Property Tax Revenue Requirement</t>
  </si>
  <si>
    <t>Electric Schedule 140 Property Tax Rider</t>
  </si>
  <si>
    <t>Schedule 140 Property Tax Revenue Change</t>
  </si>
  <si>
    <t>Schedule 140 Property Tax % Change</t>
  </si>
  <si>
    <t>Lamp Type</t>
  </si>
  <si>
    <t>Mercury Vapor</t>
  </si>
  <si>
    <t>Sodium Vapor</t>
  </si>
  <si>
    <t>Revenue Requirement Property Tax - Total</t>
  </si>
  <si>
    <t>Check Difference due to Rounding</t>
  </si>
  <si>
    <t>Difference</t>
  </si>
  <si>
    <t>Annual kWh Delivered Sales (Normalized)</t>
  </si>
  <si>
    <t>8 &amp; 24</t>
  </si>
  <si>
    <t>449-459</t>
  </si>
  <si>
    <t>8 / 24</t>
  </si>
  <si>
    <t>7A / 11 / 25</t>
  </si>
  <si>
    <t>10 / 31</t>
  </si>
  <si>
    <t>Subtotal Base Monthly Charge</t>
  </si>
  <si>
    <t>$ / kWh</t>
  </si>
  <si>
    <t>Subtotal Base First 600 kWh Charge</t>
  </si>
  <si>
    <t>Subtotal Base Over 600 kWh Charge</t>
  </si>
  <si>
    <t xml:space="preserve"> 7A, 11, 25 &amp; 29</t>
  </si>
  <si>
    <t>10, 31 &amp; 35</t>
  </si>
  <si>
    <t>(d)= 
(c) / ∑ (c)</t>
  </si>
  <si>
    <t>(g) =
(f - e) * (c)</t>
  </si>
  <si>
    <t>(h) = (g) / 
[(c * e) + (d)]</t>
  </si>
  <si>
    <t>(h)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</si>
  <si>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</si>
  <si>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</si>
  <si>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</si>
  <si>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</si>
  <si>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</si>
  <si>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</si>
  <si>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</si>
  <si>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</si>
  <si>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</si>
  <si>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</si>
  <si>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</si>
  <si>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</si>
  <si>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</si>
  <si>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</si>
  <si>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</si>
  <si>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</si>
  <si>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Revenue Requirement Property Tax - Deferral</t>
  </si>
  <si>
    <t>(f) =
(d) * B</t>
  </si>
  <si>
    <t>(g) =
(e + f)</t>
  </si>
  <si>
    <t>(i) = 
(e) / (h)</t>
  </si>
  <si>
    <t>(j) = 
(f) / (h)</t>
  </si>
  <si>
    <t>(k) = 
(i) + (j)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</si>
  <si>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</si>
  <si>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</si>
  <si>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</si>
  <si>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</si>
  <si>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</si>
  <si>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</si>
  <si>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</si>
  <si>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</si>
  <si>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142</t>
  </si>
  <si>
    <t>Sch 194</t>
  </si>
  <si>
    <t>Current Residential Bill</t>
  </si>
  <si>
    <t>Proposed Residential Bill</t>
  </si>
  <si>
    <t>Summary Page Residential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</si>
  <si>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</si>
  <si>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</si>
  <si>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</si>
  <si>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</si>
  <si>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</si>
  <si>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</si>
  <si>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</si>
  <si>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</si>
  <si>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</si>
  <si>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Average</t>
  </si>
  <si>
    <t>Remove:  Schedule 140</t>
  </si>
  <si>
    <t>Add:  Schedule 140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</si>
  <si>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</si>
  <si>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</si>
  <si>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</si>
  <si>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</si>
  <si>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</si>
  <si>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</si>
  <si>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137
RECS</t>
  </si>
  <si>
    <t>Schedule 142
Decoupling</t>
  </si>
  <si>
    <t>Schedule 194
BPA Res &amp; Farm Credit</t>
  </si>
  <si>
    <t>7A (Note 1)</t>
  </si>
  <si>
    <t>26 &amp; 26P</t>
  </si>
  <si>
    <t>All Sales</t>
  </si>
  <si>
    <t>Revenue Requirement Increase / (Decrease)</t>
  </si>
  <si>
    <t>F2017 kWh 
May 2018
to April 2019</t>
  </si>
  <si>
    <t>Effective May 1, 2018</t>
  </si>
  <si>
    <t>12 / 26</t>
  </si>
  <si>
    <t>Annual Estimated Revenue @ Rates Effective 4/30/2019 (Excluding Sch 140)</t>
  </si>
  <si>
    <t>(e)
= (b) * A</t>
  </si>
  <si>
    <t>(b)= 
(a) / ∑ (a)</t>
  </si>
  <si>
    <t>12 &amp; 26</t>
  </si>
  <si>
    <t>(g)</t>
  </si>
  <si>
    <t>(k)</t>
  </si>
  <si>
    <t>(l)</t>
  </si>
  <si>
    <t>(m)</t>
  </si>
  <si>
    <t>(n)</t>
  </si>
  <si>
    <t>Summary of Allocated Costs</t>
  </si>
  <si>
    <t>Wattage (W)</t>
  </si>
  <si>
    <t>Annual Revenue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</si>
  <si>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</si>
  <si>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</si>
  <si>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</si>
  <si>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</si>
  <si>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</si>
  <si>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</si>
  <si>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</si>
  <si>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</si>
  <si>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</si>
  <si>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</si>
  <si>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</si>
  <si>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</si>
  <si>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</si>
  <si>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</si>
  <si>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</si>
  <si>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</si>
  <si>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</si>
  <si>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</si>
  <si>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</si>
  <si>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</si>
  <si>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</si>
  <si>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</si>
  <si>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</si>
  <si>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</si>
  <si>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</si>
  <si>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</si>
  <si>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</si>
  <si>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</si>
  <si>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</si>
  <si>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</si>
  <si>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</si>
  <si>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</si>
  <si>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</si>
  <si>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</si>
  <si>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</si>
  <si>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</si>
  <si>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</si>
  <si>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</si>
  <si>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</si>
  <si>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</si>
  <si>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</si>
  <si>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</si>
  <si>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</si>
  <si>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</si>
  <si>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</si>
  <si>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Lighting Revenue Based on Inventory</t>
  </si>
  <si>
    <t>Lighting Revenue to Collect</t>
  </si>
  <si>
    <t>2018 Property Tax Workpapers</t>
  </si>
  <si>
    <t>= (a) + (b)</t>
  </si>
  <si>
    <t>= (a) * (d) * 12</t>
  </si>
  <si>
    <t>= (b) * (d) * 12</t>
  </si>
  <si>
    <t>= (e) + (f)</t>
  </si>
  <si>
    <t>Sch 140 Revenue (Current)</t>
  </si>
  <si>
    <t>Sch 140 Revenue (Deferral)</t>
  </si>
  <si>
    <t>Average Customer</t>
  </si>
  <si>
    <t>Adjusted Electric
Cost of Service 
PTDGP.T 
Allocation Factor
Docket No. 
UE-170033</t>
  </si>
  <si>
    <t>ELECTRIC COST OF SERVICE SUMMARY - EXPENSE SUMMARY</t>
  </si>
  <si>
    <t>COS ID</t>
  </si>
  <si>
    <t>Account Description</t>
  </si>
  <si>
    <t>Allocation Method</t>
  </si>
  <si>
    <t>(i)</t>
  </si>
  <si>
    <t>(j)</t>
  </si>
  <si>
    <t>RATE BASE</t>
  </si>
  <si>
    <t>Plant-in-Service</t>
  </si>
  <si>
    <t>Intangible Plant</t>
  </si>
  <si>
    <t>Production Plant</t>
  </si>
  <si>
    <t>PP.T</t>
  </si>
  <si>
    <t>Transmission Plant</t>
  </si>
  <si>
    <t>PC4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</si>
  <si>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</si>
  <si>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</si>
  <si>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</si>
  <si>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</si>
  <si>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</si>
  <si>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</si>
  <si>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</si>
  <si>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</si>
  <si>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</si>
  <si>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</si>
  <si>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DIR_449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</si>
  <si>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</si>
  <si>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</si>
  <si>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</si>
  <si>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</si>
  <si>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</si>
  <si>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</si>
  <si>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</si>
  <si>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</si>
  <si>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</si>
  <si>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</si>
  <si>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</si>
  <si>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</si>
  <si>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</si>
  <si>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</si>
  <si>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</si>
  <si>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</si>
  <si>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</si>
  <si>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</si>
  <si>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</si>
  <si>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</si>
  <si>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</si>
  <si>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</si>
  <si>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</si>
  <si>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</si>
  <si>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</si>
  <si>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</si>
  <si>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</si>
  <si>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</si>
  <si>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</si>
  <si>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</si>
  <si>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</si>
  <si>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</si>
  <si>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</si>
  <si>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</si>
  <si>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</si>
  <si>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</si>
  <si>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</si>
  <si>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</si>
  <si>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</si>
  <si>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</si>
  <si>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</si>
  <si>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</si>
  <si>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</si>
  <si>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</si>
  <si>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</si>
  <si>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</si>
  <si>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</si>
  <si>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</si>
  <si>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</si>
  <si>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</si>
  <si>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</si>
  <si>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</si>
  <si>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</si>
  <si>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</si>
  <si>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</si>
  <si>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</si>
  <si>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</si>
  <si>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</si>
  <si>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</si>
  <si>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</si>
  <si>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Pri Volt
Sch 31</t>
  </si>
  <si>
    <t>Pri Volt
Sch 35</t>
  </si>
  <si>
    <t>Pri Volt
Sch 43</t>
  </si>
  <si>
    <t>Pri Volt</t>
  </si>
  <si>
    <t>Pri Volt Sch 3135</t>
  </si>
  <si>
    <t>Remove Transmission Related Plant from Retail Wheeling</t>
  </si>
  <si>
    <t>Remove Transmission Related General Plant from Retail Wheeling</t>
  </si>
  <si>
    <t>Adjusted Plant in Service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</si>
  <si>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</si>
  <si>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</si>
  <si>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</si>
  <si>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</si>
  <si>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</si>
  <si>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</si>
  <si>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</si>
  <si>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</si>
  <si>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</si>
  <si>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Adjusted Test Year Twelve Months ended September 2016 @ Proforma Rev Requirement</t>
  </si>
  <si>
    <t>Firm Resale</t>
  </si>
  <si>
    <t>Schedule 140 Rider Effective 5-1-18</t>
  </si>
  <si>
    <t>Increase as a percent of prior year's revenue</t>
  </si>
  <si>
    <t>requirement Filing Required?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</si>
  <si>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</si>
  <si>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</si>
  <si>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Impacts of Rate Change Effective May 1, 2019</t>
  </si>
  <si>
    <t>F2018 kWh 
May 2019
to April 2020</t>
  </si>
  <si>
    <t>Projected
Revenue 
(Based on Rates
Effective
1-1-2019)</t>
  </si>
  <si>
    <t>Current
Schedule 140
Property Tax
Effective 5-1-18</t>
  </si>
  <si>
    <t>Proposed
Schedule 140
Property Tax
Effective 5-1-19</t>
  </si>
  <si>
    <t>Adjusted Electric
Cost of Service 
PTDGP.T 
Allocation Factor
Docket No. 
UE-180282</t>
  </si>
  <si>
    <t>(c)
= (b) * A</t>
  </si>
  <si>
    <t>(d) =
(b) * B</t>
  </si>
  <si>
    <t>(e) =
(c + d)</t>
  </si>
  <si>
    <t>(g) = 
(c) / (f)</t>
  </si>
  <si>
    <t>(h) = 
(d) / (f)</t>
  </si>
  <si>
    <t>(i) = 
(g) + (h)</t>
  </si>
  <si>
    <t>(j) = 
(i * f) - (e)</t>
  </si>
  <si>
    <t>Effective May 1, 2019</t>
  </si>
  <si>
    <t>Schedule 140 Rider Effective 5-1-19</t>
  </si>
  <si>
    <t>Test Year Ending April 30, 2020</t>
  </si>
  <si>
    <t>Proposed Current Charge Schedule 140 
Effective 5/1/2019</t>
  </si>
  <si>
    <t>Proposed Deferral Charge Schedule 140 
Effective 5/1/2019</t>
  </si>
  <si>
    <t>Total Proposed Charge Schedule 140 
Effective 5/1/2019</t>
  </si>
  <si>
    <t>Inventory @ 12/31/2018</t>
  </si>
  <si>
    <t>Present Rates Effective 
4-30-19</t>
  </si>
  <si>
    <t>Proposed Rates Effective 
5-1-19</t>
  </si>
  <si>
    <t>Schedule 141 &amp; 141x - ERF Rider - First 600 kWh</t>
  </si>
  <si>
    <t>Schedule 141 &amp; 141x - ERF Rider - Over 600 kWh</t>
  </si>
  <si>
    <t>Sch 141 &amp; 
Sch 141x</t>
  </si>
  <si>
    <t>Schedule 141 &amp; Sch 141x - ERF Rider - 1 Phase Basic Charge</t>
  </si>
  <si>
    <t>May 1, 2019 Rate Impacts</t>
  </si>
  <si>
    <t>Schedule 141
ERF</t>
  </si>
  <si>
    <t>Schedules 449 and 459 Property Tax (Schedule 140) kVa Charge</t>
  </si>
  <si>
    <t>Rate Design Change</t>
  </si>
  <si>
    <t>Line No</t>
  </si>
  <si>
    <t>Description</t>
  </si>
  <si>
    <t>Current</t>
  </si>
  <si>
    <t>Deferred</t>
  </si>
  <si>
    <t>Proposed kVa Rate</t>
  </si>
  <si>
    <t>Year</t>
  </si>
  <si>
    <t>RC 449PV</t>
  </si>
  <si>
    <t>RC449HV</t>
  </si>
  <si>
    <t>RC 459HV</t>
  </si>
  <si>
    <t>Proposed Effective 5-1-19</t>
  </si>
  <si>
    <t>2019 Revenue Increase</t>
  </si>
  <si>
    <t>F2018 kVa Demand (May 2019 to April 2020)</t>
  </si>
  <si>
    <t>F2018 Monthly Billing Demand by Rate Schedule</t>
  </si>
  <si>
    <t>Monthly kVa Projection, May 2019 - April 2020</t>
  </si>
  <si>
    <t>Test Year ended April 2020 (F2018 Schedule Level)</t>
  </si>
  <si>
    <t>Revenue Requirement from 2018 Filing</t>
  </si>
  <si>
    <t>True-up for 2018 Load Variance</t>
  </si>
  <si>
    <t>&lt;==Check Load</t>
  </si>
  <si>
    <t>= 7 - 9</t>
  </si>
  <si>
    <t>yes</t>
  </si>
  <si>
    <t>Average Residential Usage YE April 2020</t>
  </si>
  <si>
    <t>Property Tax Revenue Requirement - Final April, 2019</t>
  </si>
  <si>
    <t>Cash Payment to be made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</si>
</sst>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  <numFmt numFmtId="168" formatCode="_(&quot;$&quot;* #,##0.00000_);_(&quot;$&quot;* \(#,##0.00000\);_(&quot;$&quot;* &quot;-&quot;??_);_(@_)"/>
    <numFmt numFmtId="169" formatCode="_(&quot;$&quot;* #,##0.000_);_(&quot;$&quot;* \(#,##0.00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7500E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69">
    <xf numFmtId="0" fontId="0" fillId="0" borderId="0" xfId="0"/>
    <xf numFmtId="0" fontId="4" fillId="2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164" fontId="3" fillId="0" borderId="2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3" xfId="0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/>
    <xf numFmtId="164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165" fontId="3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left" indent="1"/>
    </xf>
    <xf numFmtId="165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/>
    </xf>
    <xf numFmtId="164" fontId="3" fillId="0" borderId="0" xfId="0" applyNumberFormat="1" applyFont="1" applyFill="1"/>
    <xf numFmtId="164" fontId="3" fillId="0" borderId="5" xfId="0" applyNumberFormat="1" applyFont="1" applyFill="1" applyBorder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/>
    <xf numFmtId="166" fontId="3" fillId="0" borderId="0" xfId="0" applyNumberFormat="1" applyFont="1" applyFill="1"/>
    <xf numFmtId="166" fontId="3" fillId="0" borderId="0" xfId="0" quotePrefix="1" applyNumberFormat="1" applyFont="1" applyFill="1" applyAlignment="1">
      <alignment horizontal="left"/>
    </xf>
    <xf numFmtId="166" fontId="3" fillId="0" borderId="2" xfId="0" applyNumberFormat="1" applyFont="1" applyFill="1" applyBorder="1"/>
    <xf numFmtId="166" fontId="3" fillId="0" borderId="0" xfId="0" applyNumberFormat="1" applyFont="1" applyFill="1" applyBorder="1"/>
    <xf numFmtId="166" fontId="3" fillId="0" borderId="3" xfId="0" applyNumberFormat="1" applyFont="1" applyFill="1" applyBorder="1"/>
    <xf numFmtId="165" fontId="3" fillId="0" borderId="0" xfId="0" quotePrefix="1" applyNumberFormat="1" applyFont="1" applyFill="1" applyAlignment="1">
      <alignment horizontal="left"/>
    </xf>
    <xf numFmtId="164" fontId="3" fillId="0" borderId="0" xfId="0" quotePrefix="1" applyNumberFormat="1" applyFont="1" applyFill="1" applyAlignment="1">
      <alignment horizontal="left"/>
    </xf>
    <xf numFmtId="164" fontId="3" fillId="0" borderId="2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5" fontId="3" fillId="0" borderId="3" xfId="0" applyNumberFormat="1" applyFont="1" applyFill="1" applyBorder="1"/>
    <xf numFmtId="10" fontId="3" fillId="0" borderId="0" xfId="0" quotePrefix="1" applyNumberFormat="1" applyFont="1" applyFill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5" fontId="3" fillId="0" borderId="9" xfId="0" quotePrefix="1" applyNumberFormat="1" applyFont="1" applyFill="1" applyBorder="1" applyAlignment="1">
      <alignment horizontal="left"/>
    </xf>
    <xf numFmtId="43" fontId="3" fillId="0" borderId="0" xfId="0" applyNumberFormat="1" applyFont="1" applyFill="1"/>
    <xf numFmtId="44" fontId="3" fillId="0" borderId="0" xfId="0" applyNumberFormat="1" applyFont="1" applyFill="1"/>
    <xf numFmtId="0" fontId="0" fillId="0" borderId="1" xfId="0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66" fontId="3" fillId="0" borderId="5" xfId="0" applyNumberFormat="1" applyFont="1" applyFill="1" applyBorder="1"/>
    <xf numFmtId="0" fontId="3" fillId="0" borderId="0" xfId="0" quotePrefix="1" applyFont="1" applyFill="1" applyAlignment="1">
      <alignment horizontal="center"/>
    </xf>
    <xf numFmtId="0" fontId="0" fillId="0" borderId="0" xfId="0" applyFill="1"/>
    <xf numFmtId="0" fontId="8" fillId="0" borderId="0" xfId="0" applyFont="1"/>
    <xf numFmtId="164" fontId="2" fillId="0" borderId="0" xfId="0" applyNumberFormat="1" applyFont="1"/>
    <xf numFmtId="10" fontId="2" fillId="0" borderId="0" xfId="0" applyNumberFormat="1" applyFont="1"/>
    <xf numFmtId="0" fontId="2" fillId="0" borderId="0" xfId="0" applyFont="1"/>
    <xf numFmtId="0" fontId="2" fillId="0" borderId="0" xfId="0" applyFont="1" applyFill="1"/>
    <xf numFmtId="10" fontId="3" fillId="0" borderId="0" xfId="0" quotePrefix="1" applyNumberFormat="1" applyFont="1" applyFill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Alignment="1">
      <alignment horizontal="right"/>
    </xf>
    <xf numFmtId="10" fontId="3" fillId="0" borderId="3" xfId="0" applyNumberFormat="1" applyFon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44" fontId="2" fillId="0" borderId="0" xfId="0" applyNumberFormat="1" applyFont="1" applyFill="1"/>
    <xf numFmtId="44" fontId="2" fillId="0" borderId="0" xfId="0" applyNumberFormat="1" applyFont="1"/>
    <xf numFmtId="164" fontId="0" fillId="0" borderId="3" xfId="0" applyNumberFormat="1" applyBorder="1"/>
    <xf numFmtId="44" fontId="2" fillId="0" borderId="3" xfId="0" applyNumberFormat="1" applyFont="1" applyBorder="1"/>
    <xf numFmtId="44" fontId="2" fillId="0" borderId="3" xfId="0" applyNumberFormat="1" applyFont="1" applyFill="1" applyBorder="1"/>
    <xf numFmtId="10" fontId="2" fillId="0" borderId="3" xfId="0" applyNumberFormat="1" applyFont="1" applyBorder="1"/>
    <xf numFmtId="44" fontId="0" fillId="0" borderId="0" xfId="0" applyNumberFormat="1" applyFont="1"/>
    <xf numFmtId="44" fontId="0" fillId="0" borderId="0" xfId="0" applyNumberFormat="1" applyFont="1" applyFill="1"/>
    <xf numFmtId="10" fontId="0" fillId="0" borderId="0" xfId="0" applyNumberFormat="1" applyFont="1"/>
    <xf numFmtId="0" fontId="0" fillId="0" borderId="1" xfId="0" quotePrefix="1" applyBorder="1" applyAlignment="1">
      <alignment horizontal="left"/>
    </xf>
    <xf numFmtId="0" fontId="0" fillId="0" borderId="4" xfId="0" quotePrefix="1" applyFill="1" applyBorder="1" applyAlignment="1">
      <alignment horizontal="center" wrapText="1"/>
    </xf>
    <xf numFmtId="0" fontId="0" fillId="0" borderId="6" xfId="0" quotePrefix="1" applyFill="1" applyBorder="1" applyAlignment="1">
      <alignment horizontal="center" wrapText="1"/>
    </xf>
    <xf numFmtId="0" fontId="0" fillId="0" borderId="11" xfId="0" quotePrefix="1" applyFill="1" applyBorder="1" applyAlignment="1">
      <alignment horizontal="center" wrapText="1"/>
    </xf>
    <xf numFmtId="0" fontId="0" fillId="0" borderId="10" xfId="0" quotePrefix="1" applyFill="1" applyBorder="1" applyAlignment="1">
      <alignment horizontal="center" wrapText="1"/>
    </xf>
    <xf numFmtId="0" fontId="0" fillId="0" borderId="13" xfId="0" applyFill="1" applyBorder="1"/>
    <xf numFmtId="166" fontId="0" fillId="0" borderId="8" xfId="0" applyNumberFormat="1" applyFill="1" applyBorder="1"/>
    <xf numFmtId="166" fontId="0" fillId="0" borderId="13" xfId="0" applyNumberFormat="1" applyFill="1" applyBorder="1"/>
    <xf numFmtId="166" fontId="0" fillId="0" borderId="7" xfId="0" applyNumberFormat="1" applyFill="1" applyBorder="1"/>
    <xf numFmtId="166" fontId="0" fillId="0" borderId="15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164" fontId="0" fillId="0" borderId="0" xfId="0" applyNumberFormat="1" applyFont="1" applyFill="1"/>
    <xf numFmtId="164" fontId="0" fillId="0" borderId="0" xfId="0" applyNumberFormat="1" applyFont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1" xfId="0" applyFont="1" applyFill="1" applyBorder="1" applyAlignment="1">
      <alignment horizontal="center" wrapText="1"/>
    </xf>
    <xf numFmtId="17" fontId="2" fillId="0" borderId="1" xfId="0" quotePrefix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left" indent="1"/>
    </xf>
    <xf numFmtId="44" fontId="2" fillId="0" borderId="0" xfId="0" applyNumberFormat="1" applyFont="1"/>
    <xf numFmtId="0" fontId="3" fillId="0" borderId="0" xfId="0" quotePrefix="1" applyFont="1" applyFill="1" applyAlignment="1">
      <alignment horizontal="center"/>
    </xf>
    <xf numFmtId="166" fontId="2" fillId="0" borderId="11" xfId="0" applyNumberFormat="1" applyFont="1" applyFill="1" applyBorder="1"/>
    <xf numFmtId="166" fontId="2" fillId="0" borderId="10" xfId="0" applyNumberFormat="1" applyFont="1" applyFill="1" applyBorder="1"/>
    <xf numFmtId="166" fontId="2" fillId="0" borderId="8" xfId="0" applyNumberFormat="1" applyFont="1" applyFill="1" applyBorder="1"/>
    <xf numFmtId="166" fontId="2" fillId="0" borderId="13" xfId="0" applyNumberFormat="1" applyFont="1" applyFill="1" applyBorder="1"/>
    <xf numFmtId="166" fontId="2" fillId="0" borderId="12" xfId="0" applyNumberFormat="1" applyFont="1" applyFill="1" applyBorder="1"/>
    <xf numFmtId="166" fontId="2" fillId="0" borderId="14" xfId="0" applyNumberFormat="1" applyFont="1" applyFill="1" applyBorder="1"/>
    <xf numFmtId="166" fontId="2" fillId="0" borderId="8" xfId="0" quotePrefix="1" applyNumberFormat="1" applyFont="1" applyFill="1" applyBorder="1" applyAlignment="1"/>
    <xf numFmtId="166" fontId="2" fillId="0" borderId="13" xfId="0" quotePrefix="1" applyNumberFormat="1" applyFont="1" applyFill="1" applyBorder="1" applyAlignment="1"/>
    <xf numFmtId="166" fontId="2" fillId="0" borderId="12" xfId="0" quotePrefix="1" applyNumberFormat="1" applyFont="1" applyFill="1" applyBorder="1" applyAlignment="1"/>
    <xf numFmtId="166" fontId="2" fillId="0" borderId="14" xfId="0" quotePrefix="1" applyNumberFormat="1" applyFont="1" applyFill="1" applyBorder="1" applyAlignment="1"/>
    <xf numFmtId="164" fontId="0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0" fillId="0" borderId="0" xfId="0" applyNumberFormat="1" applyFont="1" applyFill="1"/>
    <xf numFmtId="0" fontId="2" fillId="0" borderId="1" xfId="0" quotePrefix="1" applyFont="1" applyFill="1" applyBorder="1" applyAlignment="1">
      <alignment horizontal="center" wrapText="1"/>
    </xf>
    <xf numFmtId="0" fontId="0" fillId="2" borderId="0" xfId="0" applyNumberFormat="1" applyFill="1" applyAlignment="1"/>
    <xf numFmtId="0" fontId="4" fillId="2" borderId="2" xfId="0" applyNumberFormat="1" applyFont="1" applyFill="1" applyBorder="1" applyAlignment="1">
      <alignment horizontal="center" wrapText="1"/>
    </xf>
    <xf numFmtId="0" fontId="4" fillId="2" borderId="0" xfId="0" applyNumberFormat="1" applyFont="1" applyFill="1" applyAlignment="1"/>
    <xf numFmtId="0" fontId="4" fillId="2" borderId="2" xfId="0" applyNumberFormat="1" applyFont="1" applyFill="1" applyBorder="1" applyAlignment="1"/>
    <xf numFmtId="0" fontId="4" fillId="2" borderId="2" xfId="0" quotePrefix="1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 wrapText="1"/>
    </xf>
    <xf numFmtId="0" fontId="3" fillId="0" borderId="0" xfId="0" applyFont="1" applyFill="1" applyBorder="1"/>
    <xf numFmtId="0" fontId="12" fillId="0" borderId="0" xfId="0" applyFont="1" applyFill="1" applyBorder="1"/>
    <xf numFmtId="0" fontId="3" fillId="0" borderId="0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right" wrapText="1"/>
    </xf>
    <xf numFmtId="167" fontId="12" fillId="0" borderId="0" xfId="0" applyNumberFormat="1" applyFont="1" applyFill="1" applyBorder="1"/>
    <xf numFmtId="164" fontId="12" fillId="0" borderId="0" xfId="0" applyNumberFormat="1" applyFont="1" applyFill="1"/>
    <xf numFmtId="165" fontId="12" fillId="0" borderId="0" xfId="0" applyNumberFormat="1" applyFont="1" applyFill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164" fontId="13" fillId="0" borderId="0" xfId="0" applyNumberFormat="1" applyFont="1" applyFill="1" applyBorder="1"/>
    <xf numFmtId="0" fontId="12" fillId="0" borderId="0" xfId="0" quotePrefix="1" applyFont="1" applyFill="1" applyAlignment="1">
      <alignment horizontal="left"/>
    </xf>
    <xf numFmtId="41" fontId="12" fillId="0" borderId="0" xfId="0" applyNumberFormat="1" applyFont="1" applyFill="1"/>
    <xf numFmtId="0" fontId="12" fillId="0" borderId="0" xfId="0" applyFont="1" applyFill="1" applyAlignment="1">
      <alignment horizontal="left"/>
    </xf>
    <xf numFmtId="9" fontId="12" fillId="0" borderId="0" xfId="0" applyNumberFormat="1" applyFont="1" applyFill="1"/>
    <xf numFmtId="0" fontId="12" fillId="0" borderId="0" xfId="0" quotePrefix="1" applyFont="1" applyFill="1" applyAlignment="1">
      <alignment horizontal="center"/>
    </xf>
    <xf numFmtId="168" fontId="12" fillId="0" borderId="0" xfId="0" applyNumberFormat="1" applyFont="1" applyFill="1" applyBorder="1"/>
    <xf numFmtId="0" fontId="0" fillId="2" borderId="0" xfId="0" applyNumberFormat="1" applyFill="1" applyAlignment="1">
      <alignment horizontal="center"/>
    </xf>
    <xf numFmtId="0" fontId="4" fillId="2" borderId="2" xfId="0" applyNumberFormat="1" applyFont="1" applyFill="1" applyBorder="1" applyAlignment="1">
      <alignment horizontal="left" wrapText="1"/>
    </xf>
    <xf numFmtId="0" fontId="4" fillId="2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2" fontId="0" fillId="0" borderId="0" xfId="0" applyNumberFormat="1" applyFill="1"/>
    <xf numFmtId="41" fontId="0" fillId="0" borderId="0" xfId="0" applyNumberFormat="1" applyFill="1"/>
    <xf numFmtId="0" fontId="0" fillId="0" borderId="5" xfId="0" applyFill="1" applyBorder="1"/>
    <xf numFmtId="41" fontId="11" fillId="0" borderId="5" xfId="0" applyNumberFormat="1" applyFont="1" applyFill="1" applyBorder="1"/>
    <xf numFmtId="0" fontId="11" fillId="0" borderId="5" xfId="0" applyFont="1" applyFill="1" applyBorder="1"/>
    <xf numFmtId="42" fontId="0" fillId="0" borderId="9" xfId="0" applyNumberFormat="1" applyFill="1" applyBorder="1"/>
    <xf numFmtId="0" fontId="15" fillId="0" borderId="0" xfId="0" applyFont="1"/>
    <xf numFmtId="0" fontId="15" fillId="0" borderId="0" xfId="0" quotePrefix="1" applyFont="1" applyAlignment="1">
      <alignment horizontal="left"/>
    </xf>
    <xf numFmtId="0" fontId="4" fillId="2" borderId="2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0" xfId="0" quotePrefix="1" applyFill="1" applyAlignment="1">
      <alignment horizontal="left"/>
    </xf>
    <xf numFmtId="0" fontId="2" fillId="0" borderId="0" xfId="0" applyFont="1" applyFill="1" applyAlignment="1">
      <alignment horizontal="center"/>
    </xf>
    <xf numFmtId="165" fontId="0" fillId="0" borderId="0" xfId="1" applyNumberFormat="1" applyFont="1"/>
    <xf numFmtId="0" fontId="0" fillId="0" borderId="1" xfId="0" applyBorder="1" applyAlignment="1">
      <alignment horizontal="center"/>
    </xf>
    <xf numFmtId="165" fontId="3" fillId="3" borderId="9" xfId="0" quotePrefix="1" applyNumberFormat="1" applyFont="1" applyFill="1" applyBorder="1" applyAlignment="1">
      <alignment horizontal="left"/>
    </xf>
    <xf numFmtId="0" fontId="0" fillId="3" borderId="0" xfId="0" applyFill="1"/>
    <xf numFmtId="166" fontId="2" fillId="3" borderId="8" xfId="0" quotePrefix="1" applyNumberFormat="1" applyFont="1" applyFill="1" applyBorder="1" applyAlignment="1"/>
    <xf numFmtId="164" fontId="0" fillId="0" borderId="0" xfId="2" applyNumberFormat="1" applyFont="1" applyFill="1"/>
    <xf numFmtId="164" fontId="0" fillId="0" borderId="2" xfId="2" applyNumberFormat="1" applyFont="1" applyFill="1" applyBorder="1"/>
    <xf numFmtId="164" fontId="0" fillId="0" borderId="3" xfId="2" applyNumberFormat="1" applyFont="1" applyFill="1" applyBorder="1"/>
    <xf numFmtId="164" fontId="0" fillId="0" borderId="0" xfId="2" applyNumberFormat="1" applyFont="1" applyFill="1" applyBorder="1"/>
    <xf numFmtId="165" fontId="0" fillId="0" borderId="0" xfId="0" applyNumberFormat="1"/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quotePrefix="1" applyFill="1" applyBorder="1" applyAlignment="1">
      <alignment horizontal="right"/>
    </xf>
    <xf numFmtId="165" fontId="17" fillId="0" borderId="0" xfId="1" applyNumberFormat="1" applyFont="1" applyFill="1"/>
    <xf numFmtId="164" fontId="17" fillId="4" borderId="0" xfId="2" applyNumberFormat="1" applyFont="1" applyFill="1"/>
    <xf numFmtId="164" fontId="17" fillId="0" borderId="0" xfId="2" applyNumberFormat="1" applyFont="1" applyFill="1"/>
    <xf numFmtId="169" fontId="0" fillId="0" borderId="0" xfId="1" applyNumberFormat="1" applyFont="1" applyFill="1"/>
    <xf numFmtId="0" fontId="19" fillId="0" borderId="17" xfId="0" applyFont="1" applyFill="1" applyBorder="1"/>
    <xf numFmtId="0" fontId="0" fillId="0" borderId="0" xfId="0" applyFill="1" applyBorder="1"/>
    <xf numFmtId="0" fontId="0" fillId="0" borderId="13" xfId="0" applyBorder="1"/>
    <xf numFmtId="0" fontId="20" fillId="0" borderId="18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3" fontId="0" fillId="4" borderId="17" xfId="0" applyNumberFormat="1" applyFill="1" applyBorder="1"/>
    <xf numFmtId="3" fontId="0" fillId="4" borderId="0" xfId="0" applyNumberFormat="1" applyFill="1" applyBorder="1"/>
    <xf numFmtId="3" fontId="0" fillId="4" borderId="13" xfId="0" applyNumberFormat="1" applyFill="1" applyBorder="1"/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3" fontId="0" fillId="4" borderId="19" xfId="0" applyNumberFormat="1" applyFill="1" applyBorder="1"/>
    <xf numFmtId="3" fontId="0" fillId="4" borderId="1" xfId="0" applyNumberFormat="1" applyFill="1" applyBorder="1"/>
    <xf numFmtId="3" fontId="0" fillId="4" borderId="15" xfId="0" applyNumberFormat="1" applyFill="1" applyBorder="1"/>
    <xf numFmtId="0" fontId="0" fillId="0" borderId="19" xfId="0" applyBorder="1"/>
    <xf numFmtId="168" fontId="12" fillId="0" borderId="0" xfId="1" applyNumberFormat="1" applyFont="1" applyFill="1" applyBorder="1"/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21" fillId="0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0" fontId="21" fillId="0" borderId="0" xfId="0" applyFont="1" applyAlignment="1">
      <alignment horizontal="left"/>
    </xf>
    <xf numFmtId="42" fontId="0" fillId="4" borderId="9" xfId="0" applyNumberFormat="1" applyFill="1" applyBorder="1"/>
    <xf numFmtId="41" fontId="0" fillId="0" borderId="0" xfId="0" applyNumberFormat="1"/>
    <xf numFmtId="42" fontId="0" fillId="0" borderId="3" xfId="0" applyNumberFormat="1" applyBorder="1"/>
    <xf numFmtId="41" fontId="11" fillId="0" borderId="0" xfId="0" applyNumberFormat="1" applyFont="1"/>
    <xf numFmtId="0" fontId="11" fillId="0" borderId="0" xfId="0" applyFont="1"/>
    <xf numFmtId="164" fontId="11" fillId="0" borderId="0" xfId="0" applyNumberFormat="1" applyFont="1"/>
    <xf numFmtId="42" fontId="0" fillId="0" borderId="0" xfId="0" applyNumberFormat="1"/>
    <xf numFmtId="0" fontId="1" fillId="0" borderId="0" xfId="0" applyFont="1"/>
    <xf numFmtId="10" fontId="0" fillId="0" borderId="0" xfId="0" applyNumberFormat="1" applyFont="1" applyAlignment="1">
      <alignment horizontal="center"/>
    </xf>
    <xf numFmtId="0" fontId="16" fillId="0" borderId="0" xfId="0" applyFo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18" fillId="0" borderId="17" xfId="0" quotePrefix="1" applyFont="1" applyFill="1" applyBorder="1" applyAlignment="1">
      <alignment horizontal="center"/>
    </xf>
    <xf numFmtId="0" fontId="18" fillId="0" borderId="0" xfId="0" quotePrefix="1" applyFont="1" applyFill="1" applyBorder="1" applyAlignment="1">
      <alignment horizontal="center"/>
    </xf>
    <xf numFmtId="0" fontId="18" fillId="0" borderId="13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8" fillId="0" borderId="16" xfId="0" quotePrefix="1" applyFont="1" applyFill="1" applyBorder="1" applyAlignment="1">
      <alignment horizontal="center"/>
    </xf>
    <xf numFmtId="0" fontId="18" fillId="0" borderId="5" xfId="0" quotePrefix="1" applyFont="1" applyFill="1" applyBorder="1" applyAlignment="1">
      <alignment horizontal="center"/>
    </xf>
    <xf numFmtId="0" fontId="18" fillId="0" borderId="10" xfId="0" quotePrefix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0" xfId="0" quotePrefix="1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quotePrefix="1" applyFont="1" applyFill="1" applyAlignment="1">
      <alignment horizontal="center"/>
    </xf>
    <xf numFmtId="0" fontId="0" fillId="0" borderId="0" xfId="0" quotePrefix="1" applyAlignment="1">
      <alignment horizontal="left" indent="3"/>
    </xf>
    <xf numFmtId="0" fontId="0" fillId="0" borderId="1" xfId="0" applyBorder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2"/>
    </xf>
    <xf numFmtId="0" fontId="0" fillId="3" borderId="0" xfId="0" quotePrefix="1" applyFill="1" applyAlignment="1">
      <alignment horizontal="left" indent="2"/>
    </xf>
    <xf numFmtId="0" fontId="0" fillId="0" borderId="0" xfId="0" quotePrefix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251105</xdr:colOff>
      <xdr:row>9</xdr:row>
      <xdr:rowOff>15056</xdr:rowOff>
    </xdr:from>
    <xdr:ext cx="3993593" cy="2628220"/>
    <xdr:sp macro="" textlink="">
      <xdr:nvSpPr>
        <xdr:cNvPr id="2" name="Rectangle 1"/>
        <xdr:cNvSpPr/>
      </xdr:nvSpPr>
      <xdr:spPr>
        <a:xfrm rot="19702591">
          <a:off x="3565805" y="2529656"/>
          <a:ext cx="3993593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Schedule</a:t>
          </a:r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140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Rate Design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Eff. 5-1-2018</a:t>
          </a:r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Rate%20Filings/Sch%20140%20Property%20Tax%20Filing/2019/4-10-19%20Filing%20Workpapers/Final%202019%20Electric%20Property%20Tax%20Rate%20Design%20WP%20-%20Lighting%20(Filed%204-10-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ch 140 Combined Charges"/>
      <sheetName val="UE-180382 Light WP1 - Sch 140"/>
      <sheetName val="UE-180382 Light WP2"/>
      <sheetName val="UE-180280 COS (PTDGP.T)"/>
      <sheetName val="Sch 140 Capital Charge"/>
      <sheetName val="Sch 140 O&amp;M Charge"/>
      <sheetName val="Sch 140 Customer Charge"/>
      <sheetName val="Sch 140 Demand Charge"/>
      <sheetName val="Sch 140 Energy Charge"/>
    </sheetNames>
    <sheetDataSet>
      <sheetData sheetId="0">
        <row r="24">
          <cell r="L24">
            <v>708</v>
          </cell>
          <cell r="O24">
            <v>0.01</v>
          </cell>
          <cell r="P24">
            <v>0</v>
          </cell>
        </row>
        <row r="26">
          <cell r="L26">
            <v>36</v>
          </cell>
          <cell r="O26">
            <v>0.03</v>
          </cell>
          <cell r="P26">
            <v>0.03</v>
          </cell>
        </row>
        <row r="27">
          <cell r="L27">
            <v>228</v>
          </cell>
          <cell r="O27">
            <v>0.06</v>
          </cell>
          <cell r="P27">
            <v>0.05</v>
          </cell>
        </row>
        <row r="28">
          <cell r="L28">
            <v>240</v>
          </cell>
          <cell r="O28">
            <v>0.14000000000000001</v>
          </cell>
          <cell r="P28">
            <v>0.12</v>
          </cell>
        </row>
        <row r="29">
          <cell r="L29">
            <v>0</v>
          </cell>
          <cell r="O29">
            <v>0.03</v>
          </cell>
          <cell r="P29">
            <v>0.03</v>
          </cell>
        </row>
        <row r="30">
          <cell r="L30">
            <v>12</v>
          </cell>
          <cell r="O30">
            <v>0.06</v>
          </cell>
          <cell r="P30">
            <v>0.05</v>
          </cell>
        </row>
        <row r="31">
          <cell r="L31">
            <v>0</v>
          </cell>
          <cell r="O31">
            <v>0.14000000000000001</v>
          </cell>
          <cell r="P31">
            <v>0.12</v>
          </cell>
        </row>
        <row r="32">
          <cell r="O32">
            <v>0.24</v>
          </cell>
          <cell r="P32">
            <v>0.21</v>
          </cell>
        </row>
        <row r="35">
          <cell r="L35">
            <v>24817</v>
          </cell>
          <cell r="O35">
            <v>0.02</v>
          </cell>
          <cell r="P35">
            <v>0.01</v>
          </cell>
        </row>
        <row r="36">
          <cell r="L36">
            <v>13647</v>
          </cell>
          <cell r="O36">
            <v>0.03</v>
          </cell>
          <cell r="P36">
            <v>0.02</v>
          </cell>
        </row>
        <row r="37">
          <cell r="L37">
            <v>7663</v>
          </cell>
          <cell r="O37">
            <v>0.04</v>
          </cell>
          <cell r="P37">
            <v>0.03</v>
          </cell>
        </row>
        <row r="38">
          <cell r="L38">
            <v>3502</v>
          </cell>
          <cell r="O38">
            <v>0.05</v>
          </cell>
          <cell r="P38">
            <v>0.04</v>
          </cell>
        </row>
        <row r="39">
          <cell r="L39">
            <v>606</v>
          </cell>
          <cell r="O39">
            <v>0.06</v>
          </cell>
          <cell r="P39">
            <v>0.05</v>
          </cell>
        </row>
        <row r="40">
          <cell r="L40">
            <v>2271</v>
          </cell>
          <cell r="O40">
            <v>7.0000000000000007E-2</v>
          </cell>
          <cell r="P40">
            <v>0.06</v>
          </cell>
        </row>
        <row r="41">
          <cell r="L41">
            <v>0</v>
          </cell>
          <cell r="O41">
            <v>7.0000000000000007E-2</v>
          </cell>
          <cell r="P41">
            <v>7.0000000000000007E-2</v>
          </cell>
        </row>
        <row r="42">
          <cell r="L42">
            <v>120</v>
          </cell>
          <cell r="O42">
            <v>0.08</v>
          </cell>
          <cell r="P42">
            <v>0.08</v>
          </cell>
        </row>
        <row r="43">
          <cell r="L43">
            <v>911</v>
          </cell>
          <cell r="O43">
            <v>0.09</v>
          </cell>
          <cell r="P43">
            <v>0.09</v>
          </cell>
        </row>
        <row r="46">
          <cell r="L46">
            <v>0</v>
          </cell>
          <cell r="O46">
            <v>0.02</v>
          </cell>
          <cell r="P46">
            <v>0.01</v>
          </cell>
        </row>
        <row r="47">
          <cell r="L47">
            <v>8520</v>
          </cell>
          <cell r="O47">
            <v>0.02</v>
          </cell>
          <cell r="P47">
            <v>0.02</v>
          </cell>
        </row>
        <row r="48">
          <cell r="L48">
            <v>123704</v>
          </cell>
          <cell r="O48">
            <v>0.03</v>
          </cell>
          <cell r="P48">
            <v>0.03</v>
          </cell>
        </row>
        <row r="49">
          <cell r="L49">
            <v>55078</v>
          </cell>
          <cell r="O49">
            <v>0.05</v>
          </cell>
          <cell r="P49">
            <v>0.05</v>
          </cell>
        </row>
        <row r="50">
          <cell r="L50">
            <v>11934</v>
          </cell>
          <cell r="O50">
            <v>7.0000000000000007E-2</v>
          </cell>
          <cell r="P50">
            <v>0.06</v>
          </cell>
        </row>
        <row r="51">
          <cell r="L51">
            <v>17568</v>
          </cell>
          <cell r="O51">
            <v>0.08</v>
          </cell>
          <cell r="P51">
            <v>0.08</v>
          </cell>
        </row>
        <row r="52">
          <cell r="L52">
            <v>1788</v>
          </cell>
          <cell r="O52">
            <v>0.1</v>
          </cell>
          <cell r="P52">
            <v>0.1</v>
          </cell>
        </row>
        <row r="53">
          <cell r="L53">
            <v>7293</v>
          </cell>
          <cell r="O53">
            <v>0.14000000000000001</v>
          </cell>
          <cell r="P53">
            <v>0.12</v>
          </cell>
        </row>
        <row r="55">
          <cell r="L55">
            <v>816</v>
          </cell>
          <cell r="O55">
            <v>0.02</v>
          </cell>
          <cell r="P55">
            <v>0.02</v>
          </cell>
        </row>
        <row r="56">
          <cell r="L56">
            <v>49</v>
          </cell>
          <cell r="O56">
            <v>0.03</v>
          </cell>
          <cell r="P56">
            <v>0.03</v>
          </cell>
        </row>
        <row r="57">
          <cell r="L57">
            <v>2460</v>
          </cell>
          <cell r="O57">
            <v>0.05</v>
          </cell>
          <cell r="P57">
            <v>0.05</v>
          </cell>
        </row>
        <row r="58">
          <cell r="L58">
            <v>2664</v>
          </cell>
          <cell r="O58">
            <v>0.06</v>
          </cell>
          <cell r="P58">
            <v>0.05</v>
          </cell>
        </row>
        <row r="59">
          <cell r="L59">
            <v>732</v>
          </cell>
          <cell r="O59">
            <v>0.08</v>
          </cell>
          <cell r="P59">
            <v>0.08</v>
          </cell>
        </row>
        <row r="60">
          <cell r="L60">
            <v>684</v>
          </cell>
          <cell r="O60">
            <v>0.14000000000000001</v>
          </cell>
          <cell r="P60">
            <v>0.12</v>
          </cell>
        </row>
        <row r="61">
          <cell r="L61">
            <v>216</v>
          </cell>
          <cell r="O61">
            <v>0.34</v>
          </cell>
          <cell r="P61">
            <v>0.3</v>
          </cell>
        </row>
        <row r="64">
          <cell r="L64">
            <v>0</v>
          </cell>
          <cell r="O64">
            <v>0.28000000000000003</v>
          </cell>
          <cell r="P64">
            <v>0.25</v>
          </cell>
        </row>
        <row r="65">
          <cell r="L65">
            <v>54637</v>
          </cell>
          <cell r="O65">
            <v>0.28999999999999998</v>
          </cell>
          <cell r="P65">
            <v>0.26</v>
          </cell>
        </row>
        <row r="66">
          <cell r="L66">
            <v>382985</v>
          </cell>
          <cell r="O66">
            <v>0.31</v>
          </cell>
          <cell r="P66">
            <v>0.28000000000000003</v>
          </cell>
        </row>
        <row r="67">
          <cell r="L67">
            <v>45980</v>
          </cell>
          <cell r="O67">
            <v>0.34</v>
          </cell>
          <cell r="P67">
            <v>0.31</v>
          </cell>
        </row>
        <row r="68">
          <cell r="L68">
            <v>60631</v>
          </cell>
          <cell r="O68">
            <v>0.38</v>
          </cell>
          <cell r="P68">
            <v>0.34</v>
          </cell>
        </row>
        <row r="69">
          <cell r="L69">
            <v>20854</v>
          </cell>
          <cell r="O69">
            <v>0.41</v>
          </cell>
          <cell r="P69">
            <v>0.37</v>
          </cell>
        </row>
        <row r="70">
          <cell r="L70">
            <v>199</v>
          </cell>
          <cell r="O70">
            <v>0.45</v>
          </cell>
          <cell r="P70">
            <v>0.4</v>
          </cell>
        </row>
        <row r="71">
          <cell r="L71">
            <v>12055</v>
          </cell>
          <cell r="O71">
            <v>0.5</v>
          </cell>
          <cell r="P71">
            <v>0.46</v>
          </cell>
        </row>
        <row r="72">
          <cell r="L72">
            <v>0</v>
          </cell>
          <cell r="O72">
            <v>0.89</v>
          </cell>
          <cell r="P72">
            <v>0.81</v>
          </cell>
        </row>
        <row r="74">
          <cell r="L74">
            <v>0</v>
          </cell>
          <cell r="O74">
            <v>0.31</v>
          </cell>
          <cell r="P74">
            <v>0.28999999999999998</v>
          </cell>
        </row>
        <row r="75">
          <cell r="L75">
            <v>0</v>
          </cell>
          <cell r="O75">
            <v>0.34</v>
          </cell>
          <cell r="P75">
            <v>0.3</v>
          </cell>
        </row>
        <row r="76">
          <cell r="L76">
            <v>0</v>
          </cell>
          <cell r="O76">
            <v>0.37</v>
          </cell>
          <cell r="P76">
            <v>0.34</v>
          </cell>
        </row>
        <row r="77">
          <cell r="L77">
            <v>0</v>
          </cell>
          <cell r="O77">
            <v>0.45</v>
          </cell>
          <cell r="P77">
            <v>0.4</v>
          </cell>
        </row>
        <row r="78">
          <cell r="L78">
            <v>0</v>
          </cell>
          <cell r="O78">
            <v>0.56000000000000005</v>
          </cell>
          <cell r="P78">
            <v>0.5</v>
          </cell>
        </row>
        <row r="80">
          <cell r="L80">
            <v>211377</v>
          </cell>
          <cell r="O80">
            <v>0.31</v>
          </cell>
          <cell r="P80">
            <v>0.28999999999999998</v>
          </cell>
        </row>
        <row r="81">
          <cell r="L81">
            <v>481</v>
          </cell>
          <cell r="O81">
            <v>0.33</v>
          </cell>
          <cell r="P81">
            <v>0.3</v>
          </cell>
        </row>
        <row r="82">
          <cell r="L82">
            <v>23471</v>
          </cell>
          <cell r="O82">
            <v>0.35</v>
          </cell>
          <cell r="P82">
            <v>0.31</v>
          </cell>
        </row>
        <row r="83">
          <cell r="L83">
            <v>21149</v>
          </cell>
          <cell r="O83">
            <v>0.36</v>
          </cell>
          <cell r="P83">
            <v>0.33</v>
          </cell>
        </row>
        <row r="84">
          <cell r="L84">
            <v>896</v>
          </cell>
          <cell r="O84">
            <v>0.38</v>
          </cell>
          <cell r="P84">
            <v>0.34</v>
          </cell>
        </row>
        <row r="85">
          <cell r="L85">
            <v>4956</v>
          </cell>
          <cell r="O85">
            <v>0.39</v>
          </cell>
          <cell r="P85">
            <v>0.36</v>
          </cell>
        </row>
        <row r="86">
          <cell r="L86">
            <v>0</v>
          </cell>
          <cell r="O86">
            <v>0.41</v>
          </cell>
          <cell r="P86">
            <v>0.37</v>
          </cell>
        </row>
        <row r="87">
          <cell r="L87">
            <v>288</v>
          </cell>
          <cell r="O87">
            <v>0.42</v>
          </cell>
          <cell r="P87">
            <v>0.39</v>
          </cell>
        </row>
        <row r="88">
          <cell r="L88">
            <v>1308</v>
          </cell>
          <cell r="O88">
            <v>0.44</v>
          </cell>
          <cell r="P88">
            <v>0.4</v>
          </cell>
        </row>
        <row r="90">
          <cell r="L90">
            <v>0</v>
          </cell>
          <cell r="O90">
            <v>0.02</v>
          </cell>
          <cell r="P90">
            <v>0.01</v>
          </cell>
        </row>
        <row r="91">
          <cell r="L91">
            <v>684</v>
          </cell>
          <cell r="O91">
            <v>0.02</v>
          </cell>
          <cell r="P91">
            <v>0.02</v>
          </cell>
        </row>
        <row r="92">
          <cell r="L92">
            <v>3066</v>
          </cell>
          <cell r="O92">
            <v>0.03</v>
          </cell>
          <cell r="P92">
            <v>0.03</v>
          </cell>
        </row>
        <row r="93">
          <cell r="L93">
            <v>1779</v>
          </cell>
          <cell r="O93">
            <v>0.05</v>
          </cell>
          <cell r="P93">
            <v>0.05</v>
          </cell>
        </row>
        <row r="94">
          <cell r="L94">
            <v>5111</v>
          </cell>
          <cell r="O94">
            <v>7.0000000000000007E-2</v>
          </cell>
          <cell r="P94">
            <v>0.06</v>
          </cell>
        </row>
        <row r="95">
          <cell r="L95">
            <v>3364</v>
          </cell>
          <cell r="O95">
            <v>0.08</v>
          </cell>
          <cell r="P95">
            <v>0.08</v>
          </cell>
        </row>
        <row r="96">
          <cell r="L96">
            <v>84</v>
          </cell>
          <cell r="O96">
            <v>0.1</v>
          </cell>
          <cell r="P96">
            <v>0.1</v>
          </cell>
        </row>
        <row r="97">
          <cell r="L97">
            <v>5174</v>
          </cell>
          <cell r="O97">
            <v>0.14000000000000001</v>
          </cell>
          <cell r="P97">
            <v>0.12</v>
          </cell>
        </row>
        <row r="98">
          <cell r="L98">
            <v>0</v>
          </cell>
          <cell r="O98">
            <v>0.34</v>
          </cell>
          <cell r="P98">
            <v>0.3</v>
          </cell>
        </row>
        <row r="100">
          <cell r="L100">
            <v>0</v>
          </cell>
          <cell r="O100">
            <v>0.02</v>
          </cell>
          <cell r="P100">
            <v>0.02</v>
          </cell>
        </row>
        <row r="101">
          <cell r="L101">
            <v>0</v>
          </cell>
          <cell r="O101">
            <v>0.03</v>
          </cell>
          <cell r="P101">
            <v>0.03</v>
          </cell>
        </row>
        <row r="102">
          <cell r="L102">
            <v>0</v>
          </cell>
          <cell r="O102">
            <v>0.05</v>
          </cell>
          <cell r="P102">
            <v>0.05</v>
          </cell>
        </row>
        <row r="103">
          <cell r="L103">
            <v>48</v>
          </cell>
          <cell r="O103">
            <v>0.06</v>
          </cell>
          <cell r="P103">
            <v>0.05</v>
          </cell>
        </row>
        <row r="104">
          <cell r="L104">
            <v>0</v>
          </cell>
          <cell r="O104">
            <v>0.08</v>
          </cell>
          <cell r="P104">
            <v>0.08</v>
          </cell>
        </row>
        <row r="105">
          <cell r="L105">
            <v>0</v>
          </cell>
          <cell r="O105">
            <v>0.14000000000000001</v>
          </cell>
          <cell r="P105">
            <v>0.12</v>
          </cell>
        </row>
        <row r="107">
          <cell r="L107">
            <v>7103</v>
          </cell>
          <cell r="O107">
            <v>0.02</v>
          </cell>
          <cell r="P107">
            <v>0.01</v>
          </cell>
        </row>
        <row r="108">
          <cell r="L108">
            <v>7369</v>
          </cell>
          <cell r="O108">
            <v>0.03</v>
          </cell>
          <cell r="P108">
            <v>0.02</v>
          </cell>
        </row>
        <row r="109">
          <cell r="L109">
            <v>10408</v>
          </cell>
          <cell r="O109">
            <v>0.04</v>
          </cell>
          <cell r="P109">
            <v>0.03</v>
          </cell>
        </row>
        <row r="110">
          <cell r="L110">
            <v>1687</v>
          </cell>
          <cell r="O110">
            <v>0.05</v>
          </cell>
          <cell r="P110">
            <v>0.04</v>
          </cell>
        </row>
        <row r="111">
          <cell r="L111">
            <v>15781</v>
          </cell>
          <cell r="O111">
            <v>0.06</v>
          </cell>
          <cell r="P111">
            <v>0.05</v>
          </cell>
        </row>
        <row r="112">
          <cell r="L112">
            <v>1288</v>
          </cell>
          <cell r="O112">
            <v>7.0000000000000007E-2</v>
          </cell>
          <cell r="P112">
            <v>0.06</v>
          </cell>
        </row>
        <row r="113">
          <cell r="L113">
            <v>0</v>
          </cell>
          <cell r="O113">
            <v>7.0000000000000007E-2</v>
          </cell>
          <cell r="P113">
            <v>7.0000000000000007E-2</v>
          </cell>
        </row>
        <row r="114">
          <cell r="L114">
            <v>0</v>
          </cell>
          <cell r="O114">
            <v>0.08</v>
          </cell>
          <cell r="P114">
            <v>0.08</v>
          </cell>
        </row>
        <row r="115">
          <cell r="L115">
            <v>0</v>
          </cell>
          <cell r="O115">
            <v>0.09</v>
          </cell>
          <cell r="P115">
            <v>0.09</v>
          </cell>
        </row>
        <row r="118">
          <cell r="L118">
            <v>456</v>
          </cell>
          <cell r="O118">
            <v>0.02</v>
          </cell>
          <cell r="P118">
            <v>0.01</v>
          </cell>
        </row>
        <row r="119">
          <cell r="L119">
            <v>8767</v>
          </cell>
          <cell r="O119">
            <v>0.02</v>
          </cell>
          <cell r="P119">
            <v>0.02</v>
          </cell>
        </row>
        <row r="120">
          <cell r="L120">
            <v>20536</v>
          </cell>
          <cell r="O120">
            <v>0.03</v>
          </cell>
          <cell r="P120">
            <v>0.03</v>
          </cell>
        </row>
        <row r="121">
          <cell r="L121">
            <v>6043</v>
          </cell>
          <cell r="O121">
            <v>0.05</v>
          </cell>
          <cell r="P121">
            <v>0.05</v>
          </cell>
        </row>
        <row r="122">
          <cell r="L122">
            <v>8057</v>
          </cell>
          <cell r="O122">
            <v>7.0000000000000007E-2</v>
          </cell>
          <cell r="P122">
            <v>0.06</v>
          </cell>
        </row>
        <row r="123">
          <cell r="L123">
            <v>18169</v>
          </cell>
          <cell r="O123">
            <v>0.08</v>
          </cell>
          <cell r="P123">
            <v>0.08</v>
          </cell>
        </row>
        <row r="124">
          <cell r="L124">
            <v>903</v>
          </cell>
          <cell r="O124">
            <v>0.1</v>
          </cell>
          <cell r="P124">
            <v>0.1</v>
          </cell>
        </row>
        <row r="125">
          <cell r="L125">
            <v>9002</v>
          </cell>
          <cell r="O125">
            <v>0.14000000000000001</v>
          </cell>
          <cell r="P125">
            <v>0.12</v>
          </cell>
        </row>
        <row r="126">
          <cell r="L126">
            <v>132</v>
          </cell>
          <cell r="O126">
            <v>0.34</v>
          </cell>
          <cell r="P126">
            <v>0.3</v>
          </cell>
        </row>
        <row r="129">
          <cell r="L129">
            <v>16680</v>
          </cell>
          <cell r="O129">
            <v>0.02</v>
          </cell>
          <cell r="P129">
            <v>0.01</v>
          </cell>
        </row>
        <row r="130">
          <cell r="L130">
            <v>214</v>
          </cell>
          <cell r="O130">
            <v>0.03</v>
          </cell>
          <cell r="P130">
            <v>0.02</v>
          </cell>
        </row>
        <row r="131">
          <cell r="L131">
            <v>20366</v>
          </cell>
          <cell r="O131">
            <v>0.04</v>
          </cell>
          <cell r="P131">
            <v>0.03</v>
          </cell>
        </row>
        <row r="132">
          <cell r="L132">
            <v>9608</v>
          </cell>
          <cell r="O132">
            <v>0.05</v>
          </cell>
          <cell r="P132">
            <v>0.04</v>
          </cell>
        </row>
        <row r="133">
          <cell r="L133">
            <v>3792</v>
          </cell>
          <cell r="O133">
            <v>0.06</v>
          </cell>
          <cell r="P133">
            <v>0.05</v>
          </cell>
        </row>
        <row r="134">
          <cell r="L134">
            <v>223</v>
          </cell>
          <cell r="O134">
            <v>7.0000000000000007E-2</v>
          </cell>
          <cell r="P134">
            <v>0.06</v>
          </cell>
        </row>
        <row r="135">
          <cell r="L135">
            <v>0</v>
          </cell>
          <cell r="O135">
            <v>7.0000000000000007E-2</v>
          </cell>
          <cell r="P135">
            <v>7.0000000000000007E-2</v>
          </cell>
        </row>
        <row r="136">
          <cell r="L136">
            <v>127</v>
          </cell>
          <cell r="O136">
            <v>0.08</v>
          </cell>
          <cell r="P136">
            <v>0.08</v>
          </cell>
        </row>
        <row r="137">
          <cell r="L137">
            <v>0</v>
          </cell>
          <cell r="O137">
            <v>0.09</v>
          </cell>
          <cell r="P137">
            <v>0.09</v>
          </cell>
        </row>
        <row r="140">
          <cell r="L140">
            <v>213</v>
          </cell>
          <cell r="O140">
            <v>0.28999999999999998</v>
          </cell>
          <cell r="P140">
            <v>0.27</v>
          </cell>
        </row>
        <row r="141">
          <cell r="L141">
            <v>46760</v>
          </cell>
          <cell r="O141">
            <v>0.31</v>
          </cell>
          <cell r="P141">
            <v>0.28000000000000003</v>
          </cell>
        </row>
        <row r="142">
          <cell r="L142">
            <v>6244</v>
          </cell>
          <cell r="O142">
            <v>0.34</v>
          </cell>
          <cell r="P142">
            <v>0.31</v>
          </cell>
        </row>
        <row r="143">
          <cell r="L143">
            <v>13456</v>
          </cell>
          <cell r="O143">
            <v>0.38</v>
          </cell>
          <cell r="P143">
            <v>0.34</v>
          </cell>
        </row>
        <row r="144">
          <cell r="L144">
            <v>1417</v>
          </cell>
          <cell r="O144">
            <v>0.41</v>
          </cell>
          <cell r="P144">
            <v>0.37</v>
          </cell>
        </row>
        <row r="145">
          <cell r="L145">
            <v>588</v>
          </cell>
          <cell r="O145">
            <v>0.5</v>
          </cell>
          <cell r="P145">
            <v>0.46</v>
          </cell>
        </row>
        <row r="147">
          <cell r="L147">
            <v>72</v>
          </cell>
          <cell r="O147">
            <v>0.45</v>
          </cell>
          <cell r="P147">
            <v>0.4</v>
          </cell>
        </row>
        <row r="149">
          <cell r="L149">
            <v>4817</v>
          </cell>
          <cell r="O149">
            <v>0.4</v>
          </cell>
          <cell r="P149">
            <v>0.37</v>
          </cell>
        </row>
        <row r="150">
          <cell r="L150">
            <v>0</v>
          </cell>
          <cell r="O150">
            <v>0.42</v>
          </cell>
          <cell r="P150">
            <v>0.38</v>
          </cell>
        </row>
        <row r="151">
          <cell r="L151">
            <v>1266</v>
          </cell>
          <cell r="O151">
            <v>0.43</v>
          </cell>
          <cell r="P151">
            <v>0.4</v>
          </cell>
        </row>
        <row r="152">
          <cell r="L152">
            <v>0</v>
          </cell>
          <cell r="O152">
            <v>0.45</v>
          </cell>
          <cell r="P152">
            <v>0.41</v>
          </cell>
        </row>
        <row r="153">
          <cell r="L153">
            <v>0</v>
          </cell>
          <cell r="O153">
            <v>0.47</v>
          </cell>
          <cell r="P153">
            <v>0.42</v>
          </cell>
        </row>
        <row r="154">
          <cell r="L154">
            <v>0</v>
          </cell>
          <cell r="O154">
            <v>0.49</v>
          </cell>
          <cell r="P154">
            <v>0.44</v>
          </cell>
        </row>
        <row r="155">
          <cell r="L155">
            <v>0</v>
          </cell>
          <cell r="O155">
            <v>0.5</v>
          </cell>
          <cell r="P155">
            <v>0.46</v>
          </cell>
        </row>
        <row r="156">
          <cell r="L156">
            <v>0</v>
          </cell>
          <cell r="O156">
            <v>0.52</v>
          </cell>
          <cell r="P156">
            <v>0.47</v>
          </cell>
        </row>
        <row r="157">
          <cell r="L157">
            <v>0</v>
          </cell>
          <cell r="O157">
            <v>0.53</v>
          </cell>
          <cell r="P157">
            <v>0.49</v>
          </cell>
        </row>
        <row r="160">
          <cell r="L160">
            <v>686</v>
          </cell>
          <cell r="O160">
            <v>0.28999999999999998</v>
          </cell>
          <cell r="P160">
            <v>0.27</v>
          </cell>
        </row>
        <row r="161">
          <cell r="L161">
            <v>89</v>
          </cell>
          <cell r="O161">
            <v>0.31</v>
          </cell>
          <cell r="P161">
            <v>0.28000000000000003</v>
          </cell>
        </row>
        <row r="162">
          <cell r="L162">
            <v>1994</v>
          </cell>
          <cell r="O162">
            <v>0.34</v>
          </cell>
          <cell r="P162">
            <v>0.31</v>
          </cell>
        </row>
        <row r="163">
          <cell r="L163">
            <v>3425</v>
          </cell>
          <cell r="O163">
            <v>0.38</v>
          </cell>
          <cell r="P163">
            <v>0.34</v>
          </cell>
        </row>
        <row r="164">
          <cell r="L164">
            <v>469</v>
          </cell>
          <cell r="O164">
            <v>0.41</v>
          </cell>
          <cell r="P164">
            <v>0.37</v>
          </cell>
        </row>
        <row r="165">
          <cell r="L165">
            <v>4548</v>
          </cell>
          <cell r="O165">
            <v>0.5</v>
          </cell>
          <cell r="P165">
            <v>0.46</v>
          </cell>
        </row>
        <row r="167">
          <cell r="L167">
            <v>13</v>
          </cell>
          <cell r="O167">
            <v>0.31</v>
          </cell>
          <cell r="P167">
            <v>0.28000000000000003</v>
          </cell>
        </row>
        <row r="168">
          <cell r="L168">
            <v>240</v>
          </cell>
          <cell r="O168">
            <v>0.34</v>
          </cell>
          <cell r="P168">
            <v>0.31</v>
          </cell>
        </row>
        <row r="169">
          <cell r="L169">
            <v>156</v>
          </cell>
          <cell r="O169">
            <v>0.38</v>
          </cell>
          <cell r="P169">
            <v>0.34</v>
          </cell>
        </row>
        <row r="170">
          <cell r="L170">
            <v>420</v>
          </cell>
          <cell r="O170">
            <v>0.41</v>
          </cell>
          <cell r="P170">
            <v>0.37</v>
          </cell>
        </row>
        <row r="171">
          <cell r="L171">
            <v>574</v>
          </cell>
          <cell r="O171">
            <v>0.5</v>
          </cell>
          <cell r="P171">
            <v>0.46</v>
          </cell>
        </row>
        <row r="173">
          <cell r="L173">
            <v>36</v>
          </cell>
          <cell r="O173">
            <v>0.39</v>
          </cell>
          <cell r="P173">
            <v>0.35</v>
          </cell>
        </row>
        <row r="174">
          <cell r="L174">
            <v>271</v>
          </cell>
          <cell r="O174">
            <v>0.45</v>
          </cell>
          <cell r="P174">
            <v>0.4</v>
          </cell>
        </row>
        <row r="175">
          <cell r="L175">
            <v>1052</v>
          </cell>
          <cell r="O175">
            <v>0.56000000000000005</v>
          </cell>
          <cell r="P175">
            <v>0.5</v>
          </cell>
        </row>
        <row r="176">
          <cell r="L176">
            <v>1612</v>
          </cell>
          <cell r="O176">
            <v>1</v>
          </cell>
          <cell r="P176">
            <v>0.91</v>
          </cell>
        </row>
        <row r="178">
          <cell r="L178">
            <v>132</v>
          </cell>
          <cell r="O178">
            <v>0.45</v>
          </cell>
          <cell r="P178">
            <v>0.4</v>
          </cell>
        </row>
        <row r="179">
          <cell r="L179">
            <v>486</v>
          </cell>
          <cell r="O179">
            <v>0.56000000000000005</v>
          </cell>
          <cell r="P179">
            <v>0.5</v>
          </cell>
        </row>
        <row r="182">
          <cell r="L182">
            <v>20</v>
          </cell>
          <cell r="O182">
            <v>0.4</v>
          </cell>
          <cell r="P182">
            <v>0.37</v>
          </cell>
        </row>
        <row r="183">
          <cell r="L183">
            <v>198</v>
          </cell>
          <cell r="O183">
            <v>0.42</v>
          </cell>
          <cell r="P183">
            <v>0.38</v>
          </cell>
        </row>
        <row r="184">
          <cell r="L184">
            <v>252</v>
          </cell>
          <cell r="O184">
            <v>0.43</v>
          </cell>
          <cell r="P184">
            <v>0.4</v>
          </cell>
        </row>
        <row r="185">
          <cell r="L185">
            <v>716</v>
          </cell>
          <cell r="O185">
            <v>0.45</v>
          </cell>
          <cell r="P185">
            <v>0.41</v>
          </cell>
        </row>
        <row r="186">
          <cell r="L186">
            <v>59</v>
          </cell>
          <cell r="O186">
            <v>0.47</v>
          </cell>
          <cell r="P186">
            <v>0.42</v>
          </cell>
        </row>
        <row r="187">
          <cell r="L187">
            <v>0</v>
          </cell>
          <cell r="O187">
            <v>0.49</v>
          </cell>
          <cell r="P187">
            <v>0.44</v>
          </cell>
        </row>
        <row r="188">
          <cell r="L188">
            <v>35</v>
          </cell>
          <cell r="O188">
            <v>0.5</v>
          </cell>
          <cell r="P188">
            <v>0.46</v>
          </cell>
        </row>
        <row r="189">
          <cell r="L189">
            <v>107</v>
          </cell>
          <cell r="O189">
            <v>0.52</v>
          </cell>
          <cell r="P189">
            <v>0.47</v>
          </cell>
        </row>
        <row r="190">
          <cell r="L190">
            <v>0</v>
          </cell>
          <cell r="O190">
            <v>0.53</v>
          </cell>
          <cell r="P190">
            <v>0.49</v>
          </cell>
        </row>
        <row r="191">
          <cell r="L191">
            <v>0</v>
          </cell>
          <cell r="O191">
            <v>0.56999999999999995</v>
          </cell>
          <cell r="P191">
            <v>0.52</v>
          </cell>
        </row>
        <row r="192">
          <cell r="L192">
            <v>0</v>
          </cell>
          <cell r="O192">
            <v>0.63</v>
          </cell>
          <cell r="P192">
            <v>0.56999999999999995</v>
          </cell>
        </row>
        <row r="193">
          <cell r="L193">
            <v>0</v>
          </cell>
          <cell r="O193">
            <v>0.68</v>
          </cell>
          <cell r="P193">
            <v>0.62</v>
          </cell>
        </row>
        <row r="194">
          <cell r="L194">
            <v>0</v>
          </cell>
          <cell r="O194">
            <v>0.74</v>
          </cell>
          <cell r="P194">
            <v>0.67</v>
          </cell>
        </row>
        <row r="195">
          <cell r="L195">
            <v>0</v>
          </cell>
          <cell r="O195">
            <v>0.8</v>
          </cell>
          <cell r="P195">
            <v>0.72</v>
          </cell>
        </row>
        <row r="196">
          <cell r="L196">
            <v>0</v>
          </cell>
          <cell r="O196">
            <v>0.85</v>
          </cell>
          <cell r="P196">
            <v>0.77</v>
          </cell>
        </row>
        <row r="199">
          <cell r="L199">
            <v>13087678</v>
          </cell>
          <cell r="O199">
            <v>5.6999999999999998E-4</v>
          </cell>
          <cell r="P199">
            <v>5.1999999999999995E-4</v>
          </cell>
        </row>
        <row r="202">
          <cell r="L202">
            <v>7749</v>
          </cell>
          <cell r="O202">
            <v>0.34</v>
          </cell>
          <cell r="P202">
            <v>0.31</v>
          </cell>
        </row>
        <row r="203">
          <cell r="L203">
            <v>4048</v>
          </cell>
          <cell r="O203">
            <v>0.68</v>
          </cell>
          <cell r="P203">
            <v>0.61</v>
          </cell>
        </row>
        <row r="205">
          <cell r="L205">
            <v>1905</v>
          </cell>
          <cell r="O205">
            <v>0.68</v>
          </cell>
          <cell r="P205">
            <v>0.61</v>
          </cell>
        </row>
        <row r="208">
          <cell r="L208">
            <v>14509358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pane xSplit="3" ySplit="6" topLeftCell="D19" activePane="bottomRight" state="frozen"/>
      <selection pane="topRight" activeCell="D1" sqref="D1"/>
      <selection pane="bottomLeft" activeCell="A7" sqref="A7"/>
      <selection pane="bottomRight" activeCell="H15" sqref="H15"/>
    </sheetView>
  </sheetViews>
  <sheetFormatPr defaultColWidth="5.7109375" defaultRowHeight="12.75" x14ac:dyDescent="0.2"/>
  <cols>
    <col min="1" max="1" width="4.42578125" style="12" bestFit="1" customWidth="1"/>
    <col min="2" max="2" width="33.28515625" style="12" bestFit="1" customWidth="1"/>
    <col min="3" max="3" width="10.140625" style="12" bestFit="1" customWidth="1"/>
    <col min="4" max="4" width="14.7109375" style="12" bestFit="1" customWidth="1"/>
    <col min="5" max="5" width="13.7109375" style="12" bestFit="1" customWidth="1"/>
    <col min="6" max="7" width="13.85546875" style="12" bestFit="1" customWidth="1"/>
    <col min="8" max="8" width="11.85546875" style="12" bestFit="1" customWidth="1"/>
    <col min="9" max="9" width="11.28515625" style="12" bestFit="1" customWidth="1"/>
    <col min="10" max="16384" width="5.7109375" style="12"/>
  </cols>
  <sheetData>
    <row r="1" spans="1:11" ht="12.75" customHeight="1" x14ac:dyDescent="0.2">
      <c r="A1" s="247" t="s">
        <v>0</v>
      </c>
      <c r="B1" s="247"/>
      <c r="C1" s="247"/>
      <c r="D1" s="247"/>
      <c r="E1" s="247"/>
      <c r="F1" s="247"/>
      <c r="G1" s="247"/>
      <c r="H1" s="247"/>
      <c r="I1" s="247"/>
    </row>
    <row r="2" spans="1:11" x14ac:dyDescent="0.2">
      <c r="A2" s="247" t="s">
        <v>80</v>
      </c>
      <c r="B2" s="247"/>
      <c r="C2" s="247"/>
      <c r="D2" s="247"/>
      <c r="E2" s="247"/>
      <c r="F2" s="247"/>
      <c r="G2" s="247"/>
      <c r="H2" s="247"/>
      <c r="I2" s="247"/>
    </row>
    <row r="3" spans="1:11" x14ac:dyDescent="0.2">
      <c r="A3" s="248" t="s">
        <v>344</v>
      </c>
      <c r="B3" s="247"/>
      <c r="C3" s="247"/>
      <c r="D3" s="247"/>
      <c r="E3" s="247"/>
      <c r="F3" s="247"/>
      <c r="G3" s="247"/>
      <c r="H3" s="247"/>
      <c r="I3" s="247"/>
    </row>
    <row r="4" spans="1:11" x14ac:dyDescent="0.2">
      <c r="B4" s="31"/>
      <c r="C4" s="31"/>
      <c r="D4" s="31"/>
      <c r="E4" s="31"/>
    </row>
    <row r="5" spans="1:11" s="16" customFormat="1" ht="63.75" x14ac:dyDescent="0.2">
      <c r="A5" s="28" t="s">
        <v>1</v>
      </c>
      <c r="B5" s="28" t="s">
        <v>2</v>
      </c>
      <c r="C5" s="28" t="s">
        <v>3</v>
      </c>
      <c r="D5" s="27" t="s">
        <v>345</v>
      </c>
      <c r="E5" s="27" t="s">
        <v>346</v>
      </c>
      <c r="F5" s="27" t="s">
        <v>347</v>
      </c>
      <c r="G5" s="27" t="s">
        <v>348</v>
      </c>
      <c r="H5" s="27" t="s">
        <v>81</v>
      </c>
      <c r="I5" s="27" t="s">
        <v>82</v>
      </c>
    </row>
    <row r="6" spans="1:11" s="16" customFormat="1" ht="25.5" x14ac:dyDescent="0.2">
      <c r="A6" s="25"/>
      <c r="B6" s="3" t="s">
        <v>33</v>
      </c>
      <c r="C6" s="76" t="s">
        <v>32</v>
      </c>
      <c r="D6" s="76" t="s">
        <v>31</v>
      </c>
      <c r="E6" s="76" t="s">
        <v>35</v>
      </c>
      <c r="F6" s="2" t="s">
        <v>34</v>
      </c>
      <c r="G6" s="2" t="s">
        <v>30</v>
      </c>
      <c r="H6" s="76" t="s">
        <v>102</v>
      </c>
      <c r="I6" s="76" t="s">
        <v>103</v>
      </c>
    </row>
    <row r="7" spans="1:11" s="16" customFormat="1" x14ac:dyDescent="0.2">
      <c r="A7" s="16">
        <v>1</v>
      </c>
      <c r="B7" s="26" t="s">
        <v>8</v>
      </c>
      <c r="C7" s="25"/>
      <c r="D7" s="25"/>
      <c r="E7" s="24"/>
      <c r="H7" s="24"/>
      <c r="I7" s="24"/>
    </row>
    <row r="8" spans="1:11" x14ac:dyDescent="0.2">
      <c r="A8" s="16">
        <f t="shared" ref="A8:A35" si="0">+A7+1</f>
        <v>2</v>
      </c>
      <c r="B8" s="20" t="s">
        <v>8</v>
      </c>
      <c r="C8" s="34">
        <v>7</v>
      </c>
      <c r="D8" s="42">
        <f>SUM('+Projected Revenue on F2017'!C8)</f>
        <v>10838149000</v>
      </c>
      <c r="E8" s="42">
        <f>SUM('+Projected Revenue on F2017'!N8)</f>
        <v>1075024000</v>
      </c>
      <c r="F8" s="37">
        <f>+'+2018 Prop Tax Rate Design'!R9</f>
        <v>3.4720000000000003E-3</v>
      </c>
      <c r="G8" s="37">
        <f>+'+FINAL 2019 Prop Tax Rate Des'!O9</f>
        <v>3.228E-3</v>
      </c>
      <c r="H8" s="41">
        <f>SUM(G8,-F8)*D8</f>
        <v>-2644508.3560000034</v>
      </c>
      <c r="I8" s="50">
        <f>H8/SUM(E8,D8*F8)</f>
        <v>-2.3767570414992474E-3</v>
      </c>
      <c r="K8" s="13"/>
    </row>
    <row r="9" spans="1:11" x14ac:dyDescent="0.2">
      <c r="A9" s="16">
        <f t="shared" si="0"/>
        <v>3</v>
      </c>
      <c r="B9" s="18" t="s">
        <v>29</v>
      </c>
      <c r="D9" s="43">
        <f>SUM(D8:D8)</f>
        <v>10838149000</v>
      </c>
      <c r="E9" s="43">
        <f>SUM(E8:E8)</f>
        <v>1075024000</v>
      </c>
      <c r="F9" s="38">
        <f>+F8</f>
        <v>3.4720000000000003E-3</v>
      </c>
      <c r="G9" s="38">
        <f>+G8</f>
        <v>3.228E-3</v>
      </c>
      <c r="H9" s="47">
        <f>SUM(H8:H8)</f>
        <v>-2644508.3560000034</v>
      </c>
      <c r="I9" s="51">
        <f>H9/SUM(E9,D9*F9)</f>
        <v>-2.3767570414992474E-3</v>
      </c>
      <c r="K9" s="13"/>
    </row>
    <row r="10" spans="1:11" x14ac:dyDescent="0.2">
      <c r="A10" s="16">
        <f t="shared" si="0"/>
        <v>4</v>
      </c>
      <c r="D10" s="44"/>
      <c r="E10" s="44"/>
      <c r="F10" s="39"/>
      <c r="G10" s="39"/>
      <c r="H10" s="48"/>
      <c r="I10" s="52"/>
      <c r="K10" s="13"/>
    </row>
    <row r="11" spans="1:11" x14ac:dyDescent="0.2">
      <c r="A11" s="16">
        <f t="shared" si="0"/>
        <v>5</v>
      </c>
      <c r="B11" s="12" t="s">
        <v>9</v>
      </c>
      <c r="D11" s="44"/>
      <c r="E11" s="44"/>
      <c r="F11" s="39"/>
      <c r="G11" s="39"/>
      <c r="H11" s="48"/>
      <c r="I11" s="52"/>
      <c r="K11" s="13"/>
    </row>
    <row r="12" spans="1:11" x14ac:dyDescent="0.2">
      <c r="A12" s="16">
        <f t="shared" si="0"/>
        <v>6</v>
      </c>
      <c r="B12" s="22" t="s">
        <v>10</v>
      </c>
      <c r="C12" s="61" t="s">
        <v>92</v>
      </c>
      <c r="D12" s="44">
        <f>SUM('+Projected Revenue on F2017'!C12:C13)</f>
        <v>3117609000</v>
      </c>
      <c r="E12" s="44">
        <f>SUM('+Projected Revenue on F2017'!N12:N13)</f>
        <v>315731000</v>
      </c>
      <c r="F12" s="37">
        <f>+'+2018 Prop Tax Rate Design'!R13</f>
        <v>2.6289999999999998E-3</v>
      </c>
      <c r="G12" s="37">
        <f>+'+FINAL 2019 Prop Tax Rate Des'!O13</f>
        <v>2.4450000000000001E-3</v>
      </c>
      <c r="H12" s="48">
        <f t="shared" ref="H12:H15" si="1">SUM(G12,-F12)*D12</f>
        <v>-573640.05599999905</v>
      </c>
      <c r="I12" s="52">
        <f t="shared" ref="I12:I16" si="2">H12/SUM(E12,D12*F12)</f>
        <v>-1.7708919365750275E-3</v>
      </c>
      <c r="K12" s="13"/>
    </row>
    <row r="13" spans="1:11" x14ac:dyDescent="0.2">
      <c r="A13" s="16">
        <f t="shared" si="0"/>
        <v>7</v>
      </c>
      <c r="B13" s="22" t="s">
        <v>11</v>
      </c>
      <c r="C13" s="61" t="s">
        <v>93</v>
      </c>
      <c r="D13" s="44">
        <f>SUM('+Projected Revenue on F2017'!C9,'+Projected Revenue on F2017'!C14:C15)</f>
        <v>3283168000</v>
      </c>
      <c r="E13" s="44">
        <f>SUM('+Projected Revenue on F2017'!N9,'+Projected Revenue on F2017'!N14:N15)</f>
        <v>310810000</v>
      </c>
      <c r="F13" s="37">
        <f>+'+2018 Prop Tax Rate Design'!R14</f>
        <v>2.467E-3</v>
      </c>
      <c r="G13" s="37">
        <f>+'+FINAL 2019 Prop Tax Rate Des'!O14</f>
        <v>2.1359999999999999E-3</v>
      </c>
      <c r="H13" s="48">
        <f t="shared" si="1"/>
        <v>-1086728.6080000005</v>
      </c>
      <c r="I13" s="52">
        <f t="shared" si="2"/>
        <v>-3.4076386902027554E-3</v>
      </c>
      <c r="K13" s="13"/>
    </row>
    <row r="14" spans="1:11" x14ac:dyDescent="0.2">
      <c r="A14" s="16">
        <f t="shared" si="0"/>
        <v>8</v>
      </c>
      <c r="B14" s="22" t="s">
        <v>12</v>
      </c>
      <c r="C14" s="120" t="s">
        <v>167</v>
      </c>
      <c r="D14" s="44">
        <f>SUM('+Projected Revenue on F2017'!C16:C17)</f>
        <v>1942526000</v>
      </c>
      <c r="E14" s="44">
        <f>SUM('+Projected Revenue on F2017'!N16:N17)</f>
        <v>167048000</v>
      </c>
      <c r="F14" s="37">
        <f>+'+2018 Prop Tax Rate Design'!R15</f>
        <v>2.2649999999999997E-3</v>
      </c>
      <c r="G14" s="37">
        <f>+'+FINAL 2019 Prop Tax Rate Des'!O15</f>
        <v>2.0959999999999998E-3</v>
      </c>
      <c r="H14" s="48">
        <f t="shared" si="1"/>
        <v>-328286.89399999974</v>
      </c>
      <c r="I14" s="52">
        <f t="shared" si="2"/>
        <v>-1.9147918669274364E-3</v>
      </c>
      <c r="K14" s="13"/>
    </row>
    <row r="15" spans="1:11" x14ac:dyDescent="0.2">
      <c r="A15" s="16">
        <f t="shared" si="0"/>
        <v>9</v>
      </c>
      <c r="B15" s="20" t="s">
        <v>28</v>
      </c>
      <c r="C15" s="34">
        <v>29</v>
      </c>
      <c r="D15" s="44">
        <f>SUM('+Projected Revenue on F2017'!C18)</f>
        <v>16292000</v>
      </c>
      <c r="E15" s="44">
        <f>SUM('+Projected Revenue on F2017'!N18)</f>
        <v>1238000</v>
      </c>
      <c r="F15" s="37">
        <f>+F13</f>
        <v>2.467E-3</v>
      </c>
      <c r="G15" s="37">
        <f>+G13</f>
        <v>2.1359999999999999E-3</v>
      </c>
      <c r="H15" s="48">
        <f t="shared" si="1"/>
        <v>-5392.6520000000019</v>
      </c>
      <c r="I15" s="52">
        <f t="shared" si="2"/>
        <v>-4.2189674667779519E-3</v>
      </c>
      <c r="K15" s="13"/>
    </row>
    <row r="16" spans="1:11" x14ac:dyDescent="0.2">
      <c r="A16" s="16">
        <f t="shared" si="0"/>
        <v>10</v>
      </c>
      <c r="B16" s="15" t="s">
        <v>13</v>
      </c>
      <c r="D16" s="43">
        <f>SUM(D12:D15)</f>
        <v>8359595000</v>
      </c>
      <c r="E16" s="43">
        <f>SUM(E12:E15)</f>
        <v>794827000</v>
      </c>
      <c r="F16" s="38">
        <f>SUMPRODUCT(D12:D15,F12:F15)/SUM(D12:D15)</f>
        <v>2.4804770172478455E-3</v>
      </c>
      <c r="G16" s="38">
        <f>SUMPRODUCT(D12:D15,G12:G15)/SUM(D12:D15)</f>
        <v>2.2419429483126873E-3</v>
      </c>
      <c r="H16" s="47">
        <f>SUM(H12:H15)</f>
        <v>-1994048.2099999993</v>
      </c>
      <c r="I16" s="51">
        <f t="shared" si="2"/>
        <v>-2.4449965727989884E-3</v>
      </c>
      <c r="K16" s="13"/>
    </row>
    <row r="17" spans="1:11" x14ac:dyDescent="0.2">
      <c r="A17" s="16">
        <f t="shared" si="0"/>
        <v>11</v>
      </c>
      <c r="D17" s="44"/>
      <c r="E17" s="44"/>
      <c r="F17" s="39"/>
      <c r="G17" s="39"/>
      <c r="H17" s="48"/>
      <c r="I17" s="52"/>
      <c r="K17" s="13"/>
    </row>
    <row r="18" spans="1:11" x14ac:dyDescent="0.2">
      <c r="A18" s="16">
        <f t="shared" si="0"/>
        <v>12</v>
      </c>
      <c r="B18" s="12" t="s">
        <v>14</v>
      </c>
      <c r="D18" s="44"/>
      <c r="E18" s="44"/>
      <c r="F18" s="39"/>
      <c r="G18" s="39"/>
      <c r="H18" s="48"/>
      <c r="I18" s="52"/>
      <c r="K18" s="13"/>
    </row>
    <row r="19" spans="1:11" x14ac:dyDescent="0.2">
      <c r="A19" s="16">
        <f t="shared" si="0"/>
        <v>13</v>
      </c>
      <c r="B19" s="22" t="s">
        <v>25</v>
      </c>
      <c r="C19" s="61" t="s">
        <v>94</v>
      </c>
      <c r="D19" s="44">
        <f>SUM('+Projected Revenue on F2017'!C21:C22)</f>
        <v>1420073000</v>
      </c>
      <c r="E19" s="44">
        <f>SUM('+Projected Revenue on F2017'!N21:N22)</f>
        <v>119174000</v>
      </c>
      <c r="F19" s="37">
        <f>+'+2018 Prop Tax Rate Design'!R19</f>
        <v>2.2539999999999999E-3</v>
      </c>
      <c r="G19" s="39">
        <f>+'+FINAL 2019 Prop Tax Rate Des'!O19</f>
        <v>1.9780000000000002E-3</v>
      </c>
      <c r="H19" s="48">
        <f t="shared" ref="H19:H21" si="3">SUM(G19,-F19)*D19</f>
        <v>-391940.1479999997</v>
      </c>
      <c r="I19" s="52">
        <f t="shared" ref="I19:I22" si="4">H19/SUM(E19,D19*F19)</f>
        <v>-3.2027836232754749E-3</v>
      </c>
      <c r="K19" s="13"/>
    </row>
    <row r="20" spans="1:11" x14ac:dyDescent="0.2">
      <c r="A20" s="16">
        <f t="shared" si="0"/>
        <v>14</v>
      </c>
      <c r="B20" s="20" t="s">
        <v>28</v>
      </c>
      <c r="C20" s="34">
        <v>35</v>
      </c>
      <c r="D20" s="44">
        <f>SUM('+Projected Revenue on F2017'!C23)</f>
        <v>5174000</v>
      </c>
      <c r="E20" s="44">
        <f>SUM('+Projected Revenue on F2017'!N23)</f>
        <v>290000</v>
      </c>
      <c r="F20" s="37">
        <f>+F19</f>
        <v>2.2539999999999999E-3</v>
      </c>
      <c r="G20" s="39">
        <f>+G19</f>
        <v>1.9780000000000002E-3</v>
      </c>
      <c r="H20" s="48">
        <f t="shared" si="3"/>
        <v>-1428.0239999999988</v>
      </c>
      <c r="I20" s="52">
        <f t="shared" si="4"/>
        <v>-4.733851370623844E-3</v>
      </c>
      <c r="K20" s="13"/>
    </row>
    <row r="21" spans="1:11" x14ac:dyDescent="0.2">
      <c r="A21" s="16">
        <f t="shared" si="0"/>
        <v>15</v>
      </c>
      <c r="B21" s="20" t="s">
        <v>15</v>
      </c>
      <c r="C21" s="34">
        <v>43</v>
      </c>
      <c r="D21" s="44">
        <f>SUM('+Projected Revenue on F2017'!C24)</f>
        <v>127202000</v>
      </c>
      <c r="E21" s="44">
        <f>SUM('+Projected Revenue on F2017'!N24)</f>
        <v>11686000</v>
      </c>
      <c r="F21" s="37">
        <f>+'+2018 Prop Tax Rate Design'!R20</f>
        <v>3.2960000000000003E-3</v>
      </c>
      <c r="G21" s="39">
        <f>+'+FINAL 2019 Prop Tax Rate Des'!O20</f>
        <v>2.8159999999999999E-3</v>
      </c>
      <c r="H21" s="48">
        <f t="shared" si="3"/>
        <v>-61056.96000000005</v>
      </c>
      <c r="I21" s="52">
        <f t="shared" si="4"/>
        <v>-5.0438380618668659E-3</v>
      </c>
      <c r="K21" s="13"/>
    </row>
    <row r="22" spans="1:11" x14ac:dyDescent="0.2">
      <c r="A22" s="16">
        <f t="shared" si="0"/>
        <v>16</v>
      </c>
      <c r="B22" s="18" t="s">
        <v>16</v>
      </c>
      <c r="D22" s="43">
        <f>SUM(D19:D21)</f>
        <v>1552449000</v>
      </c>
      <c r="E22" s="43">
        <f>SUM(E19:E21)</f>
        <v>131150000</v>
      </c>
      <c r="F22" s="38">
        <f>SUMPRODUCT(D19:D21,F19:F21)/SUM(D19:D21)</f>
        <v>2.3393776735982953E-3</v>
      </c>
      <c r="G22" s="38">
        <f>SUMPRODUCT(D19:D21,G19:G21)/SUM(D19:D21)</f>
        <v>2.0466626588055391E-3</v>
      </c>
      <c r="H22" s="47">
        <f>SUM(H19:H21)</f>
        <v>-454425.13199999975</v>
      </c>
      <c r="I22" s="51">
        <f t="shared" si="4"/>
        <v>-3.3715624185855862E-3</v>
      </c>
      <c r="K22" s="13"/>
    </row>
    <row r="23" spans="1:11" x14ac:dyDescent="0.2">
      <c r="A23" s="16">
        <f t="shared" si="0"/>
        <v>17</v>
      </c>
      <c r="D23" s="45"/>
      <c r="E23" s="45"/>
      <c r="F23" s="36"/>
      <c r="G23" s="36"/>
      <c r="H23" s="35"/>
      <c r="I23" s="53"/>
      <c r="K23" s="13"/>
    </row>
    <row r="24" spans="1:11" x14ac:dyDescent="0.2">
      <c r="A24" s="16">
        <f t="shared" si="0"/>
        <v>18</v>
      </c>
      <c r="B24" s="12" t="s">
        <v>17</v>
      </c>
      <c r="C24" s="34">
        <v>40</v>
      </c>
      <c r="D24" s="43">
        <f>SUM('+Projected Revenue on F2017'!C27)</f>
        <v>586597000</v>
      </c>
      <c r="E24" s="43">
        <f>SUM('+Projected Revenue on F2017'!N27)</f>
        <v>45383000</v>
      </c>
      <c r="F24" s="38">
        <f>+'+2018 Prop Tax Rate Design'!R23</f>
        <v>2.104E-3</v>
      </c>
      <c r="G24" s="38">
        <f>+'+FINAL 2019 Prop Tax Rate Des'!O23</f>
        <v>2.186E-3</v>
      </c>
      <c r="H24" s="47">
        <f>SUM(G24,-F24)*D24</f>
        <v>48100.954000000027</v>
      </c>
      <c r="I24" s="51">
        <f>H24/SUM(E24,D24*F24)</f>
        <v>1.0318284647983817E-3</v>
      </c>
      <c r="K24" s="13"/>
    </row>
    <row r="25" spans="1:11" x14ac:dyDescent="0.2">
      <c r="A25" s="16">
        <f t="shared" si="0"/>
        <v>19</v>
      </c>
      <c r="D25" s="45"/>
      <c r="E25" s="45"/>
      <c r="F25" s="36"/>
      <c r="G25" s="36"/>
      <c r="H25" s="35"/>
      <c r="I25" s="53"/>
      <c r="K25" s="13"/>
    </row>
    <row r="26" spans="1:11" x14ac:dyDescent="0.2">
      <c r="A26" s="16">
        <f t="shared" si="0"/>
        <v>20</v>
      </c>
      <c r="B26" s="12" t="s">
        <v>27</v>
      </c>
      <c r="D26" s="44"/>
      <c r="E26" s="44"/>
      <c r="F26" s="39"/>
      <c r="G26" s="39"/>
      <c r="H26" s="48"/>
      <c r="I26" s="52"/>
      <c r="K26" s="13"/>
    </row>
    <row r="27" spans="1:11" x14ac:dyDescent="0.2">
      <c r="A27" s="16">
        <f t="shared" si="0"/>
        <v>21</v>
      </c>
      <c r="B27" s="22" t="s">
        <v>26</v>
      </c>
      <c r="C27" s="34">
        <v>46</v>
      </c>
      <c r="D27" s="44">
        <f>SUM('+Projected Revenue on F2017'!C29)</f>
        <v>76029000</v>
      </c>
      <c r="E27" s="44">
        <f>SUM('+Projected Revenue on F2017'!N29)</f>
        <v>5327000</v>
      </c>
      <c r="F27" s="39">
        <f>+'+2018 Prop Tax Rate Design'!R25</f>
        <v>1.6520000000000003E-3</v>
      </c>
      <c r="G27" s="39">
        <f>+'+FINAL 2019 Prop Tax Rate Des'!O25</f>
        <v>1.5579999999999999E-3</v>
      </c>
      <c r="H27" s="48">
        <f t="shared" ref="H27:H28" si="5">SUM(G27,-F27)*D27</f>
        <v>-7146.7260000000251</v>
      </c>
      <c r="I27" s="52">
        <f t="shared" ref="I27:I29" si="6">H27/SUM(E27,D27*F27)</f>
        <v>-1.3107006053230533E-3</v>
      </c>
      <c r="K27" s="13"/>
    </row>
    <row r="28" spans="1:11" x14ac:dyDescent="0.2">
      <c r="A28" s="16">
        <f t="shared" si="0"/>
        <v>22</v>
      </c>
      <c r="B28" s="22" t="s">
        <v>25</v>
      </c>
      <c r="C28" s="34">
        <v>49</v>
      </c>
      <c r="D28" s="44">
        <f>SUM('+Projected Revenue on F2017'!C30)</f>
        <v>606297000</v>
      </c>
      <c r="E28" s="44">
        <f>SUM('+Projected Revenue on F2017'!N30)</f>
        <v>42056000</v>
      </c>
      <c r="F28" s="39">
        <f>+F27</f>
        <v>1.6520000000000003E-3</v>
      </c>
      <c r="G28" s="39">
        <f>+G27</f>
        <v>1.5579999999999999E-3</v>
      </c>
      <c r="H28" s="48">
        <f t="shared" si="5"/>
        <v>-56991.918000000202</v>
      </c>
      <c r="I28" s="52">
        <f t="shared" si="6"/>
        <v>-1.3236203248752382E-3</v>
      </c>
      <c r="K28" s="13"/>
    </row>
    <row r="29" spans="1:11" x14ac:dyDescent="0.2">
      <c r="A29" s="16">
        <f t="shared" si="0"/>
        <v>23</v>
      </c>
      <c r="B29" s="15" t="s">
        <v>18</v>
      </c>
      <c r="D29" s="43">
        <f>SUM(D27:D28)</f>
        <v>682326000</v>
      </c>
      <c r="E29" s="43">
        <f>SUM(E27:E28)</f>
        <v>47383000</v>
      </c>
      <c r="F29" s="38">
        <f>SUMPRODUCT(D27:D28,F27:F28)/SUM(D27:D28)</f>
        <v>1.6520000000000003E-3</v>
      </c>
      <c r="G29" s="38">
        <f>SUMPRODUCT(D27:D28,G27:G28)/SUM(D27:D28)</f>
        <v>1.5579999999999997E-3</v>
      </c>
      <c r="H29" s="47">
        <f>SUM(H27:H28)</f>
        <v>-64138.644000000226</v>
      </c>
      <c r="I29" s="51">
        <f t="shared" si="6"/>
        <v>-1.3221681342444917E-3</v>
      </c>
      <c r="K29" s="13"/>
    </row>
    <row r="30" spans="1:11" x14ac:dyDescent="0.2">
      <c r="A30" s="16">
        <f t="shared" si="0"/>
        <v>24</v>
      </c>
      <c r="D30" s="45"/>
      <c r="E30" s="45"/>
      <c r="F30" s="36"/>
      <c r="G30" s="36"/>
      <c r="H30" s="35"/>
      <c r="I30" s="53"/>
      <c r="K30" s="13"/>
    </row>
    <row r="31" spans="1:11" x14ac:dyDescent="0.2">
      <c r="A31" s="16">
        <f t="shared" si="0"/>
        <v>25</v>
      </c>
      <c r="B31" s="12" t="s">
        <v>19</v>
      </c>
      <c r="C31" s="34" t="s">
        <v>20</v>
      </c>
      <c r="D31" s="43">
        <f>SUM('+Projected Revenue on F2017'!C33)</f>
        <v>71427000</v>
      </c>
      <c r="E31" s="43">
        <f>SUM('+Projected Revenue on F2017'!N33)</f>
        <v>17031000</v>
      </c>
      <c r="F31" s="38">
        <f>+'+2018 Prop Tax Rate Design'!R27</f>
        <v>9.2829999999999996E-3</v>
      </c>
      <c r="G31" s="38">
        <f>+'+FINAL 2019 Prop Tax Rate Des'!O27</f>
        <v>9.1549999999999999E-3</v>
      </c>
      <c r="H31" s="47">
        <f>SUM(G31,-F31)*D31</f>
        <v>-9142.6559999999736</v>
      </c>
      <c r="I31" s="51">
        <f>H31/SUM(E31,D31*F31)</f>
        <v>-5.1670773311945949E-4</v>
      </c>
      <c r="K31" s="13"/>
    </row>
    <row r="32" spans="1:11" x14ac:dyDescent="0.2">
      <c r="A32" s="16">
        <f t="shared" si="0"/>
        <v>26</v>
      </c>
      <c r="C32" s="34"/>
      <c r="D32" s="45"/>
      <c r="E32" s="45"/>
      <c r="F32" s="36"/>
      <c r="G32" s="36"/>
      <c r="H32" s="35"/>
      <c r="I32" s="53"/>
      <c r="K32" s="13"/>
    </row>
    <row r="33" spans="1:11" x14ac:dyDescent="0.2">
      <c r="A33" s="16">
        <f t="shared" si="0"/>
        <v>27</v>
      </c>
      <c r="B33" s="18" t="s">
        <v>24</v>
      </c>
      <c r="C33" s="60" t="s">
        <v>91</v>
      </c>
      <c r="D33" s="43">
        <f>SUM('+Projected Revenue on F2017'!C35)</f>
        <v>2024995000</v>
      </c>
      <c r="E33" s="43">
        <f>SUM('+Projected Revenue on F2017'!N35)</f>
        <v>10680000</v>
      </c>
      <c r="F33" s="38">
        <f>+'+2018 Prop Tax Rate Design'!R29</f>
        <v>2.9999999999999997E-5</v>
      </c>
      <c r="G33" s="38">
        <f>+'+FINAL 2019 Prop Tax Rate Des'!O29</f>
        <v>2.4999999999999998E-5</v>
      </c>
      <c r="H33" s="47">
        <f>SUM(G33,-F33)*D33</f>
        <v>-10124.974999999999</v>
      </c>
      <c r="I33" s="51">
        <f t="shared" ref="I33" si="7">H33/SUM(E33,D33*F33)</f>
        <v>-9.4266928672582379E-4</v>
      </c>
      <c r="K33" s="13"/>
    </row>
    <row r="34" spans="1:11" x14ac:dyDescent="0.2">
      <c r="A34" s="16">
        <f t="shared" si="0"/>
        <v>28</v>
      </c>
      <c r="D34" s="45"/>
      <c r="E34" s="45"/>
      <c r="F34" s="36"/>
      <c r="G34" s="36"/>
      <c r="H34" s="35"/>
      <c r="I34" s="53"/>
      <c r="K34" s="13"/>
    </row>
    <row r="35" spans="1:11" ht="13.5" thickBot="1" x14ac:dyDescent="0.25">
      <c r="A35" s="16">
        <f t="shared" si="0"/>
        <v>29</v>
      </c>
      <c r="B35" s="15" t="s">
        <v>21</v>
      </c>
      <c r="D35" s="46">
        <f>SUM(D9,D16,D22,D24,D29,D31,D33)</f>
        <v>24115538000</v>
      </c>
      <c r="E35" s="46">
        <f>SUM(E9,E16,E22,E24,E29,E31,E33)</f>
        <v>2121478000</v>
      </c>
      <c r="F35" s="40">
        <f>(+F9*D9+F16*D16+F22*D22+F24*D24+F29*D29+F31*D31+F33*D33)/D35</f>
        <v>2.6987915616893975E-3</v>
      </c>
      <c r="G35" s="40">
        <f>(+G9*D9+G16*D16+G22*D22+G24*D24+G29*D29+G31*D31+G33*D33)/D35</f>
        <v>2.486136674247119E-3</v>
      </c>
      <c r="H35" s="49">
        <f>SUM(H9,H16,H22,H24,H29,H31,H33)</f>
        <v>-5128287.0190000031</v>
      </c>
      <c r="I35" s="54">
        <f>H35/SUM(E35,D35*F35)</f>
        <v>-2.3453667487624706E-3</v>
      </c>
      <c r="K35" s="13"/>
    </row>
    <row r="36" spans="1:11" ht="13.5" thickTop="1" x14ac:dyDescent="0.2">
      <c r="A36" s="16"/>
      <c r="F36" s="36"/>
    </row>
    <row r="37" spans="1:11" x14ac:dyDescent="0.2">
      <c r="A37" s="16"/>
      <c r="B37" s="15"/>
    </row>
    <row r="38" spans="1:11" x14ac:dyDescent="0.2">
      <c r="A38" s="16"/>
    </row>
    <row r="39" spans="1:11" x14ac:dyDescent="0.2">
      <c r="A39" s="16"/>
      <c r="B39" s="15"/>
    </row>
    <row r="42" spans="1:11" x14ac:dyDescent="0.2">
      <c r="D42" s="13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94" fitToWidth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workbookViewId="0">
      <pane xSplit="3" ySplit="7" topLeftCell="G8" activePane="bottomRight" state="frozen"/>
      <selection activeCell="E8" sqref="E8"/>
      <selection pane="topRight" activeCell="E8" sqref="E8"/>
      <selection pane="bottomLeft" activeCell="E8" sqref="E8"/>
      <selection pane="bottomRight" activeCell="G37" sqref="G37"/>
    </sheetView>
  </sheetViews>
  <sheetFormatPr defaultColWidth="9.140625" defaultRowHeight="12.75" x14ac:dyDescent="0.2"/>
  <cols>
    <col min="1" max="1" width="4.7109375" style="12" customWidth="1"/>
    <col min="2" max="2" width="29.7109375" style="12" customWidth="1"/>
    <col min="3" max="3" width="13.85546875" style="12" customWidth="1"/>
    <col min="4" max="4" width="14.7109375" style="12" customWidth="1"/>
    <col min="5" max="5" width="9" style="12" customWidth="1"/>
    <col min="6" max="6" width="0.85546875" style="12" customWidth="1"/>
    <col min="7" max="7" width="14.7109375" style="12" bestFit="1" customWidth="1"/>
    <col min="8" max="8" width="14.7109375" style="12" customWidth="1"/>
    <col min="9" max="9" width="13.140625" style="12" customWidth="1"/>
    <col min="10" max="10" width="0.85546875" style="12" customWidth="1"/>
    <col min="11" max="11" width="14.7109375" style="12" customWidth="1"/>
    <col min="12" max="12" width="0.85546875" style="12" customWidth="1"/>
    <col min="13" max="13" width="12.5703125" style="12" customWidth="1"/>
    <col min="14" max="14" width="11.28515625" style="12" customWidth="1"/>
    <col min="15" max="15" width="12.7109375" style="12" customWidth="1"/>
    <col min="16" max="16" width="0.85546875" style="12" customWidth="1"/>
    <col min="17" max="17" width="9.42578125" style="12" customWidth="1"/>
    <col min="18" max="18" width="2.7109375" style="12" customWidth="1"/>
    <col min="19" max="19" width="12" style="12" bestFit="1" customWidth="1"/>
    <col min="20" max="20" width="9.140625" style="12"/>
    <col min="21" max="21" width="11.28515625" style="12" customWidth="1"/>
    <col min="22" max="16384" width="9.140625" style="12"/>
  </cols>
  <sheetData>
    <row r="1" spans="1:21" ht="12.75" customHeight="1" x14ac:dyDescent="0.2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21" x14ac:dyDescent="0.2">
      <c r="A2" s="247" t="s">
        <v>78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</row>
    <row r="3" spans="1:21" x14ac:dyDescent="0.2">
      <c r="A3" s="248" t="s">
        <v>357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21" x14ac:dyDescent="0.2">
      <c r="B4" s="31"/>
      <c r="C4" s="31"/>
      <c r="D4" s="31"/>
    </row>
    <row r="5" spans="1:21" s="29" customFormat="1" x14ac:dyDescent="0.2">
      <c r="B5" s="30"/>
      <c r="C5" s="30"/>
    </row>
    <row r="6" spans="1:21" s="16" customFormat="1" ht="76.5" x14ac:dyDescent="0.2">
      <c r="A6" s="28" t="s">
        <v>1</v>
      </c>
      <c r="B6" s="28" t="s">
        <v>2</v>
      </c>
      <c r="C6" s="28" t="s">
        <v>3</v>
      </c>
      <c r="D6" s="27" t="s">
        <v>349</v>
      </c>
      <c r="E6" s="28" t="s">
        <v>5</v>
      </c>
      <c r="F6" s="28"/>
      <c r="G6" s="28" t="s">
        <v>73</v>
      </c>
      <c r="H6" s="27" t="s">
        <v>121</v>
      </c>
      <c r="I6" s="28" t="s">
        <v>86</v>
      </c>
      <c r="J6" s="28"/>
      <c r="K6" s="28" t="str">
        <f>+'+2019 Prop Tax Rate Impacts'!D5</f>
        <v>F2018 kWh 
May 2019
to April 2020</v>
      </c>
      <c r="L6" s="28"/>
      <c r="M6" s="28" t="s">
        <v>76</v>
      </c>
      <c r="N6" s="28" t="s">
        <v>77</v>
      </c>
      <c r="O6" s="27" t="s">
        <v>358</v>
      </c>
      <c r="P6" s="28"/>
      <c r="Q6" s="28" t="s">
        <v>87</v>
      </c>
    </row>
    <row r="7" spans="1:21" s="16" customFormat="1" ht="25.5" x14ac:dyDescent="0.2">
      <c r="A7" s="3"/>
      <c r="B7" s="3"/>
      <c r="C7" s="76"/>
      <c r="D7" s="76" t="s">
        <v>33</v>
      </c>
      <c r="E7" s="76" t="s">
        <v>170</v>
      </c>
      <c r="F7" s="77"/>
      <c r="G7" s="4" t="s">
        <v>350</v>
      </c>
      <c r="H7" s="4" t="s">
        <v>351</v>
      </c>
      <c r="I7" s="76" t="s">
        <v>352</v>
      </c>
      <c r="J7" s="2"/>
      <c r="K7" s="76" t="s">
        <v>30</v>
      </c>
      <c r="L7" s="76"/>
      <c r="M7" s="4" t="s">
        <v>353</v>
      </c>
      <c r="N7" s="4" t="s">
        <v>354</v>
      </c>
      <c r="O7" s="4" t="s">
        <v>355</v>
      </c>
      <c r="P7" s="2"/>
      <c r="Q7" s="4" t="s">
        <v>356</v>
      </c>
    </row>
    <row r="8" spans="1:21" s="16" customFormat="1" x14ac:dyDescent="0.2">
      <c r="A8" s="16">
        <v>1</v>
      </c>
      <c r="B8" s="26" t="s">
        <v>8</v>
      </c>
      <c r="C8" s="25"/>
      <c r="D8" s="12"/>
      <c r="F8" s="12"/>
      <c r="K8" s="25"/>
      <c r="L8" s="25"/>
    </row>
    <row r="9" spans="1:21" ht="15" x14ac:dyDescent="0.25">
      <c r="A9" s="16">
        <f>+A8+1</f>
        <v>2</v>
      </c>
      <c r="B9" s="20" t="s">
        <v>8</v>
      </c>
      <c r="C9" s="19">
        <v>7</v>
      </c>
      <c r="D9" s="23">
        <f>+'+UE-180280 Compliance ECOS '!F70</f>
        <v>5545457488.6787891</v>
      </c>
      <c r="E9" s="70">
        <f>+D9/$D$35</f>
        <v>0.58338223264030498</v>
      </c>
      <c r="G9" s="23">
        <f>+E9*$G$37</f>
        <v>18331619.586727317</v>
      </c>
      <c r="H9" s="41">
        <f>+E9*$H$37</f>
        <v>16660836.975282529</v>
      </c>
      <c r="I9" s="23">
        <f>SUM(G9:H9)</f>
        <v>34992456.562009849</v>
      </c>
      <c r="J9" s="23"/>
      <c r="K9" s="14">
        <f>+'+Projected Revenue on F2017'!C8</f>
        <v>10838149000</v>
      </c>
      <c r="L9" s="14"/>
      <c r="M9" s="37">
        <f>ROUND(G9/$K9,6)</f>
        <v>1.691E-3</v>
      </c>
      <c r="N9" s="37">
        <f>ROUND((H9)/$K9,6)</f>
        <v>1.537E-3</v>
      </c>
      <c r="O9" s="37">
        <f>SUM(M9:N9)</f>
        <v>3.228E-3</v>
      </c>
      <c r="Q9" s="23">
        <f>+O9*K9-I9</f>
        <v>-6911.5900098457932</v>
      </c>
      <c r="R9" s="57"/>
      <c r="S9" s="193"/>
      <c r="T9"/>
      <c r="U9"/>
    </row>
    <row r="10" spans="1:21" ht="15" x14ac:dyDescent="0.25">
      <c r="A10" s="16">
        <f>+A9+1</f>
        <v>3</v>
      </c>
      <c r="B10" s="18" t="s">
        <v>29</v>
      </c>
      <c r="D10" s="6">
        <f>SUM(D9:D9)</f>
        <v>5545457488.6787891</v>
      </c>
      <c r="E10" s="71">
        <f>+D10/$D$35</f>
        <v>0.58338223264030498</v>
      </c>
      <c r="G10" s="6">
        <f>SUM(G9:G9)</f>
        <v>18331619.586727317</v>
      </c>
      <c r="H10" s="47">
        <f>SUM(H9:H9)</f>
        <v>16660836.975282529</v>
      </c>
      <c r="I10" s="6">
        <f>SUM(I9:I9)</f>
        <v>34992456.562009849</v>
      </c>
      <c r="J10" s="6"/>
      <c r="K10" s="5">
        <f>SUM(K9:K9)</f>
        <v>10838149000</v>
      </c>
      <c r="L10" s="8"/>
      <c r="M10" s="38">
        <f>ROUND(G10/$K10,6)</f>
        <v>1.691E-3</v>
      </c>
      <c r="N10" s="38">
        <f t="shared" ref="N10" si="0">ROUND((H10)/$K10,6)</f>
        <v>1.537E-3</v>
      </c>
      <c r="O10" s="38">
        <f>SUM(M10:N10)</f>
        <v>3.228E-3</v>
      </c>
      <c r="Q10" s="6">
        <f>SUM(Q9:Q9)</f>
        <v>-6911.5900098457932</v>
      </c>
      <c r="S10"/>
      <c r="T10"/>
      <c r="U10"/>
    </row>
    <row r="11" spans="1:21" ht="15" x14ac:dyDescent="0.25">
      <c r="A11" s="16">
        <f>+A10+1</f>
        <v>4</v>
      </c>
      <c r="D11" s="7"/>
      <c r="E11" s="72"/>
      <c r="G11" s="7"/>
      <c r="H11" s="48"/>
      <c r="I11" s="7"/>
      <c r="J11" s="7"/>
      <c r="K11" s="8"/>
      <c r="L11" s="8"/>
      <c r="M11" s="39"/>
      <c r="N11" s="39"/>
      <c r="O11" s="39"/>
      <c r="Q11" s="7"/>
      <c r="S11"/>
      <c r="T11"/>
      <c r="U11"/>
    </row>
    <row r="12" spans="1:21" ht="15" x14ac:dyDescent="0.25">
      <c r="A12" s="16">
        <f>+A11+1</f>
        <v>5</v>
      </c>
      <c r="B12" s="12" t="s">
        <v>9</v>
      </c>
      <c r="D12" s="7"/>
      <c r="E12" s="72"/>
      <c r="G12" s="7"/>
      <c r="H12" s="48"/>
      <c r="I12" s="7"/>
      <c r="J12" s="7"/>
      <c r="K12" s="8"/>
      <c r="L12" s="8"/>
      <c r="M12" s="39"/>
      <c r="N12" s="39"/>
      <c r="O12" s="39"/>
      <c r="Q12" s="7"/>
      <c r="S12"/>
      <c r="T12"/>
      <c r="U12"/>
    </row>
    <row r="13" spans="1:21" ht="15" x14ac:dyDescent="0.25">
      <c r="A13" s="16">
        <f t="shared" ref="A13:A37" si="1">+A12+1</f>
        <v>6</v>
      </c>
      <c r="B13" s="22" t="s">
        <v>10</v>
      </c>
      <c r="C13" s="19" t="s">
        <v>90</v>
      </c>
      <c r="D13" s="23">
        <f>+'+UE-180280 Compliance ECOS '!G70</f>
        <v>1207741046.4684942</v>
      </c>
      <c r="E13" s="70">
        <f t="shared" ref="E13:E15" si="2">+D13/$D$35</f>
        <v>0.12705438091961535</v>
      </c>
      <c r="G13" s="23">
        <f>+E13*$G$37</f>
        <v>3992429.744224987</v>
      </c>
      <c r="H13" s="41">
        <f t="shared" ref="H13:H15" si="3">+E13*$H$37</f>
        <v>3628551.2466100939</v>
      </c>
      <c r="I13" s="23">
        <f>SUM(G13:H13)</f>
        <v>7620980.9908350809</v>
      </c>
      <c r="J13" s="23"/>
      <c r="K13" s="14">
        <f>SUM('+Projected Revenue on F2017'!C12:C13)</f>
        <v>3117609000</v>
      </c>
      <c r="L13" s="14"/>
      <c r="M13" s="37">
        <f>ROUND(G13/$K13,6)</f>
        <v>1.281E-3</v>
      </c>
      <c r="N13" s="37">
        <f t="shared" ref="N13:N16" si="4">ROUND((H13)/$K13,6)</f>
        <v>1.1640000000000001E-3</v>
      </c>
      <c r="O13" s="37">
        <f t="shared" ref="O13:O15" si="5">SUM(M13:N13)</f>
        <v>2.4450000000000001E-3</v>
      </c>
      <c r="Q13" s="23">
        <f t="shared" ref="Q13:Q15" si="6">+O13*K13-I13</f>
        <v>1573.014164919965</v>
      </c>
      <c r="R13" s="57"/>
      <c r="S13"/>
      <c r="T13"/>
      <c r="U13"/>
    </row>
    <row r="14" spans="1:21" ht="15" x14ac:dyDescent="0.25">
      <c r="A14" s="16">
        <f t="shared" si="1"/>
        <v>7</v>
      </c>
      <c r="B14" s="22" t="s">
        <v>11</v>
      </c>
      <c r="C14" s="63" t="s">
        <v>99</v>
      </c>
      <c r="D14" s="23">
        <f>+'+UE-180280 Compliance ECOS '!H70</f>
        <v>1116587567.8116324</v>
      </c>
      <c r="E14" s="70">
        <f t="shared" si="2"/>
        <v>0.11746503324174867</v>
      </c>
      <c r="G14" s="23">
        <f>+E14*$G$37</f>
        <v>3691103.6772312662</v>
      </c>
      <c r="H14" s="41">
        <f t="shared" si="3"/>
        <v>3354688.6751753073</v>
      </c>
      <c r="I14" s="23">
        <f>SUM(G14:H14)</f>
        <v>7045792.3524065735</v>
      </c>
      <c r="J14" s="23"/>
      <c r="K14" s="14">
        <f>SUM('+Projected Revenue on F2017'!C9,'+Projected Revenue on F2017'!C14:C15,'+Projected Revenue on F2017'!C18)</f>
        <v>3299460000</v>
      </c>
      <c r="L14" s="14"/>
      <c r="M14" s="37">
        <f>ROUND(G14/$K14,6)</f>
        <v>1.119E-3</v>
      </c>
      <c r="N14" s="37">
        <f t="shared" si="4"/>
        <v>1.0169999999999999E-3</v>
      </c>
      <c r="O14" s="37">
        <f t="shared" si="5"/>
        <v>2.1359999999999999E-3</v>
      </c>
      <c r="Q14" s="23">
        <f t="shared" si="6"/>
        <v>1854.2075934261084</v>
      </c>
      <c r="R14" s="57"/>
      <c r="S14"/>
      <c r="T14"/>
      <c r="U14"/>
    </row>
    <row r="15" spans="1:21" ht="15" x14ac:dyDescent="0.25">
      <c r="A15" s="16">
        <f t="shared" si="1"/>
        <v>8</v>
      </c>
      <c r="B15" s="22" t="s">
        <v>12</v>
      </c>
      <c r="C15" s="120" t="s">
        <v>171</v>
      </c>
      <c r="D15" s="7">
        <f>+'+UE-180280 Compliance ECOS '!I70</f>
        <v>645442293.35483623</v>
      </c>
      <c r="E15" s="72">
        <f t="shared" si="2"/>
        <v>6.7900541462366168E-2</v>
      </c>
      <c r="G15" s="7">
        <f>+E15*$G$37</f>
        <v>2133638.6783454912</v>
      </c>
      <c r="H15" s="48">
        <f t="shared" si="3"/>
        <v>1939174.3329547131</v>
      </c>
      <c r="I15" s="7">
        <f>SUM(G15:H15)</f>
        <v>4072813.0113002043</v>
      </c>
      <c r="J15" s="7"/>
      <c r="K15" s="8">
        <f>SUM('+Projected Revenue on F2017'!C16:C17)</f>
        <v>1942526000</v>
      </c>
      <c r="L15" s="8"/>
      <c r="M15" s="39">
        <f>ROUND(G15/$K15,6)</f>
        <v>1.098E-3</v>
      </c>
      <c r="N15" s="37">
        <f t="shared" si="4"/>
        <v>9.9799999999999997E-4</v>
      </c>
      <c r="O15" s="39">
        <f t="shared" si="5"/>
        <v>2.0959999999999998E-3</v>
      </c>
      <c r="Q15" s="7">
        <f t="shared" si="6"/>
        <v>-1278.5153002049774</v>
      </c>
      <c r="R15" s="57"/>
      <c r="S15"/>
      <c r="T15"/>
      <c r="U15"/>
    </row>
    <row r="16" spans="1:21" ht="15" x14ac:dyDescent="0.25">
      <c r="A16" s="16">
        <f t="shared" si="1"/>
        <v>9</v>
      </c>
      <c r="B16" s="15" t="s">
        <v>13</v>
      </c>
      <c r="D16" s="6">
        <f>SUM(D13:D15)</f>
        <v>2969770907.634963</v>
      </c>
      <c r="E16" s="71">
        <f>+D16/$D$35</f>
        <v>0.31241995562373021</v>
      </c>
      <c r="G16" s="6">
        <f>SUM(G13:G15)</f>
        <v>9817172.0998017453</v>
      </c>
      <c r="H16" s="47">
        <f>SUM(H13:H15)</f>
        <v>8922414.2547401153</v>
      </c>
      <c r="I16" s="6">
        <f>SUM(I13:I15)</f>
        <v>18739586.354541861</v>
      </c>
      <c r="J16" s="6"/>
      <c r="K16" s="5">
        <f>SUM(K13:K15)</f>
        <v>8359595000</v>
      </c>
      <c r="L16" s="8"/>
      <c r="M16" s="38">
        <f>ROUND(G16/$K16,6)</f>
        <v>1.1739999999999999E-3</v>
      </c>
      <c r="N16" s="38">
        <f t="shared" si="4"/>
        <v>1.067E-3</v>
      </c>
      <c r="O16" s="38">
        <f>SUM(M16:N16)</f>
        <v>2.2409999999999999E-3</v>
      </c>
      <c r="Q16" s="6">
        <f>SUM(Q13:Q15)</f>
        <v>2148.7064581410959</v>
      </c>
      <c r="S16"/>
      <c r="T16"/>
      <c r="U16"/>
    </row>
    <row r="17" spans="1:21" ht="15" x14ac:dyDescent="0.25">
      <c r="A17" s="16">
        <f t="shared" si="1"/>
        <v>10</v>
      </c>
      <c r="D17" s="7"/>
      <c r="E17" s="72"/>
      <c r="G17" s="7"/>
      <c r="H17" s="48"/>
      <c r="I17" s="7"/>
      <c r="J17" s="7"/>
      <c r="K17" s="8"/>
      <c r="L17" s="8"/>
      <c r="M17" s="39"/>
      <c r="N17" s="39"/>
      <c r="O17" s="39"/>
      <c r="Q17" s="7"/>
      <c r="S17"/>
      <c r="T17"/>
      <c r="U17"/>
    </row>
    <row r="18" spans="1:21" ht="15" x14ac:dyDescent="0.25">
      <c r="A18" s="16">
        <f t="shared" si="1"/>
        <v>11</v>
      </c>
      <c r="B18" s="12" t="s">
        <v>14</v>
      </c>
      <c r="D18" s="7"/>
      <c r="E18" s="72"/>
      <c r="G18" s="7"/>
      <c r="H18" s="48"/>
      <c r="I18" s="7"/>
      <c r="J18" s="7"/>
      <c r="K18" s="8"/>
      <c r="L18" s="8"/>
      <c r="M18" s="39"/>
      <c r="N18" s="39"/>
      <c r="O18" s="39"/>
      <c r="Q18" s="7"/>
      <c r="S18"/>
      <c r="T18"/>
      <c r="U18"/>
    </row>
    <row r="19" spans="1:21" ht="15" x14ac:dyDescent="0.25">
      <c r="A19" s="16">
        <f t="shared" si="1"/>
        <v>12</v>
      </c>
      <c r="B19" s="22" t="s">
        <v>25</v>
      </c>
      <c r="C19" s="63" t="s">
        <v>100</v>
      </c>
      <c r="D19" s="23">
        <f>+'+UE-180280 Compliance ECOS '!U70</f>
        <v>446875030.39957529</v>
      </c>
      <c r="E19" s="70">
        <f t="shared" ref="E19:E21" si="7">+D19/$D$35</f>
        <v>4.701126164575832E-2</v>
      </c>
      <c r="G19" s="23">
        <f>+E19*$G$37</f>
        <v>1477234.8497515866</v>
      </c>
      <c r="H19" s="41">
        <f t="shared" ref="H19:H20" si="8">+E19*$H$37</f>
        <v>1342596.5387006514</v>
      </c>
      <c r="I19" s="23">
        <f>SUM(G19:H19)</f>
        <v>2819831.3884522379</v>
      </c>
      <c r="J19" s="23"/>
      <c r="K19" s="14">
        <f>SUM('+Projected Revenue on F2017'!C21:C23)</f>
        <v>1425247000</v>
      </c>
      <c r="L19" s="14"/>
      <c r="M19" s="37">
        <f>ROUND(G19/$K19,6)</f>
        <v>1.036E-3</v>
      </c>
      <c r="N19" s="37">
        <f t="shared" ref="N19:N31" si="9">ROUND((H19)/$K19,6)</f>
        <v>9.4200000000000002E-4</v>
      </c>
      <c r="O19" s="37">
        <f t="shared" ref="O19:O20" si="10">SUM(M19:N19)</f>
        <v>1.9780000000000002E-3</v>
      </c>
      <c r="Q19" s="23">
        <f t="shared" ref="Q19:Q20" si="11">+O19*K19-I19</f>
        <v>-692.82245223782957</v>
      </c>
      <c r="R19" s="57"/>
      <c r="S19"/>
      <c r="T19"/>
      <c r="U19"/>
    </row>
    <row r="20" spans="1:21" ht="15" x14ac:dyDescent="0.25">
      <c r="A20" s="16">
        <f t="shared" si="1"/>
        <v>13</v>
      </c>
      <c r="B20" s="20" t="s">
        <v>15</v>
      </c>
      <c r="C20" s="19">
        <v>43</v>
      </c>
      <c r="D20" s="23">
        <f>+'+UE-180280 Compliance ECOS '!S70</f>
        <v>56760978.767045557</v>
      </c>
      <c r="E20" s="70">
        <f t="shared" si="7"/>
        <v>5.971256039302408E-3</v>
      </c>
      <c r="G20" s="23">
        <f>+E20*$G$37</f>
        <v>187634.77535479062</v>
      </c>
      <c r="H20" s="41">
        <f t="shared" si="8"/>
        <v>170533.34476476704</v>
      </c>
      <c r="I20" s="23">
        <f>SUM(G20:H20)</f>
        <v>358168.12011955766</v>
      </c>
      <c r="J20" s="23"/>
      <c r="K20" s="14">
        <f>SUM('+Projected Revenue on F2017'!C24)</f>
        <v>127202000</v>
      </c>
      <c r="L20" s="14"/>
      <c r="M20" s="37">
        <f>ROUND(G20/$K20,6)</f>
        <v>1.475E-3</v>
      </c>
      <c r="N20" s="37">
        <f t="shared" si="9"/>
        <v>1.341E-3</v>
      </c>
      <c r="O20" s="37">
        <f t="shared" si="10"/>
        <v>2.8159999999999999E-3</v>
      </c>
      <c r="Q20" s="23">
        <f t="shared" si="11"/>
        <v>32.711880442337133</v>
      </c>
      <c r="R20" s="57"/>
      <c r="S20"/>
      <c r="T20"/>
      <c r="U20"/>
    </row>
    <row r="21" spans="1:21" ht="15" x14ac:dyDescent="0.25">
      <c r="A21" s="16">
        <f t="shared" si="1"/>
        <v>14</v>
      </c>
      <c r="B21" s="18" t="s">
        <v>16</v>
      </c>
      <c r="D21" s="6">
        <f>SUM(D19:D20)</f>
        <v>503636009.16662085</v>
      </c>
      <c r="E21" s="71">
        <f t="shared" si="7"/>
        <v>5.2982517685060723E-2</v>
      </c>
      <c r="G21" s="6">
        <f>SUM(G19:G20)</f>
        <v>1664869.6251063771</v>
      </c>
      <c r="H21" s="47">
        <f>SUM(H19:H20)</f>
        <v>1513129.8834654184</v>
      </c>
      <c r="I21" s="6">
        <f>SUM(I19:I20)</f>
        <v>3177999.5085717957</v>
      </c>
      <c r="J21" s="6"/>
      <c r="K21" s="5">
        <f>SUM(K19:K20)</f>
        <v>1552449000</v>
      </c>
      <c r="L21" s="8"/>
      <c r="M21" s="38">
        <f>ROUND(G21/$K21,6)</f>
        <v>1.072E-3</v>
      </c>
      <c r="N21" s="38">
        <f t="shared" si="9"/>
        <v>9.7499999999999996E-4</v>
      </c>
      <c r="O21" s="38">
        <f>SUM(M21:N21)</f>
        <v>2.0470000000000002E-3</v>
      </c>
      <c r="Q21" s="6">
        <f>SUM(Q19:Q20)</f>
        <v>-660.11057179549243</v>
      </c>
      <c r="S21"/>
      <c r="T21"/>
      <c r="U21"/>
    </row>
    <row r="22" spans="1:21" ht="15" x14ac:dyDescent="0.25">
      <c r="A22" s="16">
        <f t="shared" si="1"/>
        <v>15</v>
      </c>
      <c r="D22" s="13"/>
      <c r="E22" s="73"/>
      <c r="G22" s="13"/>
      <c r="H22" s="35"/>
      <c r="I22" s="13"/>
      <c r="J22" s="13"/>
      <c r="K22" s="9"/>
      <c r="L22" s="32"/>
      <c r="M22" s="36"/>
      <c r="N22" s="36"/>
      <c r="O22" s="36"/>
      <c r="Q22" s="13"/>
      <c r="S22"/>
      <c r="T22"/>
      <c r="U22"/>
    </row>
    <row r="23" spans="1:21" ht="15" x14ac:dyDescent="0.25">
      <c r="A23" s="16">
        <f t="shared" si="1"/>
        <v>16</v>
      </c>
      <c r="B23" s="12" t="s">
        <v>17</v>
      </c>
      <c r="C23" s="19">
        <v>40</v>
      </c>
      <c r="D23" s="6">
        <f>+'+UE-180280 Compliance ECOS '!K70</f>
        <v>203194457.72693482</v>
      </c>
      <c r="E23" s="71">
        <f>+D23/$D$35</f>
        <v>2.13760607940604E-2</v>
      </c>
      <c r="G23" s="6">
        <f>+E23*$G$37</f>
        <v>671699.94699012151</v>
      </c>
      <c r="H23" s="47">
        <f>+E23*$H$37</f>
        <v>610479.79204254458</v>
      </c>
      <c r="I23" s="6">
        <f>SUM(G23:H23)</f>
        <v>1282179.7390326662</v>
      </c>
      <c r="J23" s="6"/>
      <c r="K23" s="5">
        <f>SUM('+Projected Revenue on F2017'!C27)</f>
        <v>586597000</v>
      </c>
      <c r="L23" s="8"/>
      <c r="M23" s="38">
        <f>ROUND(G23/$K23,6)</f>
        <v>1.145E-3</v>
      </c>
      <c r="N23" s="38">
        <f t="shared" si="9"/>
        <v>1.041E-3</v>
      </c>
      <c r="O23" s="38">
        <f>SUM(M23:N23)</f>
        <v>2.186E-3</v>
      </c>
      <c r="Q23" s="6">
        <f>+O23*K23-I23</f>
        <v>121.30296733370051</v>
      </c>
      <c r="R23" s="57"/>
      <c r="S23"/>
      <c r="T23"/>
      <c r="U23"/>
    </row>
    <row r="24" spans="1:21" ht="15" x14ac:dyDescent="0.25">
      <c r="A24" s="16">
        <f t="shared" si="1"/>
        <v>17</v>
      </c>
      <c r="D24" s="13"/>
      <c r="E24" s="73"/>
      <c r="G24" s="13"/>
      <c r="H24" s="35"/>
      <c r="I24" s="13"/>
      <c r="J24" s="13"/>
      <c r="K24" s="9"/>
      <c r="L24" s="32"/>
      <c r="M24" s="36"/>
      <c r="N24" s="36"/>
      <c r="O24" s="36"/>
      <c r="Q24" s="13"/>
      <c r="S24"/>
      <c r="T24"/>
      <c r="U24"/>
    </row>
    <row r="25" spans="1:21" ht="15" x14ac:dyDescent="0.25">
      <c r="A25" s="16">
        <f t="shared" si="1"/>
        <v>18</v>
      </c>
      <c r="B25" s="12" t="s">
        <v>27</v>
      </c>
      <c r="C25" s="63" t="s">
        <v>74</v>
      </c>
      <c r="D25" s="6">
        <f>+'+UE-180280 Compliance ECOS '!L70</f>
        <v>168505770.75160074</v>
      </c>
      <c r="E25" s="71">
        <f>+D25/$D$35</f>
        <v>1.7726810268500516E-2</v>
      </c>
      <c r="G25" s="6">
        <f>+E25*$G$37</f>
        <v>557029.54966166033</v>
      </c>
      <c r="H25" s="47">
        <f>+E25*$H$37</f>
        <v>506260.69744799868</v>
      </c>
      <c r="I25" s="6">
        <f>SUM(G25:H25)</f>
        <v>1063290.247109659</v>
      </c>
      <c r="J25" s="6"/>
      <c r="K25" s="5">
        <f>SUM('+Projected Revenue on F2017'!C29:C30)</f>
        <v>682326000</v>
      </c>
      <c r="L25" s="8"/>
      <c r="M25" s="38">
        <f>ROUND(G25/$K25,6)</f>
        <v>8.1599999999999999E-4</v>
      </c>
      <c r="N25" s="38">
        <f t="shared" si="9"/>
        <v>7.4200000000000004E-4</v>
      </c>
      <c r="O25" s="38">
        <f>SUM(M25:N25)</f>
        <v>1.5579999999999999E-3</v>
      </c>
      <c r="Q25" s="6">
        <f>+O25*K25-I25</f>
        <v>-226.33910965896212</v>
      </c>
      <c r="R25" s="57"/>
      <c r="S25"/>
      <c r="T25"/>
      <c r="U25"/>
    </row>
    <row r="26" spans="1:21" ht="15" x14ac:dyDescent="0.25">
      <c r="A26" s="16">
        <f t="shared" si="1"/>
        <v>19</v>
      </c>
      <c r="D26" s="13"/>
      <c r="E26" s="73"/>
      <c r="G26" s="13"/>
      <c r="H26" s="35"/>
      <c r="I26" s="13"/>
      <c r="J26" s="13"/>
      <c r="K26" s="9"/>
      <c r="L26" s="32"/>
      <c r="M26" s="36"/>
      <c r="N26" s="36"/>
      <c r="O26" s="36"/>
      <c r="Q26" s="13"/>
      <c r="S26"/>
      <c r="T26"/>
      <c r="U26"/>
    </row>
    <row r="27" spans="1:21" ht="15" x14ac:dyDescent="0.25">
      <c r="A27" s="16">
        <f t="shared" si="1"/>
        <v>20</v>
      </c>
      <c r="B27" s="12" t="s">
        <v>19</v>
      </c>
      <c r="C27" s="19" t="s">
        <v>20</v>
      </c>
      <c r="D27" s="6">
        <f>+'+UE-180280 Compliance ECOS '!N70</f>
        <v>103623580.21183598</v>
      </c>
      <c r="E27" s="71">
        <f>+D27/$D$35</f>
        <v>1.0901202597184708E-2</v>
      </c>
      <c r="G27" s="6">
        <f>+E27*$G$37</f>
        <v>342548.48342741164</v>
      </c>
      <c r="H27" s="47">
        <f>+E27*$H$37</f>
        <v>311327.88957973634</v>
      </c>
      <c r="I27" s="6">
        <f>SUM(G27:H27)</f>
        <v>653876.37300714804</v>
      </c>
      <c r="J27" s="6"/>
      <c r="K27" s="5">
        <f>SUM('+Projected Revenue on F2017'!C33)</f>
        <v>71427000</v>
      </c>
      <c r="L27" s="8"/>
      <c r="M27" s="38">
        <f>ROUND(G27/$K27,6)</f>
        <v>4.7959999999999999E-3</v>
      </c>
      <c r="N27" s="38">
        <f t="shared" si="9"/>
        <v>4.359E-3</v>
      </c>
      <c r="O27" s="38">
        <f>SUM(M27:N27)</f>
        <v>9.1549999999999999E-3</v>
      </c>
      <c r="Q27" s="6">
        <f>+O27*K27-I27</f>
        <v>37.811992851900868</v>
      </c>
      <c r="R27" s="57"/>
      <c r="S27"/>
      <c r="T27"/>
      <c r="U27"/>
    </row>
    <row r="28" spans="1:21" ht="15" x14ac:dyDescent="0.25">
      <c r="A28" s="16">
        <f t="shared" si="1"/>
        <v>21</v>
      </c>
      <c r="C28" s="19"/>
      <c r="D28" s="13"/>
      <c r="E28" s="73"/>
      <c r="G28" s="13"/>
      <c r="H28" s="35"/>
      <c r="I28" s="13"/>
      <c r="J28" s="13"/>
      <c r="K28" s="9"/>
      <c r="L28" s="32"/>
      <c r="M28" s="36"/>
      <c r="N28" s="36"/>
      <c r="O28" s="36"/>
      <c r="Q28" s="13"/>
      <c r="S28"/>
      <c r="T28"/>
      <c r="U28"/>
    </row>
    <row r="29" spans="1:21" ht="15" x14ac:dyDescent="0.25">
      <c r="A29" s="16">
        <f t="shared" si="1"/>
        <v>22</v>
      </c>
      <c r="B29" s="18" t="s">
        <v>24</v>
      </c>
      <c r="C29" s="21" t="s">
        <v>75</v>
      </c>
      <c r="D29" s="6">
        <f>+'+UE-180280 Compliance ECOS '!M70</f>
        <v>8251261.5867248578</v>
      </c>
      <c r="E29" s="71">
        <f>+D29/$D$35</f>
        <v>8.6803287490525645E-4</v>
      </c>
      <c r="G29" s="6">
        <f>+E29*$G$37</f>
        <v>27276.196567589908</v>
      </c>
      <c r="H29" s="47">
        <f>+E29*$H$37</f>
        <v>24790.186277234803</v>
      </c>
      <c r="I29" s="6">
        <f>SUM(G29:H29)</f>
        <v>52066.382844824708</v>
      </c>
      <c r="J29" s="6"/>
      <c r="K29" s="5">
        <f>SUM('+Projected Revenue on F2017'!C35)</f>
        <v>2024995000</v>
      </c>
      <c r="L29" s="8"/>
      <c r="M29" s="38">
        <f>ROUND(G29/$K29,6)</f>
        <v>1.2999999999999999E-5</v>
      </c>
      <c r="N29" s="38">
        <f t="shared" si="9"/>
        <v>1.2E-5</v>
      </c>
      <c r="O29" s="38">
        <f>SUM(M29:N29)</f>
        <v>2.4999999999999998E-5</v>
      </c>
      <c r="Q29" s="6">
        <f>+O29*K29-I29</f>
        <v>-1441.507844824715</v>
      </c>
      <c r="R29" s="57"/>
      <c r="S29"/>
      <c r="T29"/>
      <c r="U29"/>
    </row>
    <row r="30" spans="1:21" ht="15" x14ac:dyDescent="0.25">
      <c r="A30" s="16">
        <f t="shared" si="1"/>
        <v>23</v>
      </c>
      <c r="D30" s="13"/>
      <c r="E30" s="73"/>
      <c r="G30" s="13"/>
      <c r="H30" s="35"/>
      <c r="I30" s="13"/>
      <c r="J30" s="13"/>
      <c r="K30" s="9"/>
      <c r="L30" s="32"/>
      <c r="M30" s="36"/>
      <c r="N30" s="36"/>
      <c r="O30" s="36"/>
      <c r="Q30" s="13"/>
      <c r="S30"/>
      <c r="T30"/>
      <c r="U30"/>
    </row>
    <row r="31" spans="1:21" ht="15.75" thickBot="1" x14ac:dyDescent="0.3">
      <c r="A31" s="16">
        <f t="shared" si="1"/>
        <v>24</v>
      </c>
      <c r="B31" s="15" t="s">
        <v>21</v>
      </c>
      <c r="D31" s="11">
        <f>SUM(D10,D16,D21,D23,D25,D27,D29)</f>
        <v>9502439475.7574692</v>
      </c>
      <c r="E31" s="74">
        <f>+D31/$D$35</f>
        <v>0.99965681248374683</v>
      </c>
      <c r="G31" s="11">
        <f>SUM(G10,G16,G21,G23,G25,G27,G29)</f>
        <v>31412215.488282222</v>
      </c>
      <c r="H31" s="49">
        <f>SUM(H10,H16,H21,H23,H25,H27,H29)</f>
        <v>28549239.678835578</v>
      </c>
      <c r="I31" s="11">
        <f>SUM(I10,I16,I21,I23,I25,I27,I29)</f>
        <v>59961455.167117804</v>
      </c>
      <c r="J31" s="11"/>
      <c r="K31" s="10">
        <f>SUM(K10,K16,K21,K23,K25,K27,K29)</f>
        <v>24115538000</v>
      </c>
      <c r="L31" s="8"/>
      <c r="M31" s="40">
        <f>ROUND(G31/$K31,6)</f>
        <v>1.3029999999999999E-3</v>
      </c>
      <c r="N31" s="40">
        <f t="shared" si="9"/>
        <v>1.1839999999999999E-3</v>
      </c>
      <c r="O31" s="40">
        <f>SUM(M31:N31)</f>
        <v>2.4869999999999996E-3</v>
      </c>
      <c r="Q31" s="11">
        <f>SUM(Q10,Q16,Q21,Q23,Q25,Q27,Q29)</f>
        <v>-6931.7261177982655</v>
      </c>
      <c r="S31"/>
      <c r="T31"/>
      <c r="U31"/>
    </row>
    <row r="32" spans="1:21" ht="15.75" thickTop="1" x14ac:dyDescent="0.25">
      <c r="A32" s="16">
        <f t="shared" si="1"/>
        <v>25</v>
      </c>
      <c r="D32" s="17"/>
      <c r="E32" s="75"/>
      <c r="G32" s="17"/>
      <c r="H32" s="17"/>
      <c r="I32" s="17"/>
      <c r="J32" s="17"/>
      <c r="K32" s="33"/>
      <c r="L32" s="8"/>
      <c r="M32" s="62"/>
      <c r="N32" s="62"/>
      <c r="O32" s="62"/>
      <c r="Q32" s="17"/>
      <c r="S32"/>
      <c r="T32"/>
      <c r="U32"/>
    </row>
    <row r="33" spans="1:21" ht="15" x14ac:dyDescent="0.25">
      <c r="A33" s="16">
        <f t="shared" si="1"/>
        <v>26</v>
      </c>
      <c r="B33" s="15" t="s">
        <v>23</v>
      </c>
      <c r="D33" s="6">
        <f>+'+UE-180280 Compliance ECOS '!O70</f>
        <v>3262238.1614442412</v>
      </c>
      <c r="E33" s="71">
        <f>+D33/$D$35</f>
        <v>3.4318751625326557E-4</v>
      </c>
      <c r="G33" s="6">
        <f>+E33*$G$37</f>
        <v>10783.981141139086</v>
      </c>
      <c r="H33" s="47">
        <f>+E33*$H$37</f>
        <v>9801.1062736173353</v>
      </c>
      <c r="I33" s="6">
        <f>SUM(G33:H33)</f>
        <v>20585.087414756421</v>
      </c>
      <c r="J33" s="6"/>
      <c r="K33" s="5">
        <f>SUM('+Projected Revenue on F2017'!C39)</f>
        <v>7066000</v>
      </c>
      <c r="L33" s="8"/>
      <c r="M33" s="38"/>
      <c r="N33" s="38"/>
      <c r="O33" s="38"/>
      <c r="Q33" s="6"/>
      <c r="R33" s="57"/>
      <c r="S33"/>
      <c r="T33"/>
      <c r="U33"/>
    </row>
    <row r="34" spans="1:21" ht="15" x14ac:dyDescent="0.25">
      <c r="A34" s="16">
        <f t="shared" si="1"/>
        <v>27</v>
      </c>
      <c r="D34" s="13"/>
      <c r="E34" s="73"/>
      <c r="G34" s="13"/>
      <c r="H34" s="35"/>
      <c r="I34" s="13"/>
      <c r="J34" s="13"/>
      <c r="K34" s="9"/>
      <c r="L34" s="32"/>
      <c r="M34" s="36"/>
      <c r="N34" s="36"/>
      <c r="O34" s="36"/>
      <c r="Q34" s="13"/>
      <c r="S34"/>
      <c r="T34"/>
      <c r="U34"/>
    </row>
    <row r="35" spans="1:21" ht="15.75" thickBot="1" x14ac:dyDescent="0.3">
      <c r="A35" s="16">
        <f t="shared" si="1"/>
        <v>28</v>
      </c>
      <c r="B35" s="15" t="s">
        <v>22</v>
      </c>
      <c r="D35" s="11">
        <f>SUM(D31,D33)</f>
        <v>9505701713.9189129</v>
      </c>
      <c r="E35" s="74">
        <f>SUM(E31,E33)</f>
        <v>1</v>
      </c>
      <c r="G35" s="11">
        <f>SUM(G31,G33)</f>
        <v>31422999.469423361</v>
      </c>
      <c r="H35" s="49">
        <f>SUM(H31,H33)</f>
        <v>28559040.785109196</v>
      </c>
      <c r="I35" s="11">
        <f>SUM(I31,I33)</f>
        <v>59982040.254532561</v>
      </c>
      <c r="J35" s="11"/>
      <c r="K35" s="10">
        <f>SUM(K31,K33)</f>
        <v>24122604000</v>
      </c>
      <c r="L35" s="8"/>
      <c r="M35" s="40">
        <f>ROUND(G35/$K35,6)</f>
        <v>1.3029999999999999E-3</v>
      </c>
      <c r="N35" s="40">
        <f t="shared" ref="N35" si="12">ROUND((H35)/$K35,6)</f>
        <v>1.1839999999999999E-3</v>
      </c>
      <c r="O35" s="40">
        <f>SUM(M35:N35)</f>
        <v>2.4869999999999996E-3</v>
      </c>
      <c r="P35" s="57"/>
      <c r="Q35" s="11">
        <f>SUM(Q31,Q33)</f>
        <v>-6931.7261177982655</v>
      </c>
      <c r="R35" s="57"/>
      <c r="S35"/>
      <c r="T35"/>
      <c r="U35"/>
    </row>
    <row r="36" spans="1:21" ht="13.5" thickTop="1" x14ac:dyDescent="0.2">
      <c r="A36" s="16">
        <f t="shared" si="1"/>
        <v>29</v>
      </c>
      <c r="P36" s="58"/>
      <c r="R36" s="57"/>
    </row>
    <row r="37" spans="1:21" ht="13.5" thickBot="1" x14ac:dyDescent="0.25">
      <c r="A37" s="16">
        <f t="shared" si="1"/>
        <v>30</v>
      </c>
      <c r="B37" s="12" t="s">
        <v>79</v>
      </c>
      <c r="D37" s="13"/>
      <c r="G37" s="195">
        <f>+'+2019 FINAL Rev Req'!H18</f>
        <v>31422999.469423361</v>
      </c>
      <c r="H37" s="195">
        <f>+'+2019 FINAL Rev Req'!H19</f>
        <v>28559040.785109192</v>
      </c>
      <c r="I37" s="195">
        <f>SUM(G37:H37)</f>
        <v>59982040.254532553</v>
      </c>
    </row>
    <row r="38" spans="1:21" ht="13.5" thickTop="1" x14ac:dyDescent="0.2">
      <c r="G38" s="55" t="s">
        <v>6</v>
      </c>
      <c r="H38" s="55" t="s">
        <v>7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60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28"/>
  <sheetViews>
    <sheetView workbookViewId="0">
      <selection activeCell="C7" sqref="C7"/>
    </sheetView>
  </sheetViews>
  <sheetFormatPr defaultRowHeight="15" x14ac:dyDescent="0.25"/>
  <cols>
    <col min="1" max="1" width="7.28515625" bestFit="1" customWidth="1"/>
    <col min="2" max="2" width="39.28515625" bestFit="1" customWidth="1"/>
    <col min="3" max="3" width="13.5703125" bestFit="1" customWidth="1"/>
    <col min="4" max="5" width="10.7109375" bestFit="1" customWidth="1"/>
  </cols>
  <sheetData>
    <row r="1" spans="1:6" x14ac:dyDescent="0.25">
      <c r="A1" s="252" t="s">
        <v>0</v>
      </c>
      <c r="B1" s="252"/>
      <c r="C1" s="252"/>
      <c r="D1" s="252"/>
      <c r="E1" s="252"/>
    </row>
    <row r="2" spans="1:6" x14ac:dyDescent="0.25">
      <c r="A2" s="253" t="s">
        <v>372</v>
      </c>
      <c r="B2" s="252"/>
      <c r="C2" s="252"/>
      <c r="D2" s="252"/>
      <c r="E2" s="252"/>
    </row>
    <row r="3" spans="1:6" x14ac:dyDescent="0.25">
      <c r="A3" s="253" t="s">
        <v>373</v>
      </c>
      <c r="B3" s="252"/>
      <c r="C3" s="252"/>
      <c r="D3" s="252"/>
      <c r="E3" s="252"/>
    </row>
    <row r="4" spans="1:6" x14ac:dyDescent="0.25">
      <c r="A4" s="253" t="s">
        <v>383</v>
      </c>
      <c r="B4" s="252"/>
      <c r="C4" s="252"/>
      <c r="D4" s="252"/>
      <c r="E4" s="252"/>
    </row>
    <row r="5" spans="1:6" x14ac:dyDescent="0.25">
      <c r="A5" s="64"/>
      <c r="B5" s="64"/>
      <c r="C5" s="64"/>
      <c r="D5" s="64"/>
      <c r="E5" s="64"/>
    </row>
    <row r="6" spans="1:6" ht="30" x14ac:dyDescent="0.25">
      <c r="A6" s="203" t="s">
        <v>374</v>
      </c>
      <c r="B6" s="204" t="s">
        <v>375</v>
      </c>
      <c r="C6" s="205" t="s">
        <v>38</v>
      </c>
      <c r="D6" s="205" t="s">
        <v>376</v>
      </c>
      <c r="E6" s="206" t="s">
        <v>377</v>
      </c>
    </row>
    <row r="7" spans="1:6" x14ac:dyDescent="0.25">
      <c r="A7" s="178">
        <v>1</v>
      </c>
      <c r="B7" s="191" t="s">
        <v>384</v>
      </c>
      <c r="C7" s="207">
        <f>SUM(D7:E7)</f>
        <v>52066.382844824708</v>
      </c>
      <c r="D7" s="207">
        <f>+'+FINAL 2019 Prop Tax Rate Des'!G29</f>
        <v>27276.196567589908</v>
      </c>
      <c r="E7" s="207">
        <f>+'+FINAL 2019 Prop Tax Rate Des'!H29</f>
        <v>24790.186277234803</v>
      </c>
    </row>
    <row r="8" spans="1:6" x14ac:dyDescent="0.25">
      <c r="A8" s="178">
        <f t="shared" ref="A8:A10" si="0">+A7+1</f>
        <v>2</v>
      </c>
      <c r="B8" s="191" t="s">
        <v>385</v>
      </c>
      <c r="C8" s="208">
        <f>+F28</f>
        <v>3581329.8071437776</v>
      </c>
      <c r="D8" s="209"/>
      <c r="E8" s="209"/>
    </row>
    <row r="9" spans="1:6" x14ac:dyDescent="0.25">
      <c r="A9" s="178">
        <f t="shared" si="0"/>
        <v>3</v>
      </c>
      <c r="B9" s="64" t="s">
        <v>378</v>
      </c>
      <c r="C9" s="210">
        <f>SUM(D9:E9)</f>
        <v>1.4999999999999999E-2</v>
      </c>
      <c r="D9" s="210">
        <f>ROUND(D7/$C$8,3)</f>
        <v>8.0000000000000002E-3</v>
      </c>
      <c r="E9" s="210">
        <f>ROUND(E7/$C$8,3)</f>
        <v>7.0000000000000001E-3</v>
      </c>
    </row>
    <row r="10" spans="1:6" x14ac:dyDescent="0.25">
      <c r="A10" s="178">
        <f t="shared" si="0"/>
        <v>4</v>
      </c>
      <c r="B10" s="64"/>
      <c r="C10" s="64"/>
      <c r="D10" s="64"/>
      <c r="E10" s="64"/>
    </row>
    <row r="11" spans="1:6" x14ac:dyDescent="0.25">
      <c r="A11" s="64"/>
      <c r="B11" s="64"/>
      <c r="C11" s="64"/>
      <c r="D11" s="64"/>
      <c r="E11" s="64"/>
    </row>
    <row r="12" spans="1:6" ht="21" x14ac:dyDescent="0.35">
      <c r="A12" s="254" t="s">
        <v>386</v>
      </c>
      <c r="B12" s="255"/>
      <c r="C12" s="255"/>
      <c r="D12" s="255"/>
      <c r="E12" s="255"/>
      <c r="F12" s="256"/>
    </row>
    <row r="13" spans="1:6" ht="21" x14ac:dyDescent="0.35">
      <c r="A13" s="249" t="s">
        <v>387</v>
      </c>
      <c r="B13" s="250"/>
      <c r="C13" s="250"/>
      <c r="D13" s="250"/>
      <c r="E13" s="250"/>
      <c r="F13" s="251"/>
    </row>
    <row r="14" spans="1:6" ht="15.75" x14ac:dyDescent="0.25">
      <c r="A14" s="211"/>
      <c r="B14" s="212"/>
      <c r="C14" s="212"/>
      <c r="D14" s="212"/>
      <c r="E14" s="212"/>
      <c r="F14" s="213"/>
    </row>
    <row r="15" spans="1:6" x14ac:dyDescent="0.25">
      <c r="A15" s="214" t="s">
        <v>379</v>
      </c>
      <c r="B15" s="215" t="s">
        <v>37</v>
      </c>
      <c r="C15" s="214" t="s">
        <v>380</v>
      </c>
      <c r="D15" s="216" t="s">
        <v>381</v>
      </c>
      <c r="E15" s="216" t="s">
        <v>382</v>
      </c>
      <c r="F15" s="215" t="s">
        <v>38</v>
      </c>
    </row>
    <row r="16" spans="1:6" x14ac:dyDescent="0.25">
      <c r="A16" s="217">
        <v>2019</v>
      </c>
      <c r="B16" s="218">
        <v>5</v>
      </c>
      <c r="C16" s="219">
        <v>11352.262174192092</v>
      </c>
      <c r="D16" s="220">
        <v>265053.27395790804</v>
      </c>
      <c r="E16" s="220">
        <v>44766.540718238182</v>
      </c>
      <c r="F16" s="221">
        <f t="shared" ref="F16:F27" si="1">SUM(C16:E16)</f>
        <v>321172.07685033832</v>
      </c>
    </row>
    <row r="17" spans="1:6" x14ac:dyDescent="0.25">
      <c r="A17" s="217"/>
      <c r="B17" s="218">
        <v>6</v>
      </c>
      <c r="C17" s="219">
        <v>10971.71059586224</v>
      </c>
      <c r="D17" s="220">
        <v>240272.79559030442</v>
      </c>
      <c r="E17" s="220">
        <v>46678.962225469681</v>
      </c>
      <c r="F17" s="221">
        <f t="shared" si="1"/>
        <v>297923.46841163636</v>
      </c>
    </row>
    <row r="18" spans="1:6" x14ac:dyDescent="0.25">
      <c r="A18" s="217"/>
      <c r="B18" s="218">
        <v>7</v>
      </c>
      <c r="C18" s="219">
        <v>10709.924727519663</v>
      </c>
      <c r="D18" s="220">
        <v>243642.65587081778</v>
      </c>
      <c r="E18" s="220">
        <v>46288.352017079604</v>
      </c>
      <c r="F18" s="221">
        <f t="shared" si="1"/>
        <v>300640.93261541706</v>
      </c>
    </row>
    <row r="19" spans="1:6" x14ac:dyDescent="0.25">
      <c r="A19" s="217"/>
      <c r="B19" s="218">
        <v>8</v>
      </c>
      <c r="C19" s="219">
        <v>10826.811778597432</v>
      </c>
      <c r="D19" s="220">
        <v>242155.29213896589</v>
      </c>
      <c r="E19" s="220">
        <v>45654.797036562071</v>
      </c>
      <c r="F19" s="221">
        <f t="shared" si="1"/>
        <v>298636.90095412539</v>
      </c>
    </row>
    <row r="20" spans="1:6" x14ac:dyDescent="0.25">
      <c r="A20" s="217"/>
      <c r="B20" s="218">
        <v>9</v>
      </c>
      <c r="C20" s="219">
        <v>10086.96532076987</v>
      </c>
      <c r="D20" s="220">
        <v>236016.15069371043</v>
      </c>
      <c r="E20" s="220">
        <v>47895.899467894291</v>
      </c>
      <c r="F20" s="221">
        <f t="shared" si="1"/>
        <v>293999.01548237458</v>
      </c>
    </row>
    <row r="21" spans="1:6" x14ac:dyDescent="0.25">
      <c r="A21" s="217"/>
      <c r="B21" s="218">
        <v>10</v>
      </c>
      <c r="C21" s="219">
        <v>9447.8701836171003</v>
      </c>
      <c r="D21" s="220">
        <v>225873.76933317035</v>
      </c>
      <c r="E21" s="220">
        <v>48245.098756593085</v>
      </c>
      <c r="F21" s="221">
        <f t="shared" si="1"/>
        <v>283566.73827338056</v>
      </c>
    </row>
    <row r="22" spans="1:6" x14ac:dyDescent="0.25">
      <c r="A22" s="217"/>
      <c r="B22" s="218">
        <v>11</v>
      </c>
      <c r="C22" s="219">
        <v>9760.9399875080726</v>
      </c>
      <c r="D22" s="220">
        <v>231089.01014823015</v>
      </c>
      <c r="E22" s="220">
        <v>48047.846701708972</v>
      </c>
      <c r="F22" s="221">
        <f t="shared" si="1"/>
        <v>288897.79683744721</v>
      </c>
    </row>
    <row r="23" spans="1:6" x14ac:dyDescent="0.25">
      <c r="A23" s="222"/>
      <c r="B23" s="223">
        <v>12</v>
      </c>
      <c r="C23" s="224">
        <v>10006.528961017239</v>
      </c>
      <c r="D23" s="225">
        <v>239346.03631798926</v>
      </c>
      <c r="E23" s="225">
        <v>46252.528199127933</v>
      </c>
      <c r="F23" s="226">
        <f t="shared" si="1"/>
        <v>295605.09347813443</v>
      </c>
    </row>
    <row r="24" spans="1:6" x14ac:dyDescent="0.25">
      <c r="A24" s="217">
        <v>2020</v>
      </c>
      <c r="B24" s="218">
        <v>1</v>
      </c>
      <c r="C24" s="219">
        <v>11207.519247806373</v>
      </c>
      <c r="D24" s="220">
        <v>244726.22865983992</v>
      </c>
      <c r="E24" s="220">
        <v>46016.596601855468</v>
      </c>
      <c r="F24" s="221">
        <f t="shared" si="1"/>
        <v>301950.34450950177</v>
      </c>
    </row>
    <row r="25" spans="1:6" x14ac:dyDescent="0.25">
      <c r="A25" s="217"/>
      <c r="B25" s="218">
        <v>2</v>
      </c>
      <c r="C25" s="219">
        <v>10976.140738991677</v>
      </c>
      <c r="D25" s="220">
        <v>250006.57735538663</v>
      </c>
      <c r="E25" s="220">
        <v>45401.325658314265</v>
      </c>
      <c r="F25" s="221">
        <f t="shared" si="1"/>
        <v>306384.04375269258</v>
      </c>
    </row>
    <row r="26" spans="1:6" x14ac:dyDescent="0.25">
      <c r="A26" s="217"/>
      <c r="B26" s="218">
        <v>3</v>
      </c>
      <c r="C26" s="219">
        <v>10374.073072709354</v>
      </c>
      <c r="D26" s="220">
        <v>249521.54136555979</v>
      </c>
      <c r="E26" s="220">
        <v>45480.216324902991</v>
      </c>
      <c r="F26" s="221">
        <f t="shared" si="1"/>
        <v>305375.83076317213</v>
      </c>
    </row>
    <row r="27" spans="1:6" x14ac:dyDescent="0.25">
      <c r="A27" s="222"/>
      <c r="B27" s="223">
        <v>4</v>
      </c>
      <c r="C27" s="224">
        <v>10556.320692523197</v>
      </c>
      <c r="D27" s="225">
        <v>234440.3955003848</v>
      </c>
      <c r="E27" s="225">
        <v>42180.84902264909</v>
      </c>
      <c r="F27" s="226">
        <f t="shared" si="1"/>
        <v>287177.56521555712</v>
      </c>
    </row>
    <row r="28" spans="1:6" x14ac:dyDescent="0.25">
      <c r="A28" s="227"/>
      <c r="B28" s="79" t="s">
        <v>38</v>
      </c>
      <c r="C28" s="225">
        <f>SUM(C16:C27)</f>
        <v>126277.06748111428</v>
      </c>
      <c r="D28" s="225">
        <f>SUM(D16:D27)</f>
        <v>2902143.7269322677</v>
      </c>
      <c r="E28" s="225">
        <f>SUM(E16:E27)</f>
        <v>552909.01273039565</v>
      </c>
      <c r="F28" s="226">
        <f>SUM(F16:F27)</f>
        <v>3581329.8071437776</v>
      </c>
    </row>
  </sheetData>
  <mergeCells count="6">
    <mergeCell ref="A13:F13"/>
    <mergeCell ref="A1:E1"/>
    <mergeCell ref="A2:E2"/>
    <mergeCell ref="A3:E3"/>
    <mergeCell ref="A4:E4"/>
    <mergeCell ref="A12:F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workbookViewId="0">
      <pane xSplit="5" ySplit="6" topLeftCell="F61" activePane="bottomRight" state="frozen"/>
      <selection activeCell="D39" sqref="D39"/>
      <selection pane="topRight" activeCell="D39" sqref="D39"/>
      <selection pane="bottomLeft" activeCell="D39" sqref="D39"/>
      <selection pane="bottomRight" activeCell="G66" sqref="G66"/>
    </sheetView>
  </sheetViews>
  <sheetFormatPr defaultRowHeight="15" x14ac:dyDescent="0.25"/>
  <cols>
    <col min="1" max="1" width="8.28515625" bestFit="1" customWidth="1"/>
    <col min="2" max="2" width="7.28515625" bestFit="1" customWidth="1"/>
    <col min="3" max="3" width="45.5703125" customWidth="1"/>
    <col min="4" max="4" width="9.42578125" bestFit="1" customWidth="1"/>
    <col min="5" max="8" width="15.140625" bestFit="1" customWidth="1"/>
    <col min="9" max="14" width="13.5703125" bestFit="1" customWidth="1"/>
    <col min="15" max="15" width="11.42578125" bestFit="1" customWidth="1"/>
    <col min="17" max="17" width="13.5703125" bestFit="1" customWidth="1"/>
    <col min="18" max="18" width="11.42578125" bestFit="1" customWidth="1"/>
    <col min="19" max="19" width="12.42578125" bestFit="1" customWidth="1"/>
    <col min="20" max="21" width="13.5703125" bestFit="1" customWidth="1"/>
  </cols>
  <sheetData>
    <row r="1" spans="1:21" x14ac:dyDescent="0.25">
      <c r="A1" s="257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172"/>
      <c r="Q1" s="172"/>
      <c r="R1" s="172"/>
      <c r="S1" s="172"/>
      <c r="T1" s="172"/>
      <c r="U1" s="172"/>
    </row>
    <row r="2" spans="1:21" x14ac:dyDescent="0.25">
      <c r="A2" s="258" t="s">
        <v>236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172"/>
      <c r="Q2" s="172"/>
      <c r="R2" s="172"/>
      <c r="S2" s="172"/>
      <c r="T2" s="172"/>
      <c r="U2" s="172"/>
    </row>
    <row r="3" spans="1:21" x14ac:dyDescent="0.25">
      <c r="A3" s="257" t="s">
        <v>337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172"/>
      <c r="Q3" s="172"/>
      <c r="R3" s="172"/>
      <c r="S3" s="172"/>
      <c r="T3" s="172"/>
      <c r="U3" s="172"/>
    </row>
    <row r="4" spans="1:21" x14ac:dyDescent="0.25">
      <c r="A4" s="138"/>
      <c r="B4" s="138"/>
      <c r="C4" s="138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</row>
    <row r="5" spans="1:21" ht="51.75" x14ac:dyDescent="0.25">
      <c r="A5" s="139" t="s">
        <v>1</v>
      </c>
      <c r="B5" s="139" t="s">
        <v>237</v>
      </c>
      <c r="C5" s="170" t="s">
        <v>238</v>
      </c>
      <c r="D5" s="139" t="s">
        <v>239</v>
      </c>
      <c r="E5" s="139" t="s">
        <v>38</v>
      </c>
      <c r="F5" s="139" t="s">
        <v>328</v>
      </c>
      <c r="G5" s="139" t="s">
        <v>329</v>
      </c>
      <c r="H5" s="139" t="s">
        <v>330</v>
      </c>
      <c r="I5" s="139" t="s">
        <v>331</v>
      </c>
      <c r="J5" s="139" t="s">
        <v>332</v>
      </c>
      <c r="K5" s="139" t="s">
        <v>333</v>
      </c>
      <c r="L5" s="139" t="s">
        <v>334</v>
      </c>
      <c r="M5" s="139" t="s">
        <v>335</v>
      </c>
      <c r="N5" s="139" t="s">
        <v>336</v>
      </c>
      <c r="O5" s="139" t="s">
        <v>338</v>
      </c>
      <c r="P5" s="171"/>
      <c r="Q5" s="142" t="s">
        <v>320</v>
      </c>
      <c r="R5" s="142" t="s">
        <v>321</v>
      </c>
      <c r="S5" s="142" t="s">
        <v>322</v>
      </c>
      <c r="T5" s="142" t="s">
        <v>323</v>
      </c>
      <c r="U5" s="142" t="s">
        <v>324</v>
      </c>
    </row>
    <row r="6" spans="1:21" x14ac:dyDescent="0.25">
      <c r="A6" s="171"/>
      <c r="B6" s="171" t="s">
        <v>33</v>
      </c>
      <c r="C6" s="171" t="s">
        <v>32</v>
      </c>
      <c r="D6" s="171" t="s">
        <v>31</v>
      </c>
      <c r="E6" s="171" t="s">
        <v>35</v>
      </c>
      <c r="F6" s="171" t="s">
        <v>34</v>
      </c>
      <c r="G6" s="171" t="s">
        <v>30</v>
      </c>
      <c r="H6" s="171" t="s">
        <v>172</v>
      </c>
      <c r="I6" s="171" t="s">
        <v>104</v>
      </c>
      <c r="J6" s="171" t="s">
        <v>240</v>
      </c>
      <c r="K6" s="171" t="s">
        <v>241</v>
      </c>
      <c r="L6" s="171" t="s">
        <v>173</v>
      </c>
      <c r="M6" s="171" t="s">
        <v>174</v>
      </c>
      <c r="N6" s="171" t="s">
        <v>175</v>
      </c>
      <c r="O6" s="171" t="s">
        <v>176</v>
      </c>
      <c r="P6" s="171"/>
      <c r="Q6" s="171"/>
      <c r="R6" s="171"/>
      <c r="S6" s="171"/>
      <c r="T6" s="171"/>
      <c r="U6" s="171"/>
    </row>
    <row r="7" spans="1:21" x14ac:dyDescent="0.25">
      <c r="A7" s="138">
        <v>1</v>
      </c>
      <c r="B7" s="138"/>
      <c r="C7" s="140" t="s">
        <v>242</v>
      </c>
      <c r="D7" s="169"/>
      <c r="E7" s="169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</row>
    <row r="8" spans="1:21" x14ac:dyDescent="0.25">
      <c r="A8" s="138">
        <f t="shared" ref="A8:A70" si="0">+A7+1</f>
        <v>2</v>
      </c>
      <c r="B8" s="138"/>
      <c r="C8" s="138"/>
      <c r="D8" s="169"/>
      <c r="E8" s="169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</row>
    <row r="9" spans="1:21" x14ac:dyDescent="0.25">
      <c r="A9" s="138">
        <f t="shared" si="0"/>
        <v>3</v>
      </c>
      <c r="B9" s="138"/>
      <c r="C9" s="140" t="s">
        <v>243</v>
      </c>
      <c r="D9" s="169"/>
      <c r="E9" s="169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</row>
    <row r="10" spans="1:21" x14ac:dyDescent="0.25">
      <c r="A10" s="138">
        <f t="shared" si="0"/>
        <v>4</v>
      </c>
      <c r="B10" s="138"/>
      <c r="C10" s="140" t="s">
        <v>244</v>
      </c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</row>
    <row r="11" spans="1:21" x14ac:dyDescent="0.25">
      <c r="A11" s="138">
        <f t="shared" si="0"/>
        <v>5</v>
      </c>
      <c r="B11" s="173">
        <v>300</v>
      </c>
      <c r="C11" s="138" t="s">
        <v>245</v>
      </c>
      <c r="D11" s="169" t="s">
        <v>246</v>
      </c>
      <c r="E11" s="174">
        <v>71973279</v>
      </c>
      <c r="F11" s="174">
        <v>38454075.971436448</v>
      </c>
      <c r="G11" s="174">
        <v>9427408.3280417956</v>
      </c>
      <c r="H11" s="174">
        <v>9518487.5898792371</v>
      </c>
      <c r="I11" s="174">
        <v>6156137.3929111613</v>
      </c>
      <c r="J11" s="174">
        <v>4380202.8235320868</v>
      </c>
      <c r="K11" s="174">
        <v>1914522.9679305665</v>
      </c>
      <c r="L11" s="174">
        <v>1837841.8877231576</v>
      </c>
      <c r="M11" s="174">
        <v>0</v>
      </c>
      <c r="N11" s="174">
        <v>260129.32749372019</v>
      </c>
      <c r="O11" s="174">
        <v>24472.711051832724</v>
      </c>
      <c r="P11" s="169"/>
      <c r="Q11" s="174">
        <v>4066700.2176939882</v>
      </c>
      <c r="R11" s="174">
        <v>11134.274188423173</v>
      </c>
      <c r="S11" s="174">
        <v>302368.33164967579</v>
      </c>
      <c r="T11" s="174">
        <f>SUM(Q11:S11)</f>
        <v>4380202.8235320868</v>
      </c>
      <c r="U11" s="174">
        <f>SUM(Q11:R11)</f>
        <v>4077834.4918824113</v>
      </c>
    </row>
    <row r="12" spans="1:21" x14ac:dyDescent="0.25">
      <c r="A12" s="138">
        <f t="shared" si="0"/>
        <v>6</v>
      </c>
      <c r="B12" s="173">
        <v>300.01</v>
      </c>
      <c r="C12" s="138" t="s">
        <v>247</v>
      </c>
      <c r="D12" s="169" t="s">
        <v>248</v>
      </c>
      <c r="E12" s="174">
        <v>83029</v>
      </c>
      <c r="F12" s="174">
        <v>44360.956151968523</v>
      </c>
      <c r="G12" s="174">
        <v>10875.540158021457</v>
      </c>
      <c r="H12" s="174">
        <v>10980.609985826592</v>
      </c>
      <c r="I12" s="174">
        <v>7101.7735845551915</v>
      </c>
      <c r="J12" s="174">
        <v>5053.0400349697238</v>
      </c>
      <c r="K12" s="174">
        <v>2208.6103302908709</v>
      </c>
      <c r="L12" s="174">
        <v>2120.1503699138962</v>
      </c>
      <c r="M12" s="174">
        <v>0</v>
      </c>
      <c r="N12" s="174">
        <v>300.08745235125519</v>
      </c>
      <c r="O12" s="174">
        <v>28.231932102504587</v>
      </c>
      <c r="P12" s="169"/>
      <c r="Q12" s="174">
        <v>4691.380704982389</v>
      </c>
      <c r="R12" s="174">
        <v>12.844595444798168</v>
      </c>
      <c r="S12" s="174">
        <v>348.81473454253666</v>
      </c>
      <c r="T12" s="174">
        <f>SUM(Q12:S12)</f>
        <v>5053.0400349697238</v>
      </c>
      <c r="U12" s="174">
        <f>SUM(Q12:R12)</f>
        <v>4704.225300427187</v>
      </c>
    </row>
    <row r="13" spans="1:21" x14ac:dyDescent="0.25">
      <c r="A13" s="138">
        <f t="shared" si="0"/>
        <v>7</v>
      </c>
      <c r="B13" s="173">
        <v>300.02</v>
      </c>
      <c r="C13" s="138" t="s">
        <v>249</v>
      </c>
      <c r="D13" s="169" t="s">
        <v>250</v>
      </c>
      <c r="E13" s="174">
        <v>177634269</v>
      </c>
      <c r="F13" s="174">
        <v>108396150.92325711</v>
      </c>
      <c r="G13" s="174">
        <v>21926460.822066031</v>
      </c>
      <c r="H13" s="174">
        <v>18384457.50789753</v>
      </c>
      <c r="I13" s="174">
        <v>10527272.442336291</v>
      </c>
      <c r="J13" s="174">
        <v>8238433.1115532396</v>
      </c>
      <c r="K13" s="174">
        <v>3325215.7181211836</v>
      </c>
      <c r="L13" s="174">
        <v>2730945.8069843245</v>
      </c>
      <c r="M13" s="174">
        <v>1932950.0570126709</v>
      </c>
      <c r="N13" s="174">
        <v>2118710.5708934804</v>
      </c>
      <c r="O13" s="174">
        <v>53672.039878144315</v>
      </c>
      <c r="P13" s="169"/>
      <c r="Q13" s="174">
        <v>7256179.7021665014</v>
      </c>
      <c r="R13" s="174">
        <v>36555.133103162225</v>
      </c>
      <c r="S13" s="174">
        <v>945698.2762835758</v>
      </c>
      <c r="T13" s="174">
        <f>SUM(Q13:S13)</f>
        <v>8238433.1115532396</v>
      </c>
      <c r="U13" s="174">
        <f>SUM(Q13:R13)</f>
        <v>7292734.8352696635</v>
      </c>
    </row>
    <row r="14" spans="1:21" x14ac:dyDescent="0.25">
      <c r="A14" s="141">
        <f>+A13+1</f>
        <v>8</v>
      </c>
      <c r="B14" s="175"/>
      <c r="C14" s="141" t="s">
        <v>251</v>
      </c>
      <c r="D14" s="176"/>
      <c r="E14" s="177">
        <f t="shared" ref="E14:U14" si="1">SUM(E11:E13)</f>
        <v>249690577</v>
      </c>
      <c r="F14" s="177">
        <f t="shared" si="1"/>
        <v>146894587.85084552</v>
      </c>
      <c r="G14" s="177">
        <f t="shared" si="1"/>
        <v>31364744.690265849</v>
      </c>
      <c r="H14" s="177">
        <f t="shared" si="1"/>
        <v>27913925.707762592</v>
      </c>
      <c r="I14" s="177">
        <f t="shared" si="1"/>
        <v>16690511.608832007</v>
      </c>
      <c r="J14" s="177">
        <f t="shared" si="1"/>
        <v>12623688.975120295</v>
      </c>
      <c r="K14" s="177">
        <f t="shared" si="1"/>
        <v>5241947.2963820407</v>
      </c>
      <c r="L14" s="177">
        <f t="shared" si="1"/>
        <v>4570907.8450773954</v>
      </c>
      <c r="M14" s="177">
        <f t="shared" si="1"/>
        <v>1932950.0570126709</v>
      </c>
      <c r="N14" s="177">
        <f t="shared" si="1"/>
        <v>2379139.9858395518</v>
      </c>
      <c r="O14" s="177">
        <f t="shared" si="1"/>
        <v>78172.982862079545</v>
      </c>
      <c r="P14" s="1"/>
      <c r="Q14" s="177">
        <f t="shared" si="1"/>
        <v>11327571.300565472</v>
      </c>
      <c r="R14" s="177">
        <f t="shared" si="1"/>
        <v>47702.251887030194</v>
      </c>
      <c r="S14" s="177">
        <f t="shared" si="1"/>
        <v>1248415.4226677942</v>
      </c>
      <c r="T14" s="177">
        <f t="shared" si="1"/>
        <v>12623688.975120295</v>
      </c>
      <c r="U14" s="177">
        <f t="shared" si="1"/>
        <v>11375273.552452501</v>
      </c>
    </row>
    <row r="15" spans="1:21" x14ac:dyDescent="0.25">
      <c r="A15" s="138">
        <f t="shared" si="0"/>
        <v>9</v>
      </c>
      <c r="B15" s="173"/>
      <c r="C15" s="138"/>
      <c r="D15" s="169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69"/>
      <c r="Q15" s="174"/>
      <c r="R15" s="174"/>
      <c r="S15" s="174"/>
      <c r="T15" s="174"/>
      <c r="U15" s="174"/>
    </row>
    <row r="16" spans="1:21" x14ac:dyDescent="0.25">
      <c r="A16" s="138">
        <f t="shared" si="0"/>
        <v>10</v>
      </c>
      <c r="B16" s="173"/>
      <c r="C16" s="140" t="s">
        <v>245</v>
      </c>
      <c r="D16" s="169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69"/>
      <c r="Q16" s="174"/>
      <c r="R16" s="174"/>
      <c r="S16" s="174"/>
      <c r="T16" s="174"/>
      <c r="U16" s="174"/>
    </row>
    <row r="17" spans="1:21" x14ac:dyDescent="0.25">
      <c r="A17" s="138">
        <f t="shared" si="0"/>
        <v>11</v>
      </c>
      <c r="B17" s="173">
        <v>310</v>
      </c>
      <c r="C17" s="138" t="s">
        <v>252</v>
      </c>
      <c r="D17" s="169" t="s">
        <v>248</v>
      </c>
      <c r="E17" s="174">
        <v>1304541451.6862471</v>
      </c>
      <c r="F17" s="174">
        <v>696993895.34595108</v>
      </c>
      <c r="G17" s="174">
        <v>170875151.40032265</v>
      </c>
      <c r="H17" s="174">
        <v>172525995.63177592</v>
      </c>
      <c r="I17" s="174">
        <v>111582194.43257986</v>
      </c>
      <c r="J17" s="174">
        <v>79392744.494672075</v>
      </c>
      <c r="K17" s="174">
        <v>34701414.282803535</v>
      </c>
      <c r="L17" s="174">
        <v>33311542.248619255</v>
      </c>
      <c r="M17" s="174">
        <v>0</v>
      </c>
      <c r="N17" s="174">
        <v>4714937.1993295588</v>
      </c>
      <c r="O17" s="174">
        <v>443576.65019341314</v>
      </c>
      <c r="P17" s="169"/>
      <c r="Q17" s="174">
        <v>73710397.515212446</v>
      </c>
      <c r="R17" s="174">
        <v>201812.70625780823</v>
      </c>
      <c r="S17" s="174">
        <v>5480534.2732018176</v>
      </c>
      <c r="T17" s="174">
        <f>SUM(Q17:S17)</f>
        <v>79392744.494672075</v>
      </c>
      <c r="U17" s="174">
        <f>SUM(Q17:R17)</f>
        <v>73912210.221470252</v>
      </c>
    </row>
    <row r="18" spans="1:21" x14ac:dyDescent="0.25">
      <c r="A18" s="138">
        <f t="shared" si="0"/>
        <v>12</v>
      </c>
      <c r="B18" s="173">
        <v>330</v>
      </c>
      <c r="C18" s="138" t="s">
        <v>253</v>
      </c>
      <c r="D18" s="169" t="s">
        <v>248</v>
      </c>
      <c r="E18" s="174">
        <v>710256219.2691648</v>
      </c>
      <c r="F18" s="174">
        <v>379477592.16252589</v>
      </c>
      <c r="G18" s="174">
        <v>93032796.193454027</v>
      </c>
      <c r="H18" s="174">
        <v>93931596.596399218</v>
      </c>
      <c r="I18" s="174">
        <v>60750808.226906195</v>
      </c>
      <c r="J18" s="174">
        <v>43225296.114048392</v>
      </c>
      <c r="K18" s="174">
        <v>18893148.45453053</v>
      </c>
      <c r="L18" s="174">
        <v>18136434.089500837</v>
      </c>
      <c r="M18" s="174">
        <v>0</v>
      </c>
      <c r="N18" s="174">
        <v>2567042.5918307835</v>
      </c>
      <c r="O18" s="174">
        <v>241504.83996903096</v>
      </c>
      <c r="P18" s="169"/>
      <c r="Q18" s="174">
        <v>40131548.286419205</v>
      </c>
      <c r="R18" s="174">
        <v>109876.71534842384</v>
      </c>
      <c r="S18" s="174">
        <v>2983871.1122807628</v>
      </c>
      <c r="T18" s="174">
        <f>SUM(Q18:S18)</f>
        <v>43225296.114048392</v>
      </c>
      <c r="U18" s="174">
        <f>SUM(Q18:R18)</f>
        <v>40241425.001767628</v>
      </c>
    </row>
    <row r="19" spans="1:21" x14ac:dyDescent="0.25">
      <c r="A19" s="138">
        <f t="shared" si="0"/>
        <v>13</v>
      </c>
      <c r="B19" s="173">
        <v>340</v>
      </c>
      <c r="C19" s="138" t="s">
        <v>254</v>
      </c>
      <c r="D19" s="169" t="s">
        <v>248</v>
      </c>
      <c r="E19" s="174">
        <v>1974152231.1274989</v>
      </c>
      <c r="F19" s="174">
        <v>1054755333.2252322</v>
      </c>
      <c r="G19" s="174">
        <v>258584011.22107661</v>
      </c>
      <c r="H19" s="174">
        <v>261082220.70192894</v>
      </c>
      <c r="I19" s="174">
        <v>168856449.75745782</v>
      </c>
      <c r="J19" s="174">
        <v>120144410.49527338</v>
      </c>
      <c r="K19" s="174">
        <v>52513374.980247445</v>
      </c>
      <c r="L19" s="174">
        <v>50410092.655473515</v>
      </c>
      <c r="M19" s="174">
        <v>0</v>
      </c>
      <c r="N19" s="174">
        <v>7135077.0645509092</v>
      </c>
      <c r="O19" s="174">
        <v>671261.02625828923</v>
      </c>
      <c r="P19" s="169"/>
      <c r="Q19" s="174">
        <v>111545359.88401017</v>
      </c>
      <c r="R19" s="174">
        <v>305401.56758817297</v>
      </c>
      <c r="S19" s="174">
        <v>8293649.0436750418</v>
      </c>
      <c r="T19" s="174">
        <f>SUM(Q19:S19)</f>
        <v>120144410.49527338</v>
      </c>
      <c r="U19" s="174">
        <f>SUM(Q19:R19)</f>
        <v>111850761.45159835</v>
      </c>
    </row>
    <row r="20" spans="1:21" x14ac:dyDescent="0.25">
      <c r="A20" s="141">
        <f t="shared" si="0"/>
        <v>14</v>
      </c>
      <c r="B20" s="175"/>
      <c r="C20" s="141" t="s">
        <v>251</v>
      </c>
      <c r="D20" s="176"/>
      <c r="E20" s="177">
        <f>SUM(E17:E19)</f>
        <v>3988949902.0829105</v>
      </c>
      <c r="F20" s="177">
        <f t="shared" ref="F20:U20" si="2">SUM(F17:F19)</f>
        <v>2131226820.7337093</v>
      </c>
      <c r="G20" s="177">
        <f t="shared" si="2"/>
        <v>522491958.81485331</v>
      </c>
      <c r="H20" s="177">
        <f t="shared" si="2"/>
        <v>527539812.93010408</v>
      </c>
      <c r="I20" s="177">
        <f t="shared" si="2"/>
        <v>341189452.41694391</v>
      </c>
      <c r="J20" s="177">
        <f t="shared" si="2"/>
        <v>242762451.10399383</v>
      </c>
      <c r="K20" s="177">
        <f t="shared" si="2"/>
        <v>106107937.71758151</v>
      </c>
      <c r="L20" s="177">
        <f t="shared" si="2"/>
        <v>101858068.9935936</v>
      </c>
      <c r="M20" s="177">
        <f t="shared" si="2"/>
        <v>0</v>
      </c>
      <c r="N20" s="177">
        <f t="shared" si="2"/>
        <v>14417056.855711251</v>
      </c>
      <c r="O20" s="177">
        <f t="shared" si="2"/>
        <v>1356342.5164207332</v>
      </c>
      <c r="P20" s="169"/>
      <c r="Q20" s="177">
        <f t="shared" si="2"/>
        <v>225387305.68564183</v>
      </c>
      <c r="R20" s="177">
        <f t="shared" si="2"/>
        <v>617090.98919440503</v>
      </c>
      <c r="S20" s="177">
        <f t="shared" si="2"/>
        <v>16758054.429157622</v>
      </c>
      <c r="T20" s="177">
        <f t="shared" si="2"/>
        <v>242762451.10399383</v>
      </c>
      <c r="U20" s="177">
        <f t="shared" si="2"/>
        <v>226004396.67483622</v>
      </c>
    </row>
    <row r="21" spans="1:21" x14ac:dyDescent="0.25">
      <c r="A21" s="138">
        <f t="shared" si="0"/>
        <v>15</v>
      </c>
      <c r="B21" s="173"/>
      <c r="C21" s="138"/>
      <c r="D21" s="169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69"/>
      <c r="Q21" s="174"/>
      <c r="R21" s="174"/>
      <c r="S21" s="174"/>
      <c r="T21" s="174"/>
      <c r="U21" s="174"/>
    </row>
    <row r="22" spans="1:21" x14ac:dyDescent="0.25">
      <c r="A22" s="138">
        <f t="shared" si="0"/>
        <v>16</v>
      </c>
      <c r="B22" s="173"/>
      <c r="C22" s="140" t="s">
        <v>247</v>
      </c>
      <c r="D22" s="169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69"/>
      <c r="Q22" s="174"/>
      <c r="R22" s="174"/>
      <c r="S22" s="174"/>
      <c r="T22" s="174"/>
      <c r="U22" s="174"/>
    </row>
    <row r="23" spans="1:21" x14ac:dyDescent="0.25">
      <c r="A23" s="138">
        <f t="shared" si="0"/>
        <v>17</v>
      </c>
      <c r="B23" s="173">
        <v>350</v>
      </c>
      <c r="C23" s="138" t="s">
        <v>255</v>
      </c>
      <c r="D23" s="169" t="s">
        <v>248</v>
      </c>
      <c r="E23" s="174">
        <v>174349685</v>
      </c>
      <c r="F23" s="174">
        <v>93152015.938943297</v>
      </c>
      <c r="G23" s="174">
        <v>22837165.336880982</v>
      </c>
      <c r="H23" s="174">
        <v>23057797.78314469</v>
      </c>
      <c r="I23" s="174">
        <v>14912765.267659716</v>
      </c>
      <c r="J23" s="174">
        <v>10610701.542706287</v>
      </c>
      <c r="K23" s="174">
        <v>4637783.3693523863</v>
      </c>
      <c r="L23" s="174">
        <v>4452029.4011384128</v>
      </c>
      <c r="M23" s="174">
        <v>0</v>
      </c>
      <c r="N23" s="174">
        <v>630143.11613886536</v>
      </c>
      <c r="O23" s="174">
        <v>59283.244035373937</v>
      </c>
      <c r="P23" s="169"/>
      <c r="Q23" s="174">
        <v>9851265.8002475929</v>
      </c>
      <c r="R23" s="174">
        <v>26971.915472340934</v>
      </c>
      <c r="S23" s="174">
        <v>732463.8269863528</v>
      </c>
      <c r="T23" s="174">
        <f>SUM(Q23:S23)</f>
        <v>10610701.542706287</v>
      </c>
      <c r="U23" s="174">
        <f>SUM(Q23:R23)</f>
        <v>9878237.7157199346</v>
      </c>
    </row>
    <row r="24" spans="1:21" x14ac:dyDescent="0.25">
      <c r="A24" s="138">
        <f t="shared" si="0"/>
        <v>18</v>
      </c>
      <c r="B24" s="173">
        <v>350.01</v>
      </c>
      <c r="C24" s="138" t="s">
        <v>256</v>
      </c>
      <c r="D24" s="169" t="s">
        <v>257</v>
      </c>
      <c r="E24" s="174">
        <v>1214311299</v>
      </c>
      <c r="F24" s="174">
        <v>597433388.70555854</v>
      </c>
      <c r="G24" s="174">
        <v>146229019.88115436</v>
      </c>
      <c r="H24" s="174">
        <v>147560220.47328535</v>
      </c>
      <c r="I24" s="174">
        <v>95365048.061260626</v>
      </c>
      <c r="J24" s="174">
        <v>67838221.009173229</v>
      </c>
      <c r="K24" s="174">
        <v>29655883.23777055</v>
      </c>
      <c r="L24" s="174">
        <v>28445402.264599342</v>
      </c>
      <c r="M24" s="174">
        <v>97368058.384898379</v>
      </c>
      <c r="N24" s="174">
        <v>4035837.6076959856</v>
      </c>
      <c r="O24" s="174">
        <v>380219.37460385484</v>
      </c>
      <c r="P24" s="169"/>
      <c r="Q24" s="174">
        <v>63011895.608862832</v>
      </c>
      <c r="R24" s="174">
        <v>171419.30377560804</v>
      </c>
      <c r="S24" s="174">
        <v>4654906.096534783</v>
      </c>
      <c r="T24" s="174">
        <f>SUM(Q24:S24)</f>
        <v>67838221.009173229</v>
      </c>
      <c r="U24" s="174">
        <f>SUM(Q24:R24)</f>
        <v>63183314.912638441</v>
      </c>
    </row>
    <row r="25" spans="1:21" x14ac:dyDescent="0.25">
      <c r="A25" s="138">
        <f t="shared" si="0"/>
        <v>19</v>
      </c>
      <c r="B25" s="173">
        <v>350.02</v>
      </c>
      <c r="C25" s="138" t="s">
        <v>258</v>
      </c>
      <c r="D25" s="169" t="s">
        <v>259</v>
      </c>
      <c r="E25" s="174">
        <v>389231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0</v>
      </c>
      <c r="M25" s="174">
        <v>389231</v>
      </c>
      <c r="N25" s="174">
        <v>0</v>
      </c>
      <c r="O25" s="174">
        <v>0</v>
      </c>
      <c r="P25" s="169"/>
      <c r="Q25" s="174">
        <v>0</v>
      </c>
      <c r="R25" s="174">
        <v>0</v>
      </c>
      <c r="S25" s="174">
        <v>0</v>
      </c>
      <c r="T25" s="174">
        <f>SUM(Q25:S25)</f>
        <v>0</v>
      </c>
      <c r="U25" s="174">
        <f>SUM(Q25:R25)</f>
        <v>0</v>
      </c>
    </row>
    <row r="26" spans="1:21" x14ac:dyDescent="0.25">
      <c r="A26" s="141">
        <f>+A25+1</f>
        <v>20</v>
      </c>
      <c r="B26" s="175"/>
      <c r="C26" s="141" t="s">
        <v>251</v>
      </c>
      <c r="D26" s="176"/>
      <c r="E26" s="177">
        <f t="shared" ref="E26:U26" si="3">SUM(E23:E25)</f>
        <v>1389050215</v>
      </c>
      <c r="F26" s="177">
        <f t="shared" si="3"/>
        <v>690585404.64450181</v>
      </c>
      <c r="G26" s="177">
        <f t="shared" si="3"/>
        <v>169066185.21803534</v>
      </c>
      <c r="H26" s="177">
        <f t="shared" si="3"/>
        <v>170618018.25643003</v>
      </c>
      <c r="I26" s="177">
        <f t="shared" si="3"/>
        <v>110277813.32892033</v>
      </c>
      <c r="J26" s="177">
        <f t="shared" si="3"/>
        <v>78448922.55187951</v>
      </c>
      <c r="K26" s="177">
        <f t="shared" si="3"/>
        <v>34293666.607122935</v>
      </c>
      <c r="L26" s="177">
        <f t="shared" si="3"/>
        <v>32897431.665737756</v>
      </c>
      <c r="M26" s="177">
        <f t="shared" si="3"/>
        <v>97757289.384898379</v>
      </c>
      <c r="N26" s="177">
        <f t="shared" si="3"/>
        <v>4665980.7238348508</v>
      </c>
      <c r="O26" s="177">
        <f t="shared" si="3"/>
        <v>439502.61863922875</v>
      </c>
      <c r="P26" s="169"/>
      <c r="Q26" s="177">
        <f t="shared" si="3"/>
        <v>72863161.409110427</v>
      </c>
      <c r="R26" s="177">
        <f t="shared" si="3"/>
        <v>198391.21924794899</v>
      </c>
      <c r="S26" s="177">
        <f t="shared" si="3"/>
        <v>5387369.9235211359</v>
      </c>
      <c r="T26" s="177">
        <f t="shared" si="3"/>
        <v>78448922.55187951</v>
      </c>
      <c r="U26" s="177">
        <f t="shared" si="3"/>
        <v>73061552.628358379</v>
      </c>
    </row>
    <row r="27" spans="1:21" x14ac:dyDescent="0.25">
      <c r="A27" s="138">
        <f t="shared" si="0"/>
        <v>21</v>
      </c>
      <c r="B27" s="173"/>
      <c r="C27" s="138"/>
      <c r="D27" s="169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69"/>
      <c r="Q27" s="174"/>
      <c r="R27" s="174"/>
      <c r="S27" s="174"/>
      <c r="T27" s="174"/>
      <c r="U27" s="174"/>
    </row>
    <row r="28" spans="1:21" x14ac:dyDescent="0.25">
      <c r="A28" s="138">
        <f t="shared" si="0"/>
        <v>22</v>
      </c>
      <c r="B28" s="173"/>
      <c r="C28" s="140" t="s">
        <v>260</v>
      </c>
      <c r="D28" s="169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69"/>
      <c r="Q28" s="174"/>
      <c r="R28" s="174"/>
      <c r="S28" s="174"/>
      <c r="T28" s="174"/>
      <c r="U28" s="174"/>
    </row>
    <row r="29" spans="1:21" x14ac:dyDescent="0.25">
      <c r="A29" s="138">
        <f t="shared" si="0"/>
        <v>23</v>
      </c>
      <c r="B29" s="173">
        <v>360.01</v>
      </c>
      <c r="C29" s="138" t="s">
        <v>261</v>
      </c>
      <c r="D29" s="169" t="s">
        <v>262</v>
      </c>
      <c r="E29" s="174">
        <v>5368160.9644597787</v>
      </c>
      <c r="F29" s="174">
        <v>0</v>
      </c>
      <c r="G29" s="174">
        <v>0</v>
      </c>
      <c r="H29" s="174">
        <v>0</v>
      </c>
      <c r="I29" s="174">
        <v>0</v>
      </c>
      <c r="J29" s="174">
        <v>0</v>
      </c>
      <c r="K29" s="174">
        <v>4625429.5874469783</v>
      </c>
      <c r="L29" s="174">
        <v>742731.37701280008</v>
      </c>
      <c r="M29" s="174">
        <v>0</v>
      </c>
      <c r="N29" s="174">
        <v>0</v>
      </c>
      <c r="O29" s="174">
        <v>0</v>
      </c>
      <c r="P29" s="169"/>
      <c r="Q29" s="174">
        <v>0</v>
      </c>
      <c r="R29" s="174">
        <v>0</v>
      </c>
      <c r="S29" s="174">
        <v>0</v>
      </c>
      <c r="T29" s="174">
        <f t="shared" ref="T29:T49" si="4">SUM(Q29:S29)</f>
        <v>0</v>
      </c>
      <c r="U29" s="174">
        <f t="shared" ref="U29:U49" si="5">SUM(Q29:R29)</f>
        <v>0</v>
      </c>
    </row>
    <row r="30" spans="1:21" x14ac:dyDescent="0.25">
      <c r="A30" s="138">
        <f t="shared" si="0"/>
        <v>24</v>
      </c>
      <c r="B30" s="173">
        <v>360.02</v>
      </c>
      <c r="C30" s="138" t="s">
        <v>263</v>
      </c>
      <c r="D30" s="169" t="s">
        <v>264</v>
      </c>
      <c r="E30" s="174">
        <v>40674420.272206821</v>
      </c>
      <c r="F30" s="174">
        <v>16652330.246595021</v>
      </c>
      <c r="G30" s="174">
        <v>6511045.5482309116</v>
      </c>
      <c r="H30" s="174">
        <v>8190746.9767189138</v>
      </c>
      <c r="I30" s="174">
        <v>4650678.3549073739</v>
      </c>
      <c r="J30" s="174">
        <v>4633325.1997884614</v>
      </c>
      <c r="K30" s="174">
        <v>0</v>
      </c>
      <c r="L30" s="174">
        <v>0</v>
      </c>
      <c r="M30" s="174">
        <v>0</v>
      </c>
      <c r="N30" s="174">
        <v>33605.73679784494</v>
      </c>
      <c r="O30" s="174">
        <v>2688.2091682951168</v>
      </c>
      <c r="P30" s="169"/>
      <c r="Q30" s="174">
        <v>4411162.3524258509</v>
      </c>
      <c r="R30" s="174">
        <v>825.82035425558468</v>
      </c>
      <c r="S30" s="174">
        <v>221337.02700835458</v>
      </c>
      <c r="T30" s="174">
        <f t="shared" si="4"/>
        <v>4633325.1997884614</v>
      </c>
      <c r="U30" s="174">
        <f t="shared" si="5"/>
        <v>4411988.1727801068</v>
      </c>
    </row>
    <row r="31" spans="1:21" x14ac:dyDescent="0.25">
      <c r="A31" s="138">
        <f t="shared" si="0"/>
        <v>25</v>
      </c>
      <c r="B31" s="173">
        <v>361.01</v>
      </c>
      <c r="C31" s="138" t="s">
        <v>265</v>
      </c>
      <c r="D31" s="169" t="s">
        <v>266</v>
      </c>
      <c r="E31" s="174">
        <v>696660.6761493294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340751.24407252943</v>
      </c>
      <c r="L31" s="174">
        <v>162866.1520768</v>
      </c>
      <c r="M31" s="174">
        <v>193043.28000000003</v>
      </c>
      <c r="N31" s="174">
        <v>0</v>
      </c>
      <c r="O31" s="174">
        <v>0</v>
      </c>
      <c r="P31" s="169"/>
      <c r="Q31" s="174">
        <v>0</v>
      </c>
      <c r="R31" s="174">
        <v>0</v>
      </c>
      <c r="S31" s="174">
        <v>0</v>
      </c>
      <c r="T31" s="174">
        <f t="shared" si="4"/>
        <v>0</v>
      </c>
      <c r="U31" s="174">
        <f t="shared" si="5"/>
        <v>0</v>
      </c>
    </row>
    <row r="32" spans="1:21" x14ac:dyDescent="0.25">
      <c r="A32" s="138">
        <f t="shared" si="0"/>
        <v>26</v>
      </c>
      <c r="B32" s="173">
        <v>361.02</v>
      </c>
      <c r="C32" s="138" t="s">
        <v>267</v>
      </c>
      <c r="D32" s="169" t="s">
        <v>268</v>
      </c>
      <c r="E32" s="174">
        <v>7274465.1559340004</v>
      </c>
      <c r="F32" s="174">
        <v>3608216.6419459647</v>
      </c>
      <c r="G32" s="174">
        <v>1062478.7889036175</v>
      </c>
      <c r="H32" s="174">
        <v>1276230.6404620162</v>
      </c>
      <c r="I32" s="174">
        <v>795970.25599712576</v>
      </c>
      <c r="J32" s="174">
        <v>524416.23448540224</v>
      </c>
      <c r="K32" s="174">
        <v>0</v>
      </c>
      <c r="L32" s="174">
        <v>0</v>
      </c>
      <c r="M32" s="174">
        <v>0</v>
      </c>
      <c r="N32" s="174">
        <v>6370.6521564746727</v>
      </c>
      <c r="O32" s="174">
        <v>781.94198339942272</v>
      </c>
      <c r="P32" s="169"/>
      <c r="Q32" s="174">
        <v>460324.0468270792</v>
      </c>
      <c r="R32" s="174">
        <v>0</v>
      </c>
      <c r="S32" s="174">
        <v>64092.187658322975</v>
      </c>
      <c r="T32" s="174">
        <f t="shared" si="4"/>
        <v>524416.23448540224</v>
      </c>
      <c r="U32" s="174">
        <f t="shared" si="5"/>
        <v>460324.0468270792</v>
      </c>
    </row>
    <row r="33" spans="1:21" x14ac:dyDescent="0.25">
      <c r="A33" s="138">
        <f t="shared" si="0"/>
        <v>27</v>
      </c>
      <c r="B33" s="173">
        <v>362.01</v>
      </c>
      <c r="C33" s="138" t="s">
        <v>269</v>
      </c>
      <c r="D33" s="169" t="s">
        <v>270</v>
      </c>
      <c r="E33" s="174">
        <v>35097708.251315653</v>
      </c>
      <c r="F33" s="174">
        <v>0</v>
      </c>
      <c r="G33" s="174">
        <v>0</v>
      </c>
      <c r="H33" s="174">
        <v>0</v>
      </c>
      <c r="I33" s="174">
        <v>0</v>
      </c>
      <c r="J33" s="174">
        <v>761541.00886707939</v>
      </c>
      <c r="K33" s="174">
        <v>13560393.247539967</v>
      </c>
      <c r="L33" s="174">
        <v>14201762.606173621</v>
      </c>
      <c r="M33" s="174">
        <v>6574011.3887349814</v>
      </c>
      <c r="N33" s="174">
        <v>0</v>
      </c>
      <c r="O33" s="174">
        <v>0</v>
      </c>
      <c r="P33" s="169"/>
      <c r="Q33" s="174">
        <v>761541.00886707939</v>
      </c>
      <c r="R33" s="174">
        <v>0</v>
      </c>
      <c r="S33" s="174">
        <v>0</v>
      </c>
      <c r="T33" s="174">
        <f t="shared" si="4"/>
        <v>761541.00886707939</v>
      </c>
      <c r="U33" s="174">
        <f t="shared" si="5"/>
        <v>761541.00886707939</v>
      </c>
    </row>
    <row r="34" spans="1:21" x14ac:dyDescent="0.25">
      <c r="A34" s="138">
        <f t="shared" si="0"/>
        <v>28</v>
      </c>
      <c r="B34" s="173">
        <v>362.02</v>
      </c>
      <c r="C34" s="138" t="s">
        <v>271</v>
      </c>
      <c r="D34" s="169" t="s">
        <v>272</v>
      </c>
      <c r="E34" s="174">
        <v>382771525.11910033</v>
      </c>
      <c r="F34" s="174">
        <v>208447896.19434407</v>
      </c>
      <c r="G34" s="174">
        <v>53924614.375055522</v>
      </c>
      <c r="H34" s="174">
        <v>58078548.225764371</v>
      </c>
      <c r="I34" s="174">
        <v>32918182.582390293</v>
      </c>
      <c r="J34" s="174">
        <v>28923531.712034073</v>
      </c>
      <c r="K34" s="174">
        <v>0</v>
      </c>
      <c r="L34" s="174">
        <v>0</v>
      </c>
      <c r="M34" s="174">
        <v>0</v>
      </c>
      <c r="N34" s="174">
        <v>369107.23564576328</v>
      </c>
      <c r="O34" s="174">
        <v>109644.79386626516</v>
      </c>
      <c r="P34" s="169"/>
      <c r="Q34" s="174">
        <v>25531157.873123337</v>
      </c>
      <c r="R34" s="174">
        <v>93281.092550123896</v>
      </c>
      <c r="S34" s="174">
        <v>3299092.7463606107</v>
      </c>
      <c r="T34" s="174">
        <f t="shared" si="4"/>
        <v>28923531.712034073</v>
      </c>
      <c r="U34" s="174">
        <f t="shared" si="5"/>
        <v>25624438.965673462</v>
      </c>
    </row>
    <row r="35" spans="1:21" x14ac:dyDescent="0.25">
      <c r="A35" s="138">
        <f t="shared" si="0"/>
        <v>29</v>
      </c>
      <c r="B35" s="173">
        <v>363.01</v>
      </c>
      <c r="C35" s="138" t="s">
        <v>273</v>
      </c>
      <c r="D35" s="169" t="s">
        <v>274</v>
      </c>
      <c r="E35" s="174">
        <v>2897295.0557666672</v>
      </c>
      <c r="F35" s="174">
        <v>1577795.1581976237</v>
      </c>
      <c r="G35" s="174">
        <v>408169.12534013449</v>
      </c>
      <c r="H35" s="174">
        <v>439611.30747187947</v>
      </c>
      <c r="I35" s="174">
        <v>249166.09878728064</v>
      </c>
      <c r="J35" s="174">
        <v>218929.57005752227</v>
      </c>
      <c r="K35" s="174">
        <v>0</v>
      </c>
      <c r="L35" s="174">
        <v>0</v>
      </c>
      <c r="M35" s="174">
        <v>0</v>
      </c>
      <c r="N35" s="174">
        <v>2793.8665723669537</v>
      </c>
      <c r="O35" s="174">
        <v>829.92933985996103</v>
      </c>
      <c r="P35" s="169"/>
      <c r="Q35" s="174">
        <v>193251.82940601997</v>
      </c>
      <c r="R35" s="174">
        <v>706.06832145597537</v>
      </c>
      <c r="S35" s="174">
        <v>24971.672330046335</v>
      </c>
      <c r="T35" s="174">
        <f t="shared" si="4"/>
        <v>218929.57005752227</v>
      </c>
      <c r="U35" s="174">
        <f t="shared" si="5"/>
        <v>193957.89772747594</v>
      </c>
    </row>
    <row r="36" spans="1:21" x14ac:dyDescent="0.25">
      <c r="A36" s="138">
        <f t="shared" si="0"/>
        <v>30</v>
      </c>
      <c r="B36" s="173">
        <v>364.01</v>
      </c>
      <c r="C36" s="138" t="s">
        <v>275</v>
      </c>
      <c r="D36" s="169" t="s">
        <v>276</v>
      </c>
      <c r="E36" s="174">
        <v>332822112.07291597</v>
      </c>
      <c r="F36" s="174">
        <v>226091887.13043806</v>
      </c>
      <c r="G36" s="174">
        <v>43352567.342443854</v>
      </c>
      <c r="H36" s="174">
        <v>33490237.154935446</v>
      </c>
      <c r="I36" s="174">
        <v>13954934.590092976</v>
      </c>
      <c r="J36" s="174">
        <v>15478495.486796165</v>
      </c>
      <c r="K36" s="174">
        <v>0</v>
      </c>
      <c r="L36" s="174">
        <v>0</v>
      </c>
      <c r="M36" s="174">
        <v>0</v>
      </c>
      <c r="N36" s="174">
        <v>217794.93714399997</v>
      </c>
      <c r="O36" s="174">
        <v>236195.43106553608</v>
      </c>
      <c r="P36" s="169"/>
      <c r="Q36" s="174">
        <v>11887388.182182193</v>
      </c>
      <c r="R36" s="174">
        <v>266305.33020986785</v>
      </c>
      <c r="S36" s="174">
        <v>3324801.9744041041</v>
      </c>
      <c r="T36" s="174">
        <f t="shared" si="4"/>
        <v>15478495.486796165</v>
      </c>
      <c r="U36" s="174">
        <f t="shared" si="5"/>
        <v>12153693.512392061</v>
      </c>
    </row>
    <row r="37" spans="1:21" x14ac:dyDescent="0.25">
      <c r="A37" s="138">
        <f t="shared" si="0"/>
        <v>31</v>
      </c>
      <c r="B37" s="173">
        <v>365.01</v>
      </c>
      <c r="C37" s="138" t="s">
        <v>277</v>
      </c>
      <c r="D37" s="169" t="s">
        <v>278</v>
      </c>
      <c r="E37" s="174">
        <v>1570594.1159978251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1570594.1159978251</v>
      </c>
      <c r="L37" s="174">
        <v>0</v>
      </c>
      <c r="M37" s="174">
        <v>0</v>
      </c>
      <c r="N37" s="174">
        <v>0</v>
      </c>
      <c r="O37" s="174">
        <v>0</v>
      </c>
      <c r="P37" s="169"/>
      <c r="Q37" s="174">
        <v>0</v>
      </c>
      <c r="R37" s="174">
        <v>0</v>
      </c>
      <c r="S37" s="174">
        <v>0</v>
      </c>
      <c r="T37" s="174">
        <f t="shared" si="4"/>
        <v>0</v>
      </c>
      <c r="U37" s="174">
        <f t="shared" si="5"/>
        <v>0</v>
      </c>
    </row>
    <row r="38" spans="1:21" x14ac:dyDescent="0.25">
      <c r="A38" s="138">
        <f t="shared" si="0"/>
        <v>32</v>
      </c>
      <c r="B38" s="173">
        <v>365.02</v>
      </c>
      <c r="C38" s="138" t="s">
        <v>279</v>
      </c>
      <c r="D38" s="169" t="s">
        <v>276</v>
      </c>
      <c r="E38" s="174">
        <v>390472823.71608514</v>
      </c>
      <c r="F38" s="174">
        <v>265255024.78567058</v>
      </c>
      <c r="G38" s="174">
        <v>50862003.369046398</v>
      </c>
      <c r="H38" s="174">
        <v>39291342.114745148</v>
      </c>
      <c r="I38" s="174">
        <v>16372177.558241922</v>
      </c>
      <c r="J38" s="174">
        <v>18159646.310644921</v>
      </c>
      <c r="K38" s="174">
        <v>0</v>
      </c>
      <c r="L38" s="174">
        <v>0</v>
      </c>
      <c r="M38" s="174">
        <v>0</v>
      </c>
      <c r="N38" s="174">
        <v>255520.89543573774</v>
      </c>
      <c r="O38" s="174">
        <v>277108.6823005082</v>
      </c>
      <c r="P38" s="169"/>
      <c r="Q38" s="174">
        <v>13946495.32507317</v>
      </c>
      <c r="R38" s="174">
        <v>312434.15171558713</v>
      </c>
      <c r="S38" s="174">
        <v>3900716.8338561621</v>
      </c>
      <c r="T38" s="174">
        <f t="shared" si="4"/>
        <v>18159646.310644921</v>
      </c>
      <c r="U38" s="174">
        <f t="shared" si="5"/>
        <v>14258929.476788757</v>
      </c>
    </row>
    <row r="39" spans="1:21" x14ac:dyDescent="0.25">
      <c r="A39" s="138">
        <f>+A37+1</f>
        <v>32</v>
      </c>
      <c r="B39" s="173">
        <v>366.01</v>
      </c>
      <c r="C39" s="138" t="s">
        <v>280</v>
      </c>
      <c r="D39" s="169" t="s">
        <v>281</v>
      </c>
      <c r="E39" s="174">
        <v>32721604.036191806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26065398.946191806</v>
      </c>
      <c r="L39" s="174">
        <v>6656205.0899999999</v>
      </c>
      <c r="M39" s="174">
        <v>0</v>
      </c>
      <c r="N39" s="174">
        <v>0</v>
      </c>
      <c r="O39" s="174">
        <v>0</v>
      </c>
      <c r="P39" s="169"/>
      <c r="Q39" s="174">
        <v>0</v>
      </c>
      <c r="R39" s="174">
        <v>0</v>
      </c>
      <c r="S39" s="174">
        <v>0</v>
      </c>
      <c r="T39" s="174">
        <f t="shared" si="4"/>
        <v>0</v>
      </c>
      <c r="U39" s="174">
        <f t="shared" si="5"/>
        <v>0</v>
      </c>
    </row>
    <row r="40" spans="1:21" x14ac:dyDescent="0.25">
      <c r="A40" s="138">
        <f t="shared" si="0"/>
        <v>33</v>
      </c>
      <c r="B40" s="173">
        <v>366.02</v>
      </c>
      <c r="C40" s="138" t="s">
        <v>282</v>
      </c>
      <c r="D40" s="169" t="s">
        <v>283</v>
      </c>
      <c r="E40" s="174">
        <v>626101392.58839118</v>
      </c>
      <c r="F40" s="174">
        <v>418008234.76924467</v>
      </c>
      <c r="G40" s="174">
        <v>77352113.352016091</v>
      </c>
      <c r="H40" s="174">
        <v>71386684.267556116</v>
      </c>
      <c r="I40" s="174">
        <v>30653550.071890745</v>
      </c>
      <c r="J40" s="174">
        <v>28229217.049654607</v>
      </c>
      <c r="K40" s="174">
        <v>0</v>
      </c>
      <c r="L40" s="174">
        <v>0</v>
      </c>
      <c r="M40" s="174">
        <v>0</v>
      </c>
      <c r="N40" s="174">
        <v>306312.14811090985</v>
      </c>
      <c r="O40" s="174">
        <v>165280.92991817844</v>
      </c>
      <c r="P40" s="169"/>
      <c r="Q40" s="174">
        <v>20866238.789438609</v>
      </c>
      <c r="R40" s="174">
        <v>232286.71231744002</v>
      </c>
      <c r="S40" s="174">
        <v>7130691.547898557</v>
      </c>
      <c r="T40" s="174">
        <f t="shared" si="4"/>
        <v>28229217.049654607</v>
      </c>
      <c r="U40" s="174">
        <f t="shared" si="5"/>
        <v>21098525.50175605</v>
      </c>
    </row>
    <row r="41" spans="1:21" x14ac:dyDescent="0.25">
      <c r="A41" s="138">
        <f t="shared" si="0"/>
        <v>34</v>
      </c>
      <c r="B41" s="173">
        <v>367.01</v>
      </c>
      <c r="C41" s="138" t="s">
        <v>284</v>
      </c>
      <c r="D41" s="169" t="s">
        <v>283</v>
      </c>
      <c r="E41" s="174">
        <v>839507907.99583304</v>
      </c>
      <c r="F41" s="174">
        <v>560486245.27954161</v>
      </c>
      <c r="G41" s="174">
        <v>103717563.36580877</v>
      </c>
      <c r="H41" s="174">
        <v>95718819.152369767</v>
      </c>
      <c r="I41" s="174">
        <v>41101805.551191904</v>
      </c>
      <c r="J41" s="174">
        <v>37851139.176902786</v>
      </c>
      <c r="K41" s="174">
        <v>0</v>
      </c>
      <c r="L41" s="174">
        <v>0</v>
      </c>
      <c r="M41" s="174">
        <v>0</v>
      </c>
      <c r="N41" s="174">
        <v>410718.57321894681</v>
      </c>
      <c r="O41" s="174">
        <v>221616.89679939006</v>
      </c>
      <c r="P41" s="169"/>
      <c r="Q41" s="174">
        <v>27978491.473152347</v>
      </c>
      <c r="R41" s="174">
        <v>311461.58469103469</v>
      </c>
      <c r="S41" s="174">
        <v>9561186.1190594006</v>
      </c>
      <c r="T41" s="174">
        <f t="shared" si="4"/>
        <v>37851139.176902786</v>
      </c>
      <c r="U41" s="174">
        <f t="shared" si="5"/>
        <v>28289953.057843383</v>
      </c>
    </row>
    <row r="42" spans="1:21" x14ac:dyDescent="0.25">
      <c r="A42" s="138">
        <f t="shared" si="0"/>
        <v>35</v>
      </c>
      <c r="B42" s="173" t="s">
        <v>285</v>
      </c>
      <c r="C42" s="138" t="s">
        <v>286</v>
      </c>
      <c r="D42" s="169" t="s">
        <v>287</v>
      </c>
      <c r="E42" s="174">
        <v>158181415.66</v>
      </c>
      <c r="F42" s="174">
        <v>115526683.12460129</v>
      </c>
      <c r="G42" s="174">
        <v>18108248.172830954</v>
      </c>
      <c r="H42" s="174">
        <v>2322391.4985946612</v>
      </c>
      <c r="I42" s="174">
        <v>29481.619275960766</v>
      </c>
      <c r="J42" s="174">
        <v>0</v>
      </c>
      <c r="K42" s="174">
        <v>0</v>
      </c>
      <c r="L42" s="174">
        <v>0</v>
      </c>
      <c r="M42" s="174">
        <v>0</v>
      </c>
      <c r="N42" s="174">
        <v>22194611.244697127</v>
      </c>
      <c r="O42" s="174">
        <v>0</v>
      </c>
      <c r="P42" s="169"/>
      <c r="Q42" s="174">
        <v>0</v>
      </c>
      <c r="R42" s="174">
        <v>0</v>
      </c>
      <c r="S42" s="174">
        <v>0</v>
      </c>
      <c r="T42" s="174">
        <f t="shared" si="4"/>
        <v>0</v>
      </c>
      <c r="U42" s="174">
        <f t="shared" si="5"/>
        <v>0</v>
      </c>
    </row>
    <row r="43" spans="1:21" x14ac:dyDescent="0.25">
      <c r="A43" s="138">
        <f t="shared" si="0"/>
        <v>36</v>
      </c>
      <c r="B43" s="173" t="s">
        <v>288</v>
      </c>
      <c r="C43" s="138" t="s">
        <v>289</v>
      </c>
      <c r="D43" s="169" t="s">
        <v>290</v>
      </c>
      <c r="E43" s="174">
        <v>296187610.29000002</v>
      </c>
      <c r="F43" s="174">
        <v>217855494.88272569</v>
      </c>
      <c r="G43" s="174">
        <v>42928899.365865998</v>
      </c>
      <c r="H43" s="174">
        <v>25988517.945842933</v>
      </c>
      <c r="I43" s="174">
        <v>8714606.3912499603</v>
      </c>
      <c r="J43" s="174">
        <v>0</v>
      </c>
      <c r="K43" s="174">
        <v>0</v>
      </c>
      <c r="L43" s="174">
        <v>0</v>
      </c>
      <c r="M43" s="174">
        <v>0</v>
      </c>
      <c r="N43" s="174">
        <v>682591.23001439066</v>
      </c>
      <c r="O43" s="174">
        <v>17500.474301096579</v>
      </c>
      <c r="P43" s="169"/>
      <c r="Q43" s="174">
        <v>0</v>
      </c>
      <c r="R43" s="174">
        <v>0</v>
      </c>
      <c r="S43" s="174">
        <v>0</v>
      </c>
      <c r="T43" s="174">
        <f t="shared" si="4"/>
        <v>0</v>
      </c>
      <c r="U43" s="174">
        <f t="shared" si="5"/>
        <v>0</v>
      </c>
    </row>
    <row r="44" spans="1:21" x14ac:dyDescent="0.25">
      <c r="A44" s="138">
        <f t="shared" si="0"/>
        <v>37</v>
      </c>
      <c r="B44" s="173">
        <v>368.03</v>
      </c>
      <c r="C44" s="138" t="s">
        <v>291</v>
      </c>
      <c r="D44" s="169" t="s">
        <v>292</v>
      </c>
      <c r="E44" s="174">
        <v>2959610.05</v>
      </c>
      <c r="F44" s="174">
        <v>0</v>
      </c>
      <c r="G44" s="174">
        <v>0</v>
      </c>
      <c r="H44" s="174">
        <v>0</v>
      </c>
      <c r="I44" s="174">
        <v>0</v>
      </c>
      <c r="J44" s="174">
        <v>860858.16999999993</v>
      </c>
      <c r="K44" s="174">
        <v>2079354.69</v>
      </c>
      <c r="L44" s="174">
        <v>0</v>
      </c>
      <c r="M44" s="174">
        <v>0</v>
      </c>
      <c r="N44" s="174">
        <v>0</v>
      </c>
      <c r="O44" s="174">
        <v>19397.189999999995</v>
      </c>
      <c r="P44" s="169"/>
      <c r="Q44" s="174">
        <v>813608.53999999992</v>
      </c>
      <c r="R44" s="174">
        <v>0</v>
      </c>
      <c r="S44" s="174">
        <v>47249.63</v>
      </c>
      <c r="T44" s="174">
        <f t="shared" si="4"/>
        <v>860858.16999999993</v>
      </c>
      <c r="U44" s="174">
        <f t="shared" si="5"/>
        <v>813608.53999999992</v>
      </c>
    </row>
    <row r="45" spans="1:21" x14ac:dyDescent="0.25">
      <c r="A45" s="138">
        <f t="shared" si="0"/>
        <v>38</v>
      </c>
      <c r="B45" s="173" t="s">
        <v>293</v>
      </c>
      <c r="C45" s="138" t="s">
        <v>294</v>
      </c>
      <c r="D45" s="169" t="s">
        <v>295</v>
      </c>
      <c r="E45" s="174">
        <v>39681227</v>
      </c>
      <c r="F45" s="174">
        <v>34421864.686668307</v>
      </c>
      <c r="G45" s="174">
        <v>5076816.6766513577</v>
      </c>
      <c r="H45" s="174">
        <v>179788.74464848876</v>
      </c>
      <c r="I45" s="174">
        <v>2756.892031849773</v>
      </c>
      <c r="J45" s="174">
        <v>0</v>
      </c>
      <c r="K45" s="174">
        <v>0</v>
      </c>
      <c r="L45" s="174">
        <v>0</v>
      </c>
      <c r="M45" s="174">
        <v>0</v>
      </c>
      <c r="N45" s="174">
        <v>0</v>
      </c>
      <c r="O45" s="174">
        <v>0</v>
      </c>
      <c r="P45" s="169"/>
      <c r="Q45" s="174">
        <v>0</v>
      </c>
      <c r="R45" s="174">
        <v>0</v>
      </c>
      <c r="S45" s="174">
        <v>0</v>
      </c>
      <c r="T45" s="174">
        <f t="shared" si="4"/>
        <v>0</v>
      </c>
      <c r="U45" s="174">
        <f t="shared" si="5"/>
        <v>0</v>
      </c>
    </row>
    <row r="46" spans="1:21" x14ac:dyDescent="0.25">
      <c r="A46" s="138">
        <f t="shared" si="0"/>
        <v>39</v>
      </c>
      <c r="B46" s="173" t="s">
        <v>296</v>
      </c>
      <c r="C46" s="138" t="s">
        <v>297</v>
      </c>
      <c r="D46" s="169" t="s">
        <v>298</v>
      </c>
      <c r="E46" s="174">
        <v>141200591</v>
      </c>
      <c r="F46" s="174">
        <v>141200591</v>
      </c>
      <c r="G46" s="174">
        <v>0</v>
      </c>
      <c r="H46" s="174">
        <v>0</v>
      </c>
      <c r="I46" s="174">
        <v>0</v>
      </c>
      <c r="J46" s="174">
        <v>0</v>
      </c>
      <c r="K46" s="174">
        <v>0</v>
      </c>
      <c r="L46" s="174">
        <v>0</v>
      </c>
      <c r="M46" s="174">
        <v>0</v>
      </c>
      <c r="N46" s="174">
        <v>0</v>
      </c>
      <c r="O46" s="174">
        <v>0</v>
      </c>
      <c r="P46" s="169"/>
      <c r="Q46" s="174">
        <v>0</v>
      </c>
      <c r="R46" s="174">
        <v>0</v>
      </c>
      <c r="S46" s="174">
        <v>0</v>
      </c>
      <c r="T46" s="174">
        <f t="shared" si="4"/>
        <v>0</v>
      </c>
      <c r="U46" s="174">
        <f t="shared" si="5"/>
        <v>0</v>
      </c>
    </row>
    <row r="47" spans="1:21" x14ac:dyDescent="0.25">
      <c r="A47" s="138">
        <f t="shared" si="0"/>
        <v>40</v>
      </c>
      <c r="B47" s="173">
        <v>370.01</v>
      </c>
      <c r="C47" s="138" t="s">
        <v>299</v>
      </c>
      <c r="D47" s="169" t="s">
        <v>300</v>
      </c>
      <c r="E47" s="174">
        <v>136044280.14375001</v>
      </c>
      <c r="F47" s="174">
        <v>88452023.525747895</v>
      </c>
      <c r="G47" s="174">
        <v>25069993.600194659</v>
      </c>
      <c r="H47" s="174">
        <v>6816310.6654023929</v>
      </c>
      <c r="I47" s="174">
        <v>777623.28688800591</v>
      </c>
      <c r="J47" s="174">
        <v>12956708.119440977</v>
      </c>
      <c r="K47" s="174">
        <v>766009.46925425529</v>
      </c>
      <c r="L47" s="174">
        <v>418776.31203883816</v>
      </c>
      <c r="M47" s="174">
        <v>588094.24947242113</v>
      </c>
      <c r="N47" s="174">
        <v>0</v>
      </c>
      <c r="O47" s="174">
        <v>198740.91531056986</v>
      </c>
      <c r="P47" s="169"/>
      <c r="Q47" s="174">
        <v>9590070.5189442951</v>
      </c>
      <c r="R47" s="174">
        <v>22484.476366603812</v>
      </c>
      <c r="S47" s="174">
        <v>3344153.1241300781</v>
      </c>
      <c r="T47" s="174">
        <f t="shared" si="4"/>
        <v>12956708.119440977</v>
      </c>
      <c r="U47" s="174">
        <f t="shared" si="5"/>
        <v>9612554.9953108989</v>
      </c>
    </row>
    <row r="48" spans="1:21" x14ac:dyDescent="0.25">
      <c r="A48" s="138">
        <f t="shared" si="0"/>
        <v>41</v>
      </c>
      <c r="B48" s="173">
        <v>373</v>
      </c>
      <c r="C48" s="138" t="s">
        <v>301</v>
      </c>
      <c r="D48" s="169" t="s">
        <v>302</v>
      </c>
      <c r="E48" s="174">
        <v>52258330.571666598</v>
      </c>
      <c r="F48" s="174">
        <v>0</v>
      </c>
      <c r="G48" s="174">
        <v>0</v>
      </c>
      <c r="H48" s="174">
        <v>0</v>
      </c>
      <c r="I48" s="174">
        <v>0</v>
      </c>
      <c r="J48" s="174">
        <v>0</v>
      </c>
      <c r="K48" s="174">
        <v>0</v>
      </c>
      <c r="L48" s="174">
        <v>0</v>
      </c>
      <c r="M48" s="174">
        <v>0</v>
      </c>
      <c r="N48" s="174">
        <v>52258330.571666598</v>
      </c>
      <c r="O48" s="174">
        <v>0</v>
      </c>
      <c r="P48" s="169"/>
      <c r="Q48" s="174">
        <v>0</v>
      </c>
      <c r="R48" s="174">
        <v>0</v>
      </c>
      <c r="S48" s="174">
        <v>0</v>
      </c>
      <c r="T48" s="174">
        <f t="shared" si="4"/>
        <v>0</v>
      </c>
      <c r="U48" s="174">
        <f t="shared" si="5"/>
        <v>0</v>
      </c>
    </row>
    <row r="49" spans="1:21" x14ac:dyDescent="0.25">
      <c r="A49" s="138">
        <f t="shared" si="0"/>
        <v>42</v>
      </c>
      <c r="B49" s="173">
        <v>374</v>
      </c>
      <c r="C49" s="138" t="s">
        <v>303</v>
      </c>
      <c r="D49" s="169" t="s">
        <v>304</v>
      </c>
      <c r="E49" s="174">
        <v>2659127.9012499899</v>
      </c>
      <c r="F49" s="174">
        <v>1758052.5926942304</v>
      </c>
      <c r="G49" s="174">
        <v>329262.86303178634</v>
      </c>
      <c r="H49" s="174">
        <v>286924.90902881743</v>
      </c>
      <c r="I49" s="174">
        <v>122099.12451455314</v>
      </c>
      <c r="J49" s="174">
        <v>119271.62001902043</v>
      </c>
      <c r="K49" s="174">
        <v>33054.946962483315</v>
      </c>
      <c r="L49" s="174">
        <v>7961.3750707726149</v>
      </c>
      <c r="M49" s="174">
        <v>0</v>
      </c>
      <c r="N49" s="174">
        <v>1423.7535129609316</v>
      </c>
      <c r="O49" s="174">
        <v>1076.7164153655633</v>
      </c>
      <c r="P49" s="169"/>
      <c r="Q49" s="174">
        <v>89321.835182081355</v>
      </c>
      <c r="R49" s="174">
        <v>1342.5887723738256</v>
      </c>
      <c r="S49" s="174">
        <v>28607.196064565243</v>
      </c>
      <c r="T49" s="174">
        <f t="shared" si="4"/>
        <v>119271.62001902043</v>
      </c>
      <c r="U49" s="174">
        <f t="shared" si="5"/>
        <v>90664.423954455182</v>
      </c>
    </row>
    <row r="50" spans="1:21" x14ac:dyDescent="0.25">
      <c r="A50" s="141">
        <f>+A49+1</f>
        <v>43</v>
      </c>
      <c r="B50" s="175"/>
      <c r="C50" s="141" t="s">
        <v>251</v>
      </c>
      <c r="D50" s="176"/>
      <c r="E50" s="177">
        <f t="shared" ref="E50:U50" si="6">SUM(E29:E49)</f>
        <v>3527148862.6370139</v>
      </c>
      <c r="F50" s="177">
        <f t="shared" si="6"/>
        <v>2299342340.018415</v>
      </c>
      <c r="G50" s="177">
        <f t="shared" si="6"/>
        <v>428703775.94542003</v>
      </c>
      <c r="H50" s="177">
        <f t="shared" si="6"/>
        <v>343466153.60354096</v>
      </c>
      <c r="I50" s="177">
        <f t="shared" si="6"/>
        <v>150343032.37745991</v>
      </c>
      <c r="J50" s="177">
        <f t="shared" si="6"/>
        <v>148717079.65869099</v>
      </c>
      <c r="K50" s="177">
        <f t="shared" si="6"/>
        <v>49040986.247465841</v>
      </c>
      <c r="L50" s="177">
        <f t="shared" si="6"/>
        <v>22190302.912372835</v>
      </c>
      <c r="M50" s="177">
        <f t="shared" si="6"/>
        <v>7355148.9182074033</v>
      </c>
      <c r="N50" s="177">
        <f t="shared" si="6"/>
        <v>76739180.844973132</v>
      </c>
      <c r="O50" s="177">
        <f t="shared" si="6"/>
        <v>1250862.1104684644</v>
      </c>
      <c r="P50" s="169"/>
      <c r="Q50" s="177">
        <f t="shared" si="6"/>
        <v>116529051.77462205</v>
      </c>
      <c r="R50" s="177">
        <f t="shared" si="6"/>
        <v>1241127.8252987426</v>
      </c>
      <c r="S50" s="177">
        <f t="shared" si="6"/>
        <v>30946900.058770202</v>
      </c>
      <c r="T50" s="177">
        <f t="shared" si="6"/>
        <v>148717079.65869099</v>
      </c>
      <c r="U50" s="177">
        <f t="shared" si="6"/>
        <v>117770179.59992082</v>
      </c>
    </row>
    <row r="51" spans="1:21" x14ac:dyDescent="0.25">
      <c r="A51" s="138">
        <f t="shared" si="0"/>
        <v>44</v>
      </c>
      <c r="B51" s="173"/>
      <c r="C51" s="138"/>
      <c r="D51" s="169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69"/>
      <c r="Q51" s="174"/>
      <c r="R51" s="174"/>
      <c r="S51" s="174"/>
      <c r="T51" s="174"/>
      <c r="U51" s="174"/>
    </row>
    <row r="52" spans="1:21" x14ac:dyDescent="0.25">
      <c r="A52" s="138">
        <f t="shared" si="0"/>
        <v>45</v>
      </c>
      <c r="B52" s="173"/>
      <c r="C52" s="140" t="s">
        <v>249</v>
      </c>
      <c r="D52" s="169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69"/>
      <c r="Q52" s="174"/>
      <c r="R52" s="174"/>
      <c r="S52" s="174"/>
      <c r="T52" s="174"/>
      <c r="U52" s="174"/>
    </row>
    <row r="53" spans="1:21" x14ac:dyDescent="0.25">
      <c r="A53" s="138">
        <f t="shared" si="0"/>
        <v>46</v>
      </c>
      <c r="B53" s="173">
        <v>389</v>
      </c>
      <c r="C53" s="138" t="s">
        <v>305</v>
      </c>
      <c r="D53" s="169" t="s">
        <v>306</v>
      </c>
      <c r="E53" s="174">
        <v>34591566.081577167</v>
      </c>
      <c r="F53" s="174">
        <v>21196251.456623383</v>
      </c>
      <c r="G53" s="174">
        <v>4264016.5237157997</v>
      </c>
      <c r="H53" s="174">
        <v>3545951.8268920393</v>
      </c>
      <c r="I53" s="174">
        <v>2029993.6710878559</v>
      </c>
      <c r="J53" s="174">
        <v>1588216.6084786507</v>
      </c>
      <c r="K53" s="174">
        <v>641359.77412514307</v>
      </c>
      <c r="L53" s="174">
        <v>526761.90552403813</v>
      </c>
      <c r="M53" s="174">
        <v>373862.6239287486</v>
      </c>
      <c r="N53" s="174">
        <v>414806.94783389103</v>
      </c>
      <c r="O53" s="174">
        <v>10344.743367623774</v>
      </c>
      <c r="P53" s="169"/>
      <c r="Q53" s="174">
        <v>1398934.7289931579</v>
      </c>
      <c r="R53" s="174">
        <v>7042.0194862059434</v>
      </c>
      <c r="S53" s="174">
        <v>182239.859999287</v>
      </c>
      <c r="T53" s="174">
        <f t="shared" ref="T53:T63" si="7">SUM(Q53:S53)</f>
        <v>1588216.6084786507</v>
      </c>
      <c r="U53" s="174">
        <f t="shared" ref="U53:U63" si="8">SUM(Q53:R53)</f>
        <v>1405976.7484793637</v>
      </c>
    </row>
    <row r="54" spans="1:21" x14ac:dyDescent="0.25">
      <c r="A54" s="138">
        <f t="shared" si="0"/>
        <v>47</v>
      </c>
      <c r="B54" s="173">
        <v>390</v>
      </c>
      <c r="C54" s="138" t="s">
        <v>307</v>
      </c>
      <c r="D54" s="169" t="s">
        <v>306</v>
      </c>
      <c r="E54" s="174">
        <v>140669439.09722066</v>
      </c>
      <c r="F54" s="174">
        <v>86196294.100567997</v>
      </c>
      <c r="G54" s="174">
        <v>17339972.734331727</v>
      </c>
      <c r="H54" s="174">
        <v>14419903.781700231</v>
      </c>
      <c r="I54" s="174">
        <v>8255135.6712039579</v>
      </c>
      <c r="J54" s="174">
        <v>6458613.0316478452</v>
      </c>
      <c r="K54" s="174">
        <v>2608142.0966295404</v>
      </c>
      <c r="L54" s="174">
        <v>2142120.4698596606</v>
      </c>
      <c r="M54" s="174">
        <v>1520343.0074095784</v>
      </c>
      <c r="N54" s="174">
        <v>1686846.4569605018</v>
      </c>
      <c r="O54" s="174">
        <v>42067.746909653135</v>
      </c>
      <c r="P54" s="169"/>
      <c r="Q54" s="174">
        <v>5688882.7524318192</v>
      </c>
      <c r="R54" s="174">
        <v>28636.94950671406</v>
      </c>
      <c r="S54" s="174">
        <v>741093.32970931206</v>
      </c>
      <c r="T54" s="174">
        <f t="shared" si="7"/>
        <v>6458613.0316478452</v>
      </c>
      <c r="U54" s="174">
        <f t="shared" si="8"/>
        <v>5717519.7019385332</v>
      </c>
    </row>
    <row r="55" spans="1:21" x14ac:dyDescent="0.25">
      <c r="A55" s="138">
        <f t="shared" si="0"/>
        <v>48</v>
      </c>
      <c r="B55" s="173">
        <v>391</v>
      </c>
      <c r="C55" s="138" t="s">
        <v>308</v>
      </c>
      <c r="D55" s="169" t="s">
        <v>306</v>
      </c>
      <c r="E55" s="174">
        <v>83991254.610513493</v>
      </c>
      <c r="F55" s="174">
        <v>51466295.243275419</v>
      </c>
      <c r="G55" s="174">
        <v>10353393.560217826</v>
      </c>
      <c r="H55" s="174">
        <v>8609871.6093609575</v>
      </c>
      <c r="I55" s="174">
        <v>4928996.7064219499</v>
      </c>
      <c r="J55" s="174">
        <v>3856324.5510419663</v>
      </c>
      <c r="K55" s="174">
        <v>1557275.8966289109</v>
      </c>
      <c r="L55" s="174">
        <v>1279022.5577428238</v>
      </c>
      <c r="M55" s="174">
        <v>907770.14147612895</v>
      </c>
      <c r="N55" s="174">
        <v>1007186.4305756759</v>
      </c>
      <c r="O55" s="174">
        <v>25117.913771855863</v>
      </c>
      <c r="P55" s="169"/>
      <c r="Q55" s="174">
        <v>3396732.1031160662</v>
      </c>
      <c r="R55" s="174">
        <v>17098.620231395824</v>
      </c>
      <c r="S55" s="174">
        <v>442493.82769450382</v>
      </c>
      <c r="T55" s="174">
        <f t="shared" si="7"/>
        <v>3856324.5510419663</v>
      </c>
      <c r="U55" s="174">
        <f t="shared" si="8"/>
        <v>3413830.7233474622</v>
      </c>
    </row>
    <row r="56" spans="1:21" x14ac:dyDescent="0.25">
      <c r="A56" s="138">
        <f t="shared" si="0"/>
        <v>49</v>
      </c>
      <c r="B56" s="173">
        <v>392</v>
      </c>
      <c r="C56" s="138" t="s">
        <v>309</v>
      </c>
      <c r="D56" s="169" t="s">
        <v>306</v>
      </c>
      <c r="E56" s="174">
        <v>13379543.047083501</v>
      </c>
      <c r="F56" s="174">
        <v>8198419.1791691398</v>
      </c>
      <c r="G56" s="174">
        <v>1649263.0746462501</v>
      </c>
      <c r="H56" s="174">
        <v>1371525.5041908557</v>
      </c>
      <c r="I56" s="174">
        <v>785173.69359845668</v>
      </c>
      <c r="J56" s="174">
        <v>614300.38845654414</v>
      </c>
      <c r="K56" s="174">
        <v>248069.15900651395</v>
      </c>
      <c r="L56" s="174">
        <v>203744.27610191802</v>
      </c>
      <c r="M56" s="174">
        <v>144604.93227608775</v>
      </c>
      <c r="N56" s="174">
        <v>160441.63486800482</v>
      </c>
      <c r="O56" s="174">
        <v>4001.2047697333765</v>
      </c>
      <c r="P56" s="169"/>
      <c r="Q56" s="174">
        <v>541088.75505906716</v>
      </c>
      <c r="R56" s="174">
        <v>2723.7564969419691</v>
      </c>
      <c r="S56" s="174">
        <v>70487.876900534931</v>
      </c>
      <c r="T56" s="174">
        <f t="shared" si="7"/>
        <v>614300.38845654414</v>
      </c>
      <c r="U56" s="174">
        <f t="shared" si="8"/>
        <v>543812.51155600918</v>
      </c>
    </row>
    <row r="57" spans="1:21" x14ac:dyDescent="0.25">
      <c r="A57" s="138">
        <f t="shared" si="0"/>
        <v>50</v>
      </c>
      <c r="B57" s="173">
        <v>393</v>
      </c>
      <c r="C57" s="138" t="s">
        <v>310</v>
      </c>
      <c r="D57" s="169" t="s">
        <v>311</v>
      </c>
      <c r="E57" s="174">
        <v>798002.50228599901</v>
      </c>
      <c r="F57" s="174">
        <v>458913.62032085907</v>
      </c>
      <c r="G57" s="174">
        <v>100388.19309977721</v>
      </c>
      <c r="H57" s="174">
        <v>93341.340857582807</v>
      </c>
      <c r="I57" s="174">
        <v>53929.03868285424</v>
      </c>
      <c r="J57" s="174">
        <v>42110.927340398739</v>
      </c>
      <c r="K57" s="174">
        <v>16976.207996116926</v>
      </c>
      <c r="L57" s="174">
        <v>14064.126749448929</v>
      </c>
      <c r="M57" s="174">
        <v>9419.2684455122089</v>
      </c>
      <c r="N57" s="174">
        <v>8586.759216662409</v>
      </c>
      <c r="O57" s="174">
        <v>273.0195767865788</v>
      </c>
      <c r="P57" s="169"/>
      <c r="Q57" s="174">
        <v>37168.956376645998</v>
      </c>
      <c r="R57" s="174">
        <v>184.29562008332675</v>
      </c>
      <c r="S57" s="174">
        <v>4757.6753436694107</v>
      </c>
      <c r="T57" s="174">
        <f t="shared" si="7"/>
        <v>42110.927340398739</v>
      </c>
      <c r="U57" s="174">
        <f t="shared" si="8"/>
        <v>37353.251996729326</v>
      </c>
    </row>
    <row r="58" spans="1:21" x14ac:dyDescent="0.25">
      <c r="A58" s="138">
        <f t="shared" si="0"/>
        <v>51</v>
      </c>
      <c r="B58" s="173">
        <v>394</v>
      </c>
      <c r="C58" s="138" t="s">
        <v>312</v>
      </c>
      <c r="D58" s="169" t="s">
        <v>313</v>
      </c>
      <c r="E58" s="174">
        <v>13311690.639508801</v>
      </c>
      <c r="F58" s="174">
        <v>7684679.3125205422</v>
      </c>
      <c r="G58" s="174">
        <v>1672244.2690796752</v>
      </c>
      <c r="H58" s="174">
        <v>1548335.022258976</v>
      </c>
      <c r="I58" s="174">
        <v>888877.50079457683</v>
      </c>
      <c r="J58" s="174">
        <v>697790.33896758722</v>
      </c>
      <c r="K58" s="174">
        <v>280010.5591834127</v>
      </c>
      <c r="L58" s="174">
        <v>229796.29916874715</v>
      </c>
      <c r="M58" s="174">
        <v>157624.9663305858</v>
      </c>
      <c r="N58" s="174">
        <v>147774.39828772505</v>
      </c>
      <c r="O58" s="174">
        <v>4557.9729169743132</v>
      </c>
      <c r="P58" s="169"/>
      <c r="Q58" s="174">
        <v>614159.23396979517</v>
      </c>
      <c r="R58" s="174">
        <v>3123.589844132503</v>
      </c>
      <c r="S58" s="174">
        <v>80507.515153659537</v>
      </c>
      <c r="T58" s="174">
        <f t="shared" si="7"/>
        <v>697790.33896758722</v>
      </c>
      <c r="U58" s="174">
        <f t="shared" si="8"/>
        <v>617282.82381392771</v>
      </c>
    </row>
    <row r="59" spans="1:21" x14ac:dyDescent="0.25">
      <c r="A59" s="138">
        <f t="shared" si="0"/>
        <v>52</v>
      </c>
      <c r="B59" s="173">
        <v>395</v>
      </c>
      <c r="C59" s="138" t="s">
        <v>314</v>
      </c>
      <c r="D59" s="169" t="s">
        <v>313</v>
      </c>
      <c r="E59" s="174">
        <v>12031126.7299999</v>
      </c>
      <c r="F59" s="174">
        <v>6945425.1298432155</v>
      </c>
      <c r="G59" s="174">
        <v>1511376.9745445356</v>
      </c>
      <c r="H59" s="174">
        <v>1399387.6043067609</v>
      </c>
      <c r="I59" s="174">
        <v>803368.86944810743</v>
      </c>
      <c r="J59" s="174">
        <v>630663.9950129136</v>
      </c>
      <c r="K59" s="174">
        <v>253073.97944443856</v>
      </c>
      <c r="L59" s="174">
        <v>207690.25304558798</v>
      </c>
      <c r="M59" s="174">
        <v>142461.69003558077</v>
      </c>
      <c r="N59" s="174">
        <v>133558.73129836377</v>
      </c>
      <c r="O59" s="174">
        <v>4119.5030203953702</v>
      </c>
      <c r="P59" s="169"/>
      <c r="Q59" s="174">
        <v>555078.07207897352</v>
      </c>
      <c r="R59" s="174">
        <v>2823.105365426783</v>
      </c>
      <c r="S59" s="174">
        <v>72762.817568513332</v>
      </c>
      <c r="T59" s="174">
        <f t="shared" si="7"/>
        <v>630663.9950129136</v>
      </c>
      <c r="U59" s="174">
        <f t="shared" si="8"/>
        <v>557901.17744440027</v>
      </c>
    </row>
    <row r="60" spans="1:21" x14ac:dyDescent="0.25">
      <c r="A60" s="138">
        <f t="shared" si="0"/>
        <v>53</v>
      </c>
      <c r="B60" s="173">
        <v>396</v>
      </c>
      <c r="C60" s="138" t="s">
        <v>315</v>
      </c>
      <c r="D60" s="169" t="s">
        <v>313</v>
      </c>
      <c r="E60" s="174">
        <v>6323256.5831426596</v>
      </c>
      <c r="F60" s="174">
        <v>3650340.1685143705</v>
      </c>
      <c r="G60" s="174">
        <v>794341.59562701662</v>
      </c>
      <c r="H60" s="174">
        <v>735482.8088741306</v>
      </c>
      <c r="I60" s="174">
        <v>422230.40338879923</v>
      </c>
      <c r="J60" s="174">
        <v>331461.07988977106</v>
      </c>
      <c r="K60" s="174">
        <v>133009.29683949641</v>
      </c>
      <c r="L60" s="174">
        <v>109156.75558053823</v>
      </c>
      <c r="M60" s="174">
        <v>74874.269017289524</v>
      </c>
      <c r="N60" s="174">
        <v>70195.098586461943</v>
      </c>
      <c r="O60" s="174">
        <v>2165.1068247862527</v>
      </c>
      <c r="P60" s="169"/>
      <c r="Q60" s="174">
        <v>291735.02633626864</v>
      </c>
      <c r="R60" s="174">
        <v>1483.7529341560194</v>
      </c>
      <c r="S60" s="174">
        <v>38242.300619346403</v>
      </c>
      <c r="T60" s="174">
        <f t="shared" si="7"/>
        <v>331461.07988977106</v>
      </c>
      <c r="U60" s="174">
        <f t="shared" si="8"/>
        <v>293218.77927042468</v>
      </c>
    </row>
    <row r="61" spans="1:21" x14ac:dyDescent="0.25">
      <c r="A61" s="138">
        <f t="shared" si="0"/>
        <v>54</v>
      </c>
      <c r="B61" s="173">
        <v>397</v>
      </c>
      <c r="C61" s="138" t="s">
        <v>316</v>
      </c>
      <c r="D61" s="169" t="s">
        <v>306</v>
      </c>
      <c r="E61" s="174">
        <v>147993975.31044</v>
      </c>
      <c r="F61" s="174">
        <v>90684460.696217626</v>
      </c>
      <c r="G61" s="174">
        <v>18242850.139999568</v>
      </c>
      <c r="H61" s="174">
        <v>15170735.718743825</v>
      </c>
      <c r="I61" s="174">
        <v>8684973.4565596152</v>
      </c>
      <c r="J61" s="174">
        <v>6794907.4346189154</v>
      </c>
      <c r="K61" s="174">
        <v>2743945.8032383518</v>
      </c>
      <c r="L61" s="174">
        <v>2253658.83281369</v>
      </c>
      <c r="M61" s="174">
        <v>1599505.9548539768</v>
      </c>
      <c r="N61" s="174">
        <v>1774679.0952324779</v>
      </c>
      <c r="O61" s="174">
        <v>44258.178161997472</v>
      </c>
      <c r="P61" s="169"/>
      <c r="Q61" s="174">
        <v>5985097.9644946726</v>
      </c>
      <c r="R61" s="174">
        <v>30128.050736975561</v>
      </c>
      <c r="S61" s="174">
        <v>779681.41938726674</v>
      </c>
      <c r="T61" s="174">
        <f t="shared" si="7"/>
        <v>6794907.4346189154</v>
      </c>
      <c r="U61" s="174">
        <f t="shared" si="8"/>
        <v>6015226.0152316485</v>
      </c>
    </row>
    <row r="62" spans="1:21" x14ac:dyDescent="0.25">
      <c r="A62" s="138">
        <f t="shared" si="0"/>
        <v>55</v>
      </c>
      <c r="B62" s="173">
        <v>398</v>
      </c>
      <c r="C62" s="138" t="s">
        <v>317</v>
      </c>
      <c r="D62" s="169" t="s">
        <v>306</v>
      </c>
      <c r="E62" s="174">
        <v>967417.93570825004</v>
      </c>
      <c r="F62" s="174">
        <v>592792.87270663679</v>
      </c>
      <c r="G62" s="174">
        <v>119251.20861746566</v>
      </c>
      <c r="H62" s="174">
        <v>99169.18443076135</v>
      </c>
      <c r="I62" s="174">
        <v>56772.5752038309</v>
      </c>
      <c r="J62" s="174">
        <v>44417.452196541912</v>
      </c>
      <c r="K62" s="174">
        <v>17936.827354599085</v>
      </c>
      <c r="L62" s="174">
        <v>14731.883316587167</v>
      </c>
      <c r="M62" s="174">
        <v>10455.768525387595</v>
      </c>
      <c r="N62" s="174">
        <v>11600.853232390167</v>
      </c>
      <c r="O62" s="174">
        <v>289.31012404980754</v>
      </c>
      <c r="P62" s="169"/>
      <c r="Q62" s="174">
        <v>39123.829910491186</v>
      </c>
      <c r="R62" s="174">
        <v>196.94326468181731</v>
      </c>
      <c r="S62" s="174">
        <v>5096.679021368911</v>
      </c>
      <c r="T62" s="174">
        <f t="shared" si="7"/>
        <v>44417.452196541912</v>
      </c>
      <c r="U62" s="174">
        <f t="shared" si="8"/>
        <v>39320.773175173003</v>
      </c>
    </row>
    <row r="63" spans="1:21" x14ac:dyDescent="0.25">
      <c r="A63" s="138">
        <f t="shared" si="0"/>
        <v>56</v>
      </c>
      <c r="B63" s="173">
        <v>399</v>
      </c>
      <c r="C63" s="138" t="s">
        <v>318</v>
      </c>
      <c r="D63" s="169" t="s">
        <v>306</v>
      </c>
      <c r="E63" s="174">
        <v>545833.37664433336</v>
      </c>
      <c r="F63" s="174">
        <v>334463.65155849012</v>
      </c>
      <c r="G63" s="174">
        <v>67283.526039793287</v>
      </c>
      <c r="H63" s="174">
        <v>55952.912178828337</v>
      </c>
      <c r="I63" s="174">
        <v>32032.036290101118</v>
      </c>
      <c r="J63" s="174">
        <v>25061.069285041965</v>
      </c>
      <c r="K63" s="174">
        <v>10120.257935966001</v>
      </c>
      <c r="L63" s="174">
        <v>8311.9749161319178</v>
      </c>
      <c r="M63" s="174">
        <v>5899.3194450603823</v>
      </c>
      <c r="N63" s="174">
        <v>6545.3953850411908</v>
      </c>
      <c r="O63" s="174">
        <v>163.23360987915441</v>
      </c>
      <c r="P63" s="169"/>
      <c r="Q63" s="174">
        <v>22074.319070452035</v>
      </c>
      <c r="R63" s="174">
        <v>111.11868325031125</v>
      </c>
      <c r="S63" s="174">
        <v>2875.6315313396199</v>
      </c>
      <c r="T63" s="174">
        <f t="shared" si="7"/>
        <v>25061.069285041965</v>
      </c>
      <c r="U63" s="174">
        <f t="shared" si="8"/>
        <v>22185.437753702347</v>
      </c>
    </row>
    <row r="64" spans="1:21" x14ac:dyDescent="0.25">
      <c r="A64" s="141">
        <f t="shared" si="0"/>
        <v>57</v>
      </c>
      <c r="B64" s="175"/>
      <c r="C64" s="141" t="s">
        <v>251</v>
      </c>
      <c r="D64" s="176"/>
      <c r="E64" s="177">
        <f t="shared" ref="E64:N64" si="9">SUM(E53:E63)</f>
        <v>454603105.91412473</v>
      </c>
      <c r="F64" s="177">
        <f t="shared" si="9"/>
        <v>277408335.43131769</v>
      </c>
      <c r="G64" s="177">
        <f t="shared" si="9"/>
        <v>56114381.799919434</v>
      </c>
      <c r="H64" s="177">
        <f t="shared" si="9"/>
        <v>47049657.313794948</v>
      </c>
      <c r="I64" s="177">
        <f t="shared" si="9"/>
        <v>26941483.622680102</v>
      </c>
      <c r="J64" s="177">
        <f t="shared" si="9"/>
        <v>21083866.876936175</v>
      </c>
      <c r="K64" s="177">
        <f t="shared" si="9"/>
        <v>8509919.8583824877</v>
      </c>
      <c r="L64" s="177">
        <f t="shared" si="9"/>
        <v>6989059.3348191706</v>
      </c>
      <c r="M64" s="177">
        <f t="shared" si="9"/>
        <v>4946821.9417439364</v>
      </c>
      <c r="N64" s="177">
        <f t="shared" si="9"/>
        <v>5422221.8014771957</v>
      </c>
      <c r="O64" s="177">
        <f>SUM(O53:O63)</f>
        <v>137357.93305373509</v>
      </c>
      <c r="P64" s="169"/>
      <c r="Q64" s="177">
        <f>SUM(Q53:Q63)</f>
        <v>18570075.741837408</v>
      </c>
      <c r="R64" s="177">
        <f>SUM(R53:R63)</f>
        <v>93552.202169964134</v>
      </c>
      <c r="S64" s="177">
        <f>SUM(S53:S63)</f>
        <v>2420238.9329288015</v>
      </c>
      <c r="T64" s="177">
        <f>SUM(T53:T63)</f>
        <v>21083866.876936175</v>
      </c>
      <c r="U64" s="177">
        <f>SUM(U53:U63)</f>
        <v>18663627.944007378</v>
      </c>
    </row>
    <row r="65" spans="1:21" x14ac:dyDescent="0.25">
      <c r="A65" s="138">
        <f t="shared" si="0"/>
        <v>58</v>
      </c>
      <c r="B65" s="173"/>
      <c r="C65" s="138"/>
      <c r="D65" s="169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69"/>
      <c r="Q65" s="174"/>
      <c r="R65" s="174"/>
      <c r="S65" s="174"/>
      <c r="T65" s="174"/>
      <c r="U65" s="174"/>
    </row>
    <row r="66" spans="1:21" x14ac:dyDescent="0.25">
      <c r="A66" s="141">
        <f t="shared" si="0"/>
        <v>59</v>
      </c>
      <c r="B66" s="175"/>
      <c r="C66" s="141" t="s">
        <v>319</v>
      </c>
      <c r="D66" s="176"/>
      <c r="E66" s="177">
        <f t="shared" ref="E66:N66" si="10">SUM(E64,E50,E26,E20,E14)</f>
        <v>9609442662.6340485</v>
      </c>
      <c r="F66" s="177">
        <f t="shared" si="10"/>
        <v>5545457488.6787891</v>
      </c>
      <c r="G66" s="177">
        <f t="shared" si="10"/>
        <v>1207741046.4684942</v>
      </c>
      <c r="H66" s="177">
        <f t="shared" si="10"/>
        <v>1116587567.8116324</v>
      </c>
      <c r="I66" s="177">
        <f t="shared" si="10"/>
        <v>645442293.35483623</v>
      </c>
      <c r="J66" s="177">
        <f t="shared" si="10"/>
        <v>503636009.16662079</v>
      </c>
      <c r="K66" s="177">
        <f t="shared" si="10"/>
        <v>203194457.72693482</v>
      </c>
      <c r="L66" s="177">
        <f t="shared" si="10"/>
        <v>168505770.75160074</v>
      </c>
      <c r="M66" s="177">
        <f t="shared" si="10"/>
        <v>111992210.30186239</v>
      </c>
      <c r="N66" s="177">
        <f t="shared" si="10"/>
        <v>103623580.21183598</v>
      </c>
      <c r="O66" s="177">
        <f>SUM(O64,O50,O26,O20,O14)</f>
        <v>3262238.1614442412</v>
      </c>
      <c r="P66" s="169"/>
      <c r="Q66" s="177">
        <f>SUM(Q64,Q50,Q26,Q20,Q14)</f>
        <v>444677165.9117772</v>
      </c>
      <c r="R66" s="177">
        <f>SUM(R64,R50,R26,R20,R14)</f>
        <v>2197864.487798091</v>
      </c>
      <c r="S66" s="177">
        <f>SUM(S64,S50,S26,S20,S14)</f>
        <v>56760978.767045557</v>
      </c>
      <c r="T66" s="177">
        <f>SUM(T64,T50,T26,T20,T14)</f>
        <v>503636009.16662079</v>
      </c>
      <c r="U66" s="177">
        <f>SUM(U64,U50,U26,U20,U14)</f>
        <v>446875030.39957529</v>
      </c>
    </row>
    <row r="67" spans="1:21" x14ac:dyDescent="0.25">
      <c r="A67" s="188">
        <f t="shared" si="0"/>
        <v>60</v>
      </c>
    </row>
    <row r="68" spans="1:21" x14ac:dyDescent="0.25">
      <c r="A68" s="188">
        <f t="shared" si="0"/>
        <v>61</v>
      </c>
      <c r="C68" s="185" t="s">
        <v>325</v>
      </c>
      <c r="E68" s="177">
        <f>SUM(F68:O68)</f>
        <v>-97368058.384898379</v>
      </c>
      <c r="F68" s="177">
        <v>0</v>
      </c>
      <c r="G68" s="177">
        <v>0</v>
      </c>
      <c r="H68" s="177">
        <v>0</v>
      </c>
      <c r="I68" s="177">
        <v>0</v>
      </c>
      <c r="J68" s="177">
        <v>0</v>
      </c>
      <c r="K68" s="177">
        <v>0</v>
      </c>
      <c r="L68" s="177">
        <v>0</v>
      </c>
      <c r="M68" s="177">
        <f>-M24</f>
        <v>-97368058.384898379</v>
      </c>
      <c r="N68" s="177">
        <v>0</v>
      </c>
      <c r="O68" s="177">
        <v>0</v>
      </c>
      <c r="Q68" s="177">
        <v>0</v>
      </c>
      <c r="R68" s="177">
        <v>0</v>
      </c>
      <c r="S68" s="177">
        <v>0</v>
      </c>
      <c r="T68" s="177">
        <v>0</v>
      </c>
      <c r="U68" s="177">
        <v>0</v>
      </c>
    </row>
    <row r="69" spans="1:21" x14ac:dyDescent="0.25">
      <c r="A69" s="188">
        <f t="shared" si="0"/>
        <v>62</v>
      </c>
      <c r="C69" s="186" t="s">
        <v>326</v>
      </c>
      <c r="E69" s="177">
        <f>SUM(F69:O69)</f>
        <v>-6372890.3302391516</v>
      </c>
      <c r="M69" s="177">
        <f>+M68/SUM(M50,M26)*SUM(M14,M64)</f>
        <v>-6372890.3302391516</v>
      </c>
    </row>
    <row r="70" spans="1:21" x14ac:dyDescent="0.25">
      <c r="A70" s="187">
        <f t="shared" si="0"/>
        <v>63</v>
      </c>
      <c r="B70" s="175"/>
      <c r="C70" s="141" t="s">
        <v>327</v>
      </c>
      <c r="D70" s="176"/>
      <c r="E70" s="177">
        <f>SUM(E66:E69)</f>
        <v>9505701713.918911</v>
      </c>
      <c r="F70" s="177">
        <f t="shared" ref="F70:O70" si="11">SUM(F66:F69)</f>
        <v>5545457488.6787891</v>
      </c>
      <c r="G70" s="177">
        <f t="shared" si="11"/>
        <v>1207741046.4684942</v>
      </c>
      <c r="H70" s="177">
        <f t="shared" si="11"/>
        <v>1116587567.8116324</v>
      </c>
      <c r="I70" s="177">
        <f t="shared" si="11"/>
        <v>645442293.35483623</v>
      </c>
      <c r="J70" s="177">
        <f t="shared" si="11"/>
        <v>503636009.16662079</v>
      </c>
      <c r="K70" s="177">
        <f t="shared" si="11"/>
        <v>203194457.72693482</v>
      </c>
      <c r="L70" s="177">
        <f t="shared" si="11"/>
        <v>168505770.75160074</v>
      </c>
      <c r="M70" s="177">
        <f t="shared" si="11"/>
        <v>8251261.5867248578</v>
      </c>
      <c r="N70" s="177">
        <f t="shared" si="11"/>
        <v>103623580.21183598</v>
      </c>
      <c r="O70" s="177">
        <f t="shared" si="11"/>
        <v>3262238.1614442412</v>
      </c>
      <c r="Q70" s="177">
        <f t="shared" ref="Q70" si="12">SUM(Q66:Q69)</f>
        <v>444677165.9117772</v>
      </c>
      <c r="R70" s="177">
        <f t="shared" ref="R70" si="13">SUM(R66:R69)</f>
        <v>2197864.487798091</v>
      </c>
      <c r="S70" s="177">
        <f t="shared" ref="S70" si="14">SUM(S66:S69)</f>
        <v>56760978.767045557</v>
      </c>
      <c r="T70" s="177">
        <f t="shared" ref="T70" si="15">SUM(T66:T69)</f>
        <v>503636009.16662079</v>
      </c>
      <c r="U70" s="177">
        <f t="shared" ref="U70" si="16">SUM(U66:U69)</f>
        <v>446875030.39957529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41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33" sqref="Q33"/>
    </sheetView>
  </sheetViews>
  <sheetFormatPr defaultColWidth="5.5703125" defaultRowHeight="15" x14ac:dyDescent="0.25"/>
  <cols>
    <col min="1" max="1" width="3.7109375" style="64" customWidth="1"/>
    <col min="2" max="2" width="39.42578125" style="64" customWidth="1"/>
    <col min="3" max="3" width="9.42578125" style="64" bestFit="1" customWidth="1"/>
    <col min="4" max="6" width="13.28515625" style="64" bestFit="1" customWidth="1"/>
    <col min="7" max="7" width="5.5703125" style="64"/>
    <col min="8" max="10" width="13.28515625" style="64" bestFit="1" customWidth="1"/>
    <col min="11" max="16384" width="5.5703125" style="64"/>
  </cols>
  <sheetData>
    <row r="1" spans="1:10" ht="18.75" x14ac:dyDescent="0.3">
      <c r="A1" s="229" t="s">
        <v>395</v>
      </c>
      <c r="B1"/>
      <c r="C1" s="230"/>
      <c r="D1"/>
      <c r="E1"/>
      <c r="F1"/>
      <c r="G1"/>
      <c r="H1"/>
      <c r="I1"/>
      <c r="J1"/>
    </row>
    <row r="2" spans="1:10" ht="18.75" x14ac:dyDescent="0.3">
      <c r="A2" s="81"/>
      <c r="B2" s="229"/>
      <c r="C2" s="230"/>
      <c r="D2"/>
      <c r="E2"/>
      <c r="F2"/>
      <c r="G2"/>
      <c r="H2"/>
      <c r="I2"/>
      <c r="J2"/>
    </row>
    <row r="3" spans="1:10" x14ac:dyDescent="0.25">
      <c r="A3" s="81"/>
      <c r="B3"/>
      <c r="C3" s="82"/>
      <c r="D3" s="231" t="s">
        <v>105</v>
      </c>
      <c r="E3" s="232"/>
      <c r="F3" s="233"/>
      <c r="G3"/>
      <c r="H3" s="231" t="s">
        <v>106</v>
      </c>
      <c r="I3" s="233"/>
      <c r="J3" s="233"/>
    </row>
    <row r="4" spans="1:10" x14ac:dyDescent="0.25">
      <c r="A4" s="81"/>
      <c r="B4"/>
      <c r="C4" s="82"/>
      <c r="D4" s="194" t="s">
        <v>107</v>
      </c>
      <c r="E4" s="194" t="s">
        <v>108</v>
      </c>
      <c r="F4" s="194" t="s">
        <v>38</v>
      </c>
      <c r="G4"/>
      <c r="H4" s="194" t="s">
        <v>107</v>
      </c>
      <c r="I4" s="194" t="s">
        <v>108</v>
      </c>
      <c r="J4" s="194" t="s">
        <v>38</v>
      </c>
    </row>
    <row r="5" spans="1:10" x14ac:dyDescent="0.25">
      <c r="A5" s="81"/>
      <c r="B5"/>
      <c r="C5" s="82"/>
      <c r="D5"/>
      <c r="E5"/>
      <c r="F5"/>
      <c r="G5"/>
      <c r="H5" s="64">
        <v>0.95238599999999995</v>
      </c>
      <c r="I5" s="64">
        <v>0.954538</v>
      </c>
    </row>
    <row r="6" spans="1:10" x14ac:dyDescent="0.25">
      <c r="A6" s="81">
        <v>1</v>
      </c>
      <c r="B6" t="s">
        <v>389</v>
      </c>
      <c r="C6" s="78"/>
      <c r="D6" s="179">
        <v>60313314.240019262</v>
      </c>
      <c r="E6" s="179">
        <v>22019078.859071229</v>
      </c>
      <c r="F6" s="179">
        <v>82332393.099090487</v>
      </c>
      <c r="H6" s="179">
        <v>63328644.310205385</v>
      </c>
      <c r="I6" s="179">
        <v>23067786.572217375</v>
      </c>
      <c r="J6" s="179">
        <v>86396430.88242276</v>
      </c>
    </row>
    <row r="7" spans="1:10" x14ac:dyDescent="0.25">
      <c r="A7" s="81"/>
      <c r="B7"/>
      <c r="C7" s="82"/>
    </row>
    <row r="8" spans="1:10" x14ac:dyDescent="0.25">
      <c r="A8" s="81">
        <v>2</v>
      </c>
      <c r="B8" t="s">
        <v>109</v>
      </c>
      <c r="C8" s="82"/>
      <c r="E8" s="234"/>
    </row>
    <row r="9" spans="1:10" x14ac:dyDescent="0.25">
      <c r="A9" s="81">
        <v>3</v>
      </c>
      <c r="B9" s="235" t="s">
        <v>396</v>
      </c>
      <c r="C9" s="236"/>
      <c r="D9" s="180">
        <v>55733659</v>
      </c>
      <c r="E9" s="180">
        <v>20139263</v>
      </c>
      <c r="F9" s="180">
        <v>75872922</v>
      </c>
      <c r="H9" s="179">
        <v>58520031.793831497</v>
      </c>
      <c r="I9" s="179">
        <v>21098440.292581331</v>
      </c>
      <c r="J9" s="180">
        <v>79618472.086412832</v>
      </c>
    </row>
    <row r="10" spans="1:10" x14ac:dyDescent="0.25">
      <c r="A10" s="81">
        <v>4</v>
      </c>
      <c r="B10" s="235" t="s">
        <v>389</v>
      </c>
      <c r="C10" s="78" t="s">
        <v>110</v>
      </c>
      <c r="D10" s="180">
        <v>60313314.240019262</v>
      </c>
      <c r="E10" s="180">
        <v>22019078.859071229</v>
      </c>
      <c r="F10" s="180">
        <v>82332393.099090487</v>
      </c>
      <c r="H10" s="179">
        <v>63328644.310205385</v>
      </c>
      <c r="I10" s="179">
        <v>23067786.572217375</v>
      </c>
      <c r="J10" s="180">
        <v>86396430.88242276</v>
      </c>
    </row>
    <row r="11" spans="1:10" x14ac:dyDescent="0.25">
      <c r="A11" s="81">
        <v>5</v>
      </c>
      <c r="B11" t="s">
        <v>390</v>
      </c>
      <c r="C11" s="82"/>
      <c r="D11" s="180">
        <v>1392396.3898532353</v>
      </c>
      <c r="E11" s="180">
        <v>1169755.7052719721</v>
      </c>
      <c r="F11" s="180">
        <v>2562152.0951252077</v>
      </c>
      <c r="H11" s="179">
        <v>1462008.4607010554</v>
      </c>
      <c r="I11" s="179">
        <v>1225467.928224934</v>
      </c>
      <c r="J11" s="180">
        <v>2687476.3889259892</v>
      </c>
    </row>
    <row r="12" spans="1:10" x14ac:dyDescent="0.25">
      <c r="A12" s="81"/>
      <c r="B12"/>
      <c r="C12" s="82"/>
      <c r="D12" s="181"/>
      <c r="E12" s="181"/>
      <c r="F12" s="181"/>
      <c r="H12" s="182">
        <v>0</v>
      </c>
      <c r="I12" s="182">
        <v>0</v>
      </c>
      <c r="J12" s="183" t="s">
        <v>391</v>
      </c>
    </row>
    <row r="13" spans="1:10" x14ac:dyDescent="0.25">
      <c r="A13" s="81">
        <v>6</v>
      </c>
      <c r="B13" t="s">
        <v>164</v>
      </c>
      <c r="C13" s="78" t="s">
        <v>111</v>
      </c>
      <c r="D13" s="180">
        <v>-3187258.8501660265</v>
      </c>
      <c r="E13" s="180">
        <v>-710060.15379925654</v>
      </c>
      <c r="F13" s="180">
        <v>-3897319.0039652828</v>
      </c>
      <c r="H13" s="180">
        <v>-3346604.0556728323</v>
      </c>
      <c r="I13" s="180">
        <v>-743878.35141111002</v>
      </c>
      <c r="J13" s="180">
        <v>-4090482.4070839426</v>
      </c>
    </row>
    <row r="14" spans="1:10" x14ac:dyDescent="0.25">
      <c r="A14" s="81"/>
      <c r="B14"/>
      <c r="C14" s="82"/>
      <c r="D14" s="181"/>
      <c r="E14" s="181"/>
      <c r="F14" s="181"/>
      <c r="H14" s="181"/>
      <c r="I14" s="181"/>
      <c r="J14" s="181"/>
    </row>
    <row r="15" spans="1:10" ht="15.75" thickBot="1" x14ac:dyDescent="0.3">
      <c r="A15" s="81">
        <v>7</v>
      </c>
      <c r="B15" t="s">
        <v>112</v>
      </c>
      <c r="C15" s="78" t="s">
        <v>113</v>
      </c>
      <c r="D15" s="184">
        <v>57126055.389853239</v>
      </c>
      <c r="E15" s="184">
        <v>21309018.70527197</v>
      </c>
      <c r="F15" s="184">
        <v>78435074.095125213</v>
      </c>
      <c r="H15" s="184">
        <v>59982040.254532553</v>
      </c>
      <c r="I15" s="184">
        <v>22323908.220806263</v>
      </c>
      <c r="J15" s="184">
        <v>82305948.475338817</v>
      </c>
    </row>
    <row r="16" spans="1:10" ht="15.75" thickTop="1" x14ac:dyDescent="0.25">
      <c r="A16" s="81"/>
      <c r="B16"/>
      <c r="C16" s="82"/>
    </row>
    <row r="17" spans="1:10" x14ac:dyDescent="0.25">
      <c r="A17" s="81"/>
      <c r="B17"/>
      <c r="C17" s="82"/>
    </row>
    <row r="18" spans="1:10" x14ac:dyDescent="0.25">
      <c r="A18" s="81">
        <v>8</v>
      </c>
      <c r="B18" t="s">
        <v>114</v>
      </c>
      <c r="C18" s="78" t="s">
        <v>392</v>
      </c>
      <c r="D18" s="179">
        <v>29926824.772686236</v>
      </c>
      <c r="E18" s="179">
        <v>12414096.93711197</v>
      </c>
      <c r="F18" s="179">
        <v>42340921.709798202</v>
      </c>
      <c r="H18" s="179">
        <v>31422999.469423361</v>
      </c>
      <c r="I18" s="179">
        <v>13005345.975866826</v>
      </c>
      <c r="J18" s="179">
        <v>44428345.445290186</v>
      </c>
    </row>
    <row r="19" spans="1:10" x14ac:dyDescent="0.25">
      <c r="A19" s="81">
        <v>9</v>
      </c>
      <c r="B19" t="s">
        <v>115</v>
      </c>
      <c r="C19" s="236"/>
      <c r="D19" s="180">
        <v>27199230.617167003</v>
      </c>
      <c r="E19" s="180">
        <v>8894921.7681600004</v>
      </c>
      <c r="F19" s="180">
        <v>36094152.385327004</v>
      </c>
      <c r="H19" s="198">
        <v>28559040.785109192</v>
      </c>
      <c r="I19" s="198">
        <v>9318562.2449394371</v>
      </c>
      <c r="J19" s="180">
        <v>37877603.030048631</v>
      </c>
    </row>
    <row r="20" spans="1:10" x14ac:dyDescent="0.25">
      <c r="A20" s="81"/>
      <c r="B20"/>
      <c r="C20" s="82"/>
      <c r="D20" s="181"/>
      <c r="E20" s="181"/>
      <c r="F20" s="181"/>
      <c r="H20" s="181"/>
      <c r="I20" s="181"/>
      <c r="J20" s="181"/>
    </row>
    <row r="21" spans="1:10" ht="15.75" thickBot="1" x14ac:dyDescent="0.3">
      <c r="A21" s="81">
        <v>10</v>
      </c>
      <c r="B21" t="s">
        <v>112</v>
      </c>
      <c r="C21" s="78" t="s">
        <v>116</v>
      </c>
      <c r="D21" s="237">
        <v>57126055.389853239</v>
      </c>
      <c r="E21" s="237">
        <v>21309018.70527197</v>
      </c>
      <c r="F21" s="237">
        <v>78435074.095125213</v>
      </c>
      <c r="G21"/>
      <c r="H21" s="237">
        <v>59982040.254532553</v>
      </c>
      <c r="I21" s="237">
        <v>22323908.220806263</v>
      </c>
      <c r="J21" s="237">
        <v>82305948.475338817</v>
      </c>
    </row>
    <row r="22" spans="1:10" ht="15.75" thickTop="1" x14ac:dyDescent="0.25">
      <c r="A22" s="81"/>
      <c r="B22"/>
      <c r="C22" s="82"/>
      <c r="G22"/>
      <c r="H22"/>
      <c r="I22"/>
      <c r="J22"/>
    </row>
    <row r="23" spans="1:10" x14ac:dyDescent="0.25">
      <c r="A23" s="81"/>
      <c r="B23"/>
      <c r="C23" s="82"/>
      <c r="D23" s="179"/>
      <c r="E23" s="179"/>
      <c r="F23" s="179"/>
      <c r="G23"/>
      <c r="H23"/>
      <c r="I23"/>
      <c r="J23"/>
    </row>
    <row r="24" spans="1:10" x14ac:dyDescent="0.25">
      <c r="A24" s="81">
        <v>11</v>
      </c>
      <c r="B24" t="s">
        <v>117</v>
      </c>
      <c r="C24" s="82"/>
      <c r="D24"/>
      <c r="E24"/>
      <c r="F24"/>
      <c r="G24"/>
      <c r="H24"/>
      <c r="I24"/>
      <c r="J24"/>
    </row>
    <row r="25" spans="1:10" x14ac:dyDescent="0.25">
      <c r="A25" s="81">
        <v>12</v>
      </c>
      <c r="B25" s="235" t="s">
        <v>118</v>
      </c>
      <c r="C25" s="82"/>
      <c r="D25" s="238">
        <v>-5476715</v>
      </c>
      <c r="E25" s="238">
        <v>-2140814</v>
      </c>
      <c r="F25" s="238">
        <v>-7617529</v>
      </c>
      <c r="G25"/>
      <c r="H25" s="198">
        <v>-5750520.2722425573</v>
      </c>
      <c r="I25" s="198">
        <v>-2242775.0388145889</v>
      </c>
      <c r="J25" s="238">
        <v>-7993295.3110571466</v>
      </c>
    </row>
    <row r="26" spans="1:10" x14ac:dyDescent="0.25">
      <c r="A26" s="81">
        <v>13</v>
      </c>
      <c r="B26" s="235" t="s">
        <v>119</v>
      </c>
      <c r="C26" s="82"/>
      <c r="D26" s="238">
        <v>2289456.1498339772</v>
      </c>
      <c r="E26" s="238">
        <v>1430753.8462007449</v>
      </c>
      <c r="F26" s="238">
        <v>3720209.9960347218</v>
      </c>
      <c r="G26"/>
      <c r="H26" s="198">
        <v>2403916.2165697282</v>
      </c>
      <c r="I26" s="198">
        <v>1498896.6874034819</v>
      </c>
      <c r="J26" s="238">
        <v>3902812.9039732101</v>
      </c>
    </row>
    <row r="27" spans="1:10" ht="15.75" thickBot="1" x14ac:dyDescent="0.3">
      <c r="A27" s="81">
        <v>14</v>
      </c>
      <c r="B27" t="s">
        <v>120</v>
      </c>
      <c r="C27" s="82"/>
      <c r="D27" s="239">
        <v>-3187258.8501660228</v>
      </c>
      <c r="E27" s="239">
        <v>-710060.15379925515</v>
      </c>
      <c r="F27" s="239">
        <v>-3897319.0039652782</v>
      </c>
      <c r="G27"/>
      <c r="H27" s="239">
        <v>-3346604.055672829</v>
      </c>
      <c r="I27" s="239">
        <v>-743878.351411107</v>
      </c>
      <c r="J27" s="239">
        <v>-4090482.407083936</v>
      </c>
    </row>
    <row r="28" spans="1:10" ht="15.75" thickTop="1" x14ac:dyDescent="0.25">
      <c r="A28" s="81"/>
      <c r="B28"/>
      <c r="C28" s="82"/>
      <c r="D28" s="240">
        <v>3.7252902984619141E-9</v>
      </c>
      <c r="E28" s="240">
        <v>1.3969838619232178E-9</v>
      </c>
      <c r="F28" s="240">
        <v>4.6566128730773926E-9</v>
      </c>
      <c r="G28" s="241"/>
      <c r="H28" s="242">
        <v>0</v>
      </c>
      <c r="I28" s="240">
        <v>3.0267983675003052E-9</v>
      </c>
      <c r="J28" s="240">
        <v>6.5192580223083496E-9</v>
      </c>
    </row>
    <row r="29" spans="1:10" x14ac:dyDescent="0.25">
      <c r="A29" s="81"/>
      <c r="B29"/>
      <c r="C29" s="82"/>
      <c r="D29"/>
      <c r="E29"/>
      <c r="F29"/>
      <c r="G29"/>
      <c r="H29" s="243"/>
      <c r="I29" s="243"/>
      <c r="J29" s="243"/>
    </row>
    <row r="30" spans="1:10" x14ac:dyDescent="0.25">
      <c r="A30" s="81">
        <v>15</v>
      </c>
      <c r="B30" s="244" t="s">
        <v>340</v>
      </c>
      <c r="C30" s="78"/>
      <c r="D30"/>
      <c r="E30"/>
      <c r="F30"/>
      <c r="G30"/>
      <c r="H30" s="245">
        <v>-5.2845029166896679E-2</v>
      </c>
      <c r="I30" s="245">
        <v>-3.2247495835037207E-2</v>
      </c>
      <c r="J30"/>
    </row>
    <row r="31" spans="1:10" x14ac:dyDescent="0.25">
      <c r="A31" s="81">
        <v>16</v>
      </c>
      <c r="B31" s="244" t="s">
        <v>341</v>
      </c>
      <c r="C31" s="82"/>
      <c r="D31"/>
      <c r="E31"/>
      <c r="F31"/>
      <c r="G31"/>
      <c r="H31" s="81" t="s">
        <v>393</v>
      </c>
      <c r="I31" s="81" t="s">
        <v>393</v>
      </c>
      <c r="J31"/>
    </row>
    <row r="32" spans="1:10" x14ac:dyDescent="0.25">
      <c r="A32" s="81">
        <v>17</v>
      </c>
      <c r="B32" s="246" t="s">
        <v>342</v>
      </c>
      <c r="C32" s="82"/>
      <c r="D32"/>
      <c r="E32"/>
      <c r="F32"/>
      <c r="G32"/>
      <c r="H32"/>
      <c r="I32"/>
      <c r="J32"/>
    </row>
    <row r="33" spans="1:10" x14ac:dyDescent="0.25">
      <c r="A33" s="81">
        <v>18</v>
      </c>
      <c r="B33" s="246" t="s">
        <v>343</v>
      </c>
      <c r="C33" s="82"/>
      <c r="D33"/>
      <c r="E33"/>
      <c r="F33"/>
      <c r="G33"/>
      <c r="H33"/>
      <c r="I33"/>
      <c r="J33"/>
    </row>
  </sheetData>
  <printOptions horizontalCentered="1"/>
  <pageMargins left="0.7" right="0.7" top="0.75" bottom="0.75" header="0.3" footer="0.3"/>
  <pageSetup scale="83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tabSelected="1" workbookViewId="0">
      <pane xSplit="4" ySplit="8" topLeftCell="E184" activePane="bottomRight" state="frozen"/>
      <selection activeCell="E8" sqref="E8"/>
      <selection pane="topRight" activeCell="E8" sqref="E8"/>
      <selection pane="bottomLeft" activeCell="E8" sqref="E8"/>
      <selection pane="bottomRight" activeCell="I194" sqref="I194"/>
    </sheetView>
  </sheetViews>
  <sheetFormatPr defaultRowHeight="15" x14ac:dyDescent="0.25"/>
  <cols>
    <col min="1" max="1" width="4.42578125" bestFit="1" customWidth="1"/>
    <col min="2" max="2" width="29.7109375" bestFit="1" customWidth="1"/>
    <col min="3" max="3" width="18.7109375" bestFit="1" customWidth="1"/>
    <col min="4" max="4" width="12.28515625" bestFit="1" customWidth="1"/>
    <col min="5" max="7" width="12.85546875" customWidth="1"/>
    <col min="8" max="9" width="11.28515625" bestFit="1" customWidth="1"/>
    <col min="10" max="10" width="10.28515625" customWidth="1"/>
    <col min="11" max="11" width="11.28515625" bestFit="1" customWidth="1"/>
  </cols>
  <sheetData>
    <row r="1" spans="1:11" x14ac:dyDescent="0.25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x14ac:dyDescent="0.25">
      <c r="A2" s="259" t="s">
        <v>177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1" x14ac:dyDescent="0.25">
      <c r="A3" s="260" t="s">
        <v>227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</row>
    <row r="4" spans="1:11" x14ac:dyDescent="0.25">
      <c r="A4" s="260" t="s">
        <v>359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1" x14ac:dyDescent="0.25">
      <c r="A5" s="143"/>
      <c r="B5" s="247"/>
      <c r="C5" s="247"/>
      <c r="D5" s="247"/>
      <c r="E5" s="247"/>
      <c r="F5" s="247"/>
      <c r="G5" s="247"/>
      <c r="H5" s="144"/>
      <c r="I5" s="144"/>
      <c r="J5" s="144"/>
      <c r="K5" s="144"/>
    </row>
    <row r="6" spans="1:11" ht="64.5" x14ac:dyDescent="0.25">
      <c r="A6" s="28" t="s">
        <v>1</v>
      </c>
      <c r="B6" s="28" t="s">
        <v>3</v>
      </c>
      <c r="C6" s="28" t="s">
        <v>83</v>
      </c>
      <c r="D6" s="28" t="s">
        <v>178</v>
      </c>
      <c r="E6" s="27" t="s">
        <v>360</v>
      </c>
      <c r="F6" s="27" t="s">
        <v>361</v>
      </c>
      <c r="G6" s="27" t="s">
        <v>362</v>
      </c>
      <c r="H6" s="27" t="s">
        <v>363</v>
      </c>
      <c r="I6" s="27" t="s">
        <v>232</v>
      </c>
      <c r="J6" s="27" t="s">
        <v>233</v>
      </c>
      <c r="K6" s="28" t="s">
        <v>179</v>
      </c>
    </row>
    <row r="7" spans="1:11" x14ac:dyDescent="0.25">
      <c r="A7" s="143"/>
      <c r="B7" s="145"/>
      <c r="C7" s="145"/>
      <c r="D7" s="146"/>
      <c r="E7" s="145" t="s">
        <v>33</v>
      </c>
      <c r="F7" s="145" t="s">
        <v>32</v>
      </c>
      <c r="G7" s="146" t="s">
        <v>31</v>
      </c>
      <c r="H7" s="167" t="s">
        <v>35</v>
      </c>
      <c r="I7" s="167" t="s">
        <v>34</v>
      </c>
      <c r="J7" s="167" t="s">
        <v>30</v>
      </c>
      <c r="K7" s="167" t="s">
        <v>172</v>
      </c>
    </row>
    <row r="8" spans="1:11" ht="26.25" x14ac:dyDescent="0.25">
      <c r="A8" s="143"/>
      <c r="B8" s="145"/>
      <c r="C8" s="145"/>
      <c r="D8" s="146"/>
      <c r="E8" s="146"/>
      <c r="F8" s="146"/>
      <c r="G8" s="24" t="s">
        <v>228</v>
      </c>
      <c r="H8" s="144"/>
      <c r="I8" s="147" t="s">
        <v>229</v>
      </c>
      <c r="J8" s="147" t="s">
        <v>230</v>
      </c>
      <c r="K8" s="24" t="s">
        <v>231</v>
      </c>
    </row>
    <row r="9" spans="1:11" x14ac:dyDescent="0.25">
      <c r="A9" s="143">
        <v>1</v>
      </c>
      <c r="B9" s="148" t="s">
        <v>180</v>
      </c>
      <c r="C9" s="148"/>
      <c r="D9" s="148"/>
      <c r="E9" s="148"/>
      <c r="F9" s="148"/>
      <c r="G9" s="149"/>
      <c r="H9" s="144"/>
      <c r="I9" s="144"/>
      <c r="J9" s="144"/>
      <c r="K9" s="144"/>
    </row>
    <row r="10" spans="1:11" x14ac:dyDescent="0.25">
      <c r="A10" s="143">
        <f>A9+1</f>
        <v>2</v>
      </c>
      <c r="B10" s="150" t="s">
        <v>181</v>
      </c>
      <c r="C10" s="151" t="s">
        <v>182</v>
      </c>
      <c r="D10" s="152">
        <v>22</v>
      </c>
      <c r="E10" s="153">
        <f>+'[1]Final Sch 140 Combined Charges'!O24</f>
        <v>0.01</v>
      </c>
      <c r="F10" s="153">
        <f>+'[1]Final Sch 140 Combined Charges'!P24</f>
        <v>0</v>
      </c>
      <c r="G10" s="153">
        <f>SUM(E10:F10)</f>
        <v>0.01</v>
      </c>
      <c r="H10" s="154">
        <f>+'[1]Final Sch 140 Combined Charges'!L24</f>
        <v>708</v>
      </c>
      <c r="I10" s="155">
        <f>ROUND($H10*E10,0)</f>
        <v>7</v>
      </c>
      <c r="J10" s="155">
        <f>ROUND($H10*F10,0)</f>
        <v>0</v>
      </c>
      <c r="K10" s="155">
        <f>SUM(I10:J10)</f>
        <v>7</v>
      </c>
    </row>
    <row r="11" spans="1:11" x14ac:dyDescent="0.25">
      <c r="A11" s="143">
        <f t="shared" ref="A11:A74" si="0">A10+1</f>
        <v>3</v>
      </c>
      <c r="B11" s="25"/>
      <c r="C11" s="146"/>
      <c r="D11" s="24"/>
      <c r="E11" s="149"/>
      <c r="F11" s="149"/>
      <c r="G11" s="149"/>
      <c r="H11" s="154"/>
      <c r="I11" s="154"/>
      <c r="J11" s="154"/>
      <c r="K11" s="144"/>
    </row>
    <row r="12" spans="1:11" x14ac:dyDescent="0.25">
      <c r="A12" s="143">
        <f t="shared" si="0"/>
        <v>4</v>
      </c>
      <c r="B12" s="150" t="s">
        <v>183</v>
      </c>
      <c r="C12" s="156" t="s">
        <v>84</v>
      </c>
      <c r="D12" s="157">
        <v>100</v>
      </c>
      <c r="E12" s="153">
        <f>+'[1]Final Sch 140 Combined Charges'!O26</f>
        <v>0.03</v>
      </c>
      <c r="F12" s="153">
        <f>+'[1]Final Sch 140 Combined Charges'!P26</f>
        <v>0.03</v>
      </c>
      <c r="G12" s="153">
        <f t="shared" ref="G12:G18" si="1">SUM(E12:F12)</f>
        <v>0.06</v>
      </c>
      <c r="H12" s="154">
        <f>+'[1]Final Sch 140 Combined Charges'!L26</f>
        <v>36</v>
      </c>
      <c r="I12" s="155">
        <f t="shared" ref="I12:I18" si="2">ROUND($H12*E12,0)</f>
        <v>1</v>
      </c>
      <c r="J12" s="155">
        <f t="shared" ref="J12:J18" si="3">ROUND($H12*F12,0)</f>
        <v>1</v>
      </c>
      <c r="K12" s="155">
        <f t="shared" ref="K12:K18" si="4">SUM(I12:J12)</f>
        <v>2</v>
      </c>
    </row>
    <row r="13" spans="1:11" x14ac:dyDescent="0.25">
      <c r="A13" s="143">
        <f t="shared" si="0"/>
        <v>5</v>
      </c>
      <c r="B13" s="150" t="str">
        <f>+B12</f>
        <v>50E-A</v>
      </c>
      <c r="C13" s="156" t="str">
        <f>+C12</f>
        <v>Mercury Vapor</v>
      </c>
      <c r="D13" s="157">
        <v>175</v>
      </c>
      <c r="E13" s="153">
        <f>+'[1]Final Sch 140 Combined Charges'!O27</f>
        <v>0.06</v>
      </c>
      <c r="F13" s="153">
        <f>+'[1]Final Sch 140 Combined Charges'!P27</f>
        <v>0.05</v>
      </c>
      <c r="G13" s="153">
        <f t="shared" si="1"/>
        <v>0.11</v>
      </c>
      <c r="H13" s="154">
        <f>+'[1]Final Sch 140 Combined Charges'!L27</f>
        <v>228</v>
      </c>
      <c r="I13" s="155">
        <f t="shared" si="2"/>
        <v>14</v>
      </c>
      <c r="J13" s="155">
        <f t="shared" si="3"/>
        <v>11</v>
      </c>
      <c r="K13" s="155">
        <f t="shared" si="4"/>
        <v>25</v>
      </c>
    </row>
    <row r="14" spans="1:11" x14ac:dyDescent="0.25">
      <c r="A14" s="143">
        <f t="shared" si="0"/>
        <v>6</v>
      </c>
      <c r="B14" s="150" t="str">
        <f>+B13</f>
        <v>50E-A</v>
      </c>
      <c r="C14" s="156" t="str">
        <f>+C13</f>
        <v>Mercury Vapor</v>
      </c>
      <c r="D14" s="157">
        <v>400</v>
      </c>
      <c r="E14" s="153">
        <f>+'[1]Final Sch 140 Combined Charges'!O28</f>
        <v>0.14000000000000001</v>
      </c>
      <c r="F14" s="153">
        <f>+'[1]Final Sch 140 Combined Charges'!P28</f>
        <v>0.12</v>
      </c>
      <c r="G14" s="153">
        <f t="shared" si="1"/>
        <v>0.26</v>
      </c>
      <c r="H14" s="154">
        <f>+'[1]Final Sch 140 Combined Charges'!L28</f>
        <v>240</v>
      </c>
      <c r="I14" s="155">
        <f t="shared" si="2"/>
        <v>34</v>
      </c>
      <c r="J14" s="155">
        <f t="shared" si="3"/>
        <v>29</v>
      </c>
      <c r="K14" s="155">
        <f t="shared" si="4"/>
        <v>63</v>
      </c>
    </row>
    <row r="15" spans="1:11" x14ac:dyDescent="0.25">
      <c r="A15" s="143">
        <f t="shared" si="0"/>
        <v>7</v>
      </c>
      <c r="B15" s="150" t="s">
        <v>184</v>
      </c>
      <c r="C15" s="156" t="str">
        <f>+C14</f>
        <v>Mercury Vapor</v>
      </c>
      <c r="D15" s="157">
        <v>100</v>
      </c>
      <c r="E15" s="153">
        <f>+'[1]Final Sch 140 Combined Charges'!O29</f>
        <v>0.03</v>
      </c>
      <c r="F15" s="153">
        <f>+'[1]Final Sch 140 Combined Charges'!P29</f>
        <v>0.03</v>
      </c>
      <c r="G15" s="153">
        <f t="shared" si="1"/>
        <v>0.06</v>
      </c>
      <c r="H15" s="154">
        <f>+'[1]Final Sch 140 Combined Charges'!L29</f>
        <v>0</v>
      </c>
      <c r="I15" s="155">
        <f t="shared" si="2"/>
        <v>0</v>
      </c>
      <c r="J15" s="155">
        <f t="shared" si="3"/>
        <v>0</v>
      </c>
      <c r="K15" s="155">
        <f t="shared" si="4"/>
        <v>0</v>
      </c>
    </row>
    <row r="16" spans="1:11" x14ac:dyDescent="0.25">
      <c r="A16" s="143">
        <f t="shared" si="0"/>
        <v>8</v>
      </c>
      <c r="B16" s="150" t="str">
        <f t="shared" ref="B16:C18" si="5">+B15</f>
        <v>50E-B</v>
      </c>
      <c r="C16" s="156" t="str">
        <f t="shared" si="5"/>
        <v>Mercury Vapor</v>
      </c>
      <c r="D16" s="157">
        <v>175</v>
      </c>
      <c r="E16" s="153">
        <f>+'[1]Final Sch 140 Combined Charges'!O30</f>
        <v>0.06</v>
      </c>
      <c r="F16" s="153">
        <f>+'[1]Final Sch 140 Combined Charges'!P30</f>
        <v>0.05</v>
      </c>
      <c r="G16" s="153">
        <f t="shared" si="1"/>
        <v>0.11</v>
      </c>
      <c r="H16" s="154">
        <f>+'[1]Final Sch 140 Combined Charges'!L30</f>
        <v>12</v>
      </c>
      <c r="I16" s="155">
        <f t="shared" si="2"/>
        <v>1</v>
      </c>
      <c r="J16" s="155">
        <f t="shared" si="3"/>
        <v>1</v>
      </c>
      <c r="K16" s="155">
        <f t="shared" si="4"/>
        <v>2</v>
      </c>
    </row>
    <row r="17" spans="1:11" x14ac:dyDescent="0.25">
      <c r="A17" s="143">
        <f t="shared" si="0"/>
        <v>9</v>
      </c>
      <c r="B17" s="150" t="str">
        <f t="shared" si="5"/>
        <v>50E-B</v>
      </c>
      <c r="C17" s="156" t="str">
        <f t="shared" si="5"/>
        <v>Mercury Vapor</v>
      </c>
      <c r="D17" s="157">
        <v>400</v>
      </c>
      <c r="E17" s="153">
        <f>+'[1]Final Sch 140 Combined Charges'!O31</f>
        <v>0.14000000000000001</v>
      </c>
      <c r="F17" s="153">
        <f>+'[1]Final Sch 140 Combined Charges'!P31</f>
        <v>0.12</v>
      </c>
      <c r="G17" s="153">
        <f t="shared" si="1"/>
        <v>0.26</v>
      </c>
      <c r="H17" s="154">
        <f>+'[1]Final Sch 140 Combined Charges'!L31</f>
        <v>0</v>
      </c>
      <c r="I17" s="155">
        <f t="shared" si="2"/>
        <v>0</v>
      </c>
      <c r="J17" s="155">
        <f t="shared" si="3"/>
        <v>0</v>
      </c>
      <c r="K17" s="155">
        <f t="shared" si="4"/>
        <v>0</v>
      </c>
    </row>
    <row r="18" spans="1:11" x14ac:dyDescent="0.25">
      <c r="A18" s="143">
        <f t="shared" si="0"/>
        <v>10</v>
      </c>
      <c r="B18" s="150" t="str">
        <f t="shared" si="5"/>
        <v>50E-B</v>
      </c>
      <c r="C18" s="156" t="str">
        <f t="shared" si="5"/>
        <v>Mercury Vapor</v>
      </c>
      <c r="D18" s="157">
        <v>700</v>
      </c>
      <c r="E18" s="153">
        <f>+'[1]Final Sch 140 Combined Charges'!O32</f>
        <v>0.24</v>
      </c>
      <c r="F18" s="153">
        <f>+'[1]Final Sch 140 Combined Charges'!P32</f>
        <v>0.21</v>
      </c>
      <c r="G18" s="153">
        <f t="shared" si="1"/>
        <v>0.44999999999999996</v>
      </c>
      <c r="H18" s="154">
        <f>+'[1]Final Sch 140 Combined Charges'!L32</f>
        <v>0</v>
      </c>
      <c r="I18" s="155">
        <f t="shared" si="2"/>
        <v>0</v>
      </c>
      <c r="J18" s="155">
        <f t="shared" si="3"/>
        <v>0</v>
      </c>
      <c r="K18" s="155">
        <f t="shared" si="4"/>
        <v>0</v>
      </c>
    </row>
    <row r="19" spans="1:11" x14ac:dyDescent="0.25">
      <c r="A19" s="143">
        <f t="shared" si="0"/>
        <v>11</v>
      </c>
      <c r="B19" s="158"/>
      <c r="C19" s="159"/>
      <c r="D19" s="148"/>
      <c r="E19" s="149"/>
      <c r="F19" s="149"/>
      <c r="G19" s="149"/>
      <c r="H19" s="154"/>
      <c r="I19" s="154"/>
      <c r="J19" s="154"/>
      <c r="K19" s="144"/>
    </row>
    <row r="20" spans="1:11" x14ac:dyDescent="0.25">
      <c r="A20" s="143">
        <f t="shared" si="0"/>
        <v>12</v>
      </c>
      <c r="B20" s="158" t="s">
        <v>185</v>
      </c>
      <c r="C20" s="159"/>
      <c r="D20" s="148"/>
      <c r="E20" s="149"/>
      <c r="F20" s="149"/>
      <c r="G20" s="149"/>
      <c r="H20" s="154"/>
      <c r="I20" s="154"/>
      <c r="J20" s="154"/>
      <c r="K20" s="144"/>
    </row>
    <row r="21" spans="1:11" x14ac:dyDescent="0.25">
      <c r="A21" s="143">
        <f t="shared" si="0"/>
        <v>13</v>
      </c>
      <c r="B21" s="150" t="s">
        <v>186</v>
      </c>
      <c r="C21" s="156" t="s">
        <v>187</v>
      </c>
      <c r="D21" s="157" t="s">
        <v>188</v>
      </c>
      <c r="E21" s="153">
        <f>+'[1]Final Sch 140 Combined Charges'!O35</f>
        <v>0.02</v>
      </c>
      <c r="F21" s="153">
        <f>+'[1]Final Sch 140 Combined Charges'!P35</f>
        <v>0.01</v>
      </c>
      <c r="G21" s="153">
        <f t="shared" ref="G21:G29" si="6">SUM(E21:F21)</f>
        <v>0.03</v>
      </c>
      <c r="H21" s="154">
        <f>+'[1]Final Sch 140 Combined Charges'!L35</f>
        <v>24817</v>
      </c>
      <c r="I21" s="155">
        <f t="shared" ref="I21:I29" si="7">ROUND($H21*E21,0)</f>
        <v>496</v>
      </c>
      <c r="J21" s="155">
        <f t="shared" ref="J21:J29" si="8">ROUND($H21*F21,0)</f>
        <v>248</v>
      </c>
      <c r="K21" s="155">
        <f t="shared" ref="K21:K29" si="9">SUM(I21:J21)</f>
        <v>744</v>
      </c>
    </row>
    <row r="22" spans="1:11" x14ac:dyDescent="0.25">
      <c r="A22" s="143">
        <f t="shared" si="0"/>
        <v>14</v>
      </c>
      <c r="B22" s="150" t="s">
        <v>186</v>
      </c>
      <c r="C22" s="156" t="s">
        <v>187</v>
      </c>
      <c r="D22" s="157" t="s">
        <v>189</v>
      </c>
      <c r="E22" s="153">
        <f>+'[1]Final Sch 140 Combined Charges'!O36</f>
        <v>0.03</v>
      </c>
      <c r="F22" s="153">
        <f>+'[1]Final Sch 140 Combined Charges'!P36</f>
        <v>0.02</v>
      </c>
      <c r="G22" s="153">
        <f t="shared" si="6"/>
        <v>0.05</v>
      </c>
      <c r="H22" s="154">
        <f>+'[1]Final Sch 140 Combined Charges'!L36</f>
        <v>13647</v>
      </c>
      <c r="I22" s="155">
        <f t="shared" si="7"/>
        <v>409</v>
      </c>
      <c r="J22" s="155">
        <f t="shared" si="8"/>
        <v>273</v>
      </c>
      <c r="K22" s="155">
        <f t="shared" si="9"/>
        <v>682</v>
      </c>
    </row>
    <row r="23" spans="1:11" x14ac:dyDescent="0.25">
      <c r="A23" s="143">
        <f t="shared" si="0"/>
        <v>15</v>
      </c>
      <c r="B23" s="150" t="s">
        <v>186</v>
      </c>
      <c r="C23" s="156" t="s">
        <v>187</v>
      </c>
      <c r="D23" s="157" t="s">
        <v>190</v>
      </c>
      <c r="E23" s="153">
        <f>+'[1]Final Sch 140 Combined Charges'!O37</f>
        <v>0.04</v>
      </c>
      <c r="F23" s="153">
        <f>+'[1]Final Sch 140 Combined Charges'!P37</f>
        <v>0.03</v>
      </c>
      <c r="G23" s="153">
        <f t="shared" si="6"/>
        <v>7.0000000000000007E-2</v>
      </c>
      <c r="H23" s="154">
        <f>+'[1]Final Sch 140 Combined Charges'!L37</f>
        <v>7663</v>
      </c>
      <c r="I23" s="155">
        <f t="shared" si="7"/>
        <v>307</v>
      </c>
      <c r="J23" s="155">
        <f t="shared" si="8"/>
        <v>230</v>
      </c>
      <c r="K23" s="155">
        <f t="shared" si="9"/>
        <v>537</v>
      </c>
    </row>
    <row r="24" spans="1:11" x14ac:dyDescent="0.25">
      <c r="A24" s="143">
        <f t="shared" si="0"/>
        <v>16</v>
      </c>
      <c r="B24" s="150" t="s">
        <v>186</v>
      </c>
      <c r="C24" s="156" t="s">
        <v>187</v>
      </c>
      <c r="D24" s="157" t="s">
        <v>191</v>
      </c>
      <c r="E24" s="153">
        <f>+'[1]Final Sch 140 Combined Charges'!O38</f>
        <v>0.05</v>
      </c>
      <c r="F24" s="153">
        <f>+'[1]Final Sch 140 Combined Charges'!P38</f>
        <v>0.04</v>
      </c>
      <c r="G24" s="153">
        <f t="shared" si="6"/>
        <v>0.09</v>
      </c>
      <c r="H24" s="154">
        <f>+'[1]Final Sch 140 Combined Charges'!L38</f>
        <v>3502</v>
      </c>
      <c r="I24" s="155">
        <f t="shared" si="7"/>
        <v>175</v>
      </c>
      <c r="J24" s="155">
        <f t="shared" si="8"/>
        <v>140</v>
      </c>
      <c r="K24" s="155">
        <f t="shared" si="9"/>
        <v>315</v>
      </c>
    </row>
    <row r="25" spans="1:11" x14ac:dyDescent="0.25">
      <c r="A25" s="143">
        <f t="shared" si="0"/>
        <v>17</v>
      </c>
      <c r="B25" s="150" t="s">
        <v>186</v>
      </c>
      <c r="C25" s="156" t="s">
        <v>187</v>
      </c>
      <c r="D25" s="157" t="s">
        <v>192</v>
      </c>
      <c r="E25" s="153">
        <f>+'[1]Final Sch 140 Combined Charges'!O39</f>
        <v>0.06</v>
      </c>
      <c r="F25" s="153">
        <f>+'[1]Final Sch 140 Combined Charges'!P39</f>
        <v>0.05</v>
      </c>
      <c r="G25" s="153">
        <f t="shared" si="6"/>
        <v>0.11</v>
      </c>
      <c r="H25" s="154">
        <f>+'[1]Final Sch 140 Combined Charges'!L39</f>
        <v>606</v>
      </c>
      <c r="I25" s="155">
        <f t="shared" si="7"/>
        <v>36</v>
      </c>
      <c r="J25" s="155">
        <f t="shared" si="8"/>
        <v>30</v>
      </c>
      <c r="K25" s="155">
        <f t="shared" si="9"/>
        <v>66</v>
      </c>
    </row>
    <row r="26" spans="1:11" x14ac:dyDescent="0.25">
      <c r="A26" s="143">
        <f t="shared" si="0"/>
        <v>18</v>
      </c>
      <c r="B26" s="150" t="s">
        <v>186</v>
      </c>
      <c r="C26" s="156" t="s">
        <v>187</v>
      </c>
      <c r="D26" s="157" t="s">
        <v>193</v>
      </c>
      <c r="E26" s="153">
        <f>+'[1]Final Sch 140 Combined Charges'!O40</f>
        <v>7.0000000000000007E-2</v>
      </c>
      <c r="F26" s="153">
        <f>+'[1]Final Sch 140 Combined Charges'!P40</f>
        <v>0.06</v>
      </c>
      <c r="G26" s="153">
        <f t="shared" si="6"/>
        <v>0.13</v>
      </c>
      <c r="H26" s="154">
        <f>+'[1]Final Sch 140 Combined Charges'!L40</f>
        <v>2271</v>
      </c>
      <c r="I26" s="155">
        <f t="shared" si="7"/>
        <v>159</v>
      </c>
      <c r="J26" s="155">
        <f t="shared" si="8"/>
        <v>136</v>
      </c>
      <c r="K26" s="155">
        <f t="shared" si="9"/>
        <v>295</v>
      </c>
    </row>
    <row r="27" spans="1:11" x14ac:dyDescent="0.25">
      <c r="A27" s="143">
        <f t="shared" si="0"/>
        <v>19</v>
      </c>
      <c r="B27" s="150" t="s">
        <v>186</v>
      </c>
      <c r="C27" s="156" t="s">
        <v>187</v>
      </c>
      <c r="D27" s="157" t="s">
        <v>194</v>
      </c>
      <c r="E27" s="153">
        <f>+'[1]Final Sch 140 Combined Charges'!O41</f>
        <v>7.0000000000000007E-2</v>
      </c>
      <c r="F27" s="153">
        <f>+'[1]Final Sch 140 Combined Charges'!P41</f>
        <v>7.0000000000000007E-2</v>
      </c>
      <c r="G27" s="153">
        <f t="shared" si="6"/>
        <v>0.14000000000000001</v>
      </c>
      <c r="H27" s="154">
        <f>+'[1]Final Sch 140 Combined Charges'!L41</f>
        <v>0</v>
      </c>
      <c r="I27" s="155">
        <f t="shared" si="7"/>
        <v>0</v>
      </c>
      <c r="J27" s="155">
        <f t="shared" si="8"/>
        <v>0</v>
      </c>
      <c r="K27" s="155">
        <f t="shared" si="9"/>
        <v>0</v>
      </c>
    </row>
    <row r="28" spans="1:11" x14ac:dyDescent="0.25">
      <c r="A28" s="143">
        <f t="shared" si="0"/>
        <v>20</v>
      </c>
      <c r="B28" s="150" t="s">
        <v>186</v>
      </c>
      <c r="C28" s="156" t="s">
        <v>187</v>
      </c>
      <c r="D28" s="157" t="s">
        <v>195</v>
      </c>
      <c r="E28" s="153">
        <f>+'[1]Final Sch 140 Combined Charges'!O42</f>
        <v>0.08</v>
      </c>
      <c r="F28" s="153">
        <f>+'[1]Final Sch 140 Combined Charges'!P42</f>
        <v>0.08</v>
      </c>
      <c r="G28" s="153">
        <f t="shared" si="6"/>
        <v>0.16</v>
      </c>
      <c r="H28" s="154">
        <f>+'[1]Final Sch 140 Combined Charges'!L42</f>
        <v>120</v>
      </c>
      <c r="I28" s="155">
        <f t="shared" si="7"/>
        <v>10</v>
      </c>
      <c r="J28" s="155">
        <f t="shared" si="8"/>
        <v>10</v>
      </c>
      <c r="K28" s="155">
        <f t="shared" si="9"/>
        <v>20</v>
      </c>
    </row>
    <row r="29" spans="1:11" x14ac:dyDescent="0.25">
      <c r="A29" s="143">
        <f t="shared" si="0"/>
        <v>21</v>
      </c>
      <c r="B29" s="150" t="s">
        <v>186</v>
      </c>
      <c r="C29" s="156" t="s">
        <v>187</v>
      </c>
      <c r="D29" s="157" t="s">
        <v>196</v>
      </c>
      <c r="E29" s="153">
        <f>+'[1]Final Sch 140 Combined Charges'!O43</f>
        <v>0.09</v>
      </c>
      <c r="F29" s="153">
        <f>+'[1]Final Sch 140 Combined Charges'!P43</f>
        <v>0.09</v>
      </c>
      <c r="G29" s="153">
        <f t="shared" si="6"/>
        <v>0.18</v>
      </c>
      <c r="H29" s="154">
        <f>+'[1]Final Sch 140 Combined Charges'!L43</f>
        <v>911</v>
      </c>
      <c r="I29" s="155">
        <f t="shared" si="7"/>
        <v>82</v>
      </c>
      <c r="J29" s="155">
        <f t="shared" si="8"/>
        <v>82</v>
      </c>
      <c r="K29" s="155">
        <f t="shared" si="9"/>
        <v>164</v>
      </c>
    </row>
    <row r="30" spans="1:11" x14ac:dyDescent="0.25">
      <c r="A30" s="143">
        <f t="shared" si="0"/>
        <v>22</v>
      </c>
      <c r="B30" s="158"/>
      <c r="C30" s="148"/>
      <c r="D30" s="148"/>
      <c r="E30" s="149"/>
      <c r="F30" s="149"/>
      <c r="G30" s="149"/>
      <c r="H30" s="154"/>
      <c r="I30" s="154"/>
      <c r="J30" s="154"/>
      <c r="K30" s="144"/>
    </row>
    <row r="31" spans="1:11" x14ac:dyDescent="0.25">
      <c r="A31" s="143">
        <f t="shared" si="0"/>
        <v>23</v>
      </c>
      <c r="B31" s="158" t="s">
        <v>197</v>
      </c>
      <c r="C31" s="148"/>
      <c r="D31" s="148"/>
      <c r="E31" s="149"/>
      <c r="F31" s="149"/>
      <c r="G31" s="149"/>
      <c r="H31" s="154"/>
      <c r="I31" s="154"/>
      <c r="J31" s="154"/>
      <c r="K31" s="144"/>
    </row>
    <row r="32" spans="1:11" x14ac:dyDescent="0.25">
      <c r="A32" s="143">
        <f t="shared" si="0"/>
        <v>24</v>
      </c>
      <c r="B32" s="150" t="s">
        <v>198</v>
      </c>
      <c r="C32" s="8" t="s">
        <v>85</v>
      </c>
      <c r="D32" s="8">
        <v>50</v>
      </c>
      <c r="E32" s="153">
        <f>+'[1]Final Sch 140 Combined Charges'!O46</f>
        <v>0.02</v>
      </c>
      <c r="F32" s="153">
        <f>+'[1]Final Sch 140 Combined Charges'!P46</f>
        <v>0.01</v>
      </c>
      <c r="G32" s="153">
        <f t="shared" ref="G32:G39" si="10">SUM(E32:F32)</f>
        <v>0.03</v>
      </c>
      <c r="H32" s="154">
        <f>+'[1]Final Sch 140 Combined Charges'!L46</f>
        <v>0</v>
      </c>
      <c r="I32" s="155">
        <f t="shared" ref="I32:I39" si="11">ROUND($H32*E32,0)</f>
        <v>0</v>
      </c>
      <c r="J32" s="155">
        <f t="shared" ref="J32:J39" si="12">ROUND($H32*F32,0)</f>
        <v>0</v>
      </c>
      <c r="K32" s="155">
        <f t="shared" ref="K32:K39" si="13">SUM(I32:J32)</f>
        <v>0</v>
      </c>
    </row>
    <row r="33" spans="1:11" x14ac:dyDescent="0.25">
      <c r="A33" s="143">
        <f t="shared" si="0"/>
        <v>25</v>
      </c>
      <c r="B33" s="150" t="str">
        <f t="shared" ref="B33:B39" si="14">+B32</f>
        <v xml:space="preserve">52E </v>
      </c>
      <c r="C33" s="8" t="s">
        <v>85</v>
      </c>
      <c r="D33" s="8">
        <v>70</v>
      </c>
      <c r="E33" s="153">
        <f>+'[1]Final Sch 140 Combined Charges'!O47</f>
        <v>0.02</v>
      </c>
      <c r="F33" s="153">
        <f>+'[1]Final Sch 140 Combined Charges'!P47</f>
        <v>0.02</v>
      </c>
      <c r="G33" s="153">
        <f t="shared" si="10"/>
        <v>0.04</v>
      </c>
      <c r="H33" s="154">
        <f>+'[1]Final Sch 140 Combined Charges'!L47</f>
        <v>8520</v>
      </c>
      <c r="I33" s="155">
        <f t="shared" si="11"/>
        <v>170</v>
      </c>
      <c r="J33" s="155">
        <f t="shared" si="12"/>
        <v>170</v>
      </c>
      <c r="K33" s="155">
        <f t="shared" si="13"/>
        <v>340</v>
      </c>
    </row>
    <row r="34" spans="1:11" x14ac:dyDescent="0.25">
      <c r="A34" s="143">
        <f t="shared" si="0"/>
        <v>26</v>
      </c>
      <c r="B34" s="150" t="str">
        <f t="shared" si="14"/>
        <v xml:space="preserve">52E </v>
      </c>
      <c r="C34" s="8" t="s">
        <v>85</v>
      </c>
      <c r="D34" s="8">
        <v>100</v>
      </c>
      <c r="E34" s="153">
        <f>+'[1]Final Sch 140 Combined Charges'!O48</f>
        <v>0.03</v>
      </c>
      <c r="F34" s="153">
        <f>+'[1]Final Sch 140 Combined Charges'!P48</f>
        <v>0.03</v>
      </c>
      <c r="G34" s="153">
        <f t="shared" si="10"/>
        <v>0.06</v>
      </c>
      <c r="H34" s="154">
        <f>+'[1]Final Sch 140 Combined Charges'!L48</f>
        <v>123704</v>
      </c>
      <c r="I34" s="155">
        <f t="shared" si="11"/>
        <v>3711</v>
      </c>
      <c r="J34" s="155">
        <f t="shared" si="12"/>
        <v>3711</v>
      </c>
      <c r="K34" s="155">
        <f t="shared" si="13"/>
        <v>7422</v>
      </c>
    </row>
    <row r="35" spans="1:11" x14ac:dyDescent="0.25">
      <c r="A35" s="143">
        <f t="shared" si="0"/>
        <v>27</v>
      </c>
      <c r="B35" s="150" t="str">
        <f t="shared" si="14"/>
        <v xml:space="preserve">52E </v>
      </c>
      <c r="C35" s="8" t="s">
        <v>85</v>
      </c>
      <c r="D35" s="8">
        <v>150</v>
      </c>
      <c r="E35" s="153">
        <f>+'[1]Final Sch 140 Combined Charges'!O49</f>
        <v>0.05</v>
      </c>
      <c r="F35" s="153">
        <f>+'[1]Final Sch 140 Combined Charges'!P49</f>
        <v>0.05</v>
      </c>
      <c r="G35" s="153">
        <f t="shared" si="10"/>
        <v>0.1</v>
      </c>
      <c r="H35" s="154">
        <f>+'[1]Final Sch 140 Combined Charges'!L49</f>
        <v>55078</v>
      </c>
      <c r="I35" s="155">
        <f t="shared" si="11"/>
        <v>2754</v>
      </c>
      <c r="J35" s="155">
        <f t="shared" si="12"/>
        <v>2754</v>
      </c>
      <c r="K35" s="155">
        <f t="shared" si="13"/>
        <v>5508</v>
      </c>
    </row>
    <row r="36" spans="1:11" x14ac:dyDescent="0.25">
      <c r="A36" s="143">
        <f t="shared" si="0"/>
        <v>28</v>
      </c>
      <c r="B36" s="150" t="str">
        <f t="shared" si="14"/>
        <v xml:space="preserve">52E </v>
      </c>
      <c r="C36" s="8" t="s">
        <v>85</v>
      </c>
      <c r="D36" s="8">
        <v>200</v>
      </c>
      <c r="E36" s="153">
        <f>+'[1]Final Sch 140 Combined Charges'!O50</f>
        <v>7.0000000000000007E-2</v>
      </c>
      <c r="F36" s="153">
        <f>+'[1]Final Sch 140 Combined Charges'!P50</f>
        <v>0.06</v>
      </c>
      <c r="G36" s="153">
        <f t="shared" si="10"/>
        <v>0.13</v>
      </c>
      <c r="H36" s="154">
        <f>+'[1]Final Sch 140 Combined Charges'!L50</f>
        <v>11934</v>
      </c>
      <c r="I36" s="155">
        <f t="shared" si="11"/>
        <v>835</v>
      </c>
      <c r="J36" s="155">
        <f t="shared" si="12"/>
        <v>716</v>
      </c>
      <c r="K36" s="155">
        <f t="shared" si="13"/>
        <v>1551</v>
      </c>
    </row>
    <row r="37" spans="1:11" x14ac:dyDescent="0.25">
      <c r="A37" s="143">
        <f t="shared" si="0"/>
        <v>29</v>
      </c>
      <c r="B37" s="150" t="str">
        <f t="shared" si="14"/>
        <v xml:space="preserve">52E </v>
      </c>
      <c r="C37" s="8" t="s">
        <v>85</v>
      </c>
      <c r="D37" s="8">
        <v>250</v>
      </c>
      <c r="E37" s="153">
        <f>+'[1]Final Sch 140 Combined Charges'!O51</f>
        <v>0.08</v>
      </c>
      <c r="F37" s="153">
        <f>+'[1]Final Sch 140 Combined Charges'!P51</f>
        <v>0.08</v>
      </c>
      <c r="G37" s="153">
        <f t="shared" si="10"/>
        <v>0.16</v>
      </c>
      <c r="H37" s="154">
        <f>+'[1]Final Sch 140 Combined Charges'!L51</f>
        <v>17568</v>
      </c>
      <c r="I37" s="155">
        <f t="shared" si="11"/>
        <v>1405</v>
      </c>
      <c r="J37" s="155">
        <f t="shared" si="12"/>
        <v>1405</v>
      </c>
      <c r="K37" s="155">
        <f t="shared" si="13"/>
        <v>2810</v>
      </c>
    </row>
    <row r="38" spans="1:11" x14ac:dyDescent="0.25">
      <c r="A38" s="143">
        <f t="shared" si="0"/>
        <v>30</v>
      </c>
      <c r="B38" s="150" t="str">
        <f t="shared" si="14"/>
        <v xml:space="preserve">52E </v>
      </c>
      <c r="C38" s="8" t="s">
        <v>85</v>
      </c>
      <c r="D38" s="8">
        <v>310</v>
      </c>
      <c r="E38" s="153">
        <f>+'[1]Final Sch 140 Combined Charges'!O52</f>
        <v>0.1</v>
      </c>
      <c r="F38" s="153">
        <f>+'[1]Final Sch 140 Combined Charges'!P52</f>
        <v>0.1</v>
      </c>
      <c r="G38" s="153">
        <f t="shared" si="10"/>
        <v>0.2</v>
      </c>
      <c r="H38" s="154">
        <f>+'[1]Final Sch 140 Combined Charges'!L52</f>
        <v>1788</v>
      </c>
      <c r="I38" s="155">
        <f t="shared" si="11"/>
        <v>179</v>
      </c>
      <c r="J38" s="155">
        <f t="shared" si="12"/>
        <v>179</v>
      </c>
      <c r="K38" s="155">
        <f t="shared" si="13"/>
        <v>358</v>
      </c>
    </row>
    <row r="39" spans="1:11" x14ac:dyDescent="0.25">
      <c r="A39" s="143">
        <f t="shared" si="0"/>
        <v>31</v>
      </c>
      <c r="B39" s="150" t="str">
        <f t="shared" si="14"/>
        <v xml:space="preserve">52E </v>
      </c>
      <c r="C39" s="8" t="s">
        <v>85</v>
      </c>
      <c r="D39" s="8">
        <v>400</v>
      </c>
      <c r="E39" s="153">
        <f>+'[1]Final Sch 140 Combined Charges'!O53</f>
        <v>0.14000000000000001</v>
      </c>
      <c r="F39" s="153">
        <f>+'[1]Final Sch 140 Combined Charges'!P53</f>
        <v>0.12</v>
      </c>
      <c r="G39" s="153">
        <f t="shared" si="10"/>
        <v>0.26</v>
      </c>
      <c r="H39" s="154">
        <f>+'[1]Final Sch 140 Combined Charges'!L53</f>
        <v>7293</v>
      </c>
      <c r="I39" s="155">
        <f t="shared" si="11"/>
        <v>1021</v>
      </c>
      <c r="J39" s="155">
        <f t="shared" si="12"/>
        <v>875</v>
      </c>
      <c r="K39" s="155">
        <f t="shared" si="13"/>
        <v>1896</v>
      </c>
    </row>
    <row r="40" spans="1:11" x14ac:dyDescent="0.25">
      <c r="A40" s="143">
        <f t="shared" si="0"/>
        <v>32</v>
      </c>
      <c r="B40" s="160"/>
      <c r="C40" s="8"/>
      <c r="D40" s="8"/>
      <c r="E40" s="149"/>
      <c r="F40" s="149"/>
      <c r="G40" s="149"/>
      <c r="H40" s="154"/>
      <c r="I40" s="154"/>
      <c r="J40" s="154"/>
      <c r="K40" s="144"/>
    </row>
    <row r="41" spans="1:11" x14ac:dyDescent="0.25">
      <c r="A41" s="143">
        <f t="shared" si="0"/>
        <v>33</v>
      </c>
      <c r="B41" s="150" t="str">
        <f>+B36</f>
        <v xml:space="preserve">52E </v>
      </c>
      <c r="C41" s="8" t="s">
        <v>199</v>
      </c>
      <c r="D41" s="8">
        <v>70</v>
      </c>
      <c r="E41" s="153">
        <f>+'[1]Final Sch 140 Combined Charges'!O55</f>
        <v>0.02</v>
      </c>
      <c r="F41" s="153">
        <f>+'[1]Final Sch 140 Combined Charges'!P55</f>
        <v>0.02</v>
      </c>
      <c r="G41" s="153">
        <f t="shared" ref="G41:G47" si="15">SUM(E41:F41)</f>
        <v>0.04</v>
      </c>
      <c r="H41" s="154">
        <f>+'[1]Final Sch 140 Combined Charges'!L55</f>
        <v>816</v>
      </c>
      <c r="I41" s="155">
        <f t="shared" ref="I41:I47" si="16">ROUND($H41*E41,0)</f>
        <v>16</v>
      </c>
      <c r="J41" s="155">
        <f t="shared" ref="J41:J47" si="17">ROUND($H41*F41,0)</f>
        <v>16</v>
      </c>
      <c r="K41" s="155">
        <f t="shared" ref="K41:K47" si="18">SUM(I41:J41)</f>
        <v>32</v>
      </c>
    </row>
    <row r="42" spans="1:11" x14ac:dyDescent="0.25">
      <c r="A42" s="143">
        <f t="shared" si="0"/>
        <v>34</v>
      </c>
      <c r="B42" s="150" t="str">
        <f>+B37</f>
        <v xml:space="preserve">52E </v>
      </c>
      <c r="C42" s="8" t="s">
        <v>199</v>
      </c>
      <c r="D42" s="8">
        <v>100</v>
      </c>
      <c r="E42" s="153">
        <f>+'[1]Final Sch 140 Combined Charges'!O56</f>
        <v>0.03</v>
      </c>
      <c r="F42" s="153">
        <f>+'[1]Final Sch 140 Combined Charges'!P56</f>
        <v>0.03</v>
      </c>
      <c r="G42" s="153">
        <f t="shared" si="15"/>
        <v>0.06</v>
      </c>
      <c r="H42" s="154">
        <f>+'[1]Final Sch 140 Combined Charges'!L56</f>
        <v>49</v>
      </c>
      <c r="I42" s="155">
        <f t="shared" si="16"/>
        <v>1</v>
      </c>
      <c r="J42" s="155">
        <f t="shared" si="17"/>
        <v>1</v>
      </c>
      <c r="K42" s="155">
        <f t="shared" si="18"/>
        <v>2</v>
      </c>
    </row>
    <row r="43" spans="1:11" x14ac:dyDescent="0.25">
      <c r="A43" s="143">
        <f t="shared" si="0"/>
        <v>35</v>
      </c>
      <c r="B43" s="150" t="str">
        <f>+B38</f>
        <v xml:space="preserve">52E </v>
      </c>
      <c r="C43" s="8" t="s">
        <v>199</v>
      </c>
      <c r="D43" s="8">
        <v>150</v>
      </c>
      <c r="E43" s="153">
        <f>+'[1]Final Sch 140 Combined Charges'!O57</f>
        <v>0.05</v>
      </c>
      <c r="F43" s="153">
        <f>+'[1]Final Sch 140 Combined Charges'!P57</f>
        <v>0.05</v>
      </c>
      <c r="G43" s="153">
        <f t="shared" si="15"/>
        <v>0.1</v>
      </c>
      <c r="H43" s="154">
        <f>+'[1]Final Sch 140 Combined Charges'!L57</f>
        <v>2460</v>
      </c>
      <c r="I43" s="155">
        <f t="shared" si="16"/>
        <v>123</v>
      </c>
      <c r="J43" s="155">
        <f t="shared" si="17"/>
        <v>123</v>
      </c>
      <c r="K43" s="155">
        <f t="shared" si="18"/>
        <v>246</v>
      </c>
    </row>
    <row r="44" spans="1:11" x14ac:dyDescent="0.25">
      <c r="A44" s="143">
        <f t="shared" si="0"/>
        <v>36</v>
      </c>
      <c r="B44" s="150" t="str">
        <f>+B39</f>
        <v xml:space="preserve">52E </v>
      </c>
      <c r="C44" s="8" t="s">
        <v>199</v>
      </c>
      <c r="D44" s="8">
        <v>175</v>
      </c>
      <c r="E44" s="153">
        <f>+'[1]Final Sch 140 Combined Charges'!O58</f>
        <v>0.06</v>
      </c>
      <c r="F44" s="153">
        <f>+'[1]Final Sch 140 Combined Charges'!P58</f>
        <v>0.05</v>
      </c>
      <c r="G44" s="153">
        <f t="shared" si="15"/>
        <v>0.11</v>
      </c>
      <c r="H44" s="154">
        <f>+'[1]Final Sch 140 Combined Charges'!L58</f>
        <v>2664</v>
      </c>
      <c r="I44" s="155">
        <f t="shared" si="16"/>
        <v>160</v>
      </c>
      <c r="J44" s="155">
        <f t="shared" si="17"/>
        <v>133</v>
      </c>
      <c r="K44" s="155">
        <f t="shared" si="18"/>
        <v>293</v>
      </c>
    </row>
    <row r="45" spans="1:11" x14ac:dyDescent="0.25">
      <c r="A45" s="143">
        <f t="shared" si="0"/>
        <v>37</v>
      </c>
      <c r="B45" s="150" t="str">
        <f t="shared" ref="B45:C47" si="19">+B44</f>
        <v xml:space="preserve">52E </v>
      </c>
      <c r="C45" s="8" t="str">
        <f t="shared" si="19"/>
        <v>Metal Halide</v>
      </c>
      <c r="D45" s="8">
        <v>250</v>
      </c>
      <c r="E45" s="153">
        <f>+'[1]Final Sch 140 Combined Charges'!O59</f>
        <v>0.08</v>
      </c>
      <c r="F45" s="153">
        <f>+'[1]Final Sch 140 Combined Charges'!P59</f>
        <v>0.08</v>
      </c>
      <c r="G45" s="153">
        <f t="shared" si="15"/>
        <v>0.16</v>
      </c>
      <c r="H45" s="154">
        <f>+'[1]Final Sch 140 Combined Charges'!L59</f>
        <v>732</v>
      </c>
      <c r="I45" s="155">
        <f t="shared" si="16"/>
        <v>59</v>
      </c>
      <c r="J45" s="155">
        <f t="shared" si="17"/>
        <v>59</v>
      </c>
      <c r="K45" s="155">
        <f t="shared" si="18"/>
        <v>118</v>
      </c>
    </row>
    <row r="46" spans="1:11" x14ac:dyDescent="0.25">
      <c r="A46" s="143">
        <f t="shared" si="0"/>
        <v>38</v>
      </c>
      <c r="B46" s="150" t="str">
        <f t="shared" si="19"/>
        <v xml:space="preserve">52E </v>
      </c>
      <c r="C46" s="8" t="str">
        <f t="shared" si="19"/>
        <v>Metal Halide</v>
      </c>
      <c r="D46" s="8">
        <v>400</v>
      </c>
      <c r="E46" s="153">
        <f>+'[1]Final Sch 140 Combined Charges'!O60</f>
        <v>0.14000000000000001</v>
      </c>
      <c r="F46" s="153">
        <f>+'[1]Final Sch 140 Combined Charges'!P60</f>
        <v>0.12</v>
      </c>
      <c r="G46" s="153">
        <f t="shared" si="15"/>
        <v>0.26</v>
      </c>
      <c r="H46" s="154">
        <f>+'[1]Final Sch 140 Combined Charges'!L60</f>
        <v>684</v>
      </c>
      <c r="I46" s="155">
        <f t="shared" si="16"/>
        <v>96</v>
      </c>
      <c r="J46" s="155">
        <f t="shared" si="17"/>
        <v>82</v>
      </c>
      <c r="K46" s="155">
        <f t="shared" si="18"/>
        <v>178</v>
      </c>
    </row>
    <row r="47" spans="1:11" x14ac:dyDescent="0.25">
      <c r="A47" s="143">
        <f t="shared" si="0"/>
        <v>39</v>
      </c>
      <c r="B47" s="150" t="str">
        <f t="shared" si="19"/>
        <v xml:space="preserve">52E </v>
      </c>
      <c r="C47" s="8" t="str">
        <f t="shared" si="19"/>
        <v>Metal Halide</v>
      </c>
      <c r="D47" s="8">
        <v>1000</v>
      </c>
      <c r="E47" s="153">
        <f>+'[1]Final Sch 140 Combined Charges'!O61</f>
        <v>0.34</v>
      </c>
      <c r="F47" s="153">
        <f>+'[1]Final Sch 140 Combined Charges'!P61</f>
        <v>0.3</v>
      </c>
      <c r="G47" s="153">
        <f t="shared" si="15"/>
        <v>0.64</v>
      </c>
      <c r="H47" s="154">
        <f>+'[1]Final Sch 140 Combined Charges'!L61</f>
        <v>216</v>
      </c>
      <c r="I47" s="155">
        <f t="shared" si="16"/>
        <v>73</v>
      </c>
      <c r="J47" s="155">
        <f t="shared" si="17"/>
        <v>65</v>
      </c>
      <c r="K47" s="155">
        <f t="shared" si="18"/>
        <v>138</v>
      </c>
    </row>
    <row r="48" spans="1:11" x14ac:dyDescent="0.25">
      <c r="A48" s="143">
        <f t="shared" si="0"/>
        <v>40</v>
      </c>
      <c r="B48" s="158"/>
      <c r="C48" s="148"/>
      <c r="D48" s="148"/>
      <c r="E48" s="149"/>
      <c r="F48" s="149"/>
      <c r="G48" s="149"/>
      <c r="H48" s="154"/>
      <c r="I48" s="154"/>
      <c r="J48" s="154"/>
      <c r="K48" s="144"/>
    </row>
    <row r="49" spans="1:11" x14ac:dyDescent="0.25">
      <c r="A49" s="143">
        <f t="shared" si="0"/>
        <v>41</v>
      </c>
      <c r="B49" s="158" t="s">
        <v>200</v>
      </c>
      <c r="C49" s="148"/>
      <c r="D49" s="148"/>
      <c r="E49" s="149"/>
      <c r="F49" s="149"/>
      <c r="G49" s="149"/>
      <c r="H49" s="154"/>
      <c r="I49" s="154"/>
      <c r="J49" s="154"/>
      <c r="K49" s="144"/>
    </row>
    <row r="50" spans="1:11" x14ac:dyDescent="0.25">
      <c r="A50" s="143">
        <f t="shared" si="0"/>
        <v>42</v>
      </c>
      <c r="B50" s="150" t="s">
        <v>201</v>
      </c>
      <c r="C50" s="8" t="s">
        <v>85</v>
      </c>
      <c r="D50" s="8">
        <v>50</v>
      </c>
      <c r="E50" s="153">
        <f>+'[1]Final Sch 140 Combined Charges'!O64</f>
        <v>0.28000000000000003</v>
      </c>
      <c r="F50" s="153">
        <f>+'[1]Final Sch 140 Combined Charges'!P64</f>
        <v>0.25</v>
      </c>
      <c r="G50" s="153">
        <f t="shared" ref="G50:G58" si="20">SUM(E50:F50)</f>
        <v>0.53</v>
      </c>
      <c r="H50" s="154">
        <f>+'[1]Final Sch 140 Combined Charges'!L64</f>
        <v>0</v>
      </c>
      <c r="I50" s="155">
        <f t="shared" ref="I50:I58" si="21">ROUND($H50*E50,0)</f>
        <v>0</v>
      </c>
      <c r="J50" s="155">
        <f t="shared" ref="J50:J58" si="22">ROUND($H50*F50,0)</f>
        <v>0</v>
      </c>
      <c r="K50" s="155">
        <f t="shared" ref="K50:K58" si="23">SUM(I50:J50)</f>
        <v>0</v>
      </c>
    </row>
    <row r="51" spans="1:11" x14ac:dyDescent="0.25">
      <c r="A51" s="143">
        <f t="shared" si="0"/>
        <v>43</v>
      </c>
      <c r="B51" s="150" t="str">
        <f t="shared" ref="B51:B58" si="24">+B50</f>
        <v>53E - Company Owned</v>
      </c>
      <c r="C51" s="8" t="s">
        <v>85</v>
      </c>
      <c r="D51" s="8">
        <v>70</v>
      </c>
      <c r="E51" s="153">
        <f>+'[1]Final Sch 140 Combined Charges'!O65</f>
        <v>0.28999999999999998</v>
      </c>
      <c r="F51" s="153">
        <f>+'[1]Final Sch 140 Combined Charges'!P65</f>
        <v>0.26</v>
      </c>
      <c r="G51" s="153">
        <f t="shared" si="20"/>
        <v>0.55000000000000004</v>
      </c>
      <c r="H51" s="154">
        <f>+'[1]Final Sch 140 Combined Charges'!L65</f>
        <v>54637</v>
      </c>
      <c r="I51" s="155">
        <f t="shared" si="21"/>
        <v>15845</v>
      </c>
      <c r="J51" s="155">
        <f t="shared" si="22"/>
        <v>14206</v>
      </c>
      <c r="K51" s="155">
        <f t="shared" si="23"/>
        <v>30051</v>
      </c>
    </row>
    <row r="52" spans="1:11" x14ac:dyDescent="0.25">
      <c r="A52" s="143">
        <f t="shared" si="0"/>
        <v>44</v>
      </c>
      <c r="B52" s="150" t="str">
        <f t="shared" si="24"/>
        <v>53E - Company Owned</v>
      </c>
      <c r="C52" s="8" t="s">
        <v>85</v>
      </c>
      <c r="D52" s="8">
        <v>100</v>
      </c>
      <c r="E52" s="153">
        <f>+'[1]Final Sch 140 Combined Charges'!O66</f>
        <v>0.31</v>
      </c>
      <c r="F52" s="153">
        <f>+'[1]Final Sch 140 Combined Charges'!P66</f>
        <v>0.28000000000000003</v>
      </c>
      <c r="G52" s="153">
        <f t="shared" si="20"/>
        <v>0.59000000000000008</v>
      </c>
      <c r="H52" s="154">
        <f>+'[1]Final Sch 140 Combined Charges'!L66</f>
        <v>382985</v>
      </c>
      <c r="I52" s="155">
        <f t="shared" si="21"/>
        <v>118725</v>
      </c>
      <c r="J52" s="155">
        <f t="shared" si="22"/>
        <v>107236</v>
      </c>
      <c r="K52" s="155">
        <f t="shared" si="23"/>
        <v>225961</v>
      </c>
    </row>
    <row r="53" spans="1:11" x14ac:dyDescent="0.25">
      <c r="A53" s="143">
        <f t="shared" si="0"/>
        <v>45</v>
      </c>
      <c r="B53" s="150" t="str">
        <f t="shared" si="24"/>
        <v>53E - Company Owned</v>
      </c>
      <c r="C53" s="8" t="s">
        <v>85</v>
      </c>
      <c r="D53" s="8">
        <v>150</v>
      </c>
      <c r="E53" s="153">
        <f>+'[1]Final Sch 140 Combined Charges'!O67</f>
        <v>0.34</v>
      </c>
      <c r="F53" s="153">
        <f>+'[1]Final Sch 140 Combined Charges'!P67</f>
        <v>0.31</v>
      </c>
      <c r="G53" s="153">
        <f t="shared" si="20"/>
        <v>0.65</v>
      </c>
      <c r="H53" s="154">
        <f>+'[1]Final Sch 140 Combined Charges'!L67</f>
        <v>45980</v>
      </c>
      <c r="I53" s="155">
        <f t="shared" si="21"/>
        <v>15633</v>
      </c>
      <c r="J53" s="155">
        <f t="shared" si="22"/>
        <v>14254</v>
      </c>
      <c r="K53" s="155">
        <f t="shared" si="23"/>
        <v>29887</v>
      </c>
    </row>
    <row r="54" spans="1:11" x14ac:dyDescent="0.25">
      <c r="A54" s="143">
        <f t="shared" si="0"/>
        <v>46</v>
      </c>
      <c r="B54" s="150" t="str">
        <f t="shared" si="24"/>
        <v>53E - Company Owned</v>
      </c>
      <c r="C54" s="8" t="s">
        <v>85</v>
      </c>
      <c r="D54" s="8">
        <v>200</v>
      </c>
      <c r="E54" s="153">
        <f>+'[1]Final Sch 140 Combined Charges'!O68</f>
        <v>0.38</v>
      </c>
      <c r="F54" s="153">
        <f>+'[1]Final Sch 140 Combined Charges'!P68</f>
        <v>0.34</v>
      </c>
      <c r="G54" s="153">
        <f t="shared" si="20"/>
        <v>0.72</v>
      </c>
      <c r="H54" s="154">
        <f>+'[1]Final Sch 140 Combined Charges'!L68</f>
        <v>60631</v>
      </c>
      <c r="I54" s="155">
        <f t="shared" si="21"/>
        <v>23040</v>
      </c>
      <c r="J54" s="155">
        <f t="shared" si="22"/>
        <v>20615</v>
      </c>
      <c r="K54" s="155">
        <f t="shared" si="23"/>
        <v>43655</v>
      </c>
    </row>
    <row r="55" spans="1:11" x14ac:dyDescent="0.25">
      <c r="A55" s="143">
        <f t="shared" si="0"/>
        <v>47</v>
      </c>
      <c r="B55" s="150" t="str">
        <f t="shared" si="24"/>
        <v>53E - Company Owned</v>
      </c>
      <c r="C55" s="8" t="s">
        <v>85</v>
      </c>
      <c r="D55" s="8">
        <v>250</v>
      </c>
      <c r="E55" s="153">
        <f>+'[1]Final Sch 140 Combined Charges'!O69</f>
        <v>0.41</v>
      </c>
      <c r="F55" s="153">
        <f>+'[1]Final Sch 140 Combined Charges'!P69</f>
        <v>0.37</v>
      </c>
      <c r="G55" s="153">
        <f t="shared" si="20"/>
        <v>0.78</v>
      </c>
      <c r="H55" s="154">
        <f>+'[1]Final Sch 140 Combined Charges'!L69</f>
        <v>20854</v>
      </c>
      <c r="I55" s="155">
        <f t="shared" si="21"/>
        <v>8550</v>
      </c>
      <c r="J55" s="155">
        <f t="shared" si="22"/>
        <v>7716</v>
      </c>
      <c r="K55" s="155">
        <f t="shared" si="23"/>
        <v>16266</v>
      </c>
    </row>
    <row r="56" spans="1:11" x14ac:dyDescent="0.25">
      <c r="A56" s="143">
        <f t="shared" si="0"/>
        <v>48</v>
      </c>
      <c r="B56" s="150" t="str">
        <f t="shared" si="24"/>
        <v>53E - Company Owned</v>
      </c>
      <c r="C56" s="8" t="s">
        <v>85</v>
      </c>
      <c r="D56" s="8">
        <v>310</v>
      </c>
      <c r="E56" s="153">
        <f>+'[1]Final Sch 140 Combined Charges'!O70</f>
        <v>0.45</v>
      </c>
      <c r="F56" s="153">
        <f>+'[1]Final Sch 140 Combined Charges'!P70</f>
        <v>0.4</v>
      </c>
      <c r="G56" s="153">
        <f t="shared" si="20"/>
        <v>0.85000000000000009</v>
      </c>
      <c r="H56" s="154">
        <f>+'[1]Final Sch 140 Combined Charges'!L70</f>
        <v>199</v>
      </c>
      <c r="I56" s="155">
        <f t="shared" si="21"/>
        <v>90</v>
      </c>
      <c r="J56" s="155">
        <f t="shared" si="22"/>
        <v>80</v>
      </c>
      <c r="K56" s="155">
        <f t="shared" si="23"/>
        <v>170</v>
      </c>
    </row>
    <row r="57" spans="1:11" x14ac:dyDescent="0.25">
      <c r="A57" s="143">
        <f t="shared" si="0"/>
        <v>49</v>
      </c>
      <c r="B57" s="150" t="str">
        <f t="shared" si="24"/>
        <v>53E - Company Owned</v>
      </c>
      <c r="C57" s="8" t="s">
        <v>85</v>
      </c>
      <c r="D57" s="8">
        <v>400</v>
      </c>
      <c r="E57" s="153">
        <f>+'[1]Final Sch 140 Combined Charges'!O71</f>
        <v>0.5</v>
      </c>
      <c r="F57" s="153">
        <f>+'[1]Final Sch 140 Combined Charges'!P71</f>
        <v>0.46</v>
      </c>
      <c r="G57" s="153">
        <f t="shared" si="20"/>
        <v>0.96</v>
      </c>
      <c r="H57" s="154">
        <f>+'[1]Final Sch 140 Combined Charges'!L71</f>
        <v>12055</v>
      </c>
      <c r="I57" s="155">
        <f t="shared" si="21"/>
        <v>6028</v>
      </c>
      <c r="J57" s="155">
        <f t="shared" si="22"/>
        <v>5545</v>
      </c>
      <c r="K57" s="155">
        <f t="shared" si="23"/>
        <v>11573</v>
      </c>
    </row>
    <row r="58" spans="1:11" x14ac:dyDescent="0.25">
      <c r="A58" s="143">
        <f t="shared" si="0"/>
        <v>50</v>
      </c>
      <c r="B58" s="150" t="str">
        <f t="shared" si="24"/>
        <v>53E - Company Owned</v>
      </c>
      <c r="C58" s="8" t="s">
        <v>85</v>
      </c>
      <c r="D58" s="8">
        <v>1000</v>
      </c>
      <c r="E58" s="153">
        <f>+'[1]Final Sch 140 Combined Charges'!O72</f>
        <v>0.89</v>
      </c>
      <c r="F58" s="153">
        <f>+'[1]Final Sch 140 Combined Charges'!P72</f>
        <v>0.81</v>
      </c>
      <c r="G58" s="153">
        <f t="shared" si="20"/>
        <v>1.7000000000000002</v>
      </c>
      <c r="H58" s="154">
        <f>+'[1]Final Sch 140 Combined Charges'!L72</f>
        <v>0</v>
      </c>
      <c r="I58" s="155">
        <f t="shared" si="21"/>
        <v>0</v>
      </c>
      <c r="J58" s="155">
        <f t="shared" si="22"/>
        <v>0</v>
      </c>
      <c r="K58" s="155">
        <f t="shared" si="23"/>
        <v>0</v>
      </c>
    </row>
    <row r="59" spans="1:11" x14ac:dyDescent="0.25">
      <c r="A59" s="143">
        <f t="shared" si="0"/>
        <v>51</v>
      </c>
      <c r="B59" s="150"/>
      <c r="C59" s="8"/>
      <c r="D59" s="8"/>
      <c r="E59" s="149"/>
      <c r="F59" s="149"/>
      <c r="G59" s="149"/>
      <c r="H59" s="154"/>
      <c r="I59" s="154"/>
      <c r="J59" s="154"/>
      <c r="K59" s="144"/>
    </row>
    <row r="60" spans="1:11" x14ac:dyDescent="0.25">
      <c r="A60" s="143">
        <f t="shared" si="0"/>
        <v>52</v>
      </c>
      <c r="B60" s="150" t="str">
        <f>+B58</f>
        <v>53E - Company Owned</v>
      </c>
      <c r="C60" s="8" t="s">
        <v>199</v>
      </c>
      <c r="D60" s="8">
        <v>70</v>
      </c>
      <c r="E60" s="153">
        <f>+'[1]Final Sch 140 Combined Charges'!O74</f>
        <v>0.31</v>
      </c>
      <c r="F60" s="153">
        <f>+'[1]Final Sch 140 Combined Charges'!P74</f>
        <v>0.28999999999999998</v>
      </c>
      <c r="G60" s="153">
        <f t="shared" ref="G60:G64" si="25">SUM(E60:F60)</f>
        <v>0.6</v>
      </c>
      <c r="H60" s="154">
        <f>+'[1]Final Sch 140 Combined Charges'!L74</f>
        <v>0</v>
      </c>
      <c r="I60" s="155">
        <f t="shared" ref="I60:I64" si="26">ROUND($H60*E60,0)</f>
        <v>0</v>
      </c>
      <c r="J60" s="155">
        <f t="shared" ref="J60:J64" si="27">ROUND($H60*F60,0)</f>
        <v>0</v>
      </c>
      <c r="K60" s="155">
        <f t="shared" ref="K60:K64" si="28">SUM(I60:J60)</f>
        <v>0</v>
      </c>
    </row>
    <row r="61" spans="1:11" x14ac:dyDescent="0.25">
      <c r="A61" s="143">
        <f t="shared" si="0"/>
        <v>53</v>
      </c>
      <c r="B61" s="150" t="str">
        <f>+B60</f>
        <v>53E - Company Owned</v>
      </c>
      <c r="C61" s="8" t="s">
        <v>199</v>
      </c>
      <c r="D61" s="8">
        <v>100</v>
      </c>
      <c r="E61" s="153">
        <f>+'[1]Final Sch 140 Combined Charges'!O75</f>
        <v>0.34</v>
      </c>
      <c r="F61" s="153">
        <f>+'[1]Final Sch 140 Combined Charges'!P75</f>
        <v>0.3</v>
      </c>
      <c r="G61" s="153">
        <f t="shared" si="25"/>
        <v>0.64</v>
      </c>
      <c r="H61" s="154">
        <f>+'[1]Final Sch 140 Combined Charges'!L75</f>
        <v>0</v>
      </c>
      <c r="I61" s="155">
        <f t="shared" si="26"/>
        <v>0</v>
      </c>
      <c r="J61" s="155">
        <f t="shared" si="27"/>
        <v>0</v>
      </c>
      <c r="K61" s="155">
        <f t="shared" si="28"/>
        <v>0</v>
      </c>
    </row>
    <row r="62" spans="1:11" x14ac:dyDescent="0.25">
      <c r="A62" s="143">
        <f t="shared" si="0"/>
        <v>54</v>
      </c>
      <c r="B62" s="150" t="str">
        <f>+B61</f>
        <v>53E - Company Owned</v>
      </c>
      <c r="C62" s="8" t="s">
        <v>199</v>
      </c>
      <c r="D62" s="8">
        <v>150</v>
      </c>
      <c r="E62" s="153">
        <f>+'[1]Final Sch 140 Combined Charges'!O76</f>
        <v>0.37</v>
      </c>
      <c r="F62" s="153">
        <f>+'[1]Final Sch 140 Combined Charges'!P76</f>
        <v>0.34</v>
      </c>
      <c r="G62" s="153">
        <f t="shared" si="25"/>
        <v>0.71</v>
      </c>
      <c r="H62" s="154">
        <f>+'[1]Final Sch 140 Combined Charges'!L76</f>
        <v>0</v>
      </c>
      <c r="I62" s="155">
        <f t="shared" si="26"/>
        <v>0</v>
      </c>
      <c r="J62" s="155">
        <f t="shared" si="27"/>
        <v>0</v>
      </c>
      <c r="K62" s="155">
        <f t="shared" si="28"/>
        <v>0</v>
      </c>
    </row>
    <row r="63" spans="1:11" x14ac:dyDescent="0.25">
      <c r="A63" s="143">
        <f t="shared" si="0"/>
        <v>55</v>
      </c>
      <c r="B63" s="150" t="str">
        <f>B62</f>
        <v>53E - Company Owned</v>
      </c>
      <c r="C63" s="8" t="s">
        <v>199</v>
      </c>
      <c r="D63" s="8">
        <v>250</v>
      </c>
      <c r="E63" s="153">
        <f>+'[1]Final Sch 140 Combined Charges'!O77</f>
        <v>0.45</v>
      </c>
      <c r="F63" s="153">
        <f>+'[1]Final Sch 140 Combined Charges'!P77</f>
        <v>0.4</v>
      </c>
      <c r="G63" s="153">
        <f t="shared" si="25"/>
        <v>0.85000000000000009</v>
      </c>
      <c r="H63" s="154">
        <f>+'[1]Final Sch 140 Combined Charges'!L77</f>
        <v>0</v>
      </c>
      <c r="I63" s="155">
        <f t="shared" si="26"/>
        <v>0</v>
      </c>
      <c r="J63" s="155">
        <f t="shared" si="27"/>
        <v>0</v>
      </c>
      <c r="K63" s="155">
        <f t="shared" si="28"/>
        <v>0</v>
      </c>
    </row>
    <row r="64" spans="1:11" x14ac:dyDescent="0.25">
      <c r="A64" s="143">
        <f t="shared" si="0"/>
        <v>56</v>
      </c>
      <c r="B64" s="150" t="str">
        <f>B63</f>
        <v>53E - Company Owned</v>
      </c>
      <c r="C64" s="8" t="s">
        <v>199</v>
      </c>
      <c r="D64" s="8">
        <v>400</v>
      </c>
      <c r="E64" s="153">
        <f>+'[1]Final Sch 140 Combined Charges'!O78</f>
        <v>0.56000000000000005</v>
      </c>
      <c r="F64" s="153">
        <f>+'[1]Final Sch 140 Combined Charges'!P78</f>
        <v>0.5</v>
      </c>
      <c r="G64" s="153">
        <f t="shared" si="25"/>
        <v>1.06</v>
      </c>
      <c r="H64" s="154">
        <f>+'[1]Final Sch 140 Combined Charges'!L78</f>
        <v>0</v>
      </c>
      <c r="I64" s="155">
        <f t="shared" si="26"/>
        <v>0</v>
      </c>
      <c r="J64" s="155">
        <f t="shared" si="27"/>
        <v>0</v>
      </c>
      <c r="K64" s="155">
        <f t="shared" si="28"/>
        <v>0</v>
      </c>
    </row>
    <row r="65" spans="1:11" x14ac:dyDescent="0.25">
      <c r="A65" s="143">
        <f t="shared" si="0"/>
        <v>57</v>
      </c>
      <c r="B65" s="150"/>
      <c r="C65" s="8"/>
      <c r="D65" s="8"/>
      <c r="E65" s="149"/>
      <c r="F65" s="149"/>
      <c r="G65" s="149"/>
      <c r="H65" s="154"/>
      <c r="I65" s="154"/>
      <c r="J65" s="154"/>
      <c r="K65" s="144"/>
    </row>
    <row r="66" spans="1:11" x14ac:dyDescent="0.25">
      <c r="A66" s="143">
        <f t="shared" si="0"/>
        <v>58</v>
      </c>
      <c r="B66" s="150" t="str">
        <f>+B64</f>
        <v>53E - Company Owned</v>
      </c>
      <c r="C66" s="8" t="s">
        <v>187</v>
      </c>
      <c r="D66" s="157" t="s">
        <v>188</v>
      </c>
      <c r="E66" s="153">
        <f>+'[1]Final Sch 140 Combined Charges'!O80</f>
        <v>0.31</v>
      </c>
      <c r="F66" s="153">
        <f>+'[1]Final Sch 140 Combined Charges'!P80</f>
        <v>0.28999999999999998</v>
      </c>
      <c r="G66" s="153">
        <f t="shared" ref="G66:G74" si="29">SUM(E66:F66)</f>
        <v>0.6</v>
      </c>
      <c r="H66" s="154">
        <f>+'[1]Final Sch 140 Combined Charges'!L80</f>
        <v>211377</v>
      </c>
      <c r="I66" s="155">
        <f t="shared" ref="I66:I74" si="30">ROUND($H66*E66,0)</f>
        <v>65527</v>
      </c>
      <c r="J66" s="155">
        <f t="shared" ref="J66:J74" si="31">ROUND($H66*F66,0)</f>
        <v>61299</v>
      </c>
      <c r="K66" s="155">
        <f t="shared" ref="K66:K74" si="32">SUM(I66:J66)</f>
        <v>126826</v>
      </c>
    </row>
    <row r="67" spans="1:11" x14ac:dyDescent="0.25">
      <c r="A67" s="143">
        <f t="shared" si="0"/>
        <v>59</v>
      </c>
      <c r="B67" s="150" t="str">
        <f>B66</f>
        <v>53E - Company Owned</v>
      </c>
      <c r="C67" s="8" t="s">
        <v>187</v>
      </c>
      <c r="D67" s="157" t="s">
        <v>189</v>
      </c>
      <c r="E67" s="153">
        <f>+'[1]Final Sch 140 Combined Charges'!O81</f>
        <v>0.33</v>
      </c>
      <c r="F67" s="153">
        <f>+'[1]Final Sch 140 Combined Charges'!P81</f>
        <v>0.3</v>
      </c>
      <c r="G67" s="153">
        <f t="shared" si="29"/>
        <v>0.63</v>
      </c>
      <c r="H67" s="154">
        <f>+'[1]Final Sch 140 Combined Charges'!L81</f>
        <v>481</v>
      </c>
      <c r="I67" s="155">
        <f t="shared" si="30"/>
        <v>159</v>
      </c>
      <c r="J67" s="155">
        <f t="shared" si="31"/>
        <v>144</v>
      </c>
      <c r="K67" s="155">
        <f t="shared" si="32"/>
        <v>303</v>
      </c>
    </row>
    <row r="68" spans="1:11" x14ac:dyDescent="0.25">
      <c r="A68" s="143">
        <f t="shared" si="0"/>
        <v>60</v>
      </c>
      <c r="B68" s="150" t="str">
        <f t="shared" ref="B68:B74" si="33">B67</f>
        <v>53E - Company Owned</v>
      </c>
      <c r="C68" s="8" t="s">
        <v>187</v>
      </c>
      <c r="D68" s="157" t="s">
        <v>190</v>
      </c>
      <c r="E68" s="153">
        <f>+'[1]Final Sch 140 Combined Charges'!O82</f>
        <v>0.35</v>
      </c>
      <c r="F68" s="153">
        <f>+'[1]Final Sch 140 Combined Charges'!P82</f>
        <v>0.31</v>
      </c>
      <c r="G68" s="153">
        <f t="shared" si="29"/>
        <v>0.65999999999999992</v>
      </c>
      <c r="H68" s="154">
        <f>+'[1]Final Sch 140 Combined Charges'!L82</f>
        <v>23471</v>
      </c>
      <c r="I68" s="155">
        <f t="shared" si="30"/>
        <v>8215</v>
      </c>
      <c r="J68" s="155">
        <f t="shared" si="31"/>
        <v>7276</v>
      </c>
      <c r="K68" s="155">
        <f t="shared" si="32"/>
        <v>15491</v>
      </c>
    </row>
    <row r="69" spans="1:11" x14ac:dyDescent="0.25">
      <c r="A69" s="143">
        <f t="shared" si="0"/>
        <v>61</v>
      </c>
      <c r="B69" s="150" t="str">
        <f t="shared" si="33"/>
        <v>53E - Company Owned</v>
      </c>
      <c r="C69" s="8" t="s">
        <v>187</v>
      </c>
      <c r="D69" s="157" t="s">
        <v>191</v>
      </c>
      <c r="E69" s="153">
        <f>+'[1]Final Sch 140 Combined Charges'!O83</f>
        <v>0.36</v>
      </c>
      <c r="F69" s="153">
        <f>+'[1]Final Sch 140 Combined Charges'!P83</f>
        <v>0.33</v>
      </c>
      <c r="G69" s="153">
        <f t="shared" si="29"/>
        <v>0.69</v>
      </c>
      <c r="H69" s="154">
        <f>+'[1]Final Sch 140 Combined Charges'!L83</f>
        <v>21149</v>
      </c>
      <c r="I69" s="155">
        <f t="shared" si="30"/>
        <v>7614</v>
      </c>
      <c r="J69" s="155">
        <f t="shared" si="31"/>
        <v>6979</v>
      </c>
      <c r="K69" s="155">
        <f t="shared" si="32"/>
        <v>14593</v>
      </c>
    </row>
    <row r="70" spans="1:11" x14ac:dyDescent="0.25">
      <c r="A70" s="143">
        <f t="shared" si="0"/>
        <v>62</v>
      </c>
      <c r="B70" s="150" t="str">
        <f t="shared" si="33"/>
        <v>53E - Company Owned</v>
      </c>
      <c r="C70" s="8" t="s">
        <v>187</v>
      </c>
      <c r="D70" s="157" t="s">
        <v>192</v>
      </c>
      <c r="E70" s="153">
        <f>+'[1]Final Sch 140 Combined Charges'!O84</f>
        <v>0.38</v>
      </c>
      <c r="F70" s="153">
        <f>+'[1]Final Sch 140 Combined Charges'!P84</f>
        <v>0.34</v>
      </c>
      <c r="G70" s="153">
        <f t="shared" si="29"/>
        <v>0.72</v>
      </c>
      <c r="H70" s="154">
        <f>+'[1]Final Sch 140 Combined Charges'!L84</f>
        <v>896</v>
      </c>
      <c r="I70" s="155">
        <f t="shared" si="30"/>
        <v>340</v>
      </c>
      <c r="J70" s="155">
        <f t="shared" si="31"/>
        <v>305</v>
      </c>
      <c r="K70" s="155">
        <f t="shared" si="32"/>
        <v>645</v>
      </c>
    </row>
    <row r="71" spans="1:11" x14ac:dyDescent="0.25">
      <c r="A71" s="143">
        <f t="shared" si="0"/>
        <v>63</v>
      </c>
      <c r="B71" s="150" t="str">
        <f t="shared" si="33"/>
        <v>53E - Company Owned</v>
      </c>
      <c r="C71" s="8" t="s">
        <v>187</v>
      </c>
      <c r="D71" s="157" t="s">
        <v>193</v>
      </c>
      <c r="E71" s="153">
        <f>+'[1]Final Sch 140 Combined Charges'!O85</f>
        <v>0.39</v>
      </c>
      <c r="F71" s="153">
        <f>+'[1]Final Sch 140 Combined Charges'!P85</f>
        <v>0.36</v>
      </c>
      <c r="G71" s="153">
        <f t="shared" si="29"/>
        <v>0.75</v>
      </c>
      <c r="H71" s="154">
        <f>+'[1]Final Sch 140 Combined Charges'!L85</f>
        <v>4956</v>
      </c>
      <c r="I71" s="155">
        <f t="shared" si="30"/>
        <v>1933</v>
      </c>
      <c r="J71" s="155">
        <f t="shared" si="31"/>
        <v>1784</v>
      </c>
      <c r="K71" s="155">
        <f t="shared" si="32"/>
        <v>3717</v>
      </c>
    </row>
    <row r="72" spans="1:11" x14ac:dyDescent="0.25">
      <c r="A72" s="143">
        <f t="shared" si="0"/>
        <v>64</v>
      </c>
      <c r="B72" s="150" t="str">
        <f t="shared" si="33"/>
        <v>53E - Company Owned</v>
      </c>
      <c r="C72" s="8" t="s">
        <v>187</v>
      </c>
      <c r="D72" s="157" t="s">
        <v>194</v>
      </c>
      <c r="E72" s="153">
        <f>+'[1]Final Sch 140 Combined Charges'!O86</f>
        <v>0.41</v>
      </c>
      <c r="F72" s="153">
        <f>+'[1]Final Sch 140 Combined Charges'!P86</f>
        <v>0.37</v>
      </c>
      <c r="G72" s="153">
        <f t="shared" si="29"/>
        <v>0.78</v>
      </c>
      <c r="H72" s="154">
        <f>+'[1]Final Sch 140 Combined Charges'!L86</f>
        <v>0</v>
      </c>
      <c r="I72" s="155">
        <f t="shared" si="30"/>
        <v>0</v>
      </c>
      <c r="J72" s="155">
        <f t="shared" si="31"/>
        <v>0</v>
      </c>
      <c r="K72" s="155">
        <f t="shared" si="32"/>
        <v>0</v>
      </c>
    </row>
    <row r="73" spans="1:11" x14ac:dyDescent="0.25">
      <c r="A73" s="143">
        <f t="shared" si="0"/>
        <v>65</v>
      </c>
      <c r="B73" s="150" t="str">
        <f t="shared" si="33"/>
        <v>53E - Company Owned</v>
      </c>
      <c r="C73" s="8" t="s">
        <v>187</v>
      </c>
      <c r="D73" s="157" t="s">
        <v>195</v>
      </c>
      <c r="E73" s="153">
        <f>+'[1]Final Sch 140 Combined Charges'!O87</f>
        <v>0.42</v>
      </c>
      <c r="F73" s="153">
        <f>+'[1]Final Sch 140 Combined Charges'!P87</f>
        <v>0.39</v>
      </c>
      <c r="G73" s="153">
        <f t="shared" si="29"/>
        <v>0.81</v>
      </c>
      <c r="H73" s="154">
        <f>+'[1]Final Sch 140 Combined Charges'!L87</f>
        <v>288</v>
      </c>
      <c r="I73" s="155">
        <f t="shared" si="30"/>
        <v>121</v>
      </c>
      <c r="J73" s="155">
        <f t="shared" si="31"/>
        <v>112</v>
      </c>
      <c r="K73" s="155">
        <f t="shared" si="32"/>
        <v>233</v>
      </c>
    </row>
    <row r="74" spans="1:11" x14ac:dyDescent="0.25">
      <c r="A74" s="143">
        <f t="shared" si="0"/>
        <v>66</v>
      </c>
      <c r="B74" s="150" t="str">
        <f t="shared" si="33"/>
        <v>53E - Company Owned</v>
      </c>
      <c r="C74" s="8" t="s">
        <v>187</v>
      </c>
      <c r="D74" s="157" t="s">
        <v>196</v>
      </c>
      <c r="E74" s="153">
        <f>+'[1]Final Sch 140 Combined Charges'!O88</f>
        <v>0.44</v>
      </c>
      <c r="F74" s="153">
        <f>+'[1]Final Sch 140 Combined Charges'!P88</f>
        <v>0.4</v>
      </c>
      <c r="G74" s="153">
        <f t="shared" si="29"/>
        <v>0.84000000000000008</v>
      </c>
      <c r="H74" s="154">
        <f>+'[1]Final Sch 140 Combined Charges'!L88</f>
        <v>1308</v>
      </c>
      <c r="I74" s="155">
        <f t="shared" si="30"/>
        <v>576</v>
      </c>
      <c r="J74" s="155">
        <f t="shared" si="31"/>
        <v>523</v>
      </c>
      <c r="K74" s="155">
        <f t="shared" si="32"/>
        <v>1099</v>
      </c>
    </row>
    <row r="75" spans="1:11" x14ac:dyDescent="0.25">
      <c r="A75" s="143">
        <f t="shared" ref="A75:A138" si="34">A74+1</f>
        <v>67</v>
      </c>
      <c r="B75" s="150"/>
      <c r="C75" s="8"/>
      <c r="D75" s="8"/>
      <c r="E75" s="149"/>
      <c r="F75" s="149"/>
      <c r="G75" s="149"/>
      <c r="H75" s="154"/>
      <c r="I75" s="154"/>
      <c r="J75" s="154"/>
      <c r="K75" s="144"/>
    </row>
    <row r="76" spans="1:11" x14ac:dyDescent="0.25">
      <c r="A76" s="143">
        <f t="shared" si="34"/>
        <v>68</v>
      </c>
      <c r="B76" s="150" t="s">
        <v>202</v>
      </c>
      <c r="C76" s="8" t="s">
        <v>85</v>
      </c>
      <c r="D76" s="8">
        <v>50</v>
      </c>
      <c r="E76" s="153">
        <f>+'[1]Final Sch 140 Combined Charges'!O90</f>
        <v>0.02</v>
      </c>
      <c r="F76" s="153">
        <f>+'[1]Final Sch 140 Combined Charges'!P90</f>
        <v>0.01</v>
      </c>
      <c r="G76" s="153">
        <f t="shared" ref="G76:G84" si="35">SUM(E76:F76)</f>
        <v>0.03</v>
      </c>
      <c r="H76" s="154">
        <f>+'[1]Final Sch 140 Combined Charges'!L90</f>
        <v>0</v>
      </c>
      <c r="I76" s="155">
        <f t="shared" ref="I76:I84" si="36">ROUND($H76*E76,0)</f>
        <v>0</v>
      </c>
      <c r="J76" s="155">
        <f t="shared" ref="J76:J84" si="37">ROUND($H76*F76,0)</f>
        <v>0</v>
      </c>
      <c r="K76" s="155">
        <f t="shared" ref="K76:K84" si="38">SUM(I76:J76)</f>
        <v>0</v>
      </c>
    </row>
    <row r="77" spans="1:11" x14ac:dyDescent="0.25">
      <c r="A77" s="143">
        <f t="shared" si="34"/>
        <v>69</v>
      </c>
      <c r="B77" s="150" t="str">
        <f t="shared" ref="B77:B84" si="39">+B76</f>
        <v>53E - Customer Owned</v>
      </c>
      <c r="C77" s="8" t="s">
        <v>85</v>
      </c>
      <c r="D77" s="8">
        <v>70</v>
      </c>
      <c r="E77" s="153">
        <f>+'[1]Final Sch 140 Combined Charges'!O91</f>
        <v>0.02</v>
      </c>
      <c r="F77" s="153">
        <f>+'[1]Final Sch 140 Combined Charges'!P91</f>
        <v>0.02</v>
      </c>
      <c r="G77" s="153">
        <f t="shared" si="35"/>
        <v>0.04</v>
      </c>
      <c r="H77" s="154">
        <f>+'[1]Final Sch 140 Combined Charges'!L91</f>
        <v>684</v>
      </c>
      <c r="I77" s="155">
        <f t="shared" si="36"/>
        <v>14</v>
      </c>
      <c r="J77" s="155">
        <f t="shared" si="37"/>
        <v>14</v>
      </c>
      <c r="K77" s="155">
        <f t="shared" si="38"/>
        <v>28</v>
      </c>
    </row>
    <row r="78" spans="1:11" x14ac:dyDescent="0.25">
      <c r="A78" s="143">
        <f t="shared" si="34"/>
        <v>70</v>
      </c>
      <c r="B78" s="150" t="str">
        <f t="shared" si="39"/>
        <v>53E - Customer Owned</v>
      </c>
      <c r="C78" s="8" t="s">
        <v>85</v>
      </c>
      <c r="D78" s="8">
        <v>100</v>
      </c>
      <c r="E78" s="153">
        <f>+'[1]Final Sch 140 Combined Charges'!O92</f>
        <v>0.03</v>
      </c>
      <c r="F78" s="153">
        <f>+'[1]Final Sch 140 Combined Charges'!P92</f>
        <v>0.03</v>
      </c>
      <c r="G78" s="153">
        <f t="shared" si="35"/>
        <v>0.06</v>
      </c>
      <c r="H78" s="154">
        <f>+'[1]Final Sch 140 Combined Charges'!L92</f>
        <v>3066</v>
      </c>
      <c r="I78" s="155">
        <f t="shared" si="36"/>
        <v>92</v>
      </c>
      <c r="J78" s="155">
        <f t="shared" si="37"/>
        <v>92</v>
      </c>
      <c r="K78" s="155">
        <f t="shared" si="38"/>
        <v>184</v>
      </c>
    </row>
    <row r="79" spans="1:11" x14ac:dyDescent="0.25">
      <c r="A79" s="143">
        <f t="shared" si="34"/>
        <v>71</v>
      </c>
      <c r="B79" s="150" t="str">
        <f t="shared" si="39"/>
        <v>53E - Customer Owned</v>
      </c>
      <c r="C79" s="8" t="s">
        <v>85</v>
      </c>
      <c r="D79" s="8">
        <v>150</v>
      </c>
      <c r="E79" s="153">
        <f>+'[1]Final Sch 140 Combined Charges'!O93</f>
        <v>0.05</v>
      </c>
      <c r="F79" s="153">
        <f>+'[1]Final Sch 140 Combined Charges'!P93</f>
        <v>0.05</v>
      </c>
      <c r="G79" s="153">
        <f t="shared" si="35"/>
        <v>0.1</v>
      </c>
      <c r="H79" s="154">
        <f>+'[1]Final Sch 140 Combined Charges'!L93</f>
        <v>1779</v>
      </c>
      <c r="I79" s="155">
        <f t="shared" si="36"/>
        <v>89</v>
      </c>
      <c r="J79" s="155">
        <f t="shared" si="37"/>
        <v>89</v>
      </c>
      <c r="K79" s="155">
        <f t="shared" si="38"/>
        <v>178</v>
      </c>
    </row>
    <row r="80" spans="1:11" x14ac:dyDescent="0.25">
      <c r="A80" s="143">
        <f t="shared" si="34"/>
        <v>72</v>
      </c>
      <c r="B80" s="150" t="str">
        <f t="shared" si="39"/>
        <v>53E - Customer Owned</v>
      </c>
      <c r="C80" s="8" t="s">
        <v>85</v>
      </c>
      <c r="D80" s="8">
        <v>200</v>
      </c>
      <c r="E80" s="153">
        <f>+'[1]Final Sch 140 Combined Charges'!O94</f>
        <v>7.0000000000000007E-2</v>
      </c>
      <c r="F80" s="153">
        <f>+'[1]Final Sch 140 Combined Charges'!P94</f>
        <v>0.06</v>
      </c>
      <c r="G80" s="153">
        <f t="shared" si="35"/>
        <v>0.13</v>
      </c>
      <c r="H80" s="154">
        <f>+'[1]Final Sch 140 Combined Charges'!L94</f>
        <v>5111</v>
      </c>
      <c r="I80" s="155">
        <f t="shared" si="36"/>
        <v>358</v>
      </c>
      <c r="J80" s="155">
        <f t="shared" si="37"/>
        <v>307</v>
      </c>
      <c r="K80" s="155">
        <f t="shared" si="38"/>
        <v>665</v>
      </c>
    </row>
    <row r="81" spans="1:11" x14ac:dyDescent="0.25">
      <c r="A81" s="143">
        <f t="shared" si="34"/>
        <v>73</v>
      </c>
      <c r="B81" s="150" t="str">
        <f t="shared" si="39"/>
        <v>53E - Customer Owned</v>
      </c>
      <c r="C81" s="8" t="s">
        <v>85</v>
      </c>
      <c r="D81" s="8">
        <v>250</v>
      </c>
      <c r="E81" s="153">
        <f>+'[1]Final Sch 140 Combined Charges'!O95</f>
        <v>0.08</v>
      </c>
      <c r="F81" s="153">
        <f>+'[1]Final Sch 140 Combined Charges'!P95</f>
        <v>0.08</v>
      </c>
      <c r="G81" s="153">
        <f t="shared" si="35"/>
        <v>0.16</v>
      </c>
      <c r="H81" s="154">
        <f>+'[1]Final Sch 140 Combined Charges'!L95</f>
        <v>3364</v>
      </c>
      <c r="I81" s="155">
        <f t="shared" si="36"/>
        <v>269</v>
      </c>
      <c r="J81" s="155">
        <f t="shared" si="37"/>
        <v>269</v>
      </c>
      <c r="K81" s="155">
        <f t="shared" si="38"/>
        <v>538</v>
      </c>
    </row>
    <row r="82" spans="1:11" x14ac:dyDescent="0.25">
      <c r="A82" s="143">
        <f t="shared" si="34"/>
        <v>74</v>
      </c>
      <c r="B82" s="150" t="str">
        <f t="shared" si="39"/>
        <v>53E - Customer Owned</v>
      </c>
      <c r="C82" s="8" t="s">
        <v>85</v>
      </c>
      <c r="D82" s="8">
        <v>310</v>
      </c>
      <c r="E82" s="153">
        <f>+'[1]Final Sch 140 Combined Charges'!O96</f>
        <v>0.1</v>
      </c>
      <c r="F82" s="153">
        <f>+'[1]Final Sch 140 Combined Charges'!P96</f>
        <v>0.1</v>
      </c>
      <c r="G82" s="153">
        <f t="shared" si="35"/>
        <v>0.2</v>
      </c>
      <c r="H82" s="154">
        <f>+'[1]Final Sch 140 Combined Charges'!L96</f>
        <v>84</v>
      </c>
      <c r="I82" s="155">
        <f t="shared" si="36"/>
        <v>8</v>
      </c>
      <c r="J82" s="155">
        <f t="shared" si="37"/>
        <v>8</v>
      </c>
      <c r="K82" s="155">
        <f t="shared" si="38"/>
        <v>16</v>
      </c>
    </row>
    <row r="83" spans="1:11" x14ac:dyDescent="0.25">
      <c r="A83" s="143">
        <f t="shared" si="34"/>
        <v>75</v>
      </c>
      <c r="B83" s="150" t="str">
        <f t="shared" si="39"/>
        <v>53E - Customer Owned</v>
      </c>
      <c r="C83" s="8" t="s">
        <v>85</v>
      </c>
      <c r="D83" s="8">
        <v>400</v>
      </c>
      <c r="E83" s="153">
        <f>+'[1]Final Sch 140 Combined Charges'!O97</f>
        <v>0.14000000000000001</v>
      </c>
      <c r="F83" s="153">
        <f>+'[1]Final Sch 140 Combined Charges'!P97</f>
        <v>0.12</v>
      </c>
      <c r="G83" s="153">
        <f t="shared" si="35"/>
        <v>0.26</v>
      </c>
      <c r="H83" s="154">
        <f>+'[1]Final Sch 140 Combined Charges'!L97</f>
        <v>5174</v>
      </c>
      <c r="I83" s="155">
        <f t="shared" si="36"/>
        <v>724</v>
      </c>
      <c r="J83" s="155">
        <f t="shared" si="37"/>
        <v>621</v>
      </c>
      <c r="K83" s="155">
        <f t="shared" si="38"/>
        <v>1345</v>
      </c>
    </row>
    <row r="84" spans="1:11" x14ac:dyDescent="0.25">
      <c r="A84" s="143">
        <f t="shared" si="34"/>
        <v>76</v>
      </c>
      <c r="B84" s="150" t="str">
        <f t="shared" si="39"/>
        <v>53E - Customer Owned</v>
      </c>
      <c r="C84" s="8" t="s">
        <v>85</v>
      </c>
      <c r="D84" s="8">
        <v>1000</v>
      </c>
      <c r="E84" s="153">
        <f>+'[1]Final Sch 140 Combined Charges'!O98</f>
        <v>0.34</v>
      </c>
      <c r="F84" s="153">
        <f>+'[1]Final Sch 140 Combined Charges'!P98</f>
        <v>0.3</v>
      </c>
      <c r="G84" s="153">
        <f t="shared" si="35"/>
        <v>0.64</v>
      </c>
      <c r="H84" s="154">
        <f>+'[1]Final Sch 140 Combined Charges'!L98</f>
        <v>0</v>
      </c>
      <c r="I84" s="155">
        <f t="shared" si="36"/>
        <v>0</v>
      </c>
      <c r="J84" s="155">
        <f t="shared" si="37"/>
        <v>0</v>
      </c>
      <c r="K84" s="155">
        <f t="shared" si="38"/>
        <v>0</v>
      </c>
    </row>
    <row r="85" spans="1:11" x14ac:dyDescent="0.25">
      <c r="A85" s="143">
        <f t="shared" si="34"/>
        <v>77</v>
      </c>
      <c r="B85" s="150"/>
      <c r="C85" s="8"/>
      <c r="D85" s="8"/>
      <c r="E85" s="149"/>
      <c r="F85" s="149"/>
      <c r="G85" s="149"/>
      <c r="H85" s="154"/>
      <c r="I85" s="154"/>
      <c r="J85" s="154"/>
      <c r="K85" s="144"/>
    </row>
    <row r="86" spans="1:11" x14ac:dyDescent="0.25">
      <c r="A86" s="143">
        <f t="shared" si="34"/>
        <v>78</v>
      </c>
      <c r="B86" s="150" t="str">
        <f>+B84</f>
        <v>53E - Customer Owned</v>
      </c>
      <c r="C86" s="8" t="s">
        <v>199</v>
      </c>
      <c r="D86" s="8">
        <v>70</v>
      </c>
      <c r="E86" s="153">
        <f>+'[1]Final Sch 140 Combined Charges'!O100</f>
        <v>0.02</v>
      </c>
      <c r="F86" s="153">
        <f>+'[1]Final Sch 140 Combined Charges'!P100</f>
        <v>0.02</v>
      </c>
      <c r="G86" s="153">
        <f t="shared" ref="G86:G91" si="40">SUM(E86:F86)</f>
        <v>0.04</v>
      </c>
      <c r="H86" s="154">
        <f>+'[1]Final Sch 140 Combined Charges'!L100</f>
        <v>0</v>
      </c>
      <c r="I86" s="155">
        <f t="shared" ref="I86:I91" si="41">ROUND($H86*E86,0)</f>
        <v>0</v>
      </c>
      <c r="J86" s="155">
        <f t="shared" ref="J86:J91" si="42">ROUND($H86*F86,0)</f>
        <v>0</v>
      </c>
      <c r="K86" s="155">
        <f t="shared" ref="K86:K91" si="43">SUM(I86:J86)</f>
        <v>0</v>
      </c>
    </row>
    <row r="87" spans="1:11" x14ac:dyDescent="0.25">
      <c r="A87" s="143">
        <f t="shared" si="34"/>
        <v>79</v>
      </c>
      <c r="B87" s="150" t="str">
        <f>+B86</f>
        <v>53E - Customer Owned</v>
      </c>
      <c r="C87" s="8" t="s">
        <v>199</v>
      </c>
      <c r="D87" s="8">
        <v>100</v>
      </c>
      <c r="E87" s="153">
        <f>+'[1]Final Sch 140 Combined Charges'!O101</f>
        <v>0.03</v>
      </c>
      <c r="F87" s="153">
        <f>+'[1]Final Sch 140 Combined Charges'!P101</f>
        <v>0.03</v>
      </c>
      <c r="G87" s="153">
        <f t="shared" si="40"/>
        <v>0.06</v>
      </c>
      <c r="H87" s="154">
        <f>+'[1]Final Sch 140 Combined Charges'!L101</f>
        <v>0</v>
      </c>
      <c r="I87" s="155">
        <f t="shared" si="41"/>
        <v>0</v>
      </c>
      <c r="J87" s="155">
        <f t="shared" si="42"/>
        <v>0</v>
      </c>
      <c r="K87" s="155">
        <f t="shared" si="43"/>
        <v>0</v>
      </c>
    </row>
    <row r="88" spans="1:11" x14ac:dyDescent="0.25">
      <c r="A88" s="143">
        <f t="shared" si="34"/>
        <v>80</v>
      </c>
      <c r="B88" s="150" t="str">
        <f>+B87</f>
        <v>53E - Customer Owned</v>
      </c>
      <c r="C88" s="8" t="s">
        <v>199</v>
      </c>
      <c r="D88" s="8">
        <v>150</v>
      </c>
      <c r="E88" s="153">
        <f>+'[1]Final Sch 140 Combined Charges'!O102</f>
        <v>0.05</v>
      </c>
      <c r="F88" s="153">
        <f>+'[1]Final Sch 140 Combined Charges'!P102</f>
        <v>0.05</v>
      </c>
      <c r="G88" s="153">
        <f t="shared" si="40"/>
        <v>0.1</v>
      </c>
      <c r="H88" s="154">
        <f>+'[1]Final Sch 140 Combined Charges'!L102</f>
        <v>0</v>
      </c>
      <c r="I88" s="155">
        <f t="shared" si="41"/>
        <v>0</v>
      </c>
      <c r="J88" s="155">
        <f t="shared" si="42"/>
        <v>0</v>
      </c>
      <c r="K88" s="155">
        <f t="shared" si="43"/>
        <v>0</v>
      </c>
    </row>
    <row r="89" spans="1:11" x14ac:dyDescent="0.25">
      <c r="A89" s="143">
        <f t="shared" si="34"/>
        <v>81</v>
      </c>
      <c r="B89" s="150" t="str">
        <f>+B88</f>
        <v>53E - Customer Owned</v>
      </c>
      <c r="C89" s="8" t="s">
        <v>199</v>
      </c>
      <c r="D89" s="8">
        <v>175</v>
      </c>
      <c r="E89" s="153">
        <f>+'[1]Final Sch 140 Combined Charges'!O103</f>
        <v>0.06</v>
      </c>
      <c r="F89" s="153">
        <f>+'[1]Final Sch 140 Combined Charges'!P103</f>
        <v>0.05</v>
      </c>
      <c r="G89" s="153">
        <f t="shared" si="40"/>
        <v>0.11</v>
      </c>
      <c r="H89" s="154">
        <f>+'[1]Final Sch 140 Combined Charges'!L103</f>
        <v>48</v>
      </c>
      <c r="I89" s="155">
        <f t="shared" si="41"/>
        <v>3</v>
      </c>
      <c r="J89" s="155">
        <f t="shared" si="42"/>
        <v>2</v>
      </c>
      <c r="K89" s="155">
        <f t="shared" si="43"/>
        <v>5</v>
      </c>
    </row>
    <row r="90" spans="1:11" x14ac:dyDescent="0.25">
      <c r="A90" s="143">
        <f t="shared" si="34"/>
        <v>82</v>
      </c>
      <c r="B90" s="150" t="str">
        <f>+B89</f>
        <v>53E - Customer Owned</v>
      </c>
      <c r="C90" s="8" t="s">
        <v>199</v>
      </c>
      <c r="D90" s="8">
        <v>250</v>
      </c>
      <c r="E90" s="153">
        <f>+'[1]Final Sch 140 Combined Charges'!O104</f>
        <v>0.08</v>
      </c>
      <c r="F90" s="153">
        <f>+'[1]Final Sch 140 Combined Charges'!P104</f>
        <v>0.08</v>
      </c>
      <c r="G90" s="153">
        <f t="shared" si="40"/>
        <v>0.16</v>
      </c>
      <c r="H90" s="154">
        <f>+'[1]Final Sch 140 Combined Charges'!L104</f>
        <v>0</v>
      </c>
      <c r="I90" s="155">
        <f t="shared" si="41"/>
        <v>0</v>
      </c>
      <c r="J90" s="155">
        <f t="shared" si="42"/>
        <v>0</v>
      </c>
      <c r="K90" s="155">
        <f t="shared" si="43"/>
        <v>0</v>
      </c>
    </row>
    <row r="91" spans="1:11" x14ac:dyDescent="0.25">
      <c r="A91" s="143">
        <f t="shared" si="34"/>
        <v>83</v>
      </c>
      <c r="B91" s="150" t="str">
        <f>+B90</f>
        <v>53E - Customer Owned</v>
      </c>
      <c r="C91" s="8" t="s">
        <v>199</v>
      </c>
      <c r="D91" s="8">
        <v>400</v>
      </c>
      <c r="E91" s="153">
        <f>+'[1]Final Sch 140 Combined Charges'!O105</f>
        <v>0.14000000000000001</v>
      </c>
      <c r="F91" s="153">
        <f>+'[1]Final Sch 140 Combined Charges'!P105</f>
        <v>0.12</v>
      </c>
      <c r="G91" s="153">
        <f t="shared" si="40"/>
        <v>0.26</v>
      </c>
      <c r="H91" s="154">
        <f>+'[1]Final Sch 140 Combined Charges'!L105</f>
        <v>0</v>
      </c>
      <c r="I91" s="155">
        <f t="shared" si="41"/>
        <v>0</v>
      </c>
      <c r="J91" s="155">
        <f t="shared" si="42"/>
        <v>0</v>
      </c>
      <c r="K91" s="155">
        <f t="shared" si="43"/>
        <v>0</v>
      </c>
    </row>
    <row r="92" spans="1:11" x14ac:dyDescent="0.25">
      <c r="A92" s="143">
        <f t="shared" si="34"/>
        <v>84</v>
      </c>
      <c r="B92" s="150"/>
      <c r="C92" s="8"/>
      <c r="D92" s="8"/>
      <c r="E92" s="149"/>
      <c r="F92" s="149"/>
      <c r="G92" s="149"/>
      <c r="H92" s="154"/>
      <c r="I92" s="154"/>
      <c r="J92" s="154"/>
      <c r="K92" s="144"/>
    </row>
    <row r="93" spans="1:11" x14ac:dyDescent="0.25">
      <c r="A93" s="143">
        <f t="shared" si="34"/>
        <v>85</v>
      </c>
      <c r="B93" s="150" t="str">
        <f>+B91</f>
        <v>53E - Customer Owned</v>
      </c>
      <c r="C93" s="8" t="s">
        <v>187</v>
      </c>
      <c r="D93" s="157" t="s">
        <v>188</v>
      </c>
      <c r="E93" s="153">
        <f>+'[1]Final Sch 140 Combined Charges'!O107</f>
        <v>0.02</v>
      </c>
      <c r="F93" s="153">
        <f>+'[1]Final Sch 140 Combined Charges'!P107</f>
        <v>0.01</v>
      </c>
      <c r="G93" s="153">
        <f t="shared" ref="G93:G101" si="44">SUM(E93:F93)</f>
        <v>0.03</v>
      </c>
      <c r="H93" s="154">
        <f>+'[1]Final Sch 140 Combined Charges'!L107</f>
        <v>7103</v>
      </c>
      <c r="I93" s="155">
        <f t="shared" ref="I93:I101" si="45">ROUND($H93*E93,0)</f>
        <v>142</v>
      </c>
      <c r="J93" s="155">
        <f t="shared" ref="J93:J101" si="46">ROUND($H93*F93,0)</f>
        <v>71</v>
      </c>
      <c r="K93" s="155">
        <f t="shared" ref="K93:K101" si="47">SUM(I93:J93)</f>
        <v>213</v>
      </c>
    </row>
    <row r="94" spans="1:11" x14ac:dyDescent="0.25">
      <c r="A94" s="143">
        <f t="shared" si="34"/>
        <v>86</v>
      </c>
      <c r="B94" s="150" t="str">
        <f>B93</f>
        <v>53E - Customer Owned</v>
      </c>
      <c r="C94" s="8" t="s">
        <v>187</v>
      </c>
      <c r="D94" s="157" t="s">
        <v>189</v>
      </c>
      <c r="E94" s="153">
        <f>+'[1]Final Sch 140 Combined Charges'!O108</f>
        <v>0.03</v>
      </c>
      <c r="F94" s="153">
        <f>+'[1]Final Sch 140 Combined Charges'!P108</f>
        <v>0.02</v>
      </c>
      <c r="G94" s="153">
        <f t="shared" si="44"/>
        <v>0.05</v>
      </c>
      <c r="H94" s="154">
        <f>+'[1]Final Sch 140 Combined Charges'!L108</f>
        <v>7369</v>
      </c>
      <c r="I94" s="155">
        <f t="shared" si="45"/>
        <v>221</v>
      </c>
      <c r="J94" s="155">
        <f t="shared" si="46"/>
        <v>147</v>
      </c>
      <c r="K94" s="155">
        <f t="shared" si="47"/>
        <v>368</v>
      </c>
    </row>
    <row r="95" spans="1:11" x14ac:dyDescent="0.25">
      <c r="A95" s="143">
        <f t="shared" si="34"/>
        <v>87</v>
      </c>
      <c r="B95" s="150" t="str">
        <f t="shared" ref="B95:B101" si="48">B94</f>
        <v>53E - Customer Owned</v>
      </c>
      <c r="C95" s="8" t="s">
        <v>187</v>
      </c>
      <c r="D95" s="157" t="s">
        <v>190</v>
      </c>
      <c r="E95" s="153">
        <f>+'[1]Final Sch 140 Combined Charges'!O109</f>
        <v>0.04</v>
      </c>
      <c r="F95" s="153">
        <f>+'[1]Final Sch 140 Combined Charges'!P109</f>
        <v>0.03</v>
      </c>
      <c r="G95" s="153">
        <f t="shared" si="44"/>
        <v>7.0000000000000007E-2</v>
      </c>
      <c r="H95" s="154">
        <f>+'[1]Final Sch 140 Combined Charges'!L109</f>
        <v>10408</v>
      </c>
      <c r="I95" s="155">
        <f t="shared" si="45"/>
        <v>416</v>
      </c>
      <c r="J95" s="155">
        <f t="shared" si="46"/>
        <v>312</v>
      </c>
      <c r="K95" s="155">
        <f t="shared" si="47"/>
        <v>728</v>
      </c>
    </row>
    <row r="96" spans="1:11" x14ac:dyDescent="0.25">
      <c r="A96" s="143">
        <f t="shared" si="34"/>
        <v>88</v>
      </c>
      <c r="B96" s="150" t="str">
        <f t="shared" si="48"/>
        <v>53E - Customer Owned</v>
      </c>
      <c r="C96" s="8" t="s">
        <v>187</v>
      </c>
      <c r="D96" s="157" t="s">
        <v>191</v>
      </c>
      <c r="E96" s="153">
        <f>+'[1]Final Sch 140 Combined Charges'!O110</f>
        <v>0.05</v>
      </c>
      <c r="F96" s="153">
        <f>+'[1]Final Sch 140 Combined Charges'!P110</f>
        <v>0.04</v>
      </c>
      <c r="G96" s="153">
        <f t="shared" si="44"/>
        <v>0.09</v>
      </c>
      <c r="H96" s="154">
        <f>+'[1]Final Sch 140 Combined Charges'!L110</f>
        <v>1687</v>
      </c>
      <c r="I96" s="155">
        <f t="shared" si="45"/>
        <v>84</v>
      </c>
      <c r="J96" s="155">
        <f t="shared" si="46"/>
        <v>67</v>
      </c>
      <c r="K96" s="155">
        <f t="shared" si="47"/>
        <v>151</v>
      </c>
    </row>
    <row r="97" spans="1:11" x14ac:dyDescent="0.25">
      <c r="A97" s="143">
        <f t="shared" si="34"/>
        <v>89</v>
      </c>
      <c r="B97" s="150" t="str">
        <f t="shared" si="48"/>
        <v>53E - Customer Owned</v>
      </c>
      <c r="C97" s="8" t="s">
        <v>187</v>
      </c>
      <c r="D97" s="157" t="s">
        <v>192</v>
      </c>
      <c r="E97" s="153">
        <f>+'[1]Final Sch 140 Combined Charges'!O111</f>
        <v>0.06</v>
      </c>
      <c r="F97" s="153">
        <f>+'[1]Final Sch 140 Combined Charges'!P111</f>
        <v>0.05</v>
      </c>
      <c r="G97" s="153">
        <f t="shared" si="44"/>
        <v>0.11</v>
      </c>
      <c r="H97" s="154">
        <f>+'[1]Final Sch 140 Combined Charges'!L111</f>
        <v>15781</v>
      </c>
      <c r="I97" s="155">
        <f t="shared" si="45"/>
        <v>947</v>
      </c>
      <c r="J97" s="155">
        <f t="shared" si="46"/>
        <v>789</v>
      </c>
      <c r="K97" s="155">
        <f t="shared" si="47"/>
        <v>1736</v>
      </c>
    </row>
    <row r="98" spans="1:11" x14ac:dyDescent="0.25">
      <c r="A98" s="143">
        <f t="shared" si="34"/>
        <v>90</v>
      </c>
      <c r="B98" s="150" t="str">
        <f t="shared" si="48"/>
        <v>53E - Customer Owned</v>
      </c>
      <c r="C98" s="8" t="s">
        <v>187</v>
      </c>
      <c r="D98" s="157" t="s">
        <v>193</v>
      </c>
      <c r="E98" s="153">
        <f>+'[1]Final Sch 140 Combined Charges'!O112</f>
        <v>7.0000000000000007E-2</v>
      </c>
      <c r="F98" s="153">
        <f>+'[1]Final Sch 140 Combined Charges'!P112</f>
        <v>0.06</v>
      </c>
      <c r="G98" s="153">
        <f t="shared" si="44"/>
        <v>0.13</v>
      </c>
      <c r="H98" s="154">
        <f>+'[1]Final Sch 140 Combined Charges'!L112</f>
        <v>1288</v>
      </c>
      <c r="I98" s="155">
        <f t="shared" si="45"/>
        <v>90</v>
      </c>
      <c r="J98" s="155">
        <f t="shared" si="46"/>
        <v>77</v>
      </c>
      <c r="K98" s="155">
        <f t="shared" si="47"/>
        <v>167</v>
      </c>
    </row>
    <row r="99" spans="1:11" x14ac:dyDescent="0.25">
      <c r="A99" s="143">
        <f t="shared" si="34"/>
        <v>91</v>
      </c>
      <c r="B99" s="150" t="str">
        <f t="shared" si="48"/>
        <v>53E - Customer Owned</v>
      </c>
      <c r="C99" s="8" t="s">
        <v>187</v>
      </c>
      <c r="D99" s="157" t="s">
        <v>194</v>
      </c>
      <c r="E99" s="153">
        <f>+'[1]Final Sch 140 Combined Charges'!O113</f>
        <v>7.0000000000000007E-2</v>
      </c>
      <c r="F99" s="153">
        <f>+'[1]Final Sch 140 Combined Charges'!P113</f>
        <v>7.0000000000000007E-2</v>
      </c>
      <c r="G99" s="153">
        <f t="shared" si="44"/>
        <v>0.14000000000000001</v>
      </c>
      <c r="H99" s="154">
        <f>+'[1]Final Sch 140 Combined Charges'!L113</f>
        <v>0</v>
      </c>
      <c r="I99" s="155">
        <f t="shared" si="45"/>
        <v>0</v>
      </c>
      <c r="J99" s="155">
        <f t="shared" si="46"/>
        <v>0</v>
      </c>
      <c r="K99" s="155">
        <f t="shared" si="47"/>
        <v>0</v>
      </c>
    </row>
    <row r="100" spans="1:11" x14ac:dyDescent="0.25">
      <c r="A100" s="143">
        <f t="shared" si="34"/>
        <v>92</v>
      </c>
      <c r="B100" s="150" t="str">
        <f t="shared" si="48"/>
        <v>53E - Customer Owned</v>
      </c>
      <c r="C100" s="8" t="s">
        <v>187</v>
      </c>
      <c r="D100" s="157" t="s">
        <v>195</v>
      </c>
      <c r="E100" s="153">
        <f>+'[1]Final Sch 140 Combined Charges'!O114</f>
        <v>0.08</v>
      </c>
      <c r="F100" s="153">
        <f>+'[1]Final Sch 140 Combined Charges'!P114</f>
        <v>0.08</v>
      </c>
      <c r="G100" s="153">
        <f t="shared" si="44"/>
        <v>0.16</v>
      </c>
      <c r="H100" s="154">
        <f>+'[1]Final Sch 140 Combined Charges'!L114</f>
        <v>0</v>
      </c>
      <c r="I100" s="155">
        <f t="shared" si="45"/>
        <v>0</v>
      </c>
      <c r="J100" s="155">
        <f t="shared" si="46"/>
        <v>0</v>
      </c>
      <c r="K100" s="155">
        <f t="shared" si="47"/>
        <v>0</v>
      </c>
    </row>
    <row r="101" spans="1:11" x14ac:dyDescent="0.25">
      <c r="A101" s="143">
        <f t="shared" si="34"/>
        <v>93</v>
      </c>
      <c r="B101" s="150" t="str">
        <f t="shared" si="48"/>
        <v>53E - Customer Owned</v>
      </c>
      <c r="C101" s="8" t="s">
        <v>187</v>
      </c>
      <c r="D101" s="157" t="s">
        <v>196</v>
      </c>
      <c r="E101" s="153">
        <f>+'[1]Final Sch 140 Combined Charges'!O115</f>
        <v>0.09</v>
      </c>
      <c r="F101" s="153">
        <f>+'[1]Final Sch 140 Combined Charges'!P115</f>
        <v>0.09</v>
      </c>
      <c r="G101" s="153">
        <f t="shared" si="44"/>
        <v>0.18</v>
      </c>
      <c r="H101" s="154">
        <f>+'[1]Final Sch 140 Combined Charges'!L115</f>
        <v>0</v>
      </c>
      <c r="I101" s="155">
        <f t="shared" si="45"/>
        <v>0</v>
      </c>
      <c r="J101" s="155">
        <f t="shared" si="46"/>
        <v>0</v>
      </c>
      <c r="K101" s="155">
        <f t="shared" si="47"/>
        <v>0</v>
      </c>
    </row>
    <row r="102" spans="1:11" x14ac:dyDescent="0.25">
      <c r="A102" s="143">
        <f t="shared" si="34"/>
        <v>94</v>
      </c>
      <c r="B102" s="161"/>
      <c r="C102" s="8"/>
      <c r="D102" s="8"/>
      <c r="E102" s="149"/>
      <c r="F102" s="149"/>
      <c r="G102" s="149"/>
      <c r="H102" s="154"/>
      <c r="I102" s="154"/>
      <c r="J102" s="154"/>
      <c r="K102" s="144"/>
    </row>
    <row r="103" spans="1:11" x14ac:dyDescent="0.25">
      <c r="A103" s="143">
        <f t="shared" si="34"/>
        <v>95</v>
      </c>
      <c r="B103" s="148" t="s">
        <v>203</v>
      </c>
      <c r="C103" s="148"/>
      <c r="D103" s="148"/>
      <c r="E103" s="149"/>
      <c r="F103" s="149"/>
      <c r="G103" s="149"/>
      <c r="H103" s="154"/>
      <c r="I103" s="154"/>
      <c r="J103" s="154"/>
      <c r="K103" s="144"/>
    </row>
    <row r="104" spans="1:11" x14ac:dyDescent="0.25">
      <c r="A104" s="143">
        <f t="shared" si="34"/>
        <v>96</v>
      </c>
      <c r="B104" s="150" t="s">
        <v>204</v>
      </c>
      <c r="C104" s="8" t="s">
        <v>85</v>
      </c>
      <c r="D104" s="8">
        <v>50</v>
      </c>
      <c r="E104" s="153">
        <f>+'[1]Final Sch 140 Combined Charges'!O118</f>
        <v>0.02</v>
      </c>
      <c r="F104" s="153">
        <f>+'[1]Final Sch 140 Combined Charges'!P118</f>
        <v>0.01</v>
      </c>
      <c r="G104" s="153">
        <f t="shared" ref="G104:G112" si="49">SUM(E104:F104)</f>
        <v>0.03</v>
      </c>
      <c r="H104" s="154">
        <f>+'[1]Final Sch 140 Combined Charges'!L118</f>
        <v>456</v>
      </c>
      <c r="I104" s="155">
        <f t="shared" ref="I104:I112" si="50">ROUND($H104*E104,0)</f>
        <v>9</v>
      </c>
      <c r="J104" s="155">
        <f t="shared" ref="J104:J112" si="51">ROUND($H104*F104,0)</f>
        <v>5</v>
      </c>
      <c r="K104" s="155">
        <f t="shared" ref="K104:K112" si="52">SUM(I104:J104)</f>
        <v>14</v>
      </c>
    </row>
    <row r="105" spans="1:11" x14ac:dyDescent="0.25">
      <c r="A105" s="143">
        <f t="shared" si="34"/>
        <v>97</v>
      </c>
      <c r="B105" s="150" t="str">
        <f t="shared" ref="B105:B112" si="53">+B104</f>
        <v>54E</v>
      </c>
      <c r="C105" s="8" t="s">
        <v>85</v>
      </c>
      <c r="D105" s="8">
        <v>70</v>
      </c>
      <c r="E105" s="153">
        <f>+'[1]Final Sch 140 Combined Charges'!O119</f>
        <v>0.02</v>
      </c>
      <c r="F105" s="153">
        <f>+'[1]Final Sch 140 Combined Charges'!P119</f>
        <v>0.02</v>
      </c>
      <c r="G105" s="153">
        <f t="shared" si="49"/>
        <v>0.04</v>
      </c>
      <c r="H105" s="154">
        <f>+'[1]Final Sch 140 Combined Charges'!L119</f>
        <v>8767</v>
      </c>
      <c r="I105" s="155">
        <f t="shared" si="50"/>
        <v>175</v>
      </c>
      <c r="J105" s="155">
        <f t="shared" si="51"/>
        <v>175</v>
      </c>
      <c r="K105" s="155">
        <f t="shared" si="52"/>
        <v>350</v>
      </c>
    </row>
    <row r="106" spans="1:11" x14ac:dyDescent="0.25">
      <c r="A106" s="143">
        <f t="shared" si="34"/>
        <v>98</v>
      </c>
      <c r="B106" s="150" t="str">
        <f t="shared" si="53"/>
        <v>54E</v>
      </c>
      <c r="C106" s="8" t="s">
        <v>85</v>
      </c>
      <c r="D106" s="8">
        <v>100</v>
      </c>
      <c r="E106" s="153">
        <f>+'[1]Final Sch 140 Combined Charges'!O120</f>
        <v>0.03</v>
      </c>
      <c r="F106" s="153">
        <f>+'[1]Final Sch 140 Combined Charges'!P120</f>
        <v>0.03</v>
      </c>
      <c r="G106" s="153">
        <f t="shared" si="49"/>
        <v>0.06</v>
      </c>
      <c r="H106" s="154">
        <f>+'[1]Final Sch 140 Combined Charges'!L120</f>
        <v>20536</v>
      </c>
      <c r="I106" s="155">
        <f t="shared" si="50"/>
        <v>616</v>
      </c>
      <c r="J106" s="155">
        <f t="shared" si="51"/>
        <v>616</v>
      </c>
      <c r="K106" s="155">
        <f t="shared" si="52"/>
        <v>1232</v>
      </c>
    </row>
    <row r="107" spans="1:11" x14ac:dyDescent="0.25">
      <c r="A107" s="143">
        <f t="shared" si="34"/>
        <v>99</v>
      </c>
      <c r="B107" s="150" t="str">
        <f t="shared" si="53"/>
        <v>54E</v>
      </c>
      <c r="C107" s="8" t="s">
        <v>85</v>
      </c>
      <c r="D107" s="8">
        <v>150</v>
      </c>
      <c r="E107" s="153">
        <f>+'[1]Final Sch 140 Combined Charges'!O121</f>
        <v>0.05</v>
      </c>
      <c r="F107" s="153">
        <f>+'[1]Final Sch 140 Combined Charges'!P121</f>
        <v>0.05</v>
      </c>
      <c r="G107" s="153">
        <f t="shared" si="49"/>
        <v>0.1</v>
      </c>
      <c r="H107" s="154">
        <f>+'[1]Final Sch 140 Combined Charges'!L121</f>
        <v>6043</v>
      </c>
      <c r="I107" s="155">
        <f t="shared" si="50"/>
        <v>302</v>
      </c>
      <c r="J107" s="155">
        <f t="shared" si="51"/>
        <v>302</v>
      </c>
      <c r="K107" s="155">
        <f t="shared" si="52"/>
        <v>604</v>
      </c>
    </row>
    <row r="108" spans="1:11" x14ac:dyDescent="0.25">
      <c r="A108" s="143">
        <f t="shared" si="34"/>
        <v>100</v>
      </c>
      <c r="B108" s="150" t="str">
        <f t="shared" si="53"/>
        <v>54E</v>
      </c>
      <c r="C108" s="8" t="s">
        <v>85</v>
      </c>
      <c r="D108" s="8">
        <v>200</v>
      </c>
      <c r="E108" s="153">
        <f>+'[1]Final Sch 140 Combined Charges'!O122</f>
        <v>7.0000000000000007E-2</v>
      </c>
      <c r="F108" s="153">
        <f>+'[1]Final Sch 140 Combined Charges'!P122</f>
        <v>0.06</v>
      </c>
      <c r="G108" s="153">
        <f t="shared" si="49"/>
        <v>0.13</v>
      </c>
      <c r="H108" s="154">
        <f>+'[1]Final Sch 140 Combined Charges'!L122</f>
        <v>8057</v>
      </c>
      <c r="I108" s="155">
        <f t="shared" si="50"/>
        <v>564</v>
      </c>
      <c r="J108" s="155">
        <f t="shared" si="51"/>
        <v>483</v>
      </c>
      <c r="K108" s="155">
        <f t="shared" si="52"/>
        <v>1047</v>
      </c>
    </row>
    <row r="109" spans="1:11" x14ac:dyDescent="0.25">
      <c r="A109" s="143">
        <f t="shared" si="34"/>
        <v>101</v>
      </c>
      <c r="B109" s="150" t="str">
        <f t="shared" si="53"/>
        <v>54E</v>
      </c>
      <c r="C109" s="8" t="s">
        <v>85</v>
      </c>
      <c r="D109" s="8">
        <v>250</v>
      </c>
      <c r="E109" s="153">
        <f>+'[1]Final Sch 140 Combined Charges'!O123</f>
        <v>0.08</v>
      </c>
      <c r="F109" s="153">
        <f>+'[1]Final Sch 140 Combined Charges'!P123</f>
        <v>0.08</v>
      </c>
      <c r="G109" s="153">
        <f t="shared" si="49"/>
        <v>0.16</v>
      </c>
      <c r="H109" s="154">
        <f>+'[1]Final Sch 140 Combined Charges'!L123</f>
        <v>18169</v>
      </c>
      <c r="I109" s="155">
        <f t="shared" si="50"/>
        <v>1454</v>
      </c>
      <c r="J109" s="155">
        <f t="shared" si="51"/>
        <v>1454</v>
      </c>
      <c r="K109" s="155">
        <f t="shared" si="52"/>
        <v>2908</v>
      </c>
    </row>
    <row r="110" spans="1:11" x14ac:dyDescent="0.25">
      <c r="A110" s="143">
        <f t="shared" si="34"/>
        <v>102</v>
      </c>
      <c r="B110" s="150" t="str">
        <f t="shared" si="53"/>
        <v>54E</v>
      </c>
      <c r="C110" s="8" t="s">
        <v>85</v>
      </c>
      <c r="D110" s="8">
        <v>310</v>
      </c>
      <c r="E110" s="153">
        <f>+'[1]Final Sch 140 Combined Charges'!O124</f>
        <v>0.1</v>
      </c>
      <c r="F110" s="153">
        <f>+'[1]Final Sch 140 Combined Charges'!P124</f>
        <v>0.1</v>
      </c>
      <c r="G110" s="153">
        <f t="shared" si="49"/>
        <v>0.2</v>
      </c>
      <c r="H110" s="154">
        <f>+'[1]Final Sch 140 Combined Charges'!L124</f>
        <v>903</v>
      </c>
      <c r="I110" s="155">
        <f t="shared" si="50"/>
        <v>90</v>
      </c>
      <c r="J110" s="155">
        <f t="shared" si="51"/>
        <v>90</v>
      </c>
      <c r="K110" s="155">
        <f t="shared" si="52"/>
        <v>180</v>
      </c>
    </row>
    <row r="111" spans="1:11" x14ac:dyDescent="0.25">
      <c r="A111" s="143">
        <f t="shared" si="34"/>
        <v>103</v>
      </c>
      <c r="B111" s="150" t="str">
        <f t="shared" si="53"/>
        <v>54E</v>
      </c>
      <c r="C111" s="8" t="s">
        <v>85</v>
      </c>
      <c r="D111" s="8">
        <v>400</v>
      </c>
      <c r="E111" s="153">
        <f>+'[1]Final Sch 140 Combined Charges'!O125</f>
        <v>0.14000000000000001</v>
      </c>
      <c r="F111" s="153">
        <f>+'[1]Final Sch 140 Combined Charges'!P125</f>
        <v>0.12</v>
      </c>
      <c r="G111" s="153">
        <f t="shared" si="49"/>
        <v>0.26</v>
      </c>
      <c r="H111" s="154">
        <f>+'[1]Final Sch 140 Combined Charges'!L125</f>
        <v>9002</v>
      </c>
      <c r="I111" s="155">
        <f t="shared" si="50"/>
        <v>1260</v>
      </c>
      <c r="J111" s="155">
        <f t="shared" si="51"/>
        <v>1080</v>
      </c>
      <c r="K111" s="155">
        <f t="shared" si="52"/>
        <v>2340</v>
      </c>
    </row>
    <row r="112" spans="1:11" x14ac:dyDescent="0.25">
      <c r="A112" s="143">
        <f t="shared" si="34"/>
        <v>104</v>
      </c>
      <c r="B112" s="150" t="str">
        <f t="shared" si="53"/>
        <v>54E</v>
      </c>
      <c r="C112" s="8" t="s">
        <v>85</v>
      </c>
      <c r="D112" s="8">
        <v>1000</v>
      </c>
      <c r="E112" s="153">
        <f>+'[1]Final Sch 140 Combined Charges'!O126</f>
        <v>0.34</v>
      </c>
      <c r="F112" s="153">
        <f>+'[1]Final Sch 140 Combined Charges'!P126</f>
        <v>0.3</v>
      </c>
      <c r="G112" s="153">
        <f t="shared" si="49"/>
        <v>0.64</v>
      </c>
      <c r="H112" s="154">
        <f>+'[1]Final Sch 140 Combined Charges'!L126</f>
        <v>132</v>
      </c>
      <c r="I112" s="155">
        <f t="shared" si="50"/>
        <v>45</v>
      </c>
      <c r="J112" s="155">
        <f t="shared" si="51"/>
        <v>40</v>
      </c>
      <c r="K112" s="155">
        <f t="shared" si="52"/>
        <v>85</v>
      </c>
    </row>
    <row r="113" spans="1:11" x14ac:dyDescent="0.25">
      <c r="A113" s="143">
        <f t="shared" si="34"/>
        <v>105</v>
      </c>
      <c r="B113" s="161"/>
      <c r="C113" s="8"/>
      <c r="D113" s="8"/>
      <c r="E113" s="149"/>
      <c r="F113" s="149"/>
      <c r="G113" s="149"/>
      <c r="H113" s="154"/>
      <c r="I113" s="154"/>
      <c r="J113" s="154"/>
      <c r="K113" s="144"/>
    </row>
    <row r="114" spans="1:11" x14ac:dyDescent="0.25">
      <c r="A114" s="143">
        <f t="shared" si="34"/>
        <v>106</v>
      </c>
      <c r="B114" s="161"/>
      <c r="C114" s="8"/>
      <c r="D114" s="8"/>
      <c r="E114" s="149"/>
      <c r="F114" s="149"/>
      <c r="G114" s="149"/>
      <c r="H114" s="154"/>
      <c r="I114" s="154"/>
      <c r="J114" s="154"/>
      <c r="K114" s="144"/>
    </row>
    <row r="115" spans="1:11" x14ac:dyDescent="0.25">
      <c r="A115" s="143">
        <f t="shared" si="34"/>
        <v>107</v>
      </c>
      <c r="B115" s="150" t="str">
        <f>+B112</f>
        <v>54E</v>
      </c>
      <c r="C115" s="8" t="s">
        <v>187</v>
      </c>
      <c r="D115" s="157" t="s">
        <v>188</v>
      </c>
      <c r="E115" s="153">
        <f>+'[1]Final Sch 140 Combined Charges'!O129</f>
        <v>0.02</v>
      </c>
      <c r="F115" s="153">
        <f>+'[1]Final Sch 140 Combined Charges'!P129</f>
        <v>0.01</v>
      </c>
      <c r="G115" s="153">
        <f t="shared" ref="G115:G123" si="54">SUM(E115:F115)</f>
        <v>0.03</v>
      </c>
      <c r="H115" s="154">
        <f>+'[1]Final Sch 140 Combined Charges'!L129</f>
        <v>16680</v>
      </c>
      <c r="I115" s="155">
        <f t="shared" ref="I115:I123" si="55">ROUND($H115*E115,0)</f>
        <v>334</v>
      </c>
      <c r="J115" s="155">
        <f t="shared" ref="J115:J123" si="56">ROUND($H115*F115,0)</f>
        <v>167</v>
      </c>
      <c r="K115" s="155">
        <f t="shared" ref="K115:K123" si="57">SUM(I115:J115)</f>
        <v>501</v>
      </c>
    </row>
    <row r="116" spans="1:11" x14ac:dyDescent="0.25">
      <c r="A116" s="143">
        <f t="shared" si="34"/>
        <v>108</v>
      </c>
      <c r="B116" s="150" t="str">
        <f t="shared" ref="B116:B123" si="58">+B115</f>
        <v>54E</v>
      </c>
      <c r="C116" s="8" t="s">
        <v>187</v>
      </c>
      <c r="D116" s="157" t="s">
        <v>189</v>
      </c>
      <c r="E116" s="153">
        <f>+'[1]Final Sch 140 Combined Charges'!O130</f>
        <v>0.03</v>
      </c>
      <c r="F116" s="153">
        <f>+'[1]Final Sch 140 Combined Charges'!P130</f>
        <v>0.02</v>
      </c>
      <c r="G116" s="153">
        <f t="shared" si="54"/>
        <v>0.05</v>
      </c>
      <c r="H116" s="154">
        <f>+'[1]Final Sch 140 Combined Charges'!L130</f>
        <v>214</v>
      </c>
      <c r="I116" s="155">
        <f t="shared" si="55"/>
        <v>6</v>
      </c>
      <c r="J116" s="155">
        <f t="shared" si="56"/>
        <v>4</v>
      </c>
      <c r="K116" s="155">
        <f t="shared" si="57"/>
        <v>10</v>
      </c>
    </row>
    <row r="117" spans="1:11" x14ac:dyDescent="0.25">
      <c r="A117" s="143">
        <f t="shared" si="34"/>
        <v>109</v>
      </c>
      <c r="B117" s="150" t="str">
        <f t="shared" si="58"/>
        <v>54E</v>
      </c>
      <c r="C117" s="8" t="s">
        <v>187</v>
      </c>
      <c r="D117" s="157" t="s">
        <v>190</v>
      </c>
      <c r="E117" s="153">
        <f>+'[1]Final Sch 140 Combined Charges'!O131</f>
        <v>0.04</v>
      </c>
      <c r="F117" s="153">
        <f>+'[1]Final Sch 140 Combined Charges'!P131</f>
        <v>0.03</v>
      </c>
      <c r="G117" s="153">
        <f t="shared" si="54"/>
        <v>7.0000000000000007E-2</v>
      </c>
      <c r="H117" s="154">
        <f>+'[1]Final Sch 140 Combined Charges'!L131</f>
        <v>20366</v>
      </c>
      <c r="I117" s="155">
        <f t="shared" si="55"/>
        <v>815</v>
      </c>
      <c r="J117" s="155">
        <f t="shared" si="56"/>
        <v>611</v>
      </c>
      <c r="K117" s="155">
        <f t="shared" si="57"/>
        <v>1426</v>
      </c>
    </row>
    <row r="118" spans="1:11" x14ac:dyDescent="0.25">
      <c r="A118" s="143">
        <f t="shared" si="34"/>
        <v>110</v>
      </c>
      <c r="B118" s="150" t="str">
        <f t="shared" si="58"/>
        <v>54E</v>
      </c>
      <c r="C118" s="8" t="s">
        <v>187</v>
      </c>
      <c r="D118" s="157" t="s">
        <v>191</v>
      </c>
      <c r="E118" s="153">
        <f>+'[1]Final Sch 140 Combined Charges'!O132</f>
        <v>0.05</v>
      </c>
      <c r="F118" s="153">
        <f>+'[1]Final Sch 140 Combined Charges'!P132</f>
        <v>0.04</v>
      </c>
      <c r="G118" s="153">
        <f t="shared" si="54"/>
        <v>0.09</v>
      </c>
      <c r="H118" s="154">
        <f>+'[1]Final Sch 140 Combined Charges'!L132</f>
        <v>9608</v>
      </c>
      <c r="I118" s="155">
        <f t="shared" si="55"/>
        <v>480</v>
      </c>
      <c r="J118" s="155">
        <f t="shared" si="56"/>
        <v>384</v>
      </c>
      <c r="K118" s="155">
        <f t="shared" si="57"/>
        <v>864</v>
      </c>
    </row>
    <row r="119" spans="1:11" x14ac:dyDescent="0.25">
      <c r="A119" s="143">
        <f t="shared" si="34"/>
        <v>111</v>
      </c>
      <c r="B119" s="150" t="str">
        <f t="shared" si="58"/>
        <v>54E</v>
      </c>
      <c r="C119" s="8" t="s">
        <v>187</v>
      </c>
      <c r="D119" s="157" t="s">
        <v>192</v>
      </c>
      <c r="E119" s="153">
        <f>+'[1]Final Sch 140 Combined Charges'!O133</f>
        <v>0.06</v>
      </c>
      <c r="F119" s="153">
        <f>+'[1]Final Sch 140 Combined Charges'!P133</f>
        <v>0.05</v>
      </c>
      <c r="G119" s="153">
        <f t="shared" si="54"/>
        <v>0.11</v>
      </c>
      <c r="H119" s="154">
        <f>+'[1]Final Sch 140 Combined Charges'!L133</f>
        <v>3792</v>
      </c>
      <c r="I119" s="155">
        <f t="shared" si="55"/>
        <v>228</v>
      </c>
      <c r="J119" s="155">
        <f t="shared" si="56"/>
        <v>190</v>
      </c>
      <c r="K119" s="155">
        <f t="shared" si="57"/>
        <v>418</v>
      </c>
    </row>
    <row r="120" spans="1:11" x14ac:dyDescent="0.25">
      <c r="A120" s="143">
        <f t="shared" si="34"/>
        <v>112</v>
      </c>
      <c r="B120" s="150" t="str">
        <f t="shared" si="58"/>
        <v>54E</v>
      </c>
      <c r="C120" s="8" t="s">
        <v>187</v>
      </c>
      <c r="D120" s="157" t="s">
        <v>193</v>
      </c>
      <c r="E120" s="153">
        <f>+'[1]Final Sch 140 Combined Charges'!O134</f>
        <v>7.0000000000000007E-2</v>
      </c>
      <c r="F120" s="153">
        <f>+'[1]Final Sch 140 Combined Charges'!P134</f>
        <v>0.06</v>
      </c>
      <c r="G120" s="153">
        <f t="shared" si="54"/>
        <v>0.13</v>
      </c>
      <c r="H120" s="154">
        <f>+'[1]Final Sch 140 Combined Charges'!L134</f>
        <v>223</v>
      </c>
      <c r="I120" s="155">
        <f t="shared" si="55"/>
        <v>16</v>
      </c>
      <c r="J120" s="155">
        <f t="shared" si="56"/>
        <v>13</v>
      </c>
      <c r="K120" s="155">
        <f t="shared" si="57"/>
        <v>29</v>
      </c>
    </row>
    <row r="121" spans="1:11" x14ac:dyDescent="0.25">
      <c r="A121" s="143">
        <f t="shared" si="34"/>
        <v>113</v>
      </c>
      <c r="B121" s="150" t="str">
        <f t="shared" si="58"/>
        <v>54E</v>
      </c>
      <c r="C121" s="8" t="s">
        <v>187</v>
      </c>
      <c r="D121" s="157" t="s">
        <v>194</v>
      </c>
      <c r="E121" s="153">
        <f>+'[1]Final Sch 140 Combined Charges'!O135</f>
        <v>7.0000000000000007E-2</v>
      </c>
      <c r="F121" s="153">
        <f>+'[1]Final Sch 140 Combined Charges'!P135</f>
        <v>7.0000000000000007E-2</v>
      </c>
      <c r="G121" s="153">
        <f t="shared" si="54"/>
        <v>0.14000000000000001</v>
      </c>
      <c r="H121" s="154">
        <f>+'[1]Final Sch 140 Combined Charges'!L135</f>
        <v>0</v>
      </c>
      <c r="I121" s="155">
        <f t="shared" si="55"/>
        <v>0</v>
      </c>
      <c r="J121" s="155">
        <f t="shared" si="56"/>
        <v>0</v>
      </c>
      <c r="K121" s="155">
        <f t="shared" si="57"/>
        <v>0</v>
      </c>
    </row>
    <row r="122" spans="1:11" x14ac:dyDescent="0.25">
      <c r="A122" s="143">
        <f t="shared" si="34"/>
        <v>114</v>
      </c>
      <c r="B122" s="150" t="str">
        <f t="shared" si="58"/>
        <v>54E</v>
      </c>
      <c r="C122" s="8" t="s">
        <v>187</v>
      </c>
      <c r="D122" s="157" t="s">
        <v>195</v>
      </c>
      <c r="E122" s="153">
        <f>+'[1]Final Sch 140 Combined Charges'!O136</f>
        <v>0.08</v>
      </c>
      <c r="F122" s="153">
        <f>+'[1]Final Sch 140 Combined Charges'!P136</f>
        <v>0.08</v>
      </c>
      <c r="G122" s="153">
        <f t="shared" si="54"/>
        <v>0.16</v>
      </c>
      <c r="H122" s="154">
        <f>+'[1]Final Sch 140 Combined Charges'!L136</f>
        <v>127</v>
      </c>
      <c r="I122" s="155">
        <f t="shared" si="55"/>
        <v>10</v>
      </c>
      <c r="J122" s="155">
        <f t="shared" si="56"/>
        <v>10</v>
      </c>
      <c r="K122" s="155">
        <f t="shared" si="57"/>
        <v>20</v>
      </c>
    </row>
    <row r="123" spans="1:11" x14ac:dyDescent="0.25">
      <c r="A123" s="143">
        <f t="shared" si="34"/>
        <v>115</v>
      </c>
      <c r="B123" s="150" t="str">
        <f t="shared" si="58"/>
        <v>54E</v>
      </c>
      <c r="C123" s="8" t="s">
        <v>187</v>
      </c>
      <c r="D123" s="157" t="s">
        <v>196</v>
      </c>
      <c r="E123" s="153">
        <f>+'[1]Final Sch 140 Combined Charges'!O137</f>
        <v>0.09</v>
      </c>
      <c r="F123" s="153">
        <f>+'[1]Final Sch 140 Combined Charges'!P137</f>
        <v>0.09</v>
      </c>
      <c r="G123" s="153">
        <f t="shared" si="54"/>
        <v>0.18</v>
      </c>
      <c r="H123" s="154">
        <f>+'[1]Final Sch 140 Combined Charges'!L137</f>
        <v>0</v>
      </c>
      <c r="I123" s="155">
        <f t="shared" si="55"/>
        <v>0</v>
      </c>
      <c r="J123" s="155">
        <f t="shared" si="56"/>
        <v>0</v>
      </c>
      <c r="K123" s="155">
        <f t="shared" si="57"/>
        <v>0</v>
      </c>
    </row>
    <row r="124" spans="1:11" x14ac:dyDescent="0.25">
      <c r="A124" s="143">
        <f t="shared" si="34"/>
        <v>116</v>
      </c>
      <c r="B124" s="161"/>
      <c r="C124" s="8"/>
      <c r="D124" s="8"/>
      <c r="E124" s="149"/>
      <c r="F124" s="149"/>
      <c r="G124" s="149"/>
      <c r="H124" s="154"/>
      <c r="I124" s="154"/>
      <c r="J124" s="154"/>
      <c r="K124" s="144"/>
    </row>
    <row r="125" spans="1:11" x14ac:dyDescent="0.25">
      <c r="A125" s="143">
        <f t="shared" si="34"/>
        <v>117</v>
      </c>
      <c r="B125" s="148" t="s">
        <v>205</v>
      </c>
      <c r="C125" s="8"/>
      <c r="D125" s="8"/>
      <c r="E125" s="149"/>
      <c r="F125" s="149"/>
      <c r="G125" s="149"/>
      <c r="H125" s="154"/>
      <c r="I125" s="154"/>
      <c r="J125" s="154"/>
      <c r="K125" s="144"/>
    </row>
    <row r="126" spans="1:11" x14ac:dyDescent="0.25">
      <c r="A126" s="143">
        <f t="shared" si="34"/>
        <v>118</v>
      </c>
      <c r="B126" s="150" t="s">
        <v>206</v>
      </c>
      <c r="C126" s="8" t="s">
        <v>85</v>
      </c>
      <c r="D126" s="8">
        <v>70</v>
      </c>
      <c r="E126" s="153">
        <f>+'[1]Final Sch 140 Combined Charges'!O140</f>
        <v>0.28999999999999998</v>
      </c>
      <c r="F126" s="153">
        <f>+'[1]Final Sch 140 Combined Charges'!P140</f>
        <v>0.27</v>
      </c>
      <c r="G126" s="153">
        <f t="shared" ref="G126:G131" si="59">SUM(E126:F126)</f>
        <v>0.56000000000000005</v>
      </c>
      <c r="H126" s="154">
        <f>+'[1]Final Sch 140 Combined Charges'!L140</f>
        <v>213</v>
      </c>
      <c r="I126" s="155">
        <f t="shared" ref="I126:I131" si="60">ROUND($H126*E126,0)</f>
        <v>62</v>
      </c>
      <c r="J126" s="155">
        <f t="shared" ref="J126:J131" si="61">ROUND($H126*F126,0)</f>
        <v>58</v>
      </c>
      <c r="K126" s="155">
        <f t="shared" ref="K126:K131" si="62">SUM(I126:J126)</f>
        <v>120</v>
      </c>
    </row>
    <row r="127" spans="1:11" x14ac:dyDescent="0.25">
      <c r="A127" s="143">
        <f t="shared" si="34"/>
        <v>119</v>
      </c>
      <c r="B127" s="161" t="str">
        <f>+B126</f>
        <v>55E &amp; 56E</v>
      </c>
      <c r="C127" s="8" t="s">
        <v>85</v>
      </c>
      <c r="D127" s="8">
        <v>100</v>
      </c>
      <c r="E127" s="153">
        <f>+'[1]Final Sch 140 Combined Charges'!O141</f>
        <v>0.31</v>
      </c>
      <c r="F127" s="153">
        <f>+'[1]Final Sch 140 Combined Charges'!P141</f>
        <v>0.28000000000000003</v>
      </c>
      <c r="G127" s="153">
        <f t="shared" si="59"/>
        <v>0.59000000000000008</v>
      </c>
      <c r="H127" s="154">
        <f>+'[1]Final Sch 140 Combined Charges'!L141</f>
        <v>46760</v>
      </c>
      <c r="I127" s="155">
        <f t="shared" si="60"/>
        <v>14496</v>
      </c>
      <c r="J127" s="155">
        <f t="shared" si="61"/>
        <v>13093</v>
      </c>
      <c r="K127" s="155">
        <f t="shared" si="62"/>
        <v>27589</v>
      </c>
    </row>
    <row r="128" spans="1:11" x14ac:dyDescent="0.25">
      <c r="A128" s="143">
        <f t="shared" si="34"/>
        <v>120</v>
      </c>
      <c r="B128" s="161" t="str">
        <f>+B127</f>
        <v>55E &amp; 56E</v>
      </c>
      <c r="C128" s="8" t="s">
        <v>85</v>
      </c>
      <c r="D128" s="8">
        <v>150</v>
      </c>
      <c r="E128" s="153">
        <f>+'[1]Final Sch 140 Combined Charges'!O142</f>
        <v>0.34</v>
      </c>
      <c r="F128" s="153">
        <f>+'[1]Final Sch 140 Combined Charges'!P142</f>
        <v>0.31</v>
      </c>
      <c r="G128" s="153">
        <f t="shared" si="59"/>
        <v>0.65</v>
      </c>
      <c r="H128" s="154">
        <f>+'[1]Final Sch 140 Combined Charges'!L142</f>
        <v>6244</v>
      </c>
      <c r="I128" s="155">
        <f t="shared" si="60"/>
        <v>2123</v>
      </c>
      <c r="J128" s="155">
        <f t="shared" si="61"/>
        <v>1936</v>
      </c>
      <c r="K128" s="155">
        <f t="shared" si="62"/>
        <v>4059</v>
      </c>
    </row>
    <row r="129" spans="1:11" x14ac:dyDescent="0.25">
      <c r="A129" s="143">
        <f t="shared" si="34"/>
        <v>121</v>
      </c>
      <c r="B129" s="161" t="str">
        <f>+B128</f>
        <v>55E &amp; 56E</v>
      </c>
      <c r="C129" s="8" t="s">
        <v>85</v>
      </c>
      <c r="D129" s="8">
        <v>200</v>
      </c>
      <c r="E129" s="153">
        <f>+'[1]Final Sch 140 Combined Charges'!O143</f>
        <v>0.38</v>
      </c>
      <c r="F129" s="153">
        <f>+'[1]Final Sch 140 Combined Charges'!P143</f>
        <v>0.34</v>
      </c>
      <c r="G129" s="153">
        <f t="shared" si="59"/>
        <v>0.72</v>
      </c>
      <c r="H129" s="154">
        <f>+'[1]Final Sch 140 Combined Charges'!L143</f>
        <v>13456</v>
      </c>
      <c r="I129" s="155">
        <f t="shared" si="60"/>
        <v>5113</v>
      </c>
      <c r="J129" s="155">
        <f t="shared" si="61"/>
        <v>4575</v>
      </c>
      <c r="K129" s="155">
        <f t="shared" si="62"/>
        <v>9688</v>
      </c>
    </row>
    <row r="130" spans="1:11" x14ac:dyDescent="0.25">
      <c r="A130" s="143">
        <f t="shared" si="34"/>
        <v>122</v>
      </c>
      <c r="B130" s="161" t="str">
        <f>+B129</f>
        <v>55E &amp; 56E</v>
      </c>
      <c r="C130" s="8" t="s">
        <v>85</v>
      </c>
      <c r="D130" s="8">
        <v>250</v>
      </c>
      <c r="E130" s="153">
        <f>+'[1]Final Sch 140 Combined Charges'!O144</f>
        <v>0.41</v>
      </c>
      <c r="F130" s="153">
        <f>+'[1]Final Sch 140 Combined Charges'!P144</f>
        <v>0.37</v>
      </c>
      <c r="G130" s="153">
        <f t="shared" si="59"/>
        <v>0.78</v>
      </c>
      <c r="H130" s="154">
        <f>+'[1]Final Sch 140 Combined Charges'!L144</f>
        <v>1417</v>
      </c>
      <c r="I130" s="155">
        <f t="shared" si="60"/>
        <v>581</v>
      </c>
      <c r="J130" s="155">
        <f t="shared" si="61"/>
        <v>524</v>
      </c>
      <c r="K130" s="155">
        <f t="shared" si="62"/>
        <v>1105</v>
      </c>
    </row>
    <row r="131" spans="1:11" x14ac:dyDescent="0.25">
      <c r="A131" s="143">
        <f t="shared" si="34"/>
        <v>123</v>
      </c>
      <c r="B131" s="161" t="str">
        <f>+B130</f>
        <v>55E &amp; 56E</v>
      </c>
      <c r="C131" s="8" t="s">
        <v>85</v>
      </c>
      <c r="D131" s="8">
        <v>400</v>
      </c>
      <c r="E131" s="153">
        <f>+'[1]Final Sch 140 Combined Charges'!O145</f>
        <v>0.5</v>
      </c>
      <c r="F131" s="153">
        <f>+'[1]Final Sch 140 Combined Charges'!P145</f>
        <v>0.46</v>
      </c>
      <c r="G131" s="153">
        <f t="shared" si="59"/>
        <v>0.96</v>
      </c>
      <c r="H131" s="154">
        <f>+'[1]Final Sch 140 Combined Charges'!L145</f>
        <v>588</v>
      </c>
      <c r="I131" s="155">
        <f t="shared" si="60"/>
        <v>294</v>
      </c>
      <c r="J131" s="155">
        <f t="shared" si="61"/>
        <v>270</v>
      </c>
      <c r="K131" s="155">
        <f t="shared" si="62"/>
        <v>564</v>
      </c>
    </row>
    <row r="132" spans="1:11" x14ac:dyDescent="0.25">
      <c r="A132" s="143">
        <f t="shared" si="34"/>
        <v>124</v>
      </c>
      <c r="B132" s="161"/>
      <c r="C132" s="8"/>
      <c r="D132" s="8"/>
      <c r="E132" s="149"/>
      <c r="F132" s="149"/>
      <c r="G132" s="149"/>
      <c r="H132" s="154"/>
      <c r="I132" s="154"/>
      <c r="J132" s="154"/>
      <c r="K132" s="144"/>
    </row>
    <row r="133" spans="1:11" x14ac:dyDescent="0.25">
      <c r="A133" s="143">
        <f t="shared" si="34"/>
        <v>125</v>
      </c>
      <c r="B133" s="161" t="str">
        <f>+B131</f>
        <v>55E &amp; 56E</v>
      </c>
      <c r="C133" s="8" t="s">
        <v>199</v>
      </c>
      <c r="D133" s="8">
        <v>250</v>
      </c>
      <c r="E133" s="153">
        <f>+'[1]Final Sch 140 Combined Charges'!O147</f>
        <v>0.45</v>
      </c>
      <c r="F133" s="153">
        <f>+'[1]Final Sch 140 Combined Charges'!P147</f>
        <v>0.4</v>
      </c>
      <c r="G133" s="153">
        <f>SUM(E133:F133)</f>
        <v>0.85000000000000009</v>
      </c>
      <c r="H133" s="154">
        <f>+'[1]Final Sch 140 Combined Charges'!L147</f>
        <v>72</v>
      </c>
      <c r="I133" s="155">
        <f>ROUND($H133*E133,0)</f>
        <v>32</v>
      </c>
      <c r="J133" s="155">
        <f>ROUND($H133*F133,0)</f>
        <v>29</v>
      </c>
      <c r="K133" s="155">
        <f t="shared" ref="K133" si="63">SUM(I133:J133)</f>
        <v>61</v>
      </c>
    </row>
    <row r="134" spans="1:11" x14ac:dyDescent="0.25">
      <c r="A134" s="143">
        <f t="shared" si="34"/>
        <v>126</v>
      </c>
      <c r="B134" s="161"/>
      <c r="C134" s="8"/>
      <c r="D134" s="8"/>
      <c r="E134" s="149"/>
      <c r="F134" s="149"/>
      <c r="G134" s="149"/>
      <c r="H134" s="154"/>
      <c r="I134" s="154"/>
      <c r="J134" s="154"/>
      <c r="K134" s="144"/>
    </row>
    <row r="135" spans="1:11" x14ac:dyDescent="0.25">
      <c r="A135" s="143">
        <f t="shared" si="34"/>
        <v>127</v>
      </c>
      <c r="B135" s="161" t="s">
        <v>206</v>
      </c>
      <c r="C135" s="8" t="s">
        <v>187</v>
      </c>
      <c r="D135" s="157" t="s">
        <v>188</v>
      </c>
      <c r="E135" s="153">
        <f>+'[1]Final Sch 140 Combined Charges'!O149</f>
        <v>0.4</v>
      </c>
      <c r="F135" s="153">
        <f>+'[1]Final Sch 140 Combined Charges'!P149</f>
        <v>0.37</v>
      </c>
      <c r="G135" s="153">
        <f t="shared" ref="G135:G143" si="64">SUM(E135:F135)</f>
        <v>0.77</v>
      </c>
      <c r="H135" s="154">
        <f>+'[1]Final Sch 140 Combined Charges'!L149</f>
        <v>4817</v>
      </c>
      <c r="I135" s="155">
        <f t="shared" ref="I135:I143" si="65">ROUND($H135*E135,0)</f>
        <v>1927</v>
      </c>
      <c r="J135" s="155">
        <f t="shared" ref="J135:J143" si="66">ROUND($H135*F135,0)</f>
        <v>1782</v>
      </c>
      <c r="K135" s="155">
        <f t="shared" ref="K135:K143" si="67">SUM(I135:J135)</f>
        <v>3709</v>
      </c>
    </row>
    <row r="136" spans="1:11" x14ac:dyDescent="0.25">
      <c r="A136" s="143">
        <f t="shared" si="34"/>
        <v>128</v>
      </c>
      <c r="B136" s="161" t="s">
        <v>206</v>
      </c>
      <c r="C136" s="8" t="s">
        <v>187</v>
      </c>
      <c r="D136" s="157" t="s">
        <v>189</v>
      </c>
      <c r="E136" s="153">
        <f>+'[1]Final Sch 140 Combined Charges'!O150</f>
        <v>0.42</v>
      </c>
      <c r="F136" s="153">
        <f>+'[1]Final Sch 140 Combined Charges'!P150</f>
        <v>0.38</v>
      </c>
      <c r="G136" s="153">
        <f t="shared" si="64"/>
        <v>0.8</v>
      </c>
      <c r="H136" s="154">
        <f>+'[1]Final Sch 140 Combined Charges'!L150</f>
        <v>0</v>
      </c>
      <c r="I136" s="155">
        <f t="shared" si="65"/>
        <v>0</v>
      </c>
      <c r="J136" s="155">
        <f t="shared" si="66"/>
        <v>0</v>
      </c>
      <c r="K136" s="155">
        <f t="shared" si="67"/>
        <v>0</v>
      </c>
    </row>
    <row r="137" spans="1:11" x14ac:dyDescent="0.25">
      <c r="A137" s="143">
        <f t="shared" si="34"/>
        <v>129</v>
      </c>
      <c r="B137" s="161" t="s">
        <v>206</v>
      </c>
      <c r="C137" s="8" t="s">
        <v>187</v>
      </c>
      <c r="D137" s="157" t="s">
        <v>190</v>
      </c>
      <c r="E137" s="153">
        <f>+'[1]Final Sch 140 Combined Charges'!O151</f>
        <v>0.43</v>
      </c>
      <c r="F137" s="153">
        <f>+'[1]Final Sch 140 Combined Charges'!P151</f>
        <v>0.4</v>
      </c>
      <c r="G137" s="153">
        <f t="shared" si="64"/>
        <v>0.83000000000000007</v>
      </c>
      <c r="H137" s="154">
        <f>+'[1]Final Sch 140 Combined Charges'!L151</f>
        <v>1266</v>
      </c>
      <c r="I137" s="155">
        <f t="shared" si="65"/>
        <v>544</v>
      </c>
      <c r="J137" s="155">
        <f t="shared" si="66"/>
        <v>506</v>
      </c>
      <c r="K137" s="155">
        <f t="shared" si="67"/>
        <v>1050</v>
      </c>
    </row>
    <row r="138" spans="1:11" x14ac:dyDescent="0.25">
      <c r="A138" s="143">
        <f t="shared" si="34"/>
        <v>130</v>
      </c>
      <c r="B138" s="161" t="s">
        <v>206</v>
      </c>
      <c r="C138" s="8" t="s">
        <v>187</v>
      </c>
      <c r="D138" s="157" t="s">
        <v>191</v>
      </c>
      <c r="E138" s="153">
        <f>+'[1]Final Sch 140 Combined Charges'!O152</f>
        <v>0.45</v>
      </c>
      <c r="F138" s="153">
        <f>+'[1]Final Sch 140 Combined Charges'!P152</f>
        <v>0.41</v>
      </c>
      <c r="G138" s="153">
        <f t="shared" si="64"/>
        <v>0.86</v>
      </c>
      <c r="H138" s="154">
        <f>+'[1]Final Sch 140 Combined Charges'!L152</f>
        <v>0</v>
      </c>
      <c r="I138" s="155">
        <f t="shared" si="65"/>
        <v>0</v>
      </c>
      <c r="J138" s="155">
        <f t="shared" si="66"/>
        <v>0</v>
      </c>
      <c r="K138" s="155">
        <f t="shared" si="67"/>
        <v>0</v>
      </c>
    </row>
    <row r="139" spans="1:11" x14ac:dyDescent="0.25">
      <c r="A139" s="143">
        <f t="shared" ref="A139:A195" si="68">A138+1</f>
        <v>131</v>
      </c>
      <c r="B139" s="161" t="s">
        <v>206</v>
      </c>
      <c r="C139" s="8" t="s">
        <v>187</v>
      </c>
      <c r="D139" s="157" t="s">
        <v>192</v>
      </c>
      <c r="E139" s="153">
        <f>+'[1]Final Sch 140 Combined Charges'!O153</f>
        <v>0.47</v>
      </c>
      <c r="F139" s="153">
        <f>+'[1]Final Sch 140 Combined Charges'!P153</f>
        <v>0.42</v>
      </c>
      <c r="G139" s="153">
        <f t="shared" si="64"/>
        <v>0.8899999999999999</v>
      </c>
      <c r="H139" s="154">
        <f>+'[1]Final Sch 140 Combined Charges'!L153</f>
        <v>0</v>
      </c>
      <c r="I139" s="155">
        <f t="shared" si="65"/>
        <v>0</v>
      </c>
      <c r="J139" s="155">
        <f t="shared" si="66"/>
        <v>0</v>
      </c>
      <c r="K139" s="155">
        <f t="shared" si="67"/>
        <v>0</v>
      </c>
    </row>
    <row r="140" spans="1:11" x14ac:dyDescent="0.25">
      <c r="A140" s="143">
        <f t="shared" si="68"/>
        <v>132</v>
      </c>
      <c r="B140" s="161" t="s">
        <v>206</v>
      </c>
      <c r="C140" s="8" t="s">
        <v>187</v>
      </c>
      <c r="D140" s="157" t="s">
        <v>193</v>
      </c>
      <c r="E140" s="153">
        <f>+'[1]Final Sch 140 Combined Charges'!O154</f>
        <v>0.49</v>
      </c>
      <c r="F140" s="153">
        <f>+'[1]Final Sch 140 Combined Charges'!P154</f>
        <v>0.44</v>
      </c>
      <c r="G140" s="153">
        <f t="shared" si="64"/>
        <v>0.92999999999999994</v>
      </c>
      <c r="H140" s="154">
        <f>+'[1]Final Sch 140 Combined Charges'!L154</f>
        <v>0</v>
      </c>
      <c r="I140" s="155">
        <f t="shared" si="65"/>
        <v>0</v>
      </c>
      <c r="J140" s="155">
        <f t="shared" si="66"/>
        <v>0</v>
      </c>
      <c r="K140" s="155">
        <f t="shared" si="67"/>
        <v>0</v>
      </c>
    </row>
    <row r="141" spans="1:11" x14ac:dyDescent="0.25">
      <c r="A141" s="143">
        <f t="shared" si="68"/>
        <v>133</v>
      </c>
      <c r="B141" s="161" t="s">
        <v>206</v>
      </c>
      <c r="C141" s="8" t="s">
        <v>187</v>
      </c>
      <c r="D141" s="157" t="s">
        <v>194</v>
      </c>
      <c r="E141" s="153">
        <f>+'[1]Final Sch 140 Combined Charges'!O155</f>
        <v>0.5</v>
      </c>
      <c r="F141" s="153">
        <f>+'[1]Final Sch 140 Combined Charges'!P155</f>
        <v>0.46</v>
      </c>
      <c r="G141" s="153">
        <f t="shared" si="64"/>
        <v>0.96</v>
      </c>
      <c r="H141" s="154">
        <f>+'[1]Final Sch 140 Combined Charges'!L155</f>
        <v>0</v>
      </c>
      <c r="I141" s="155">
        <f t="shared" si="65"/>
        <v>0</v>
      </c>
      <c r="J141" s="155">
        <f t="shared" si="66"/>
        <v>0</v>
      </c>
      <c r="K141" s="155">
        <f t="shared" si="67"/>
        <v>0</v>
      </c>
    </row>
    <row r="142" spans="1:11" x14ac:dyDescent="0.25">
      <c r="A142" s="143">
        <f t="shared" si="68"/>
        <v>134</v>
      </c>
      <c r="B142" s="161" t="s">
        <v>206</v>
      </c>
      <c r="C142" s="8" t="s">
        <v>187</v>
      </c>
      <c r="D142" s="157" t="s">
        <v>195</v>
      </c>
      <c r="E142" s="153">
        <f>+'[1]Final Sch 140 Combined Charges'!O156</f>
        <v>0.52</v>
      </c>
      <c r="F142" s="153">
        <f>+'[1]Final Sch 140 Combined Charges'!P156</f>
        <v>0.47</v>
      </c>
      <c r="G142" s="153">
        <f t="shared" si="64"/>
        <v>0.99</v>
      </c>
      <c r="H142" s="154">
        <f>+'[1]Final Sch 140 Combined Charges'!L156</f>
        <v>0</v>
      </c>
      <c r="I142" s="155">
        <f t="shared" si="65"/>
        <v>0</v>
      </c>
      <c r="J142" s="155">
        <f t="shared" si="66"/>
        <v>0</v>
      </c>
      <c r="K142" s="155">
        <f t="shared" si="67"/>
        <v>0</v>
      </c>
    </row>
    <row r="143" spans="1:11" x14ac:dyDescent="0.25">
      <c r="A143" s="143">
        <f t="shared" si="68"/>
        <v>135</v>
      </c>
      <c r="B143" s="161" t="s">
        <v>206</v>
      </c>
      <c r="C143" s="8" t="s">
        <v>187</v>
      </c>
      <c r="D143" s="157" t="s">
        <v>196</v>
      </c>
      <c r="E143" s="153">
        <f>+'[1]Final Sch 140 Combined Charges'!O157</f>
        <v>0.53</v>
      </c>
      <c r="F143" s="153">
        <f>+'[1]Final Sch 140 Combined Charges'!P157</f>
        <v>0.49</v>
      </c>
      <c r="G143" s="153">
        <f t="shared" si="64"/>
        <v>1.02</v>
      </c>
      <c r="H143" s="154">
        <f>+'[1]Final Sch 140 Combined Charges'!L157</f>
        <v>0</v>
      </c>
      <c r="I143" s="155">
        <f t="shared" si="65"/>
        <v>0</v>
      </c>
      <c r="J143" s="155">
        <f t="shared" si="66"/>
        <v>0</v>
      </c>
      <c r="K143" s="155">
        <f t="shared" si="67"/>
        <v>0</v>
      </c>
    </row>
    <row r="144" spans="1:11" x14ac:dyDescent="0.25">
      <c r="A144" s="143">
        <f t="shared" si="68"/>
        <v>136</v>
      </c>
      <c r="B144" s="161"/>
      <c r="C144" s="8"/>
      <c r="D144" s="8"/>
      <c r="E144" s="149"/>
      <c r="F144" s="149"/>
      <c r="G144" s="149"/>
      <c r="H144" s="154"/>
      <c r="I144" s="154"/>
      <c r="J144" s="154"/>
      <c r="K144" s="144"/>
    </row>
    <row r="145" spans="1:11" x14ac:dyDescent="0.25">
      <c r="A145" s="143">
        <f t="shared" si="68"/>
        <v>137</v>
      </c>
      <c r="B145" s="148" t="s">
        <v>207</v>
      </c>
      <c r="C145" s="8"/>
      <c r="D145" s="8"/>
      <c r="E145" s="149"/>
      <c r="F145" s="149"/>
      <c r="G145" s="149"/>
      <c r="H145" s="154"/>
      <c r="I145" s="154"/>
      <c r="J145" s="154"/>
      <c r="K145" s="144"/>
    </row>
    <row r="146" spans="1:11" x14ac:dyDescent="0.25">
      <c r="A146" s="143">
        <f t="shared" si="68"/>
        <v>138</v>
      </c>
      <c r="B146" s="150" t="s">
        <v>208</v>
      </c>
      <c r="C146" s="8" t="s">
        <v>85</v>
      </c>
      <c r="D146" s="162">
        <v>70</v>
      </c>
      <c r="E146" s="153">
        <f>+'[1]Final Sch 140 Combined Charges'!O160</f>
        <v>0.28999999999999998</v>
      </c>
      <c r="F146" s="153">
        <f>+'[1]Final Sch 140 Combined Charges'!P160</f>
        <v>0.27</v>
      </c>
      <c r="G146" s="153">
        <f t="shared" ref="G146:G151" si="69">SUM(E146:F146)</f>
        <v>0.56000000000000005</v>
      </c>
      <c r="H146" s="154">
        <f>+'[1]Final Sch 140 Combined Charges'!L160</f>
        <v>686</v>
      </c>
      <c r="I146" s="155">
        <f t="shared" ref="I146:I151" si="70">ROUND($H146*E146,0)</f>
        <v>199</v>
      </c>
      <c r="J146" s="155">
        <f t="shared" ref="J146:J151" si="71">ROUND($H146*F146,0)</f>
        <v>185</v>
      </c>
      <c r="K146" s="155">
        <f t="shared" ref="K146:K151" si="72">SUM(I146:J146)</f>
        <v>384</v>
      </c>
    </row>
    <row r="147" spans="1:11" x14ac:dyDescent="0.25">
      <c r="A147" s="143">
        <f t="shared" si="68"/>
        <v>139</v>
      </c>
      <c r="B147" s="161" t="str">
        <f t="shared" ref="B147:B151" si="73">+B146</f>
        <v>58E &amp; 59E - Directional</v>
      </c>
      <c r="C147" s="8" t="s">
        <v>85</v>
      </c>
      <c r="D147" s="162">
        <v>100</v>
      </c>
      <c r="E147" s="153">
        <f>+'[1]Final Sch 140 Combined Charges'!O161</f>
        <v>0.31</v>
      </c>
      <c r="F147" s="153">
        <f>+'[1]Final Sch 140 Combined Charges'!P161</f>
        <v>0.28000000000000003</v>
      </c>
      <c r="G147" s="153">
        <f t="shared" si="69"/>
        <v>0.59000000000000008</v>
      </c>
      <c r="H147" s="154">
        <f>+'[1]Final Sch 140 Combined Charges'!L161</f>
        <v>89</v>
      </c>
      <c r="I147" s="155">
        <f t="shared" si="70"/>
        <v>28</v>
      </c>
      <c r="J147" s="155">
        <f t="shared" si="71"/>
        <v>25</v>
      </c>
      <c r="K147" s="155">
        <f t="shared" si="72"/>
        <v>53</v>
      </c>
    </row>
    <row r="148" spans="1:11" x14ac:dyDescent="0.25">
      <c r="A148" s="143">
        <f t="shared" si="68"/>
        <v>140</v>
      </c>
      <c r="B148" s="161" t="str">
        <f t="shared" si="73"/>
        <v>58E &amp; 59E - Directional</v>
      </c>
      <c r="C148" s="8" t="s">
        <v>85</v>
      </c>
      <c r="D148" s="162">
        <v>150</v>
      </c>
      <c r="E148" s="153">
        <f>+'[1]Final Sch 140 Combined Charges'!O162</f>
        <v>0.34</v>
      </c>
      <c r="F148" s="153">
        <f>+'[1]Final Sch 140 Combined Charges'!P162</f>
        <v>0.31</v>
      </c>
      <c r="G148" s="153">
        <f t="shared" si="69"/>
        <v>0.65</v>
      </c>
      <c r="H148" s="154">
        <f>+'[1]Final Sch 140 Combined Charges'!L162</f>
        <v>1994</v>
      </c>
      <c r="I148" s="155">
        <f t="shared" si="70"/>
        <v>678</v>
      </c>
      <c r="J148" s="155">
        <f t="shared" si="71"/>
        <v>618</v>
      </c>
      <c r="K148" s="155">
        <f t="shared" si="72"/>
        <v>1296</v>
      </c>
    </row>
    <row r="149" spans="1:11" x14ac:dyDescent="0.25">
      <c r="A149" s="143">
        <f t="shared" si="68"/>
        <v>141</v>
      </c>
      <c r="B149" s="161" t="str">
        <f t="shared" si="73"/>
        <v>58E &amp; 59E - Directional</v>
      </c>
      <c r="C149" s="8" t="s">
        <v>85</v>
      </c>
      <c r="D149" s="8">
        <v>200</v>
      </c>
      <c r="E149" s="153">
        <f>+'[1]Final Sch 140 Combined Charges'!O163</f>
        <v>0.38</v>
      </c>
      <c r="F149" s="153">
        <f>+'[1]Final Sch 140 Combined Charges'!P163</f>
        <v>0.34</v>
      </c>
      <c r="G149" s="153">
        <f t="shared" si="69"/>
        <v>0.72</v>
      </c>
      <c r="H149" s="154">
        <f>+'[1]Final Sch 140 Combined Charges'!L163</f>
        <v>3425</v>
      </c>
      <c r="I149" s="155">
        <f t="shared" si="70"/>
        <v>1302</v>
      </c>
      <c r="J149" s="155">
        <f t="shared" si="71"/>
        <v>1165</v>
      </c>
      <c r="K149" s="155">
        <f t="shared" si="72"/>
        <v>2467</v>
      </c>
    </row>
    <row r="150" spans="1:11" x14ac:dyDescent="0.25">
      <c r="A150" s="143">
        <f t="shared" si="68"/>
        <v>142</v>
      </c>
      <c r="B150" s="161" t="str">
        <f t="shared" si="73"/>
        <v>58E &amp; 59E - Directional</v>
      </c>
      <c r="C150" s="8" t="s">
        <v>85</v>
      </c>
      <c r="D150" s="8">
        <v>250</v>
      </c>
      <c r="E150" s="153">
        <f>+'[1]Final Sch 140 Combined Charges'!O164</f>
        <v>0.41</v>
      </c>
      <c r="F150" s="153">
        <f>+'[1]Final Sch 140 Combined Charges'!P164</f>
        <v>0.37</v>
      </c>
      <c r="G150" s="153">
        <f t="shared" si="69"/>
        <v>0.78</v>
      </c>
      <c r="H150" s="154">
        <f>+'[1]Final Sch 140 Combined Charges'!L164</f>
        <v>469</v>
      </c>
      <c r="I150" s="155">
        <f t="shared" si="70"/>
        <v>192</v>
      </c>
      <c r="J150" s="155">
        <f t="shared" si="71"/>
        <v>174</v>
      </c>
      <c r="K150" s="155">
        <f t="shared" si="72"/>
        <v>366</v>
      </c>
    </row>
    <row r="151" spans="1:11" x14ac:dyDescent="0.25">
      <c r="A151" s="143">
        <f t="shared" si="68"/>
        <v>143</v>
      </c>
      <c r="B151" s="161" t="str">
        <f t="shared" si="73"/>
        <v>58E &amp; 59E - Directional</v>
      </c>
      <c r="C151" s="8" t="s">
        <v>85</v>
      </c>
      <c r="D151" s="8">
        <v>400</v>
      </c>
      <c r="E151" s="153">
        <f>+'[1]Final Sch 140 Combined Charges'!O165</f>
        <v>0.5</v>
      </c>
      <c r="F151" s="153">
        <f>+'[1]Final Sch 140 Combined Charges'!P165</f>
        <v>0.46</v>
      </c>
      <c r="G151" s="153">
        <f t="shared" si="69"/>
        <v>0.96</v>
      </c>
      <c r="H151" s="154">
        <f>+'[1]Final Sch 140 Combined Charges'!L165</f>
        <v>4548</v>
      </c>
      <c r="I151" s="155">
        <f t="shared" si="70"/>
        <v>2274</v>
      </c>
      <c r="J151" s="155">
        <f t="shared" si="71"/>
        <v>2092</v>
      </c>
      <c r="K151" s="155">
        <f t="shared" si="72"/>
        <v>4366</v>
      </c>
    </row>
    <row r="152" spans="1:11" x14ac:dyDescent="0.25">
      <c r="A152" s="143">
        <f t="shared" si="68"/>
        <v>144</v>
      </c>
      <c r="B152" s="161"/>
      <c r="C152" s="8"/>
      <c r="D152" s="8"/>
      <c r="E152" s="149"/>
      <c r="F152" s="149"/>
      <c r="G152" s="149"/>
      <c r="H152" s="154"/>
      <c r="I152" s="154"/>
      <c r="J152" s="154"/>
      <c r="K152" s="144"/>
    </row>
    <row r="153" spans="1:11" x14ac:dyDescent="0.25">
      <c r="A153" s="143">
        <f t="shared" si="68"/>
        <v>145</v>
      </c>
      <c r="B153" s="150" t="s">
        <v>209</v>
      </c>
      <c r="C153" s="8" t="s">
        <v>85</v>
      </c>
      <c r="D153" s="8">
        <v>100</v>
      </c>
      <c r="E153" s="153">
        <f>+'[1]Final Sch 140 Combined Charges'!O167</f>
        <v>0.31</v>
      </c>
      <c r="F153" s="153">
        <f>+'[1]Final Sch 140 Combined Charges'!P167</f>
        <v>0.28000000000000003</v>
      </c>
      <c r="G153" s="153">
        <f t="shared" ref="G153:G157" si="74">SUM(E153:F153)</f>
        <v>0.59000000000000008</v>
      </c>
      <c r="H153" s="154">
        <f>+'[1]Final Sch 140 Combined Charges'!L167</f>
        <v>13</v>
      </c>
      <c r="I153" s="155">
        <f t="shared" ref="I153:I157" si="75">ROUND($H153*E153,0)</f>
        <v>4</v>
      </c>
      <c r="J153" s="155">
        <f t="shared" ref="J153:J157" si="76">ROUND($H153*F153,0)</f>
        <v>4</v>
      </c>
      <c r="K153" s="155">
        <f t="shared" ref="K153:K157" si="77">SUM(I153:J153)</f>
        <v>8</v>
      </c>
    </row>
    <row r="154" spans="1:11" x14ac:dyDescent="0.25">
      <c r="A154" s="143">
        <f t="shared" si="68"/>
        <v>146</v>
      </c>
      <c r="B154" s="161" t="str">
        <f>B153</f>
        <v>58E &amp; 59E - Horizontal</v>
      </c>
      <c r="C154" s="8" t="s">
        <v>85</v>
      </c>
      <c r="D154" s="8">
        <v>150</v>
      </c>
      <c r="E154" s="153">
        <f>+'[1]Final Sch 140 Combined Charges'!O168</f>
        <v>0.34</v>
      </c>
      <c r="F154" s="153">
        <f>+'[1]Final Sch 140 Combined Charges'!P168</f>
        <v>0.31</v>
      </c>
      <c r="G154" s="153">
        <f t="shared" si="74"/>
        <v>0.65</v>
      </c>
      <c r="H154" s="154">
        <f>+'[1]Final Sch 140 Combined Charges'!L168</f>
        <v>240</v>
      </c>
      <c r="I154" s="155">
        <f t="shared" si="75"/>
        <v>82</v>
      </c>
      <c r="J154" s="155">
        <f t="shared" si="76"/>
        <v>74</v>
      </c>
      <c r="K154" s="155">
        <f t="shared" si="77"/>
        <v>156</v>
      </c>
    </row>
    <row r="155" spans="1:11" x14ac:dyDescent="0.25">
      <c r="A155" s="143">
        <f t="shared" si="68"/>
        <v>147</v>
      </c>
      <c r="B155" s="161" t="str">
        <f t="shared" ref="B155:B157" si="78">B154</f>
        <v>58E &amp; 59E - Horizontal</v>
      </c>
      <c r="C155" s="8" t="s">
        <v>85</v>
      </c>
      <c r="D155" s="8">
        <v>200</v>
      </c>
      <c r="E155" s="153">
        <f>+'[1]Final Sch 140 Combined Charges'!O169</f>
        <v>0.38</v>
      </c>
      <c r="F155" s="153">
        <f>+'[1]Final Sch 140 Combined Charges'!P169</f>
        <v>0.34</v>
      </c>
      <c r="G155" s="153">
        <f t="shared" si="74"/>
        <v>0.72</v>
      </c>
      <c r="H155" s="154">
        <f>+'[1]Final Sch 140 Combined Charges'!L169</f>
        <v>156</v>
      </c>
      <c r="I155" s="155">
        <f t="shared" si="75"/>
        <v>59</v>
      </c>
      <c r="J155" s="155">
        <f t="shared" si="76"/>
        <v>53</v>
      </c>
      <c r="K155" s="155">
        <f t="shared" si="77"/>
        <v>112</v>
      </c>
    </row>
    <row r="156" spans="1:11" x14ac:dyDescent="0.25">
      <c r="A156" s="143">
        <f t="shared" si="68"/>
        <v>148</v>
      </c>
      <c r="B156" s="161" t="str">
        <f t="shared" si="78"/>
        <v>58E &amp; 59E - Horizontal</v>
      </c>
      <c r="C156" s="8" t="s">
        <v>85</v>
      </c>
      <c r="D156" s="8">
        <v>250</v>
      </c>
      <c r="E156" s="153">
        <f>+'[1]Final Sch 140 Combined Charges'!O170</f>
        <v>0.41</v>
      </c>
      <c r="F156" s="153">
        <f>+'[1]Final Sch 140 Combined Charges'!P170</f>
        <v>0.37</v>
      </c>
      <c r="G156" s="153">
        <f t="shared" si="74"/>
        <v>0.78</v>
      </c>
      <c r="H156" s="154">
        <f>+'[1]Final Sch 140 Combined Charges'!L170</f>
        <v>420</v>
      </c>
      <c r="I156" s="155">
        <f t="shared" si="75"/>
        <v>172</v>
      </c>
      <c r="J156" s="155">
        <f t="shared" si="76"/>
        <v>155</v>
      </c>
      <c r="K156" s="155">
        <f t="shared" si="77"/>
        <v>327</v>
      </c>
    </row>
    <row r="157" spans="1:11" x14ac:dyDescent="0.25">
      <c r="A157" s="143">
        <f t="shared" si="68"/>
        <v>149</v>
      </c>
      <c r="B157" s="161" t="str">
        <f t="shared" si="78"/>
        <v>58E &amp; 59E - Horizontal</v>
      </c>
      <c r="C157" s="8" t="s">
        <v>85</v>
      </c>
      <c r="D157" s="8">
        <v>400</v>
      </c>
      <c r="E157" s="153">
        <f>+'[1]Final Sch 140 Combined Charges'!O171</f>
        <v>0.5</v>
      </c>
      <c r="F157" s="153">
        <f>+'[1]Final Sch 140 Combined Charges'!P171</f>
        <v>0.46</v>
      </c>
      <c r="G157" s="153">
        <f t="shared" si="74"/>
        <v>0.96</v>
      </c>
      <c r="H157" s="154">
        <f>+'[1]Final Sch 140 Combined Charges'!L171</f>
        <v>574</v>
      </c>
      <c r="I157" s="155">
        <f t="shared" si="75"/>
        <v>287</v>
      </c>
      <c r="J157" s="155">
        <f t="shared" si="76"/>
        <v>264</v>
      </c>
      <c r="K157" s="155">
        <f t="shared" si="77"/>
        <v>551</v>
      </c>
    </row>
    <row r="158" spans="1:11" x14ac:dyDescent="0.25">
      <c r="A158" s="143">
        <f t="shared" si="68"/>
        <v>150</v>
      </c>
      <c r="B158" s="161"/>
      <c r="C158" s="8"/>
      <c r="D158" s="8"/>
      <c r="E158" s="149"/>
      <c r="F158" s="149"/>
      <c r="G158" s="149"/>
      <c r="H158" s="154"/>
      <c r="I158" s="154"/>
      <c r="J158" s="154"/>
      <c r="K158" s="144"/>
    </row>
    <row r="159" spans="1:11" x14ac:dyDescent="0.25">
      <c r="A159" s="143">
        <f t="shared" si="68"/>
        <v>151</v>
      </c>
      <c r="B159" s="161" t="str">
        <f>B147</f>
        <v>58E &amp; 59E - Directional</v>
      </c>
      <c r="C159" s="8" t="s">
        <v>199</v>
      </c>
      <c r="D159" s="8">
        <v>175</v>
      </c>
      <c r="E159" s="153">
        <f>+'[1]Final Sch 140 Combined Charges'!O173</f>
        <v>0.39</v>
      </c>
      <c r="F159" s="153">
        <f>+'[1]Final Sch 140 Combined Charges'!P173</f>
        <v>0.35</v>
      </c>
      <c r="G159" s="153">
        <f t="shared" ref="G159:G162" si="79">SUM(E159:F159)</f>
        <v>0.74</v>
      </c>
      <c r="H159" s="154">
        <f>+'[1]Final Sch 140 Combined Charges'!L173</f>
        <v>36</v>
      </c>
      <c r="I159" s="155">
        <f t="shared" ref="I159:I162" si="80">ROUND($H159*E159,0)</f>
        <v>14</v>
      </c>
      <c r="J159" s="155">
        <f t="shared" ref="J159:J162" si="81">ROUND($H159*F159,0)</f>
        <v>13</v>
      </c>
      <c r="K159" s="155">
        <f t="shared" ref="K159:K162" si="82">SUM(I159:J159)</f>
        <v>27</v>
      </c>
    </row>
    <row r="160" spans="1:11" x14ac:dyDescent="0.25">
      <c r="A160" s="143">
        <f t="shared" si="68"/>
        <v>152</v>
      </c>
      <c r="B160" s="161" t="str">
        <f>B159</f>
        <v>58E &amp; 59E - Directional</v>
      </c>
      <c r="C160" s="8" t="s">
        <v>199</v>
      </c>
      <c r="D160" s="8">
        <v>250</v>
      </c>
      <c r="E160" s="153">
        <f>+'[1]Final Sch 140 Combined Charges'!O174</f>
        <v>0.45</v>
      </c>
      <c r="F160" s="153">
        <f>+'[1]Final Sch 140 Combined Charges'!P174</f>
        <v>0.4</v>
      </c>
      <c r="G160" s="153">
        <f t="shared" si="79"/>
        <v>0.85000000000000009</v>
      </c>
      <c r="H160" s="154">
        <f>+'[1]Final Sch 140 Combined Charges'!L174</f>
        <v>271</v>
      </c>
      <c r="I160" s="155">
        <f t="shared" si="80"/>
        <v>122</v>
      </c>
      <c r="J160" s="155">
        <f t="shared" si="81"/>
        <v>108</v>
      </c>
      <c r="K160" s="155">
        <f t="shared" si="82"/>
        <v>230</v>
      </c>
    </row>
    <row r="161" spans="1:11" x14ac:dyDescent="0.25">
      <c r="A161" s="143">
        <f t="shared" si="68"/>
        <v>153</v>
      </c>
      <c r="B161" s="161" t="str">
        <f t="shared" ref="B161:B162" si="83">B160</f>
        <v>58E &amp; 59E - Directional</v>
      </c>
      <c r="C161" s="8" t="s">
        <v>199</v>
      </c>
      <c r="D161" s="8">
        <v>400</v>
      </c>
      <c r="E161" s="153">
        <f>+'[1]Final Sch 140 Combined Charges'!O175</f>
        <v>0.56000000000000005</v>
      </c>
      <c r="F161" s="153">
        <f>+'[1]Final Sch 140 Combined Charges'!P175</f>
        <v>0.5</v>
      </c>
      <c r="G161" s="153">
        <f t="shared" si="79"/>
        <v>1.06</v>
      </c>
      <c r="H161" s="154">
        <f>+'[1]Final Sch 140 Combined Charges'!L175</f>
        <v>1052</v>
      </c>
      <c r="I161" s="155">
        <f t="shared" si="80"/>
        <v>589</v>
      </c>
      <c r="J161" s="155">
        <f t="shared" si="81"/>
        <v>526</v>
      </c>
      <c r="K161" s="155">
        <f t="shared" si="82"/>
        <v>1115</v>
      </c>
    </row>
    <row r="162" spans="1:11" x14ac:dyDescent="0.25">
      <c r="A162" s="143">
        <f t="shared" si="68"/>
        <v>154</v>
      </c>
      <c r="B162" s="161" t="str">
        <f t="shared" si="83"/>
        <v>58E &amp; 59E - Directional</v>
      </c>
      <c r="C162" s="8" t="s">
        <v>199</v>
      </c>
      <c r="D162" s="8">
        <v>1000</v>
      </c>
      <c r="E162" s="153">
        <f>+'[1]Final Sch 140 Combined Charges'!O176</f>
        <v>1</v>
      </c>
      <c r="F162" s="153">
        <f>+'[1]Final Sch 140 Combined Charges'!P176</f>
        <v>0.91</v>
      </c>
      <c r="G162" s="153">
        <f t="shared" si="79"/>
        <v>1.9100000000000001</v>
      </c>
      <c r="H162" s="154">
        <f>+'[1]Final Sch 140 Combined Charges'!L176</f>
        <v>1612</v>
      </c>
      <c r="I162" s="155">
        <f t="shared" si="80"/>
        <v>1612</v>
      </c>
      <c r="J162" s="155">
        <f t="shared" si="81"/>
        <v>1467</v>
      </c>
      <c r="K162" s="155">
        <f t="shared" si="82"/>
        <v>3079</v>
      </c>
    </row>
    <row r="163" spans="1:11" x14ac:dyDescent="0.25">
      <c r="A163" s="143">
        <f t="shared" si="68"/>
        <v>155</v>
      </c>
      <c r="B163" s="161"/>
      <c r="C163" s="8"/>
      <c r="D163" s="8"/>
      <c r="E163" s="149"/>
      <c r="F163" s="149"/>
      <c r="G163" s="149"/>
      <c r="H163" s="154"/>
      <c r="I163" s="154"/>
      <c r="J163" s="154"/>
      <c r="K163" s="144"/>
    </row>
    <row r="164" spans="1:11" x14ac:dyDescent="0.25">
      <c r="A164" s="143">
        <f t="shared" si="68"/>
        <v>156</v>
      </c>
      <c r="B164" s="161" t="str">
        <f>B153</f>
        <v>58E &amp; 59E - Horizontal</v>
      </c>
      <c r="C164" s="8" t="s">
        <v>199</v>
      </c>
      <c r="D164" s="8">
        <v>250</v>
      </c>
      <c r="E164" s="153">
        <f>+'[1]Final Sch 140 Combined Charges'!O178</f>
        <v>0.45</v>
      </c>
      <c r="F164" s="153">
        <f>+'[1]Final Sch 140 Combined Charges'!P178</f>
        <v>0.4</v>
      </c>
      <c r="G164" s="153">
        <f t="shared" ref="G164:G165" si="84">SUM(E164:F164)</f>
        <v>0.85000000000000009</v>
      </c>
      <c r="H164" s="154">
        <f>+'[1]Final Sch 140 Combined Charges'!L178</f>
        <v>132</v>
      </c>
      <c r="I164" s="155">
        <f t="shared" ref="I164:I165" si="85">ROUND($H164*E164,0)</f>
        <v>59</v>
      </c>
      <c r="J164" s="155">
        <f t="shared" ref="J164:J165" si="86">ROUND($H164*F164,0)</f>
        <v>53</v>
      </c>
      <c r="K164" s="155">
        <f t="shared" ref="K164:K165" si="87">SUM(I164:J164)</f>
        <v>112</v>
      </c>
    </row>
    <row r="165" spans="1:11" x14ac:dyDescent="0.25">
      <c r="A165" s="143">
        <f t="shared" si="68"/>
        <v>157</v>
      </c>
      <c r="B165" s="161" t="str">
        <f>B164</f>
        <v>58E &amp; 59E - Horizontal</v>
      </c>
      <c r="C165" s="8" t="s">
        <v>199</v>
      </c>
      <c r="D165" s="8">
        <v>400</v>
      </c>
      <c r="E165" s="153">
        <f>+'[1]Final Sch 140 Combined Charges'!O179</f>
        <v>0.56000000000000005</v>
      </c>
      <c r="F165" s="153">
        <f>+'[1]Final Sch 140 Combined Charges'!P179</f>
        <v>0.5</v>
      </c>
      <c r="G165" s="153">
        <f t="shared" si="84"/>
        <v>1.06</v>
      </c>
      <c r="H165" s="154">
        <f>+'[1]Final Sch 140 Combined Charges'!L179</f>
        <v>486</v>
      </c>
      <c r="I165" s="155">
        <f t="shared" si="85"/>
        <v>272</v>
      </c>
      <c r="J165" s="155">
        <f t="shared" si="86"/>
        <v>243</v>
      </c>
      <c r="K165" s="155">
        <f t="shared" si="87"/>
        <v>515</v>
      </c>
    </row>
    <row r="166" spans="1:11" x14ac:dyDescent="0.25">
      <c r="A166" s="143">
        <f t="shared" si="68"/>
        <v>158</v>
      </c>
      <c r="B166" s="161"/>
      <c r="C166" s="8"/>
      <c r="D166" s="8"/>
      <c r="E166" s="149"/>
      <c r="F166" s="149"/>
      <c r="G166" s="149"/>
      <c r="H166" s="154"/>
      <c r="I166" s="154"/>
      <c r="J166" s="154"/>
      <c r="K166" s="144"/>
    </row>
    <row r="167" spans="1:11" x14ac:dyDescent="0.25">
      <c r="A167" s="143">
        <f t="shared" si="68"/>
        <v>159</v>
      </c>
      <c r="B167" s="161"/>
      <c r="C167" s="8"/>
      <c r="D167" s="8"/>
      <c r="E167" s="149"/>
      <c r="F167" s="149"/>
      <c r="G167" s="149"/>
      <c r="H167" s="154"/>
      <c r="I167" s="154"/>
      <c r="J167" s="154"/>
      <c r="K167" s="144"/>
    </row>
    <row r="168" spans="1:11" x14ac:dyDescent="0.25">
      <c r="A168" s="143">
        <f t="shared" si="68"/>
        <v>160</v>
      </c>
      <c r="B168" s="161" t="s">
        <v>210</v>
      </c>
      <c r="C168" s="8" t="s">
        <v>187</v>
      </c>
      <c r="D168" s="157" t="s">
        <v>188</v>
      </c>
      <c r="E168" s="153">
        <f>+'[1]Final Sch 140 Combined Charges'!O182</f>
        <v>0.4</v>
      </c>
      <c r="F168" s="153">
        <f>+'[1]Final Sch 140 Combined Charges'!P182</f>
        <v>0.37</v>
      </c>
      <c r="G168" s="153">
        <f t="shared" ref="G168:G182" si="88">SUM(E168:F168)</f>
        <v>0.77</v>
      </c>
      <c r="H168" s="154">
        <f>+'[1]Final Sch 140 Combined Charges'!L182</f>
        <v>20</v>
      </c>
      <c r="I168" s="155">
        <f t="shared" ref="I168:I182" si="89">ROUND($H168*E168,0)</f>
        <v>8</v>
      </c>
      <c r="J168" s="155">
        <f t="shared" ref="J168:J182" si="90">ROUND($H168*F168,0)</f>
        <v>7</v>
      </c>
      <c r="K168" s="155">
        <f t="shared" ref="K168:K182" si="91">SUM(I168:J168)</f>
        <v>15</v>
      </c>
    </row>
    <row r="169" spans="1:11" x14ac:dyDescent="0.25">
      <c r="A169" s="143">
        <f t="shared" si="68"/>
        <v>161</v>
      </c>
      <c r="B169" s="161" t="str">
        <f>B168</f>
        <v>58E &amp; 59E</v>
      </c>
      <c r="C169" s="8" t="s">
        <v>187</v>
      </c>
      <c r="D169" s="157" t="s">
        <v>189</v>
      </c>
      <c r="E169" s="153">
        <f>+'[1]Final Sch 140 Combined Charges'!O183</f>
        <v>0.42</v>
      </c>
      <c r="F169" s="153">
        <f>+'[1]Final Sch 140 Combined Charges'!P183</f>
        <v>0.38</v>
      </c>
      <c r="G169" s="153">
        <f t="shared" si="88"/>
        <v>0.8</v>
      </c>
      <c r="H169" s="154">
        <f>+'[1]Final Sch 140 Combined Charges'!L183</f>
        <v>198</v>
      </c>
      <c r="I169" s="155">
        <f t="shared" si="89"/>
        <v>83</v>
      </c>
      <c r="J169" s="155">
        <f t="shared" si="90"/>
        <v>75</v>
      </c>
      <c r="K169" s="155">
        <f t="shared" si="91"/>
        <v>158</v>
      </c>
    </row>
    <row r="170" spans="1:11" x14ac:dyDescent="0.25">
      <c r="A170" s="143">
        <f t="shared" si="68"/>
        <v>162</v>
      </c>
      <c r="B170" s="161" t="str">
        <f t="shared" ref="B170:B182" si="92">B169</f>
        <v>58E &amp; 59E</v>
      </c>
      <c r="C170" s="8" t="s">
        <v>187</v>
      </c>
      <c r="D170" s="157" t="s">
        <v>190</v>
      </c>
      <c r="E170" s="153">
        <f>+'[1]Final Sch 140 Combined Charges'!O184</f>
        <v>0.43</v>
      </c>
      <c r="F170" s="153">
        <f>+'[1]Final Sch 140 Combined Charges'!P184</f>
        <v>0.4</v>
      </c>
      <c r="G170" s="153">
        <f t="shared" si="88"/>
        <v>0.83000000000000007</v>
      </c>
      <c r="H170" s="154">
        <f>+'[1]Final Sch 140 Combined Charges'!L184</f>
        <v>252</v>
      </c>
      <c r="I170" s="155">
        <f t="shared" si="89"/>
        <v>108</v>
      </c>
      <c r="J170" s="155">
        <f t="shared" si="90"/>
        <v>101</v>
      </c>
      <c r="K170" s="155">
        <f t="shared" si="91"/>
        <v>209</v>
      </c>
    </row>
    <row r="171" spans="1:11" x14ac:dyDescent="0.25">
      <c r="A171" s="143">
        <f t="shared" si="68"/>
        <v>163</v>
      </c>
      <c r="B171" s="161" t="str">
        <f t="shared" si="92"/>
        <v>58E &amp; 59E</v>
      </c>
      <c r="C171" s="8" t="s">
        <v>187</v>
      </c>
      <c r="D171" s="157" t="s">
        <v>191</v>
      </c>
      <c r="E171" s="153">
        <f>+'[1]Final Sch 140 Combined Charges'!O185</f>
        <v>0.45</v>
      </c>
      <c r="F171" s="153">
        <f>+'[1]Final Sch 140 Combined Charges'!P185</f>
        <v>0.41</v>
      </c>
      <c r="G171" s="153">
        <f t="shared" si="88"/>
        <v>0.86</v>
      </c>
      <c r="H171" s="154">
        <f>+'[1]Final Sch 140 Combined Charges'!L185</f>
        <v>716</v>
      </c>
      <c r="I171" s="155">
        <f t="shared" si="89"/>
        <v>322</v>
      </c>
      <c r="J171" s="155">
        <f t="shared" si="90"/>
        <v>294</v>
      </c>
      <c r="K171" s="155">
        <f t="shared" si="91"/>
        <v>616</v>
      </c>
    </row>
    <row r="172" spans="1:11" x14ac:dyDescent="0.25">
      <c r="A172" s="143">
        <f t="shared" si="68"/>
        <v>164</v>
      </c>
      <c r="B172" s="161" t="str">
        <f t="shared" si="92"/>
        <v>58E &amp; 59E</v>
      </c>
      <c r="C172" s="8" t="s">
        <v>187</v>
      </c>
      <c r="D172" s="157" t="s">
        <v>192</v>
      </c>
      <c r="E172" s="153">
        <f>+'[1]Final Sch 140 Combined Charges'!O186</f>
        <v>0.47</v>
      </c>
      <c r="F172" s="153">
        <f>+'[1]Final Sch 140 Combined Charges'!P186</f>
        <v>0.42</v>
      </c>
      <c r="G172" s="153">
        <f t="shared" si="88"/>
        <v>0.8899999999999999</v>
      </c>
      <c r="H172" s="154">
        <f>+'[1]Final Sch 140 Combined Charges'!L186</f>
        <v>59</v>
      </c>
      <c r="I172" s="155">
        <f t="shared" si="89"/>
        <v>28</v>
      </c>
      <c r="J172" s="155">
        <f t="shared" si="90"/>
        <v>25</v>
      </c>
      <c r="K172" s="155">
        <f t="shared" si="91"/>
        <v>53</v>
      </c>
    </row>
    <row r="173" spans="1:11" x14ac:dyDescent="0.25">
      <c r="A173" s="143">
        <f t="shared" si="68"/>
        <v>165</v>
      </c>
      <c r="B173" s="161" t="str">
        <f t="shared" si="92"/>
        <v>58E &amp; 59E</v>
      </c>
      <c r="C173" s="8" t="s">
        <v>187</v>
      </c>
      <c r="D173" s="157" t="s">
        <v>193</v>
      </c>
      <c r="E173" s="153">
        <f>+'[1]Final Sch 140 Combined Charges'!O187</f>
        <v>0.49</v>
      </c>
      <c r="F173" s="153">
        <f>+'[1]Final Sch 140 Combined Charges'!P187</f>
        <v>0.44</v>
      </c>
      <c r="G173" s="153">
        <f t="shared" si="88"/>
        <v>0.92999999999999994</v>
      </c>
      <c r="H173" s="154">
        <f>+'[1]Final Sch 140 Combined Charges'!L187</f>
        <v>0</v>
      </c>
      <c r="I173" s="155">
        <f t="shared" si="89"/>
        <v>0</v>
      </c>
      <c r="J173" s="155">
        <f t="shared" si="90"/>
        <v>0</v>
      </c>
      <c r="K173" s="155">
        <f t="shared" si="91"/>
        <v>0</v>
      </c>
    </row>
    <row r="174" spans="1:11" x14ac:dyDescent="0.25">
      <c r="A174" s="143">
        <f t="shared" si="68"/>
        <v>166</v>
      </c>
      <c r="B174" s="161" t="str">
        <f t="shared" si="92"/>
        <v>58E &amp; 59E</v>
      </c>
      <c r="C174" s="8" t="s">
        <v>187</v>
      </c>
      <c r="D174" s="157" t="s">
        <v>194</v>
      </c>
      <c r="E174" s="153">
        <f>+'[1]Final Sch 140 Combined Charges'!O188</f>
        <v>0.5</v>
      </c>
      <c r="F174" s="153">
        <f>+'[1]Final Sch 140 Combined Charges'!P188</f>
        <v>0.46</v>
      </c>
      <c r="G174" s="153">
        <f t="shared" si="88"/>
        <v>0.96</v>
      </c>
      <c r="H174" s="154">
        <f>+'[1]Final Sch 140 Combined Charges'!L188</f>
        <v>35</v>
      </c>
      <c r="I174" s="155">
        <f t="shared" si="89"/>
        <v>18</v>
      </c>
      <c r="J174" s="155">
        <f t="shared" si="90"/>
        <v>16</v>
      </c>
      <c r="K174" s="155">
        <f t="shared" si="91"/>
        <v>34</v>
      </c>
    </row>
    <row r="175" spans="1:11" x14ac:dyDescent="0.25">
      <c r="A175" s="143">
        <f t="shared" si="68"/>
        <v>167</v>
      </c>
      <c r="B175" s="161" t="str">
        <f t="shared" si="92"/>
        <v>58E &amp; 59E</v>
      </c>
      <c r="C175" s="8" t="s">
        <v>187</v>
      </c>
      <c r="D175" s="157" t="s">
        <v>195</v>
      </c>
      <c r="E175" s="153">
        <f>+'[1]Final Sch 140 Combined Charges'!O189</f>
        <v>0.52</v>
      </c>
      <c r="F175" s="153">
        <f>+'[1]Final Sch 140 Combined Charges'!P189</f>
        <v>0.47</v>
      </c>
      <c r="G175" s="153">
        <f t="shared" si="88"/>
        <v>0.99</v>
      </c>
      <c r="H175" s="154">
        <f>+'[1]Final Sch 140 Combined Charges'!L189</f>
        <v>107</v>
      </c>
      <c r="I175" s="155">
        <f t="shared" si="89"/>
        <v>56</v>
      </c>
      <c r="J175" s="155">
        <f t="shared" si="90"/>
        <v>50</v>
      </c>
      <c r="K175" s="155">
        <f t="shared" si="91"/>
        <v>106</v>
      </c>
    </row>
    <row r="176" spans="1:11" x14ac:dyDescent="0.25">
      <c r="A176" s="143">
        <f t="shared" si="68"/>
        <v>168</v>
      </c>
      <c r="B176" s="161" t="str">
        <f t="shared" si="92"/>
        <v>58E &amp; 59E</v>
      </c>
      <c r="C176" s="8" t="s">
        <v>187</v>
      </c>
      <c r="D176" s="157" t="s">
        <v>196</v>
      </c>
      <c r="E176" s="153">
        <f>+'[1]Final Sch 140 Combined Charges'!O190</f>
        <v>0.53</v>
      </c>
      <c r="F176" s="153">
        <f>+'[1]Final Sch 140 Combined Charges'!P190</f>
        <v>0.49</v>
      </c>
      <c r="G176" s="153">
        <f t="shared" si="88"/>
        <v>1.02</v>
      </c>
      <c r="H176" s="154">
        <f>+'[1]Final Sch 140 Combined Charges'!L190</f>
        <v>0</v>
      </c>
      <c r="I176" s="155">
        <f t="shared" si="89"/>
        <v>0</v>
      </c>
      <c r="J176" s="155">
        <f t="shared" si="90"/>
        <v>0</v>
      </c>
      <c r="K176" s="155">
        <f t="shared" si="91"/>
        <v>0</v>
      </c>
    </row>
    <row r="177" spans="1:11" x14ac:dyDescent="0.25">
      <c r="A177" s="143">
        <f t="shared" si="68"/>
        <v>169</v>
      </c>
      <c r="B177" s="161" t="str">
        <f t="shared" si="92"/>
        <v>58E &amp; 59E</v>
      </c>
      <c r="C177" s="8" t="s">
        <v>187</v>
      </c>
      <c r="D177" s="157" t="s">
        <v>211</v>
      </c>
      <c r="E177" s="153">
        <f>+'[1]Final Sch 140 Combined Charges'!O191</f>
        <v>0.56999999999999995</v>
      </c>
      <c r="F177" s="153">
        <f>+'[1]Final Sch 140 Combined Charges'!P191</f>
        <v>0.52</v>
      </c>
      <c r="G177" s="153">
        <f t="shared" si="88"/>
        <v>1.0899999999999999</v>
      </c>
      <c r="H177" s="154">
        <f>+'[1]Final Sch 140 Combined Charges'!L191</f>
        <v>0</v>
      </c>
      <c r="I177" s="155">
        <f t="shared" si="89"/>
        <v>0</v>
      </c>
      <c r="J177" s="155">
        <f t="shared" si="90"/>
        <v>0</v>
      </c>
      <c r="K177" s="155">
        <f t="shared" si="91"/>
        <v>0</v>
      </c>
    </row>
    <row r="178" spans="1:11" x14ac:dyDescent="0.25">
      <c r="A178" s="143">
        <f t="shared" si="68"/>
        <v>170</v>
      </c>
      <c r="B178" s="161" t="str">
        <f t="shared" si="92"/>
        <v>58E &amp; 59E</v>
      </c>
      <c r="C178" s="8" t="s">
        <v>187</v>
      </c>
      <c r="D178" s="157" t="s">
        <v>212</v>
      </c>
      <c r="E178" s="153">
        <f>+'[1]Final Sch 140 Combined Charges'!O192</f>
        <v>0.63</v>
      </c>
      <c r="F178" s="153">
        <f>+'[1]Final Sch 140 Combined Charges'!P192</f>
        <v>0.56999999999999995</v>
      </c>
      <c r="G178" s="153">
        <f t="shared" si="88"/>
        <v>1.2</v>
      </c>
      <c r="H178" s="154">
        <f>+'[1]Final Sch 140 Combined Charges'!L192</f>
        <v>0</v>
      </c>
      <c r="I178" s="155">
        <f t="shared" si="89"/>
        <v>0</v>
      </c>
      <c r="J178" s="155">
        <f t="shared" si="90"/>
        <v>0</v>
      </c>
      <c r="K178" s="155">
        <f t="shared" si="91"/>
        <v>0</v>
      </c>
    </row>
    <row r="179" spans="1:11" x14ac:dyDescent="0.25">
      <c r="A179" s="143">
        <f t="shared" si="68"/>
        <v>171</v>
      </c>
      <c r="B179" s="161" t="str">
        <f t="shared" si="92"/>
        <v>58E &amp; 59E</v>
      </c>
      <c r="C179" s="8" t="s">
        <v>187</v>
      </c>
      <c r="D179" s="157" t="s">
        <v>213</v>
      </c>
      <c r="E179" s="153">
        <f>+'[1]Final Sch 140 Combined Charges'!O193</f>
        <v>0.68</v>
      </c>
      <c r="F179" s="153">
        <f>+'[1]Final Sch 140 Combined Charges'!P193</f>
        <v>0.62</v>
      </c>
      <c r="G179" s="153">
        <f t="shared" si="88"/>
        <v>1.3</v>
      </c>
      <c r="H179" s="154">
        <f>+'[1]Final Sch 140 Combined Charges'!L193</f>
        <v>0</v>
      </c>
      <c r="I179" s="155">
        <f t="shared" si="89"/>
        <v>0</v>
      </c>
      <c r="J179" s="155">
        <f t="shared" si="90"/>
        <v>0</v>
      </c>
      <c r="K179" s="155">
        <f t="shared" si="91"/>
        <v>0</v>
      </c>
    </row>
    <row r="180" spans="1:11" x14ac:dyDescent="0.25">
      <c r="A180" s="143">
        <f t="shared" si="68"/>
        <v>172</v>
      </c>
      <c r="B180" s="161" t="str">
        <f t="shared" si="92"/>
        <v>58E &amp; 59E</v>
      </c>
      <c r="C180" s="8" t="s">
        <v>187</v>
      </c>
      <c r="D180" s="157" t="s">
        <v>214</v>
      </c>
      <c r="E180" s="153">
        <f>+'[1]Final Sch 140 Combined Charges'!O194</f>
        <v>0.74</v>
      </c>
      <c r="F180" s="153">
        <f>+'[1]Final Sch 140 Combined Charges'!P194</f>
        <v>0.67</v>
      </c>
      <c r="G180" s="153">
        <f t="shared" si="88"/>
        <v>1.4100000000000001</v>
      </c>
      <c r="H180" s="154">
        <f>+'[1]Final Sch 140 Combined Charges'!L194</f>
        <v>0</v>
      </c>
      <c r="I180" s="155">
        <f t="shared" si="89"/>
        <v>0</v>
      </c>
      <c r="J180" s="155">
        <f t="shared" si="90"/>
        <v>0</v>
      </c>
      <c r="K180" s="155">
        <f t="shared" si="91"/>
        <v>0</v>
      </c>
    </row>
    <row r="181" spans="1:11" x14ac:dyDescent="0.25">
      <c r="A181" s="143">
        <f t="shared" si="68"/>
        <v>173</v>
      </c>
      <c r="B181" s="161" t="str">
        <f t="shared" si="92"/>
        <v>58E &amp; 59E</v>
      </c>
      <c r="C181" s="8" t="s">
        <v>187</v>
      </c>
      <c r="D181" s="157" t="s">
        <v>215</v>
      </c>
      <c r="E181" s="153">
        <f>+'[1]Final Sch 140 Combined Charges'!O195</f>
        <v>0.8</v>
      </c>
      <c r="F181" s="153">
        <f>+'[1]Final Sch 140 Combined Charges'!P195</f>
        <v>0.72</v>
      </c>
      <c r="G181" s="153">
        <f t="shared" si="88"/>
        <v>1.52</v>
      </c>
      <c r="H181" s="154">
        <f>+'[1]Final Sch 140 Combined Charges'!L195</f>
        <v>0</v>
      </c>
      <c r="I181" s="155">
        <f t="shared" si="89"/>
        <v>0</v>
      </c>
      <c r="J181" s="155">
        <f t="shared" si="90"/>
        <v>0</v>
      </c>
      <c r="K181" s="155">
        <f t="shared" si="91"/>
        <v>0</v>
      </c>
    </row>
    <row r="182" spans="1:11" x14ac:dyDescent="0.25">
      <c r="A182" s="143">
        <f t="shared" si="68"/>
        <v>174</v>
      </c>
      <c r="B182" s="161" t="str">
        <f t="shared" si="92"/>
        <v>58E &amp; 59E</v>
      </c>
      <c r="C182" s="8" t="s">
        <v>187</v>
      </c>
      <c r="D182" s="157" t="s">
        <v>216</v>
      </c>
      <c r="E182" s="153">
        <f>+'[1]Final Sch 140 Combined Charges'!O196</f>
        <v>0.85</v>
      </c>
      <c r="F182" s="153">
        <f>+'[1]Final Sch 140 Combined Charges'!P196</f>
        <v>0.77</v>
      </c>
      <c r="G182" s="153">
        <f t="shared" si="88"/>
        <v>1.62</v>
      </c>
      <c r="H182" s="154">
        <f>+'[1]Final Sch 140 Combined Charges'!L196</f>
        <v>0</v>
      </c>
      <c r="I182" s="155">
        <f t="shared" si="89"/>
        <v>0</v>
      </c>
      <c r="J182" s="155">
        <f t="shared" si="90"/>
        <v>0</v>
      </c>
      <c r="K182" s="155">
        <f t="shared" si="91"/>
        <v>0</v>
      </c>
    </row>
    <row r="183" spans="1:11" x14ac:dyDescent="0.25">
      <c r="A183" s="143">
        <f t="shared" si="68"/>
        <v>175</v>
      </c>
      <c r="B183" s="161"/>
      <c r="C183" s="8"/>
      <c r="D183" s="8"/>
      <c r="E183" s="149"/>
      <c r="F183" s="149"/>
      <c r="G183" s="149"/>
      <c r="H183" s="154"/>
      <c r="I183" s="154"/>
      <c r="J183" s="154"/>
      <c r="K183" s="144"/>
    </row>
    <row r="184" spans="1:11" x14ac:dyDescent="0.25">
      <c r="A184" s="143">
        <f t="shared" si="68"/>
        <v>176</v>
      </c>
      <c r="B184" s="148" t="s">
        <v>217</v>
      </c>
      <c r="C184" s="8"/>
      <c r="D184" s="8"/>
      <c r="E184" s="149"/>
      <c r="F184" s="149"/>
      <c r="G184" s="149"/>
      <c r="H184" s="154"/>
      <c r="I184" s="154"/>
      <c r="J184" s="154"/>
      <c r="K184" s="144"/>
    </row>
    <row r="185" spans="1:11" x14ac:dyDescent="0.25">
      <c r="A185" s="143">
        <f t="shared" si="68"/>
        <v>177</v>
      </c>
      <c r="B185" s="161" t="s">
        <v>218</v>
      </c>
      <c r="C185" s="8" t="s">
        <v>219</v>
      </c>
      <c r="D185" s="8"/>
      <c r="E185" s="228">
        <f>+'[1]Final Sch 140 Combined Charges'!O199</f>
        <v>5.6999999999999998E-4</v>
      </c>
      <c r="F185" s="228">
        <f>+'[1]Final Sch 140 Combined Charges'!P199</f>
        <v>5.1999999999999995E-4</v>
      </c>
      <c r="G185" s="168">
        <f>SUM(E185:F185)</f>
        <v>1.0899999999999998E-3</v>
      </c>
      <c r="H185" s="154">
        <f>+'[1]Final Sch 140 Combined Charges'!L199</f>
        <v>13087678</v>
      </c>
      <c r="I185" s="155">
        <f>ROUND($H185*E185,0)</f>
        <v>7460</v>
      </c>
      <c r="J185" s="155">
        <f>ROUND($H185*F185,0)</f>
        <v>6806</v>
      </c>
      <c r="K185" s="155">
        <f t="shared" ref="K185" si="93">SUM(I185:J185)</f>
        <v>14266</v>
      </c>
    </row>
    <row r="186" spans="1:11" x14ac:dyDescent="0.25">
      <c r="A186" s="143">
        <f t="shared" si="68"/>
        <v>178</v>
      </c>
      <c r="B186" s="148"/>
      <c r="C186" s="148"/>
      <c r="D186" s="148"/>
      <c r="E186" s="149"/>
      <c r="F186" s="149"/>
      <c r="G186" s="149"/>
      <c r="H186" s="154"/>
      <c r="I186" s="154"/>
      <c r="J186" s="154"/>
      <c r="K186" s="144"/>
    </row>
    <row r="187" spans="1:11" x14ac:dyDescent="0.25">
      <c r="A187" s="143">
        <f t="shared" si="68"/>
        <v>179</v>
      </c>
      <c r="B187" s="148" t="s">
        <v>220</v>
      </c>
      <c r="C187" s="8"/>
      <c r="D187" s="8"/>
      <c r="E187" s="149"/>
      <c r="F187" s="149"/>
      <c r="G187" s="149"/>
      <c r="H187" s="154"/>
      <c r="I187" s="154"/>
      <c r="J187" s="154"/>
      <c r="K187" s="144"/>
    </row>
    <row r="188" spans="1:11" x14ac:dyDescent="0.25">
      <c r="A188" s="143">
        <f t="shared" si="68"/>
        <v>180</v>
      </c>
      <c r="B188" s="150" t="s">
        <v>221</v>
      </c>
      <c r="C188" s="8" t="s">
        <v>222</v>
      </c>
      <c r="D188" s="8">
        <v>0</v>
      </c>
      <c r="E188" s="153">
        <f>+'[1]Final Sch 140 Combined Charges'!O202</f>
        <v>0.34</v>
      </c>
      <c r="F188" s="153">
        <f>+'[1]Final Sch 140 Combined Charges'!P202</f>
        <v>0.31</v>
      </c>
      <c r="G188" s="153">
        <f t="shared" ref="G188:G189" si="94">SUM(E188:F188)</f>
        <v>0.65</v>
      </c>
      <c r="H188" s="154">
        <f>+'[1]Final Sch 140 Combined Charges'!L202</f>
        <v>7749</v>
      </c>
      <c r="I188" s="155">
        <f t="shared" ref="I188:I189" si="95">ROUND($H188*E188,0)</f>
        <v>2635</v>
      </c>
      <c r="J188" s="155">
        <f t="shared" ref="J188:J189" si="96">ROUND($H188*F188,0)</f>
        <v>2402</v>
      </c>
      <c r="K188" s="155">
        <f t="shared" ref="K188:K189" si="97">SUM(I188:J188)</f>
        <v>5037</v>
      </c>
    </row>
    <row r="189" spans="1:11" x14ac:dyDescent="0.25">
      <c r="A189" s="143">
        <f t="shared" si="68"/>
        <v>181</v>
      </c>
      <c r="B189" s="150" t="s">
        <v>223</v>
      </c>
      <c r="C189" s="8" t="s">
        <v>222</v>
      </c>
      <c r="D189" s="8">
        <v>0</v>
      </c>
      <c r="E189" s="153">
        <f>+'[1]Final Sch 140 Combined Charges'!O203</f>
        <v>0.68</v>
      </c>
      <c r="F189" s="153">
        <f>+'[1]Final Sch 140 Combined Charges'!P203</f>
        <v>0.61</v>
      </c>
      <c r="G189" s="153">
        <f t="shared" si="94"/>
        <v>1.29</v>
      </c>
      <c r="H189" s="154">
        <f>+'[1]Final Sch 140 Combined Charges'!L203</f>
        <v>4048</v>
      </c>
      <c r="I189" s="155">
        <f t="shared" si="95"/>
        <v>2753</v>
      </c>
      <c r="J189" s="155">
        <f t="shared" si="96"/>
        <v>2469</v>
      </c>
      <c r="K189" s="155">
        <f t="shared" si="97"/>
        <v>5222</v>
      </c>
    </row>
    <row r="190" spans="1:11" x14ac:dyDescent="0.25">
      <c r="A190" s="143">
        <f t="shared" si="68"/>
        <v>182</v>
      </c>
      <c r="B190" s="150"/>
      <c r="C190" s="148"/>
      <c r="D190" s="148"/>
      <c r="E190" s="149"/>
      <c r="F190" s="149"/>
      <c r="G190" s="149"/>
      <c r="H190" s="154"/>
      <c r="I190" s="154"/>
      <c r="J190" s="154"/>
      <c r="K190" s="144"/>
    </row>
    <row r="191" spans="1:11" x14ac:dyDescent="0.25">
      <c r="A191" s="143">
        <f t="shared" si="68"/>
        <v>183</v>
      </c>
      <c r="B191" s="150" t="s">
        <v>224</v>
      </c>
      <c r="C191" s="8" t="s">
        <v>222</v>
      </c>
      <c r="D191" s="8">
        <v>0</v>
      </c>
      <c r="E191" s="153">
        <f>+'[1]Final Sch 140 Combined Charges'!O205</f>
        <v>0.68</v>
      </c>
      <c r="F191" s="153">
        <f>+'[1]Final Sch 140 Combined Charges'!P205</f>
        <v>0.61</v>
      </c>
      <c r="G191" s="153">
        <f>SUM(E191:F191)</f>
        <v>1.29</v>
      </c>
      <c r="H191" s="154">
        <f>+'[1]Final Sch 140 Combined Charges'!L205</f>
        <v>1905</v>
      </c>
      <c r="I191" s="155">
        <f>ROUND($H191*E191,0)</f>
        <v>1295</v>
      </c>
      <c r="J191" s="155">
        <f>ROUND($H191*F191,0)</f>
        <v>1162</v>
      </c>
      <c r="K191" s="155">
        <f t="shared" ref="K191" si="98">SUM(I191:J191)</f>
        <v>2457</v>
      </c>
    </row>
    <row r="192" spans="1:11" x14ac:dyDescent="0.25">
      <c r="A192" s="143">
        <f t="shared" si="68"/>
        <v>184</v>
      </c>
      <c r="B192" s="148"/>
      <c r="C192" s="148"/>
      <c r="D192" s="148"/>
      <c r="E192" s="148"/>
      <c r="F192" s="148"/>
      <c r="G192" s="144"/>
      <c r="H192" s="144"/>
      <c r="I192" s="144"/>
      <c r="J192" s="144"/>
      <c r="K192" s="144"/>
    </row>
    <row r="193" spans="1:11" x14ac:dyDescent="0.25">
      <c r="A193" s="143">
        <f t="shared" si="68"/>
        <v>185</v>
      </c>
      <c r="B193" s="163" t="s">
        <v>225</v>
      </c>
      <c r="C193" s="148"/>
      <c r="D193" s="148"/>
      <c r="E193" s="148"/>
      <c r="F193" s="148"/>
      <c r="G193" s="144"/>
      <c r="H193" s="164">
        <f>SUM(H10:H191)</f>
        <v>14509358</v>
      </c>
      <c r="I193" s="155">
        <f t="shared" ref="I193:J193" si="99">SUM(I10:I191)</f>
        <v>342474</v>
      </c>
      <c r="J193" s="155">
        <f t="shared" si="99"/>
        <v>311442</v>
      </c>
      <c r="K193" s="155">
        <f>SUM(K10:K191)</f>
        <v>653916</v>
      </c>
    </row>
    <row r="194" spans="1:11" x14ac:dyDescent="0.25">
      <c r="A194" s="143">
        <f t="shared" si="68"/>
        <v>186</v>
      </c>
      <c r="B194" s="165" t="s">
        <v>226</v>
      </c>
      <c r="C194" s="148"/>
      <c r="D194" s="148"/>
      <c r="E194" s="148"/>
      <c r="F194" s="148"/>
      <c r="G194" s="144"/>
      <c r="H194" s="164">
        <f>+'[1]Final Sch 140 Combined Charges'!$L$208</f>
        <v>14509358</v>
      </c>
      <c r="I194" s="164">
        <f>+'+FINAL 2019 Prop Tax Rate Des'!G27</f>
        <v>342548.48342741164</v>
      </c>
      <c r="J194" s="164">
        <f>+'+FINAL 2019 Prop Tax Rate Des'!H27</f>
        <v>311327.88957973634</v>
      </c>
      <c r="K194" s="155">
        <f>+'+FINAL 2019 Prop Tax Rate Des'!I27</f>
        <v>653876.37300714804</v>
      </c>
    </row>
    <row r="195" spans="1:11" x14ac:dyDescent="0.25">
      <c r="A195" s="143">
        <f t="shared" si="68"/>
        <v>187</v>
      </c>
      <c r="B195" s="148" t="s">
        <v>88</v>
      </c>
      <c r="C195" s="148"/>
      <c r="D195" s="148"/>
      <c r="E195" s="148"/>
      <c r="F195" s="148"/>
      <c r="G195" s="144"/>
      <c r="H195" s="164">
        <f>+H193-H194</f>
        <v>0</v>
      </c>
      <c r="I195" s="155">
        <f t="shared" ref="I195:J195" si="100">+I193-I194</f>
        <v>-74.483427411643788</v>
      </c>
      <c r="J195" s="155">
        <f t="shared" si="100"/>
        <v>114.1104202636634</v>
      </c>
      <c r="K195" s="155">
        <f>+K193-K194</f>
        <v>39.626992851961404</v>
      </c>
    </row>
    <row r="196" spans="1:11" x14ac:dyDescent="0.25">
      <c r="A196" s="143"/>
      <c r="B196" s="148"/>
      <c r="C196" s="148"/>
      <c r="D196" s="148"/>
      <c r="E196" s="148"/>
      <c r="F196" s="148"/>
      <c r="G196" s="144"/>
      <c r="H196" s="144"/>
      <c r="I196" s="144"/>
      <c r="J196" s="144"/>
      <c r="K196" s="144"/>
    </row>
    <row r="197" spans="1:11" x14ac:dyDescent="0.25">
      <c r="A197" s="143"/>
      <c r="B197" s="163"/>
      <c r="C197" s="148"/>
      <c r="D197" s="148"/>
      <c r="E197" s="148"/>
      <c r="F197" s="148"/>
      <c r="G197" s="144"/>
      <c r="H197" s="144"/>
      <c r="I197" s="144"/>
      <c r="J197" s="144"/>
      <c r="K197" s="155"/>
    </row>
    <row r="198" spans="1:11" x14ac:dyDescent="0.25">
      <c r="A198" s="143"/>
      <c r="B198" s="163"/>
      <c r="C198" s="148"/>
      <c r="D198" s="148"/>
      <c r="E198" s="148"/>
      <c r="F198" s="148"/>
      <c r="G198" s="144"/>
      <c r="H198" s="144"/>
      <c r="I198" s="144"/>
      <c r="J198" s="144"/>
      <c r="K198" s="144"/>
    </row>
    <row r="199" spans="1:11" x14ac:dyDescent="0.25">
      <c r="A199" s="143"/>
      <c r="B199" s="148"/>
      <c r="C199" s="148"/>
      <c r="D199" s="148"/>
      <c r="E199" s="148"/>
      <c r="F199" s="148"/>
      <c r="G199" s="144"/>
      <c r="H199" s="144"/>
      <c r="I199" s="144"/>
      <c r="J199" s="144"/>
      <c r="K199" s="144"/>
    </row>
    <row r="200" spans="1:11" x14ac:dyDescent="0.25">
      <c r="A200" s="143"/>
      <c r="B200" s="151"/>
      <c r="C200" s="148"/>
      <c r="D200" s="148"/>
      <c r="E200" s="148"/>
      <c r="F200" s="148"/>
      <c r="G200" s="144"/>
      <c r="H200" s="166"/>
      <c r="I200" s="166"/>
      <c r="J200" s="166"/>
      <c r="K200" s="155"/>
    </row>
    <row r="201" spans="1:11" x14ac:dyDescent="0.25">
      <c r="A201" s="143"/>
      <c r="B201" s="148"/>
      <c r="C201" s="148"/>
      <c r="D201" s="148"/>
      <c r="E201" s="148"/>
      <c r="F201" s="148"/>
      <c r="G201" s="144"/>
      <c r="H201" s="166"/>
      <c r="I201" s="166"/>
      <c r="J201" s="166"/>
      <c r="K201" s="155"/>
    </row>
  </sheetData>
  <mergeCells count="5">
    <mergeCell ref="A1:K1"/>
    <mergeCell ref="A2:K2"/>
    <mergeCell ref="A3:K3"/>
    <mergeCell ref="A4:K4"/>
    <mergeCell ref="B5:G5"/>
  </mergeCells>
  <printOptions horizontalCentered="1"/>
  <pageMargins left="0.7" right="0.7" top="0.75" bottom="0.75" header="0.3" footer="0.3"/>
  <pageSetup scale="84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1"/>
  <sheetViews>
    <sheetView workbookViewId="0">
      <pane xSplit="4" ySplit="6" topLeftCell="I7" activePane="bottomRight" state="frozen"/>
      <selection activeCell="E8" sqref="E8"/>
      <selection pane="topRight" activeCell="E8" sqref="E8"/>
      <selection pane="bottomLeft" activeCell="E8" sqref="E8"/>
      <selection pane="bottomRight" activeCell="T7" sqref="T7"/>
    </sheetView>
  </sheetViews>
  <sheetFormatPr defaultColWidth="8.85546875" defaultRowHeight="12.75" x14ac:dyDescent="0.2"/>
  <cols>
    <col min="1" max="1" width="4.28515625" style="65" customWidth="1"/>
    <col min="2" max="2" width="24.28515625" style="65" customWidth="1"/>
    <col min="3" max="3" width="14.5703125" style="65" customWidth="1"/>
    <col min="4" max="4" width="11" style="65" customWidth="1"/>
    <col min="5" max="5" width="8.85546875" style="65"/>
    <col min="6" max="6" width="8.5703125" style="65" customWidth="1"/>
    <col min="7" max="8" width="11.5703125" style="65" customWidth="1"/>
    <col min="9" max="9" width="9.140625" style="65" customWidth="1"/>
    <col min="10" max="10" width="7.5703125" style="65" bestFit="1" customWidth="1"/>
    <col min="11" max="12" width="7.85546875" style="65" customWidth="1"/>
    <col min="13" max="13" width="8.5703125" style="65" bestFit="1" customWidth="1"/>
    <col min="14" max="14" width="8.5703125" style="65" customWidth="1"/>
    <col min="15" max="15" width="10.42578125" style="65" customWidth="1"/>
    <col min="16" max="16" width="8.5703125" style="65" customWidth="1"/>
    <col min="17" max="17" width="8.28515625" style="65" customWidth="1"/>
    <col min="18" max="18" width="10.7109375" style="65" customWidth="1"/>
    <col min="19" max="19" width="10.42578125" style="65" customWidth="1"/>
    <col min="20" max="20" width="9.42578125" style="65" customWidth="1"/>
    <col min="21" max="16384" width="8.85546875" style="65"/>
  </cols>
  <sheetData>
    <row r="1" spans="1:20" ht="15" x14ac:dyDescent="0.25">
      <c r="A1"/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15" x14ac:dyDescent="0.25">
      <c r="A2"/>
      <c r="B2" s="83" t="s">
        <v>72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ht="15" x14ac:dyDescent="0.25">
      <c r="A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ht="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15" x14ac:dyDescent="0.25">
      <c r="A5"/>
      <c r="B5"/>
      <c r="C5"/>
      <c r="D5" s="262" t="s">
        <v>71</v>
      </c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/>
      <c r="Q5"/>
      <c r="R5"/>
      <c r="S5"/>
      <c r="T5"/>
    </row>
    <row r="6" spans="1:20" ht="60" x14ac:dyDescent="0.25">
      <c r="A6" s="59" t="s">
        <v>1</v>
      </c>
      <c r="B6" s="59" t="s">
        <v>37</v>
      </c>
      <c r="C6" s="59" t="s">
        <v>70</v>
      </c>
      <c r="D6" s="84" t="s">
        <v>127</v>
      </c>
      <c r="E6" s="84" t="s">
        <v>128</v>
      </c>
      <c r="F6" s="84" t="s">
        <v>129</v>
      </c>
      <c r="G6" s="84" t="s">
        <v>130</v>
      </c>
      <c r="H6" s="84" t="s">
        <v>131</v>
      </c>
      <c r="I6" s="84" t="s">
        <v>132</v>
      </c>
      <c r="J6" s="84" t="s">
        <v>133</v>
      </c>
      <c r="K6" s="84" t="s">
        <v>134</v>
      </c>
      <c r="L6" s="84" t="s">
        <v>368</v>
      </c>
      <c r="M6" s="84" t="s">
        <v>135</v>
      </c>
      <c r="N6" s="84" t="s">
        <v>136</v>
      </c>
      <c r="O6" s="85" t="s">
        <v>137</v>
      </c>
      <c r="P6" s="85" t="s">
        <v>150</v>
      </c>
      <c r="Q6" s="85" t="s">
        <v>151</v>
      </c>
      <c r="R6" s="84" t="s">
        <v>69</v>
      </c>
      <c r="S6" s="84" t="s">
        <v>138</v>
      </c>
      <c r="T6" s="59" t="s">
        <v>68</v>
      </c>
    </row>
    <row r="7" spans="1:20" ht="15" x14ac:dyDescent="0.25">
      <c r="A7" s="81">
        <v>1</v>
      </c>
      <c r="B7" t="s">
        <v>67</v>
      </c>
      <c r="C7" s="66">
        <f>ROUND(+E67,0)</f>
        <v>1223</v>
      </c>
      <c r="D7" s="86">
        <f t="shared" ref="D7:D18" si="0">ROUND($G$31+IF($C7&gt;600,(600*$G$35+(($C7-600)*$G$42)),$C7*$G$35),2)</f>
        <v>126.11</v>
      </c>
      <c r="E7" s="86">
        <f t="shared" ref="E7:E18" si="1">ROUND($C7*$G$53,2)</f>
        <v>0</v>
      </c>
      <c r="F7" s="86">
        <f t="shared" ref="F7:F18" si="2">ROUND($C7*$G$54,2)</f>
        <v>-2.34</v>
      </c>
      <c r="G7" s="86">
        <f t="shared" ref="G7:G18" si="3">ROUND($C7*$G$55,2)</f>
        <v>5.94</v>
      </c>
      <c r="H7" s="86">
        <f t="shared" ref="H7:H18" si="4">ROUND($C7*$G$36,2)</f>
        <v>1.0900000000000001</v>
      </c>
      <c r="I7" s="86">
        <f t="shared" ref="I7:I18" si="5">ROUND($C7*$G$56,2)</f>
        <v>0</v>
      </c>
      <c r="J7" s="86">
        <f t="shared" ref="J7:J18" si="6">ROUND($C7*$G$57,2)</f>
        <v>-0.09</v>
      </c>
      <c r="K7" s="86">
        <f t="shared" ref="K7:K18" si="7">ROUND($C7*$G$37,2)</f>
        <v>4.25</v>
      </c>
      <c r="L7" s="86">
        <f>ROUND($G$32+IF($C7&gt;600,(600*$G$38+(($C7-600)*$G$45)),$C7*$G$38),2)</f>
        <v>0</v>
      </c>
      <c r="M7" s="86">
        <f t="shared" ref="M7:M18" si="8">ROUND($C7*$G$39,2)</f>
        <v>-1.51</v>
      </c>
      <c r="N7" s="86">
        <f t="shared" ref="N7:N18" si="9">ROUND($C7*$G$49,2)</f>
        <v>-9.06</v>
      </c>
      <c r="O7" s="86">
        <f>SUM(D7:N7)</f>
        <v>124.39000000000001</v>
      </c>
      <c r="P7" s="86">
        <f>-SUM(K7)</f>
        <v>-4.25</v>
      </c>
      <c r="Q7" s="86">
        <f>+ROUND($C7*$H$44,2)</f>
        <v>3.95</v>
      </c>
      <c r="R7" s="87">
        <f>SUM(P7:Q7)</f>
        <v>-0.29999999999999982</v>
      </c>
      <c r="S7" s="87">
        <f>+O7+R7</f>
        <v>124.09000000000002</v>
      </c>
      <c r="T7" s="67">
        <f>+R7/O7</f>
        <v>-2.4117694348420272E-3</v>
      </c>
    </row>
    <row r="8" spans="1:20" ht="15" x14ac:dyDescent="0.25">
      <c r="A8" s="81">
        <f>1+A7</f>
        <v>2</v>
      </c>
      <c r="B8" t="s">
        <v>66</v>
      </c>
      <c r="C8" s="66">
        <f t="shared" ref="C8:C18" si="10">ROUND(+E68,0)</f>
        <v>1057</v>
      </c>
      <c r="D8" s="86">
        <f t="shared" si="0"/>
        <v>108.47</v>
      </c>
      <c r="E8" s="86">
        <f t="shared" si="1"/>
        <v>0</v>
      </c>
      <c r="F8" s="86">
        <f t="shared" si="2"/>
        <v>-2.02</v>
      </c>
      <c r="G8" s="86">
        <f t="shared" si="3"/>
        <v>5.14</v>
      </c>
      <c r="H8" s="86">
        <f t="shared" si="4"/>
        <v>0.95</v>
      </c>
      <c r="I8" s="86">
        <f t="shared" si="5"/>
        <v>0</v>
      </c>
      <c r="J8" s="86">
        <f t="shared" si="6"/>
        <v>-0.08</v>
      </c>
      <c r="K8" s="86">
        <f t="shared" si="7"/>
        <v>3.67</v>
      </c>
      <c r="L8" s="86">
        <f t="shared" ref="L8:L18" si="11">ROUND($G$32+IF($C8&gt;600,(600*$G$38+(($C8-600)*$G$45)),$C8*$G$38),2)</f>
        <v>0</v>
      </c>
      <c r="M8" s="86">
        <f t="shared" si="8"/>
        <v>-1.31</v>
      </c>
      <c r="N8" s="86">
        <f t="shared" si="9"/>
        <v>-7.83</v>
      </c>
      <c r="O8" s="86">
        <f t="shared" ref="O8:O18" si="12">SUM(D8:N8)</f>
        <v>106.99000000000001</v>
      </c>
      <c r="P8" s="86">
        <f t="shared" ref="P8:P18" si="13">-SUM(K8)</f>
        <v>-3.67</v>
      </c>
      <c r="Q8" s="86">
        <f t="shared" ref="Q8:Q18" si="14">+ROUND($C8*$H$44,2)</f>
        <v>3.41</v>
      </c>
      <c r="R8" s="87">
        <f t="shared" ref="R8:R18" si="15">SUM(P8:Q8)</f>
        <v>-0.25999999999999979</v>
      </c>
      <c r="S8" s="87">
        <f t="shared" ref="S8:S18" si="16">+O8+R8</f>
        <v>106.73</v>
      </c>
      <c r="T8" s="67">
        <f t="shared" ref="T8:T22" si="17">+R8/O8</f>
        <v>-2.4301336573511519E-3</v>
      </c>
    </row>
    <row r="9" spans="1:20" ht="15" x14ac:dyDescent="0.25">
      <c r="A9" s="81">
        <f t="shared" ref="A9:A61" si="18">1+A8</f>
        <v>3</v>
      </c>
      <c r="B9" t="s">
        <v>65</v>
      </c>
      <c r="C9" s="66">
        <f t="shared" si="10"/>
        <v>1009</v>
      </c>
      <c r="D9" s="86">
        <f t="shared" si="0"/>
        <v>103.37</v>
      </c>
      <c r="E9" s="86">
        <f t="shared" si="1"/>
        <v>0</v>
      </c>
      <c r="F9" s="86">
        <f t="shared" si="2"/>
        <v>-1.93</v>
      </c>
      <c r="G9" s="86">
        <f t="shared" si="3"/>
        <v>4.9000000000000004</v>
      </c>
      <c r="H9" s="86">
        <f t="shared" si="4"/>
        <v>0.9</v>
      </c>
      <c r="I9" s="86">
        <f t="shared" si="5"/>
        <v>0</v>
      </c>
      <c r="J9" s="86">
        <f t="shared" si="6"/>
        <v>-7.0000000000000007E-2</v>
      </c>
      <c r="K9" s="86">
        <f t="shared" si="7"/>
        <v>3.5</v>
      </c>
      <c r="L9" s="86">
        <f t="shared" si="11"/>
        <v>0</v>
      </c>
      <c r="M9" s="86">
        <f t="shared" si="8"/>
        <v>-1.25</v>
      </c>
      <c r="N9" s="86">
        <f t="shared" si="9"/>
        <v>-7.47</v>
      </c>
      <c r="O9" s="86">
        <f t="shared" si="12"/>
        <v>101.95000000000002</v>
      </c>
      <c r="P9" s="86">
        <f t="shared" si="13"/>
        <v>-3.5</v>
      </c>
      <c r="Q9" s="86">
        <f t="shared" si="14"/>
        <v>3.26</v>
      </c>
      <c r="R9" s="87">
        <f t="shared" si="15"/>
        <v>-0.24000000000000021</v>
      </c>
      <c r="S9" s="87">
        <f t="shared" si="16"/>
        <v>101.71000000000002</v>
      </c>
      <c r="T9" s="67">
        <f t="shared" si="17"/>
        <v>-2.354095144678766E-3</v>
      </c>
    </row>
    <row r="10" spans="1:20" ht="15" x14ac:dyDescent="0.25">
      <c r="A10" s="81">
        <f t="shared" si="18"/>
        <v>4</v>
      </c>
      <c r="B10" t="s">
        <v>64</v>
      </c>
      <c r="C10" s="66">
        <f t="shared" si="10"/>
        <v>831</v>
      </c>
      <c r="D10" s="86">
        <f t="shared" si="0"/>
        <v>84.45</v>
      </c>
      <c r="E10" s="86">
        <f t="shared" si="1"/>
        <v>0</v>
      </c>
      <c r="F10" s="86">
        <f t="shared" si="2"/>
        <v>-1.59</v>
      </c>
      <c r="G10" s="86">
        <f t="shared" si="3"/>
        <v>4.04</v>
      </c>
      <c r="H10" s="86">
        <f t="shared" si="4"/>
        <v>0.74</v>
      </c>
      <c r="I10" s="86">
        <f t="shared" si="5"/>
        <v>0</v>
      </c>
      <c r="J10" s="86">
        <f t="shared" si="6"/>
        <v>-0.06</v>
      </c>
      <c r="K10" s="86">
        <f t="shared" si="7"/>
        <v>2.89</v>
      </c>
      <c r="L10" s="86">
        <f t="shared" si="11"/>
        <v>0</v>
      </c>
      <c r="M10" s="86">
        <f t="shared" si="8"/>
        <v>-1.03</v>
      </c>
      <c r="N10" s="86">
        <f t="shared" si="9"/>
        <v>-6.15</v>
      </c>
      <c r="O10" s="86">
        <f t="shared" si="12"/>
        <v>83.289999999999992</v>
      </c>
      <c r="P10" s="86">
        <f t="shared" si="13"/>
        <v>-2.89</v>
      </c>
      <c r="Q10" s="86">
        <f t="shared" si="14"/>
        <v>2.68</v>
      </c>
      <c r="R10" s="87">
        <f t="shared" si="15"/>
        <v>-0.20999999999999996</v>
      </c>
      <c r="S10" s="87">
        <f t="shared" si="16"/>
        <v>83.08</v>
      </c>
      <c r="T10" s="67">
        <f t="shared" si="17"/>
        <v>-2.5213110817625165E-3</v>
      </c>
    </row>
    <row r="11" spans="1:20" ht="15" x14ac:dyDescent="0.25">
      <c r="A11" s="81">
        <f t="shared" si="18"/>
        <v>5</v>
      </c>
      <c r="B11" t="s">
        <v>63</v>
      </c>
      <c r="C11" s="66">
        <f t="shared" si="10"/>
        <v>725</v>
      </c>
      <c r="D11" s="86">
        <f t="shared" si="0"/>
        <v>73.180000000000007</v>
      </c>
      <c r="E11" s="86">
        <f t="shared" si="1"/>
        <v>0</v>
      </c>
      <c r="F11" s="86">
        <f t="shared" si="2"/>
        <v>-1.39</v>
      </c>
      <c r="G11" s="86">
        <f t="shared" si="3"/>
        <v>3.52</v>
      </c>
      <c r="H11" s="86">
        <f t="shared" si="4"/>
        <v>0.65</v>
      </c>
      <c r="I11" s="86">
        <f t="shared" si="5"/>
        <v>0</v>
      </c>
      <c r="J11" s="86">
        <f t="shared" si="6"/>
        <v>-0.05</v>
      </c>
      <c r="K11" s="86">
        <f t="shared" si="7"/>
        <v>2.52</v>
      </c>
      <c r="L11" s="86">
        <f t="shared" si="11"/>
        <v>0</v>
      </c>
      <c r="M11" s="86">
        <f t="shared" si="8"/>
        <v>-0.9</v>
      </c>
      <c r="N11" s="86">
        <f t="shared" si="9"/>
        <v>-5.37</v>
      </c>
      <c r="O11" s="86">
        <f t="shared" si="12"/>
        <v>72.16</v>
      </c>
      <c r="P11" s="86">
        <f t="shared" si="13"/>
        <v>-2.52</v>
      </c>
      <c r="Q11" s="86">
        <f t="shared" si="14"/>
        <v>2.34</v>
      </c>
      <c r="R11" s="87">
        <f t="shared" si="15"/>
        <v>-0.18000000000000016</v>
      </c>
      <c r="S11" s="87">
        <f t="shared" si="16"/>
        <v>71.97999999999999</v>
      </c>
      <c r="T11" s="67">
        <f t="shared" si="17"/>
        <v>-2.4944567627494482E-3</v>
      </c>
    </row>
    <row r="12" spans="1:20" ht="15" x14ac:dyDescent="0.25">
      <c r="A12" s="81">
        <f t="shared" si="18"/>
        <v>6</v>
      </c>
      <c r="B12" t="s">
        <v>62</v>
      </c>
      <c r="C12" s="66">
        <f t="shared" si="10"/>
        <v>666</v>
      </c>
      <c r="D12" s="86">
        <f t="shared" si="0"/>
        <v>66.91</v>
      </c>
      <c r="E12" s="86">
        <f t="shared" si="1"/>
        <v>0</v>
      </c>
      <c r="F12" s="86">
        <f t="shared" si="2"/>
        <v>-1.27</v>
      </c>
      <c r="G12" s="86">
        <f t="shared" si="3"/>
        <v>3.24</v>
      </c>
      <c r="H12" s="86">
        <f t="shared" si="4"/>
        <v>0.6</v>
      </c>
      <c r="I12" s="86">
        <f t="shared" si="5"/>
        <v>0</v>
      </c>
      <c r="J12" s="86">
        <f t="shared" si="6"/>
        <v>-0.05</v>
      </c>
      <c r="K12" s="86">
        <f t="shared" si="7"/>
        <v>2.31</v>
      </c>
      <c r="L12" s="86">
        <f t="shared" si="11"/>
        <v>0</v>
      </c>
      <c r="M12" s="86">
        <f t="shared" si="8"/>
        <v>-0.82</v>
      </c>
      <c r="N12" s="86">
        <f t="shared" si="9"/>
        <v>-4.93</v>
      </c>
      <c r="O12" s="86">
        <f t="shared" si="12"/>
        <v>65.990000000000009</v>
      </c>
      <c r="P12" s="86">
        <f t="shared" si="13"/>
        <v>-2.31</v>
      </c>
      <c r="Q12" s="86">
        <f t="shared" si="14"/>
        <v>2.15</v>
      </c>
      <c r="R12" s="87">
        <f t="shared" si="15"/>
        <v>-0.16000000000000014</v>
      </c>
      <c r="S12" s="87">
        <f t="shared" si="16"/>
        <v>65.830000000000013</v>
      </c>
      <c r="T12" s="67">
        <f t="shared" si="17"/>
        <v>-2.4246097893620266E-3</v>
      </c>
    </row>
    <row r="13" spans="1:20" ht="15" x14ac:dyDescent="0.25">
      <c r="A13" s="81">
        <f t="shared" si="18"/>
        <v>7</v>
      </c>
      <c r="B13" t="s">
        <v>61</v>
      </c>
      <c r="C13" s="66">
        <f t="shared" si="10"/>
        <v>667</v>
      </c>
      <c r="D13" s="86">
        <f t="shared" si="0"/>
        <v>67.010000000000005</v>
      </c>
      <c r="E13" s="86">
        <f t="shared" si="1"/>
        <v>0</v>
      </c>
      <c r="F13" s="86">
        <f t="shared" si="2"/>
        <v>-1.28</v>
      </c>
      <c r="G13" s="86">
        <f t="shared" si="3"/>
        <v>3.24</v>
      </c>
      <c r="H13" s="86">
        <f t="shared" si="4"/>
        <v>0.6</v>
      </c>
      <c r="I13" s="86">
        <f t="shared" si="5"/>
        <v>0</v>
      </c>
      <c r="J13" s="86">
        <f t="shared" si="6"/>
        <v>-0.05</v>
      </c>
      <c r="K13" s="86">
        <f t="shared" si="7"/>
        <v>2.3199999999999998</v>
      </c>
      <c r="L13" s="86">
        <f t="shared" si="11"/>
        <v>0</v>
      </c>
      <c r="M13" s="86">
        <f t="shared" si="8"/>
        <v>-0.83</v>
      </c>
      <c r="N13" s="86">
        <f t="shared" si="9"/>
        <v>-4.9400000000000004</v>
      </c>
      <c r="O13" s="86">
        <f t="shared" si="12"/>
        <v>66.069999999999993</v>
      </c>
      <c r="P13" s="86">
        <f t="shared" si="13"/>
        <v>-2.3199999999999998</v>
      </c>
      <c r="Q13" s="86">
        <f t="shared" si="14"/>
        <v>2.15</v>
      </c>
      <c r="R13" s="87">
        <f t="shared" si="15"/>
        <v>-0.16999999999999993</v>
      </c>
      <c r="S13" s="87">
        <f t="shared" si="16"/>
        <v>65.899999999999991</v>
      </c>
      <c r="T13" s="67">
        <f t="shared" si="17"/>
        <v>-2.5730286060239131E-3</v>
      </c>
    </row>
    <row r="14" spans="1:20" ht="15" x14ac:dyDescent="0.25">
      <c r="A14" s="81">
        <f t="shared" si="18"/>
        <v>8</v>
      </c>
      <c r="B14" t="s">
        <v>60</v>
      </c>
      <c r="C14" s="66">
        <f t="shared" si="10"/>
        <v>650</v>
      </c>
      <c r="D14" s="86">
        <f t="shared" si="0"/>
        <v>65.209999999999994</v>
      </c>
      <c r="E14" s="86">
        <f t="shared" si="1"/>
        <v>0</v>
      </c>
      <c r="F14" s="86">
        <f t="shared" si="2"/>
        <v>-1.24</v>
      </c>
      <c r="G14" s="86">
        <f t="shared" si="3"/>
        <v>3.16</v>
      </c>
      <c r="H14" s="86">
        <f t="shared" si="4"/>
        <v>0.57999999999999996</v>
      </c>
      <c r="I14" s="86">
        <f t="shared" si="5"/>
        <v>0</v>
      </c>
      <c r="J14" s="86">
        <f t="shared" si="6"/>
        <v>-0.05</v>
      </c>
      <c r="K14" s="86">
        <f t="shared" si="7"/>
        <v>2.2599999999999998</v>
      </c>
      <c r="L14" s="86">
        <f t="shared" si="11"/>
        <v>0</v>
      </c>
      <c r="M14" s="86">
        <f t="shared" si="8"/>
        <v>-0.8</v>
      </c>
      <c r="N14" s="86">
        <f t="shared" si="9"/>
        <v>-4.8099999999999996</v>
      </c>
      <c r="O14" s="86">
        <f t="shared" si="12"/>
        <v>64.31</v>
      </c>
      <c r="P14" s="86">
        <f t="shared" si="13"/>
        <v>-2.2599999999999998</v>
      </c>
      <c r="Q14" s="86">
        <f t="shared" si="14"/>
        <v>2.1</v>
      </c>
      <c r="R14" s="87">
        <f t="shared" si="15"/>
        <v>-0.1599999999999997</v>
      </c>
      <c r="S14" s="87">
        <f t="shared" si="16"/>
        <v>64.150000000000006</v>
      </c>
      <c r="T14" s="67">
        <f t="shared" si="17"/>
        <v>-2.4879489970455557E-3</v>
      </c>
    </row>
    <row r="15" spans="1:20" ht="15" x14ac:dyDescent="0.25">
      <c r="A15" s="81">
        <f t="shared" si="18"/>
        <v>9</v>
      </c>
      <c r="B15" t="s">
        <v>59</v>
      </c>
      <c r="C15" s="66">
        <f t="shared" si="10"/>
        <v>652</v>
      </c>
      <c r="D15" s="86">
        <f t="shared" si="0"/>
        <v>65.42</v>
      </c>
      <c r="E15" s="86">
        <f t="shared" si="1"/>
        <v>0</v>
      </c>
      <c r="F15" s="86">
        <f t="shared" si="2"/>
        <v>-1.25</v>
      </c>
      <c r="G15" s="86">
        <f t="shared" si="3"/>
        <v>3.17</v>
      </c>
      <c r="H15" s="86">
        <f t="shared" si="4"/>
        <v>0.57999999999999996</v>
      </c>
      <c r="I15" s="86">
        <f t="shared" si="5"/>
        <v>0</v>
      </c>
      <c r="J15" s="86">
        <f t="shared" si="6"/>
        <v>-0.05</v>
      </c>
      <c r="K15" s="86">
        <f t="shared" si="7"/>
        <v>2.2599999999999998</v>
      </c>
      <c r="L15" s="86">
        <f t="shared" si="11"/>
        <v>0</v>
      </c>
      <c r="M15" s="86">
        <f t="shared" si="8"/>
        <v>-0.81</v>
      </c>
      <c r="N15" s="86">
        <f t="shared" si="9"/>
        <v>-4.83</v>
      </c>
      <c r="O15" s="86">
        <f t="shared" si="12"/>
        <v>64.490000000000009</v>
      </c>
      <c r="P15" s="86">
        <f t="shared" si="13"/>
        <v>-2.2599999999999998</v>
      </c>
      <c r="Q15" s="86">
        <f t="shared" si="14"/>
        <v>2.1</v>
      </c>
      <c r="R15" s="87">
        <f t="shared" si="15"/>
        <v>-0.1599999999999997</v>
      </c>
      <c r="S15" s="87">
        <f t="shared" si="16"/>
        <v>64.330000000000013</v>
      </c>
      <c r="T15" s="67">
        <f t="shared" si="17"/>
        <v>-2.4810048069468086E-3</v>
      </c>
    </row>
    <row r="16" spans="1:20" ht="15" x14ac:dyDescent="0.25">
      <c r="A16" s="81">
        <f t="shared" si="18"/>
        <v>10</v>
      </c>
      <c r="B16" t="s">
        <v>58</v>
      </c>
      <c r="C16" s="66">
        <f t="shared" si="10"/>
        <v>812</v>
      </c>
      <c r="D16" s="86">
        <f t="shared" si="0"/>
        <v>82.43</v>
      </c>
      <c r="E16" s="86">
        <f t="shared" si="1"/>
        <v>0</v>
      </c>
      <c r="F16" s="86">
        <f t="shared" si="2"/>
        <v>-1.55</v>
      </c>
      <c r="G16" s="86">
        <f t="shared" si="3"/>
        <v>3.95</v>
      </c>
      <c r="H16" s="86">
        <f t="shared" si="4"/>
        <v>0.73</v>
      </c>
      <c r="I16" s="86">
        <f t="shared" si="5"/>
        <v>0</v>
      </c>
      <c r="J16" s="86">
        <f t="shared" si="6"/>
        <v>-0.06</v>
      </c>
      <c r="K16" s="86">
        <f t="shared" si="7"/>
        <v>2.82</v>
      </c>
      <c r="L16" s="86">
        <f t="shared" si="11"/>
        <v>0</v>
      </c>
      <c r="M16" s="86">
        <f t="shared" si="8"/>
        <v>-1</v>
      </c>
      <c r="N16" s="86">
        <f t="shared" si="9"/>
        <v>-6.01</v>
      </c>
      <c r="O16" s="86">
        <f t="shared" si="12"/>
        <v>81.31</v>
      </c>
      <c r="P16" s="86">
        <f t="shared" si="13"/>
        <v>-2.82</v>
      </c>
      <c r="Q16" s="86">
        <f t="shared" si="14"/>
        <v>2.62</v>
      </c>
      <c r="R16" s="87">
        <f t="shared" si="15"/>
        <v>-0.19999999999999973</v>
      </c>
      <c r="S16" s="87">
        <f t="shared" si="16"/>
        <v>81.11</v>
      </c>
      <c r="T16" s="67">
        <f t="shared" si="17"/>
        <v>-2.4597220514081877E-3</v>
      </c>
    </row>
    <row r="17" spans="1:20" ht="15" x14ac:dyDescent="0.25">
      <c r="A17" s="81">
        <f t="shared" si="18"/>
        <v>11</v>
      </c>
      <c r="B17" t="s">
        <v>57</v>
      </c>
      <c r="C17" s="66">
        <f t="shared" si="10"/>
        <v>1001</v>
      </c>
      <c r="D17" s="86">
        <f t="shared" si="0"/>
        <v>102.52</v>
      </c>
      <c r="E17" s="86">
        <f t="shared" si="1"/>
        <v>0</v>
      </c>
      <c r="F17" s="86">
        <f t="shared" si="2"/>
        <v>-1.91</v>
      </c>
      <c r="G17" s="86">
        <f t="shared" si="3"/>
        <v>4.8600000000000003</v>
      </c>
      <c r="H17" s="86">
        <f t="shared" si="4"/>
        <v>0.9</v>
      </c>
      <c r="I17" s="86">
        <f t="shared" si="5"/>
        <v>0</v>
      </c>
      <c r="J17" s="86">
        <f t="shared" si="6"/>
        <v>-7.0000000000000007E-2</v>
      </c>
      <c r="K17" s="86">
        <f t="shared" si="7"/>
        <v>3.48</v>
      </c>
      <c r="L17" s="86">
        <f t="shared" si="11"/>
        <v>0</v>
      </c>
      <c r="M17" s="86">
        <f t="shared" si="8"/>
        <v>-1.24</v>
      </c>
      <c r="N17" s="86">
        <f t="shared" si="9"/>
        <v>-7.41</v>
      </c>
      <c r="O17" s="86">
        <f t="shared" si="12"/>
        <v>101.13000000000002</v>
      </c>
      <c r="P17" s="86">
        <f t="shared" si="13"/>
        <v>-3.48</v>
      </c>
      <c r="Q17" s="86">
        <f t="shared" si="14"/>
        <v>3.23</v>
      </c>
      <c r="R17" s="87">
        <f t="shared" si="15"/>
        <v>-0.25</v>
      </c>
      <c r="S17" s="87">
        <f t="shared" si="16"/>
        <v>100.88000000000002</v>
      </c>
      <c r="T17" s="67">
        <f t="shared" si="17"/>
        <v>-2.4720656580638775E-3</v>
      </c>
    </row>
    <row r="18" spans="1:20" ht="15" x14ac:dyDescent="0.25">
      <c r="A18" s="81">
        <f t="shared" si="18"/>
        <v>12</v>
      </c>
      <c r="B18" t="s">
        <v>56</v>
      </c>
      <c r="C18" s="66">
        <f t="shared" si="10"/>
        <v>1264</v>
      </c>
      <c r="D18" s="86">
        <f t="shared" si="0"/>
        <v>130.47</v>
      </c>
      <c r="E18" s="86">
        <f t="shared" si="1"/>
        <v>0</v>
      </c>
      <c r="F18" s="86">
        <f t="shared" si="2"/>
        <v>-2.42</v>
      </c>
      <c r="G18" s="86">
        <f t="shared" si="3"/>
        <v>6.14</v>
      </c>
      <c r="H18" s="86">
        <f t="shared" si="4"/>
        <v>1.1299999999999999</v>
      </c>
      <c r="I18" s="86">
        <f t="shared" si="5"/>
        <v>0</v>
      </c>
      <c r="J18" s="86">
        <f t="shared" si="6"/>
        <v>-0.09</v>
      </c>
      <c r="K18" s="86">
        <f t="shared" si="7"/>
        <v>4.3899999999999997</v>
      </c>
      <c r="L18" s="86">
        <f t="shared" si="11"/>
        <v>0</v>
      </c>
      <c r="M18" s="86">
        <f t="shared" si="8"/>
        <v>-1.56</v>
      </c>
      <c r="N18" s="86">
        <f t="shared" si="9"/>
        <v>-9.36</v>
      </c>
      <c r="O18" s="86">
        <f t="shared" si="12"/>
        <v>128.69999999999999</v>
      </c>
      <c r="P18" s="86">
        <f t="shared" si="13"/>
        <v>-4.3899999999999997</v>
      </c>
      <c r="Q18" s="86">
        <f t="shared" si="14"/>
        <v>4.08</v>
      </c>
      <c r="R18" s="87">
        <f t="shared" si="15"/>
        <v>-0.30999999999999961</v>
      </c>
      <c r="S18" s="87">
        <f t="shared" si="16"/>
        <v>128.38999999999999</v>
      </c>
      <c r="T18" s="67">
        <f t="shared" si="17"/>
        <v>-2.4087024087024057E-3</v>
      </c>
    </row>
    <row r="19" spans="1:20" ht="15" x14ac:dyDescent="0.25">
      <c r="A19" s="81">
        <f t="shared" si="18"/>
        <v>13</v>
      </c>
      <c r="B19"/>
      <c r="C19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6"/>
      <c r="P19" s="86"/>
      <c r="Q19" s="86"/>
      <c r="R19" s="87"/>
      <c r="S19" s="87"/>
      <c r="T19" s="67"/>
    </row>
    <row r="20" spans="1:20" ht="15.75" thickBot="1" x14ac:dyDescent="0.3">
      <c r="A20" s="81">
        <f t="shared" si="18"/>
        <v>14</v>
      </c>
      <c r="B20" s="78" t="s">
        <v>55</v>
      </c>
      <c r="C20" s="88">
        <f>SUM(C7:C19)</f>
        <v>10557</v>
      </c>
      <c r="D20" s="89">
        <f>SUM(D7:D19)</f>
        <v>1075.55</v>
      </c>
      <c r="E20" s="89">
        <f>SUM(E7:E19)</f>
        <v>0</v>
      </c>
      <c r="F20" s="89">
        <f>SUM(F7:F19)</f>
        <v>-20.189999999999998</v>
      </c>
      <c r="G20" s="89">
        <f t="shared" ref="G20:S20" si="19">SUM(G7:G19)</f>
        <v>51.300000000000011</v>
      </c>
      <c r="H20" s="89">
        <f t="shared" si="19"/>
        <v>9.4499999999999993</v>
      </c>
      <c r="I20" s="89">
        <f t="shared" si="19"/>
        <v>0</v>
      </c>
      <c r="J20" s="89">
        <f t="shared" si="19"/>
        <v>-0.76999999999999991</v>
      </c>
      <c r="K20" s="89">
        <f t="shared" si="19"/>
        <v>36.669999999999995</v>
      </c>
      <c r="L20" s="89">
        <f t="shared" si="19"/>
        <v>0</v>
      </c>
      <c r="M20" s="89">
        <f t="shared" si="19"/>
        <v>-13.060000000000002</v>
      </c>
      <c r="N20" s="89">
        <f t="shared" si="19"/>
        <v>-78.169999999999987</v>
      </c>
      <c r="O20" s="90">
        <f t="shared" si="19"/>
        <v>1060.7799999999997</v>
      </c>
      <c r="P20" s="90">
        <f t="shared" si="19"/>
        <v>-36.669999999999995</v>
      </c>
      <c r="Q20" s="90">
        <f t="shared" si="19"/>
        <v>34.07</v>
      </c>
      <c r="R20" s="89">
        <f t="shared" si="19"/>
        <v>-2.5999999999999988</v>
      </c>
      <c r="S20" s="89">
        <f t="shared" si="19"/>
        <v>1058.18</v>
      </c>
      <c r="T20" s="91">
        <f t="shared" si="17"/>
        <v>-2.451026603065668E-3</v>
      </c>
    </row>
    <row r="21" spans="1:20" ht="15.75" thickTop="1" x14ac:dyDescent="0.25">
      <c r="A21" s="81">
        <f t="shared" si="18"/>
        <v>15</v>
      </c>
      <c r="B21" s="78"/>
      <c r="C2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  <c r="P21" s="93"/>
      <c r="Q21" s="93"/>
      <c r="R21" s="92"/>
      <c r="S21" s="92"/>
      <c r="T21" s="94"/>
    </row>
    <row r="22" spans="1:20" ht="15.75" thickBot="1" x14ac:dyDescent="0.3">
      <c r="A22" s="81">
        <f t="shared" si="18"/>
        <v>16</v>
      </c>
      <c r="B22" s="78" t="s">
        <v>234</v>
      </c>
      <c r="C22" s="88">
        <f>ROUND(+C20/12,-2)</f>
        <v>900</v>
      </c>
      <c r="D22" s="89">
        <f>+D20/12</f>
        <v>89.629166666666663</v>
      </c>
      <c r="E22" s="89">
        <f>+E20/12</f>
        <v>0</v>
      </c>
      <c r="F22" s="89">
        <f>+F20/12</f>
        <v>-1.6824999999999999</v>
      </c>
      <c r="G22" s="89">
        <f t="shared" ref="G22:S22" si="20">+G20/12</f>
        <v>4.2750000000000012</v>
      </c>
      <c r="H22" s="89">
        <f t="shared" si="20"/>
        <v>0.78749999999999998</v>
      </c>
      <c r="I22" s="89">
        <f t="shared" si="20"/>
        <v>0</v>
      </c>
      <c r="J22" s="89">
        <f t="shared" si="20"/>
        <v>-6.4166666666666664E-2</v>
      </c>
      <c r="K22" s="89">
        <f t="shared" si="20"/>
        <v>3.0558333333333327</v>
      </c>
      <c r="L22" s="89">
        <f t="shared" si="20"/>
        <v>0</v>
      </c>
      <c r="M22" s="89">
        <f t="shared" si="20"/>
        <v>-1.0883333333333336</v>
      </c>
      <c r="N22" s="89">
        <f t="shared" si="20"/>
        <v>-6.5141666666666653</v>
      </c>
      <c r="O22" s="90">
        <f t="shared" si="20"/>
        <v>88.398333333333312</v>
      </c>
      <c r="P22" s="90">
        <f t="shared" si="20"/>
        <v>-3.0558333333333327</v>
      </c>
      <c r="Q22" s="90">
        <f t="shared" si="20"/>
        <v>2.8391666666666668</v>
      </c>
      <c r="R22" s="89">
        <f t="shared" si="20"/>
        <v>-0.21666666666666656</v>
      </c>
      <c r="S22" s="89">
        <f t="shared" si="20"/>
        <v>88.181666666666672</v>
      </c>
      <c r="T22" s="91">
        <f t="shared" si="17"/>
        <v>-2.451026603065668E-3</v>
      </c>
    </row>
    <row r="23" spans="1:20" ht="15.75" thickTop="1" x14ac:dyDescent="0.25">
      <c r="A23" s="81">
        <f t="shared" si="18"/>
        <v>17</v>
      </c>
      <c r="B23"/>
      <c r="C23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  <c r="P23" s="93"/>
      <c r="Q23" s="93"/>
      <c r="R23" s="92"/>
      <c r="S23" s="92"/>
      <c r="T23"/>
    </row>
    <row r="24" spans="1:20" ht="15" x14ac:dyDescent="0.25">
      <c r="A24" s="81">
        <f t="shared" si="18"/>
        <v>18</v>
      </c>
      <c r="B24" s="64" t="s">
        <v>54</v>
      </c>
      <c r="C24" s="64"/>
      <c r="D24" s="93">
        <f>+D20/$C$20*100</f>
        <v>10.188026901581889</v>
      </c>
      <c r="E24" s="93">
        <f t="shared" ref="E24:S24" si="21">+E20/$C$20*100</f>
        <v>0</v>
      </c>
      <c r="F24" s="93">
        <f t="shared" si="21"/>
        <v>-0.19124751349815286</v>
      </c>
      <c r="G24" s="93">
        <f t="shared" si="21"/>
        <v>0.48593350383631723</v>
      </c>
      <c r="H24" s="93">
        <f t="shared" si="21"/>
        <v>8.9514066496163669E-2</v>
      </c>
      <c r="I24" s="93">
        <f t="shared" si="21"/>
        <v>0</v>
      </c>
      <c r="J24" s="93">
        <f t="shared" si="21"/>
        <v>-7.2937387515392624E-3</v>
      </c>
      <c r="K24" s="93">
        <f t="shared" si="21"/>
        <v>0.34735246755707111</v>
      </c>
      <c r="L24" s="93">
        <f t="shared" si="21"/>
        <v>0</v>
      </c>
      <c r="M24" s="93">
        <f t="shared" si="21"/>
        <v>-0.12370938713649714</v>
      </c>
      <c r="N24" s="93">
        <f t="shared" si="21"/>
        <v>-0.74045656910107027</v>
      </c>
      <c r="O24" s="93">
        <f t="shared" si="21"/>
        <v>10.048119730984178</v>
      </c>
      <c r="P24" s="93">
        <f t="shared" si="21"/>
        <v>-0.34735246755707111</v>
      </c>
      <c r="Q24" s="93">
        <f t="shared" si="21"/>
        <v>0.32272425878563987</v>
      </c>
      <c r="R24" s="93">
        <f t="shared" si="21"/>
        <v>-2.4628208771431265E-2</v>
      </c>
      <c r="S24" s="93">
        <f t="shared" si="21"/>
        <v>10.023491522212751</v>
      </c>
      <c r="T24"/>
    </row>
    <row r="25" spans="1:20" ht="15" x14ac:dyDescent="0.25">
      <c r="A25" s="81">
        <f t="shared" si="18"/>
        <v>19</v>
      </c>
      <c r="B25"/>
      <c r="C25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  <c r="P25" s="93"/>
      <c r="Q25" s="93"/>
      <c r="R25" s="92"/>
      <c r="S25" s="92"/>
      <c r="T25"/>
    </row>
    <row r="26" spans="1:20" ht="15.75" thickBot="1" x14ac:dyDescent="0.3">
      <c r="A26" s="81">
        <f t="shared" si="18"/>
        <v>20</v>
      </c>
      <c r="B26" s="82" t="s">
        <v>139</v>
      </c>
      <c r="C26" s="88">
        <v>1000</v>
      </c>
      <c r="D26" s="89">
        <f>ROUND($G$31+IF($C26&gt;600,(600*$G$35+(($C26-600)*$G$42)),$C26*$G$35),2)</f>
        <v>102.41</v>
      </c>
      <c r="E26" s="89">
        <f>ROUND($C26*$G$53,2)</f>
        <v>0</v>
      </c>
      <c r="F26" s="89">
        <f>ROUND($C26*$G$54,2)</f>
        <v>-1.91</v>
      </c>
      <c r="G26" s="89">
        <f>ROUND($C26*$G$55,2)</f>
        <v>4.8600000000000003</v>
      </c>
      <c r="H26" s="89">
        <f>ROUND($C26*$G$36,2)</f>
        <v>0.9</v>
      </c>
      <c r="I26" s="89">
        <f>ROUND($C26*$G$56,2)</f>
        <v>0</v>
      </c>
      <c r="J26" s="89">
        <f>ROUND($C26*$G$57,2)</f>
        <v>-7.0000000000000007E-2</v>
      </c>
      <c r="K26" s="89">
        <f>ROUND($C26*$G$37,2)</f>
        <v>3.47</v>
      </c>
      <c r="L26" s="89">
        <f>ROUND($G$32+IF($C26&gt;600,(600*$G$38+(($C26-600)*$G$45)),$C26*$G$35),2)</f>
        <v>0</v>
      </c>
      <c r="M26" s="89">
        <f>ROUND($C26*$G$39,2)</f>
        <v>-1.24</v>
      </c>
      <c r="N26" s="89">
        <f>ROUND($C26*$G$49,2)</f>
        <v>-7.41</v>
      </c>
      <c r="O26" s="90">
        <f>SUM(D26:N26)</f>
        <v>101.01000000000002</v>
      </c>
      <c r="P26" s="90">
        <f t="shared" ref="P26" si="22">-SUM(K26)</f>
        <v>-3.47</v>
      </c>
      <c r="Q26" s="90">
        <f t="shared" ref="Q26" si="23">+ROUND($C26*$H$44,2)</f>
        <v>3.23</v>
      </c>
      <c r="R26" s="89">
        <f>SUM(P26:Q26)</f>
        <v>-0.24000000000000021</v>
      </c>
      <c r="S26" s="89">
        <f>+O26+R26</f>
        <v>100.77000000000002</v>
      </c>
      <c r="T26" s="91">
        <f>+R26/O26</f>
        <v>-2.3760023760023776E-3</v>
      </c>
    </row>
    <row r="27" spans="1:20" ht="15.75" thickTop="1" x14ac:dyDescent="0.25">
      <c r="A27" s="81">
        <f t="shared" si="18"/>
        <v>21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x14ac:dyDescent="0.25">
      <c r="A28" s="81">
        <f t="shared" si="18"/>
        <v>22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60" x14ac:dyDescent="0.25">
      <c r="A29" s="81">
        <f t="shared" si="18"/>
        <v>23</v>
      </c>
      <c r="B29" s="95" t="s">
        <v>140</v>
      </c>
      <c r="C29" s="79"/>
      <c r="D29" s="79"/>
      <c r="E29" s="79"/>
      <c r="F29"/>
      <c r="G29" s="96" t="s">
        <v>364</v>
      </c>
      <c r="H29" s="97" t="s">
        <v>365</v>
      </c>
      <c r="I29" s="68"/>
      <c r="J29" s="68"/>
      <c r="K29" s="68"/>
      <c r="L29" s="68"/>
      <c r="M29" s="68"/>
      <c r="N29" s="68"/>
      <c r="O29"/>
      <c r="P29"/>
      <c r="Q29"/>
      <c r="R29"/>
      <c r="S29"/>
      <c r="T29"/>
    </row>
    <row r="30" spans="1:20" ht="15" x14ac:dyDescent="0.25">
      <c r="A30" s="81">
        <f t="shared" si="18"/>
        <v>24</v>
      </c>
      <c r="B30" s="263" t="s">
        <v>53</v>
      </c>
      <c r="C30" s="263"/>
      <c r="D30" s="263"/>
      <c r="E30" s="263"/>
      <c r="F30"/>
      <c r="G30" s="98"/>
      <c r="H30" s="99"/>
      <c r="I30" s="68"/>
      <c r="J30" s="68"/>
      <c r="K30" s="68"/>
      <c r="L30" s="68"/>
      <c r="M30" s="68"/>
      <c r="N30" s="68"/>
      <c r="O30"/>
      <c r="P30"/>
      <c r="Q30"/>
      <c r="R30"/>
      <c r="S30"/>
      <c r="T30"/>
    </row>
    <row r="31" spans="1:20" ht="15" x14ac:dyDescent="0.25">
      <c r="A31" s="81">
        <f t="shared" si="18"/>
        <v>25</v>
      </c>
      <c r="B31" s="264" t="s">
        <v>141</v>
      </c>
      <c r="C31" s="264"/>
      <c r="D31" s="264"/>
      <c r="E31" s="264"/>
      <c r="F31"/>
      <c r="G31" s="121">
        <v>7.49</v>
      </c>
      <c r="H31" s="122">
        <f>+G31</f>
        <v>7.49</v>
      </c>
      <c r="I31" s="68" t="s">
        <v>41</v>
      </c>
      <c r="J31" s="68"/>
      <c r="K31" s="68"/>
      <c r="L31" s="68"/>
      <c r="M31" s="68"/>
      <c r="N31" s="68"/>
      <c r="O31"/>
      <c r="P31"/>
      <c r="Q31"/>
      <c r="R31"/>
      <c r="S31"/>
      <c r="T31"/>
    </row>
    <row r="32" spans="1:20" ht="15" x14ac:dyDescent="0.25">
      <c r="A32" s="81">
        <f t="shared" si="18"/>
        <v>26</v>
      </c>
      <c r="B32" s="264" t="s">
        <v>369</v>
      </c>
      <c r="C32" s="264"/>
      <c r="D32" s="264"/>
      <c r="E32" s="264"/>
      <c r="F32"/>
      <c r="G32" s="123">
        <v>0</v>
      </c>
      <c r="H32" s="124">
        <f>+G32</f>
        <v>0</v>
      </c>
      <c r="I32" s="68" t="s">
        <v>41</v>
      </c>
      <c r="J32" s="68"/>
      <c r="K32" s="68"/>
      <c r="L32" s="68"/>
      <c r="M32" s="68"/>
      <c r="N32" s="68"/>
      <c r="O32"/>
      <c r="P32"/>
      <c r="Q32"/>
      <c r="R32"/>
      <c r="S32"/>
      <c r="T32"/>
    </row>
    <row r="33" spans="1:20" ht="15.75" thickBot="1" x14ac:dyDescent="0.3">
      <c r="A33" s="81">
        <f t="shared" si="18"/>
        <v>27</v>
      </c>
      <c r="B33" s="261" t="s">
        <v>95</v>
      </c>
      <c r="C33" s="261"/>
      <c r="D33" s="261"/>
      <c r="E33" s="261"/>
      <c r="F33"/>
      <c r="G33" s="125">
        <f>SUM(G31:G32)</f>
        <v>7.49</v>
      </c>
      <c r="H33" s="126">
        <f>SUM(H31:H32)</f>
        <v>7.49</v>
      </c>
      <c r="I33" s="68"/>
      <c r="J33" s="68"/>
      <c r="K33" s="68"/>
      <c r="L33" s="68"/>
      <c r="M33" s="68"/>
      <c r="N33" s="68"/>
      <c r="O33"/>
      <c r="P33"/>
      <c r="Q33"/>
      <c r="R33"/>
      <c r="S33"/>
      <c r="T33"/>
    </row>
    <row r="34" spans="1:20" ht="15.75" thickTop="1" x14ac:dyDescent="0.25">
      <c r="A34" s="81">
        <f t="shared" si="18"/>
        <v>28</v>
      </c>
      <c r="B34" s="263" t="s">
        <v>52</v>
      </c>
      <c r="C34" s="263"/>
      <c r="D34" s="263"/>
      <c r="E34" s="263"/>
      <c r="F34"/>
      <c r="G34" s="80"/>
      <c r="H34" s="100"/>
      <c r="I34" s="68"/>
      <c r="J34" s="68"/>
      <c r="K34" s="68"/>
      <c r="L34" s="68"/>
      <c r="M34" s="68"/>
      <c r="N34" s="68"/>
      <c r="O34"/>
      <c r="P34"/>
      <c r="Q34"/>
      <c r="R34"/>
      <c r="S34"/>
      <c r="T34"/>
    </row>
    <row r="35" spans="1:20" ht="15" x14ac:dyDescent="0.25">
      <c r="A35" s="81">
        <f t="shared" si="18"/>
        <v>29</v>
      </c>
      <c r="B35" s="264" t="s">
        <v>51</v>
      </c>
      <c r="C35" s="264"/>
      <c r="D35" s="264"/>
      <c r="E35" s="264"/>
      <c r="F35"/>
      <c r="G35" s="127">
        <v>8.7335999999999997E-2</v>
      </c>
      <c r="H35" s="128">
        <f>+G35</f>
        <v>8.7335999999999997E-2</v>
      </c>
      <c r="I35" s="68" t="s">
        <v>96</v>
      </c>
      <c r="J35" s="68"/>
      <c r="K35" s="68"/>
      <c r="L35" s="68"/>
      <c r="M35" s="68"/>
      <c r="N35" s="68"/>
      <c r="O35"/>
      <c r="P35"/>
      <c r="Q35"/>
      <c r="R35"/>
      <c r="S35"/>
      <c r="T35"/>
    </row>
    <row r="36" spans="1:20" ht="15" x14ac:dyDescent="0.25">
      <c r="A36" s="81">
        <f t="shared" si="18"/>
        <v>30</v>
      </c>
      <c r="B36" s="264" t="s">
        <v>46</v>
      </c>
      <c r="C36" s="264"/>
      <c r="D36" s="264"/>
      <c r="E36" s="264"/>
      <c r="F36"/>
      <c r="G36" s="127">
        <v>8.9499999999999996E-4</v>
      </c>
      <c r="H36" s="128">
        <f>+G36</f>
        <v>8.9499999999999996E-4</v>
      </c>
      <c r="I36" s="68" t="s">
        <v>96</v>
      </c>
      <c r="J36" s="68"/>
      <c r="K36" s="68"/>
      <c r="L36" s="68"/>
      <c r="M36" s="68"/>
      <c r="N36" s="68"/>
      <c r="O36"/>
      <c r="P36"/>
      <c r="Q36"/>
      <c r="R36"/>
      <c r="S36"/>
      <c r="T36"/>
    </row>
    <row r="37" spans="1:20" ht="15" x14ac:dyDescent="0.25">
      <c r="A37" s="81">
        <f t="shared" si="18"/>
        <v>31</v>
      </c>
      <c r="B37" s="265" t="s">
        <v>42</v>
      </c>
      <c r="C37" s="265"/>
      <c r="D37" s="265"/>
      <c r="E37" s="265"/>
      <c r="F37" s="196"/>
      <c r="G37" s="197">
        <f>+'+2019 Prop Tax Rate Impacts'!F8</f>
        <v>3.4720000000000003E-3</v>
      </c>
      <c r="H37" s="197">
        <f>+'+2019 Prop Tax Rate Impacts'!G8</f>
        <v>3.228E-3</v>
      </c>
      <c r="I37" s="69" t="s">
        <v>96</v>
      </c>
      <c r="J37" s="69"/>
      <c r="K37" s="69"/>
      <c r="L37" s="119"/>
      <c r="M37" s="68"/>
      <c r="N37" s="68"/>
      <c r="O37"/>
      <c r="P37"/>
      <c r="Q37"/>
      <c r="R37"/>
      <c r="S37"/>
      <c r="T37"/>
    </row>
    <row r="38" spans="1:20" ht="15" x14ac:dyDescent="0.25">
      <c r="A38" s="81">
        <f t="shared" si="18"/>
        <v>32</v>
      </c>
      <c r="B38" s="264" t="s">
        <v>366</v>
      </c>
      <c r="C38" s="264"/>
      <c r="D38" s="264"/>
      <c r="E38" s="264"/>
      <c r="F38"/>
      <c r="G38" s="127">
        <v>0</v>
      </c>
      <c r="H38" s="128">
        <f>+G38</f>
        <v>0</v>
      </c>
      <c r="I38" s="69" t="s">
        <v>96</v>
      </c>
      <c r="J38" s="69"/>
      <c r="K38" s="69"/>
      <c r="L38" s="68"/>
      <c r="M38" s="68"/>
      <c r="N38" s="68"/>
      <c r="O38"/>
      <c r="P38"/>
      <c r="Q38"/>
      <c r="R38"/>
      <c r="S38"/>
      <c r="T38"/>
    </row>
    <row r="39" spans="1:20" ht="15" x14ac:dyDescent="0.25">
      <c r="A39" s="81">
        <f t="shared" si="18"/>
        <v>33</v>
      </c>
      <c r="B39" s="264" t="s">
        <v>40</v>
      </c>
      <c r="C39" s="264"/>
      <c r="D39" s="264"/>
      <c r="E39" s="264"/>
      <c r="F39"/>
      <c r="G39" s="127">
        <v>-1.237E-3</v>
      </c>
      <c r="H39" s="128">
        <f>+G39</f>
        <v>-1.237E-3</v>
      </c>
      <c r="I39" s="69" t="s">
        <v>96</v>
      </c>
      <c r="J39" s="69"/>
      <c r="K39" s="69"/>
      <c r="L39" s="68"/>
      <c r="M39" s="68"/>
      <c r="N39" s="68"/>
      <c r="O39"/>
      <c r="P39"/>
      <c r="Q39"/>
      <c r="R39"/>
      <c r="S39"/>
      <c r="T39"/>
    </row>
    <row r="40" spans="1:20" ht="15.75" thickBot="1" x14ac:dyDescent="0.3">
      <c r="A40" s="81">
        <f t="shared" si="18"/>
        <v>34</v>
      </c>
      <c r="B40" s="261" t="s">
        <v>97</v>
      </c>
      <c r="C40" s="261"/>
      <c r="D40" s="261"/>
      <c r="E40" s="261"/>
      <c r="F40"/>
      <c r="G40" s="129">
        <f>SUM(G35:G39)</f>
        <v>9.0466000000000005E-2</v>
      </c>
      <c r="H40" s="130">
        <f>SUM(H35:H39)</f>
        <v>9.0221999999999997E-2</v>
      </c>
      <c r="I40" s="69" t="s">
        <v>96</v>
      </c>
      <c r="J40" s="69"/>
      <c r="K40" s="69"/>
      <c r="L40" s="68"/>
      <c r="M40" s="68"/>
      <c r="N40" s="68"/>
      <c r="O40"/>
      <c r="P40"/>
      <c r="Q40"/>
      <c r="R40"/>
      <c r="S40"/>
      <c r="T40"/>
    </row>
    <row r="41" spans="1:20" ht="15.75" thickTop="1" x14ac:dyDescent="0.25">
      <c r="A41" s="81">
        <f t="shared" si="18"/>
        <v>35</v>
      </c>
      <c r="B41" s="263"/>
      <c r="C41" s="263"/>
      <c r="D41" s="263"/>
      <c r="E41" s="263"/>
      <c r="F41"/>
      <c r="G41" s="127"/>
      <c r="H41" s="128"/>
      <c r="I41" s="68"/>
      <c r="J41" s="68"/>
      <c r="K41" s="68"/>
      <c r="L41" s="68"/>
      <c r="M41" s="68"/>
      <c r="N41" s="68"/>
      <c r="O41"/>
      <c r="P41"/>
      <c r="Q41"/>
      <c r="R41"/>
      <c r="S41"/>
      <c r="T41"/>
    </row>
    <row r="42" spans="1:20" ht="15" x14ac:dyDescent="0.25">
      <c r="A42" s="81">
        <f t="shared" si="18"/>
        <v>36</v>
      </c>
      <c r="B42" s="263" t="s">
        <v>50</v>
      </c>
      <c r="C42" s="263"/>
      <c r="D42" s="263"/>
      <c r="E42" s="263"/>
      <c r="F42"/>
      <c r="G42" s="127">
        <v>0.106297</v>
      </c>
      <c r="H42" s="128">
        <f>+G42</f>
        <v>0.106297</v>
      </c>
      <c r="I42" s="68" t="s">
        <v>96</v>
      </c>
      <c r="J42" s="68"/>
      <c r="K42" s="68"/>
      <c r="L42" s="68"/>
      <c r="M42" s="68"/>
      <c r="N42" s="68"/>
      <c r="O42"/>
      <c r="P42"/>
      <c r="Q42"/>
      <c r="R42"/>
      <c r="S42"/>
      <c r="T42"/>
    </row>
    <row r="43" spans="1:20" ht="15" x14ac:dyDescent="0.25">
      <c r="A43" s="81">
        <f t="shared" si="18"/>
        <v>37</v>
      </c>
      <c r="B43" s="264" t="s">
        <v>46</v>
      </c>
      <c r="C43" s="264"/>
      <c r="D43" s="264"/>
      <c r="E43" s="264"/>
      <c r="F43"/>
      <c r="G43" s="127">
        <v>8.9499999999999996E-4</v>
      </c>
      <c r="H43" s="128">
        <f>+G43</f>
        <v>8.9499999999999996E-4</v>
      </c>
      <c r="I43" s="68" t="s">
        <v>96</v>
      </c>
      <c r="J43" s="68"/>
      <c r="K43" s="68"/>
      <c r="L43" s="68"/>
      <c r="M43" s="68"/>
      <c r="N43" s="68"/>
      <c r="O43"/>
      <c r="P43"/>
      <c r="Q43"/>
      <c r="R43"/>
      <c r="S43"/>
      <c r="T43"/>
    </row>
    <row r="44" spans="1:20" ht="15" x14ac:dyDescent="0.25">
      <c r="A44" s="81">
        <f t="shared" si="18"/>
        <v>38</v>
      </c>
      <c r="B44" s="265" t="s">
        <v>42</v>
      </c>
      <c r="C44" s="265"/>
      <c r="D44" s="265"/>
      <c r="E44" s="265"/>
      <c r="F44" s="196"/>
      <c r="G44" s="197">
        <f>+G37</f>
        <v>3.4720000000000003E-3</v>
      </c>
      <c r="H44" s="197">
        <f>+H37</f>
        <v>3.228E-3</v>
      </c>
      <c r="I44" s="68" t="s">
        <v>96</v>
      </c>
      <c r="J44" s="68"/>
      <c r="K44" s="68"/>
      <c r="L44" s="68"/>
      <c r="M44" s="68"/>
      <c r="N44" s="68"/>
      <c r="O44"/>
      <c r="P44"/>
      <c r="Q44"/>
      <c r="R44"/>
      <c r="S44"/>
      <c r="T44"/>
    </row>
    <row r="45" spans="1:20" ht="15" x14ac:dyDescent="0.25">
      <c r="A45" s="81">
        <f t="shared" si="18"/>
        <v>39</v>
      </c>
      <c r="B45" s="264" t="s">
        <v>367</v>
      </c>
      <c r="C45" s="264"/>
      <c r="D45" s="264"/>
      <c r="E45" s="264"/>
      <c r="F45"/>
      <c r="G45" s="127">
        <v>0</v>
      </c>
      <c r="H45" s="128">
        <f>+G45</f>
        <v>0</v>
      </c>
      <c r="I45" s="69" t="s">
        <v>96</v>
      </c>
      <c r="J45" s="69"/>
      <c r="K45" s="69"/>
      <c r="L45" s="68"/>
      <c r="M45" s="68"/>
      <c r="N45" s="68"/>
      <c r="O45"/>
      <c r="P45"/>
      <c r="Q45"/>
      <c r="R45"/>
      <c r="S45"/>
      <c r="T45"/>
    </row>
    <row r="46" spans="1:20" ht="15" x14ac:dyDescent="0.25">
      <c r="A46" s="81">
        <f t="shared" si="18"/>
        <v>40</v>
      </c>
      <c r="B46" s="264" t="s">
        <v>40</v>
      </c>
      <c r="C46" s="264"/>
      <c r="D46" s="264"/>
      <c r="E46" s="264"/>
      <c r="F46"/>
      <c r="G46" s="127">
        <v>-1.237E-3</v>
      </c>
      <c r="H46" s="128">
        <f>+G46</f>
        <v>-1.237E-3</v>
      </c>
      <c r="I46" s="69" t="s">
        <v>96</v>
      </c>
      <c r="J46" s="69"/>
      <c r="K46" s="69"/>
      <c r="L46" s="68"/>
      <c r="M46" s="68"/>
      <c r="N46" s="68"/>
      <c r="O46"/>
      <c r="P46"/>
      <c r="Q46"/>
      <c r="R46"/>
      <c r="S46"/>
      <c r="T46"/>
    </row>
    <row r="47" spans="1:20" ht="15.75" thickBot="1" x14ac:dyDescent="0.3">
      <c r="A47" s="81">
        <f t="shared" si="18"/>
        <v>41</v>
      </c>
      <c r="B47" s="261" t="s">
        <v>98</v>
      </c>
      <c r="C47" s="261"/>
      <c r="D47" s="261"/>
      <c r="E47" s="261"/>
      <c r="F47"/>
      <c r="G47" s="129">
        <f>SUM(G42:G46)</f>
        <v>0.10942700000000001</v>
      </c>
      <c r="H47" s="130">
        <f>SUM(H42:H46)</f>
        <v>0.109183</v>
      </c>
      <c r="I47" s="69" t="s">
        <v>96</v>
      </c>
      <c r="J47" s="69"/>
      <c r="K47" s="69"/>
      <c r="L47" s="68"/>
      <c r="M47" s="68"/>
      <c r="N47" s="68"/>
      <c r="O47"/>
      <c r="P47"/>
      <c r="Q47"/>
      <c r="R47"/>
      <c r="S47"/>
      <c r="T47"/>
    </row>
    <row r="48" spans="1:20" ht="15.75" thickTop="1" x14ac:dyDescent="0.25">
      <c r="A48" s="81">
        <f t="shared" si="18"/>
        <v>42</v>
      </c>
      <c r="B48" s="263"/>
      <c r="C48" s="263"/>
      <c r="D48" s="263"/>
      <c r="E48" s="263"/>
      <c r="F48"/>
      <c r="G48" s="127"/>
      <c r="H48" s="128"/>
      <c r="I48" s="69"/>
      <c r="J48" s="69"/>
      <c r="K48" s="69"/>
      <c r="L48" s="68"/>
      <c r="M48" s="68"/>
      <c r="N48" s="68"/>
      <c r="O48"/>
      <c r="P48"/>
      <c r="Q48"/>
      <c r="R48"/>
      <c r="S48"/>
      <c r="T48"/>
    </row>
    <row r="49" spans="1:20" ht="15" x14ac:dyDescent="0.25">
      <c r="A49" s="81">
        <f t="shared" si="18"/>
        <v>43</v>
      </c>
      <c r="B49" s="261" t="s">
        <v>39</v>
      </c>
      <c r="C49" s="261"/>
      <c r="D49" s="261"/>
      <c r="E49" s="261"/>
      <c r="F49"/>
      <c r="G49" s="127">
        <v>-7.4058380000000005E-3</v>
      </c>
      <c r="H49" s="128">
        <f>+G49</f>
        <v>-7.4058380000000005E-3</v>
      </c>
      <c r="I49" s="69" t="s">
        <v>96</v>
      </c>
      <c r="J49" s="69"/>
      <c r="K49" s="69"/>
      <c r="L49" s="68"/>
      <c r="M49" s="68"/>
      <c r="N49" s="68"/>
      <c r="O49"/>
      <c r="P49"/>
      <c r="Q49"/>
      <c r="R49"/>
      <c r="S49"/>
      <c r="T49"/>
    </row>
    <row r="50" spans="1:20" ht="15" x14ac:dyDescent="0.25">
      <c r="A50" s="81">
        <f t="shared" si="18"/>
        <v>44</v>
      </c>
      <c r="B50" s="261" t="s">
        <v>44</v>
      </c>
      <c r="C50" s="261"/>
      <c r="D50" s="261"/>
      <c r="E50" s="261"/>
      <c r="F50"/>
      <c r="G50" s="127">
        <v>0</v>
      </c>
      <c r="H50" s="128">
        <f>+G50</f>
        <v>0</v>
      </c>
      <c r="I50" s="69" t="s">
        <v>96</v>
      </c>
      <c r="J50"/>
      <c r="K50"/>
      <c r="L50" s="68"/>
      <c r="M50" s="68"/>
      <c r="N50" s="68"/>
      <c r="O50"/>
      <c r="P50"/>
      <c r="Q50"/>
      <c r="R50"/>
      <c r="S50"/>
      <c r="T50"/>
    </row>
    <row r="51" spans="1:20" ht="15" x14ac:dyDescent="0.25">
      <c r="A51" s="81">
        <f t="shared" si="18"/>
        <v>45</v>
      </c>
      <c r="B51" s="263"/>
      <c r="C51" s="263"/>
      <c r="D51" s="263"/>
      <c r="E51" s="263"/>
      <c r="F51"/>
      <c r="G51" s="127"/>
      <c r="H51" s="128"/>
      <c r="I51"/>
      <c r="J51" s="68"/>
      <c r="K51" s="68"/>
      <c r="L51" s="68"/>
      <c r="M51" s="68"/>
      <c r="N51" s="68"/>
      <c r="O51"/>
      <c r="P51"/>
      <c r="Q51"/>
      <c r="R51"/>
      <c r="S51"/>
      <c r="T51"/>
    </row>
    <row r="52" spans="1:20" ht="15" x14ac:dyDescent="0.25">
      <c r="A52" s="81">
        <f t="shared" si="18"/>
        <v>46</v>
      </c>
      <c r="B52" s="263" t="s">
        <v>142</v>
      </c>
      <c r="C52" s="263"/>
      <c r="D52" s="263"/>
      <c r="E52" s="263"/>
      <c r="F52"/>
      <c r="G52" s="127"/>
      <c r="H52" s="128"/>
      <c r="I52" s="68" t="s">
        <v>96</v>
      </c>
      <c r="J52" s="68"/>
      <c r="K52" s="68"/>
      <c r="L52" s="68"/>
      <c r="M52" s="68"/>
      <c r="N52" s="68"/>
      <c r="O52"/>
      <c r="P52"/>
      <c r="Q52"/>
      <c r="R52"/>
      <c r="S52"/>
      <c r="T52"/>
    </row>
    <row r="53" spans="1:20" ht="15" x14ac:dyDescent="0.25">
      <c r="A53" s="81">
        <f t="shared" si="18"/>
        <v>47</v>
      </c>
      <c r="B53" s="264" t="s">
        <v>49</v>
      </c>
      <c r="C53" s="264"/>
      <c r="D53" s="264"/>
      <c r="E53" s="264"/>
      <c r="F53" s="64"/>
      <c r="G53" s="127">
        <v>0</v>
      </c>
      <c r="H53" s="128">
        <f>+G53</f>
        <v>0</v>
      </c>
      <c r="I53" s="68" t="s">
        <v>96</v>
      </c>
      <c r="J53" s="69"/>
      <c r="K53" s="69"/>
      <c r="L53" s="69"/>
      <c r="M53" s="69"/>
      <c r="N53" s="69"/>
      <c r="O53" s="64"/>
      <c r="P53" s="64"/>
      <c r="Q53" s="64"/>
      <c r="R53" s="64"/>
      <c r="S53" s="64"/>
      <c r="T53" s="64"/>
    </row>
    <row r="54" spans="1:20" ht="15" x14ac:dyDescent="0.25">
      <c r="A54" s="81">
        <f t="shared" si="18"/>
        <v>48</v>
      </c>
      <c r="B54" s="264" t="s">
        <v>48</v>
      </c>
      <c r="C54" s="264"/>
      <c r="D54" s="264"/>
      <c r="E54" s="264"/>
      <c r="F54"/>
      <c r="G54" s="127">
        <v>-1.913E-3</v>
      </c>
      <c r="H54" s="128">
        <f>+G54</f>
        <v>-1.913E-3</v>
      </c>
      <c r="I54" s="69" t="s">
        <v>96</v>
      </c>
      <c r="J54" s="69"/>
      <c r="K54" s="69"/>
      <c r="L54" s="68"/>
      <c r="M54" s="68"/>
      <c r="N54" s="68"/>
      <c r="O54"/>
      <c r="P54"/>
      <c r="Q54"/>
      <c r="R54"/>
      <c r="S54"/>
      <c r="T54"/>
    </row>
    <row r="55" spans="1:20" ht="15" x14ac:dyDescent="0.25">
      <c r="A55" s="81">
        <f t="shared" si="18"/>
        <v>49</v>
      </c>
      <c r="B55" s="264" t="s">
        <v>47</v>
      </c>
      <c r="C55" s="264"/>
      <c r="D55" s="264"/>
      <c r="E55" s="264"/>
      <c r="F55"/>
      <c r="G55" s="127">
        <v>4.8599999999999997E-3</v>
      </c>
      <c r="H55" s="128">
        <f>+G55</f>
        <v>4.8599999999999997E-3</v>
      </c>
      <c r="I55" s="69" t="s">
        <v>96</v>
      </c>
      <c r="J55" s="69"/>
      <c r="K55" s="69"/>
      <c r="L55" s="68"/>
      <c r="M55" s="68"/>
      <c r="N55" s="68"/>
      <c r="O55"/>
      <c r="P55"/>
      <c r="Q55"/>
      <c r="R55"/>
      <c r="S55"/>
      <c r="T55"/>
    </row>
    <row r="56" spans="1:20" ht="15" x14ac:dyDescent="0.25">
      <c r="A56" s="81">
        <f t="shared" si="18"/>
        <v>50</v>
      </c>
      <c r="B56" s="264" t="s">
        <v>45</v>
      </c>
      <c r="C56" s="264"/>
      <c r="D56" s="264"/>
      <c r="E56" s="264"/>
      <c r="F56"/>
      <c r="G56" s="127">
        <v>0</v>
      </c>
      <c r="H56" s="128">
        <f t="shared" ref="H56:H57" si="24">+G56</f>
        <v>0</v>
      </c>
      <c r="I56" s="69" t="s">
        <v>96</v>
      </c>
      <c r="J56" s="69"/>
      <c r="K56" s="69"/>
      <c r="L56" s="68"/>
      <c r="M56" s="68"/>
      <c r="N56" s="68"/>
      <c r="O56"/>
      <c r="P56"/>
      <c r="Q56"/>
      <c r="R56"/>
      <c r="S56"/>
      <c r="T56"/>
    </row>
    <row r="57" spans="1:20" ht="15" x14ac:dyDescent="0.25">
      <c r="A57" s="81">
        <f t="shared" si="18"/>
        <v>51</v>
      </c>
      <c r="B57" s="264" t="s">
        <v>43</v>
      </c>
      <c r="C57" s="264"/>
      <c r="D57" s="264"/>
      <c r="E57" s="264"/>
      <c r="F57"/>
      <c r="G57" s="127">
        <v>-7.2999999999999999E-5</v>
      </c>
      <c r="H57" s="128">
        <f t="shared" si="24"/>
        <v>-7.2999999999999999E-5</v>
      </c>
      <c r="I57" s="69" t="s">
        <v>96</v>
      </c>
      <c r="J57" s="69"/>
      <c r="K57" s="69"/>
      <c r="L57" s="68"/>
      <c r="M57" s="68"/>
      <c r="N57" s="68"/>
      <c r="O57"/>
      <c r="P57"/>
      <c r="Q57"/>
      <c r="R57"/>
      <c r="S57"/>
      <c r="T57"/>
    </row>
    <row r="58" spans="1:20" ht="15.75" thickBot="1" x14ac:dyDescent="0.3">
      <c r="A58" s="81">
        <f t="shared" si="18"/>
        <v>52</v>
      </c>
      <c r="B58" s="261" t="s">
        <v>143</v>
      </c>
      <c r="C58" s="261"/>
      <c r="D58" s="261"/>
      <c r="E58" s="261"/>
      <c r="F58"/>
      <c r="G58" s="129">
        <f>SUM(G53:G57)</f>
        <v>2.8739999999999998E-3</v>
      </c>
      <c r="H58" s="130">
        <f>SUM(H53:H57)</f>
        <v>2.8739999999999998E-3</v>
      </c>
      <c r="I58" s="69" t="s">
        <v>96</v>
      </c>
      <c r="J58"/>
      <c r="K58"/>
      <c r="L58"/>
      <c r="M58"/>
      <c r="N58"/>
      <c r="O58"/>
      <c r="P58"/>
      <c r="Q58"/>
      <c r="R58"/>
      <c r="S58"/>
      <c r="T58"/>
    </row>
    <row r="59" spans="1:20" ht="15.75" thickTop="1" x14ac:dyDescent="0.25">
      <c r="A59" s="81">
        <f t="shared" si="18"/>
        <v>53</v>
      </c>
      <c r="B59" s="263"/>
      <c r="C59" s="263"/>
      <c r="D59" s="263"/>
      <c r="E59" s="263"/>
      <c r="F59"/>
      <c r="G59" s="80"/>
      <c r="H59" s="100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x14ac:dyDescent="0.25">
      <c r="A60" s="81">
        <f t="shared" si="18"/>
        <v>54</v>
      </c>
      <c r="B60" s="261" t="s">
        <v>144</v>
      </c>
      <c r="C60" s="261"/>
      <c r="D60" s="261"/>
      <c r="E60" s="261"/>
      <c r="F60"/>
      <c r="G60" s="101">
        <f>SUM(G40,G49:G50,G58)</f>
        <v>8.5934162000000008E-2</v>
      </c>
      <c r="H60" s="102">
        <f>SUM(H40,H49:H50,H58)</f>
        <v>8.5690162E-2</v>
      </c>
      <c r="I60" s="69" t="s">
        <v>96</v>
      </c>
      <c r="J60"/>
      <c r="K60"/>
      <c r="L60"/>
      <c r="M60"/>
      <c r="N60"/>
      <c r="O60"/>
      <c r="P60"/>
      <c r="Q60"/>
      <c r="R60"/>
      <c r="S60"/>
      <c r="T60"/>
    </row>
    <row r="61" spans="1:20" ht="15" x14ac:dyDescent="0.25">
      <c r="A61" s="81">
        <f t="shared" si="18"/>
        <v>55</v>
      </c>
      <c r="B61" s="261" t="s">
        <v>145</v>
      </c>
      <c r="C61" s="261"/>
      <c r="D61" s="261"/>
      <c r="E61" s="261"/>
      <c r="F61"/>
      <c r="G61" s="103">
        <f>SUM(G47,G49:G50,G58)</f>
        <v>0.10489516200000001</v>
      </c>
      <c r="H61" s="104">
        <f>SUM(H47,H49:H50,H58)</f>
        <v>0.10465116200000001</v>
      </c>
      <c r="I61" s="69" t="s">
        <v>96</v>
      </c>
      <c r="J61"/>
      <c r="K61"/>
      <c r="L61"/>
      <c r="M61"/>
      <c r="N61"/>
      <c r="O61"/>
      <c r="P61"/>
      <c r="Q61"/>
      <c r="R61"/>
      <c r="S61"/>
      <c r="T61"/>
    </row>
    <row r="62" spans="1:20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15" x14ac:dyDescent="0.25">
      <c r="A65"/>
      <c r="B65"/>
      <c r="C65" s="266" t="s">
        <v>394</v>
      </c>
      <c r="D65" s="266"/>
      <c r="E65" s="266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60" x14ac:dyDescent="0.25">
      <c r="A66"/>
      <c r="B66" s="105"/>
      <c r="C66" s="106" t="s">
        <v>146</v>
      </c>
      <c r="D66" s="106" t="s">
        <v>147</v>
      </c>
      <c r="E66" s="106" t="s">
        <v>148</v>
      </c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</row>
    <row r="67" spans="1:20" ht="15" x14ac:dyDescent="0.25">
      <c r="A67"/>
      <c r="B67" t="str">
        <f>+B7</f>
        <v>January</v>
      </c>
      <c r="C67" s="131">
        <v>1258458999.9999998</v>
      </c>
      <c r="D67" s="136">
        <v>1029336</v>
      </c>
      <c r="E67" s="136">
        <f t="shared" ref="E67:E78" si="25">ROUND(+C67/D67,0)</f>
        <v>1223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15" x14ac:dyDescent="0.25">
      <c r="A68"/>
      <c r="B68" t="str">
        <f t="shared" ref="B68:B78" si="26">+B8</f>
        <v>February</v>
      </c>
      <c r="C68" s="136">
        <v>1089253000</v>
      </c>
      <c r="D68" s="136">
        <v>1030405</v>
      </c>
      <c r="E68" s="136">
        <f t="shared" si="25"/>
        <v>1057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15" x14ac:dyDescent="0.25">
      <c r="A69"/>
      <c r="B69" t="str">
        <f t="shared" si="26"/>
        <v>March</v>
      </c>
      <c r="C69" s="136">
        <v>1040985000</v>
      </c>
      <c r="D69" s="136">
        <v>1031320</v>
      </c>
      <c r="E69" s="136">
        <f t="shared" si="25"/>
        <v>1009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15" x14ac:dyDescent="0.25">
      <c r="A70"/>
      <c r="B70" t="str">
        <f t="shared" si="26"/>
        <v>April</v>
      </c>
      <c r="C70" s="136">
        <v>858224000</v>
      </c>
      <c r="D70" s="136">
        <v>1032177</v>
      </c>
      <c r="E70" s="136">
        <f t="shared" si="25"/>
        <v>831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15" x14ac:dyDescent="0.25">
      <c r="A71"/>
      <c r="B71" t="str">
        <f t="shared" si="26"/>
        <v>May</v>
      </c>
      <c r="C71" s="136">
        <v>739742000</v>
      </c>
      <c r="D71" s="136">
        <v>1020686</v>
      </c>
      <c r="E71" s="136">
        <f t="shared" si="25"/>
        <v>725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ht="15" x14ac:dyDescent="0.25">
      <c r="A72"/>
      <c r="B72" t="str">
        <f t="shared" si="26"/>
        <v>June</v>
      </c>
      <c r="C72" s="136">
        <v>680386000</v>
      </c>
      <c r="D72" s="136">
        <v>1021433</v>
      </c>
      <c r="E72" s="136">
        <f t="shared" si="25"/>
        <v>666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ht="15" x14ac:dyDescent="0.25">
      <c r="A73"/>
      <c r="B73" t="str">
        <f t="shared" si="26"/>
        <v>July</v>
      </c>
      <c r="C73" s="136">
        <v>681210000</v>
      </c>
      <c r="D73" s="136">
        <v>1021991</v>
      </c>
      <c r="E73" s="136">
        <f t="shared" si="25"/>
        <v>667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ht="15" x14ac:dyDescent="0.25">
      <c r="A74"/>
      <c r="B74" t="str">
        <f t="shared" si="26"/>
        <v>August</v>
      </c>
      <c r="C74" s="136">
        <v>664685000</v>
      </c>
      <c r="D74" s="136">
        <v>1022870</v>
      </c>
      <c r="E74" s="136">
        <f t="shared" si="25"/>
        <v>650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ht="15" x14ac:dyDescent="0.25">
      <c r="A75"/>
      <c r="B75" t="str">
        <f t="shared" si="26"/>
        <v>September</v>
      </c>
      <c r="C75" s="136">
        <v>667587999.99999988</v>
      </c>
      <c r="D75" s="136">
        <v>1024028</v>
      </c>
      <c r="E75" s="136">
        <f t="shared" si="25"/>
        <v>652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ht="15" x14ac:dyDescent="0.25">
      <c r="A76"/>
      <c r="B76" t="str">
        <f t="shared" si="26"/>
        <v>October</v>
      </c>
      <c r="C76" s="136">
        <v>832841999.99999988</v>
      </c>
      <c r="D76" s="136">
        <v>1025543</v>
      </c>
      <c r="E76" s="136">
        <f t="shared" si="25"/>
        <v>812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ht="15" x14ac:dyDescent="0.25">
      <c r="A77"/>
      <c r="B77" t="str">
        <f t="shared" si="26"/>
        <v>November</v>
      </c>
      <c r="C77" s="136">
        <v>1028038000</v>
      </c>
      <c r="D77" s="136">
        <v>1026942</v>
      </c>
      <c r="E77" s="136">
        <f t="shared" si="25"/>
        <v>1001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ht="15" x14ac:dyDescent="0.25">
      <c r="A78"/>
      <c r="B78" t="str">
        <f t="shared" si="26"/>
        <v>December</v>
      </c>
      <c r="C78" s="136">
        <v>1299084000</v>
      </c>
      <c r="D78" s="136">
        <v>1028067</v>
      </c>
      <c r="E78" s="136">
        <f t="shared" si="25"/>
        <v>1264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ht="15" x14ac:dyDescent="0.25">
      <c r="A79"/>
      <c r="B79" t="s">
        <v>38</v>
      </c>
      <c r="C79" s="131">
        <f>SUM(C67:C78)</f>
        <v>10840496000</v>
      </c>
      <c r="D79" s="131">
        <f>SUM(D67:D78)</f>
        <v>12314798</v>
      </c>
      <c r="E79" s="107">
        <f>SUM(E67:E78)</f>
        <v>10557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ht="15" x14ac:dyDescent="0.25">
      <c r="A80"/>
      <c r="B80"/>
      <c r="C80" s="64"/>
      <c r="D80" s="64"/>
      <c r="E80" s="107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15" x14ac:dyDescent="0.25">
      <c r="A81"/>
      <c r="B81" t="s">
        <v>149</v>
      </c>
      <c r="C81" s="108"/>
      <c r="D81" s="108"/>
      <c r="E81" s="108">
        <f>ROUND(AVERAGE(E67:E78),0)</f>
        <v>880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</sheetData>
  <mergeCells count="34">
    <mergeCell ref="B59:E59"/>
    <mergeCell ref="B60:E60"/>
    <mergeCell ref="B61:E61"/>
    <mergeCell ref="C65:E65"/>
    <mergeCell ref="B53:E53"/>
    <mergeCell ref="B54:E54"/>
    <mergeCell ref="B55:E55"/>
    <mergeCell ref="B56:E56"/>
    <mergeCell ref="B57:E57"/>
    <mergeCell ref="B58:E58"/>
    <mergeCell ref="B52:E52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40:E40"/>
    <mergeCell ref="D5:O5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</mergeCells>
  <printOptions horizontalCentered="1"/>
  <pageMargins left="0.7" right="0.7" top="0.75" bottom="0.75" header="0.3" footer="0.3"/>
  <pageSetup scale="51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pane xSplit="3" ySplit="7" topLeftCell="D8" activePane="bottomRight" state="frozen"/>
      <selection activeCell="E8" sqref="E8"/>
      <selection pane="topRight" activeCell="E8" sqref="E8"/>
      <selection pane="bottomLeft" activeCell="E8" sqref="E8"/>
      <selection pane="bottomRight" activeCell="D7" sqref="D7"/>
    </sheetView>
  </sheetViews>
  <sheetFormatPr defaultRowHeight="15" x14ac:dyDescent="0.25"/>
  <cols>
    <col min="1" max="1" width="7.7109375" customWidth="1"/>
    <col min="2" max="2" width="22.42578125" customWidth="1"/>
    <col min="3" max="3" width="14.5703125" bestFit="1" customWidth="1"/>
    <col min="4" max="4" width="14.5703125" customWidth="1"/>
    <col min="5" max="5" width="11.140625" bestFit="1" customWidth="1"/>
    <col min="6" max="6" width="12.5703125" customWidth="1"/>
    <col min="7" max="7" width="13.140625" bestFit="1" customWidth="1"/>
    <col min="8" max="8" width="12" customWidth="1"/>
    <col min="9" max="9" width="11.5703125" customWidth="1"/>
    <col min="10" max="10" width="11.5703125" bestFit="1" customWidth="1"/>
    <col min="11" max="11" width="10.140625" customWidth="1"/>
    <col min="12" max="12" width="14.5703125" bestFit="1" customWidth="1"/>
    <col min="13" max="13" width="12.5703125" bestFit="1" customWidth="1"/>
    <col min="14" max="14" width="17.7109375" bestFit="1" customWidth="1"/>
  </cols>
  <sheetData>
    <row r="1" spans="1:14" x14ac:dyDescent="0.25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x14ac:dyDescent="0.25">
      <c r="A2" s="268" t="s">
        <v>370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4" x14ac:dyDescent="0.25">
      <c r="A3" s="268" t="s">
        <v>388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4" x14ac:dyDescent="0.25">
      <c r="A4" s="268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</row>
    <row r="5" spans="1:14" x14ac:dyDescent="0.25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92"/>
      <c r="L5" s="110"/>
      <c r="M5" s="110"/>
      <c r="N5" s="111"/>
    </row>
    <row r="6" spans="1:14" x14ac:dyDescent="0.25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92"/>
      <c r="L6" s="110"/>
      <c r="M6" s="110"/>
      <c r="N6" s="112"/>
    </row>
    <row r="7" spans="1:14" ht="64.5" x14ac:dyDescent="0.25">
      <c r="A7" s="113" t="s">
        <v>1</v>
      </c>
      <c r="B7" s="113" t="s">
        <v>36</v>
      </c>
      <c r="C7" s="114" t="s">
        <v>89</v>
      </c>
      <c r="D7" s="114" t="s">
        <v>152</v>
      </c>
      <c r="E7" s="114" t="s">
        <v>153</v>
      </c>
      <c r="F7" s="114" t="s">
        <v>154</v>
      </c>
      <c r="G7" s="114" t="s">
        <v>155</v>
      </c>
      <c r="H7" s="114" t="s">
        <v>156</v>
      </c>
      <c r="I7" s="114" t="s">
        <v>157</v>
      </c>
      <c r="J7" s="114" t="s">
        <v>158</v>
      </c>
      <c r="K7" s="114" t="s">
        <v>371</v>
      </c>
      <c r="L7" s="114" t="s">
        <v>159</v>
      </c>
      <c r="M7" s="114" t="s">
        <v>160</v>
      </c>
      <c r="N7" s="137" t="s">
        <v>168</v>
      </c>
    </row>
    <row r="8" spans="1:14" x14ac:dyDescent="0.25">
      <c r="A8" s="110">
        <v>1</v>
      </c>
      <c r="B8" s="115">
        <v>7</v>
      </c>
      <c r="C8" s="198">
        <v>10838149000</v>
      </c>
      <c r="D8" s="132">
        <v>1127848000</v>
      </c>
      <c r="E8" s="132">
        <v>0</v>
      </c>
      <c r="F8" s="132">
        <v>-20733000</v>
      </c>
      <c r="G8" s="132">
        <v>52673000</v>
      </c>
      <c r="H8" s="132">
        <v>9700000</v>
      </c>
      <c r="I8" s="132">
        <v>0</v>
      </c>
      <c r="J8" s="132">
        <v>-791000</v>
      </c>
      <c r="K8" s="132">
        <v>0</v>
      </c>
      <c r="L8" s="132">
        <v>-13407000</v>
      </c>
      <c r="M8" s="132">
        <v>-80266000</v>
      </c>
      <c r="N8" s="132">
        <f>SUM(D8:M8)</f>
        <v>1075024000</v>
      </c>
    </row>
    <row r="9" spans="1:14" x14ac:dyDescent="0.25">
      <c r="A9" s="110">
        <f t="shared" ref="A9:A41" si="0">+A8+1</f>
        <v>2</v>
      </c>
      <c r="B9" s="116" t="s">
        <v>161</v>
      </c>
      <c r="C9" s="198">
        <v>2347000</v>
      </c>
      <c r="D9" s="132">
        <v>212000</v>
      </c>
      <c r="E9" s="132">
        <v>0</v>
      </c>
      <c r="F9" s="132">
        <v>-4000</v>
      </c>
      <c r="G9" s="132">
        <v>10000</v>
      </c>
      <c r="H9" s="132">
        <v>2000</v>
      </c>
      <c r="I9" s="132">
        <v>0</v>
      </c>
      <c r="J9" s="132">
        <v>0</v>
      </c>
      <c r="K9" s="132">
        <v>0</v>
      </c>
      <c r="L9" s="132">
        <v>3000</v>
      </c>
      <c r="M9" s="132">
        <v>-17000</v>
      </c>
      <c r="N9" s="132">
        <f>SUM(D9:M9)</f>
        <v>206000</v>
      </c>
    </row>
    <row r="10" spans="1:14" x14ac:dyDescent="0.25">
      <c r="A10" s="110">
        <f t="shared" si="0"/>
        <v>3</v>
      </c>
      <c r="B10" s="117" t="s">
        <v>8</v>
      </c>
      <c r="C10" s="199">
        <f t="shared" ref="C10" si="1">SUM(C8:C9)</f>
        <v>10840496000</v>
      </c>
      <c r="D10" s="133">
        <f t="shared" ref="D10:M10" si="2">SUM(D8:D9)</f>
        <v>1128060000</v>
      </c>
      <c r="E10" s="133">
        <f t="shared" si="2"/>
        <v>0</v>
      </c>
      <c r="F10" s="133">
        <f t="shared" si="2"/>
        <v>-20737000</v>
      </c>
      <c r="G10" s="133">
        <f t="shared" si="2"/>
        <v>52683000</v>
      </c>
      <c r="H10" s="133">
        <f t="shared" si="2"/>
        <v>9702000</v>
      </c>
      <c r="I10" s="133">
        <f t="shared" si="2"/>
        <v>0</v>
      </c>
      <c r="J10" s="133">
        <f t="shared" si="2"/>
        <v>-791000</v>
      </c>
      <c r="K10" s="133">
        <f t="shared" si="2"/>
        <v>0</v>
      </c>
      <c r="L10" s="133">
        <f t="shared" si="2"/>
        <v>-13404000</v>
      </c>
      <c r="M10" s="133">
        <f t="shared" si="2"/>
        <v>-80283000</v>
      </c>
      <c r="N10" s="133">
        <f t="shared" ref="N10" si="3">SUM(N8:N9)</f>
        <v>1075230000</v>
      </c>
    </row>
    <row r="11" spans="1:14" x14ac:dyDescent="0.25">
      <c r="A11" s="110">
        <f t="shared" si="0"/>
        <v>4</v>
      </c>
      <c r="B11" s="110"/>
      <c r="C11" s="198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</row>
    <row r="12" spans="1:14" x14ac:dyDescent="0.25">
      <c r="A12" s="110">
        <f t="shared" si="0"/>
        <v>5</v>
      </c>
      <c r="B12" s="115">
        <v>8</v>
      </c>
      <c r="C12" s="198">
        <v>274905000</v>
      </c>
      <c r="D12" s="132">
        <v>26752000</v>
      </c>
      <c r="E12" s="132">
        <v>0</v>
      </c>
      <c r="F12" s="132">
        <v>-451000</v>
      </c>
      <c r="G12" s="132">
        <v>1157000</v>
      </c>
      <c r="H12" s="132">
        <v>236000</v>
      </c>
      <c r="I12" s="132">
        <v>0</v>
      </c>
      <c r="J12" s="132">
        <v>-17000</v>
      </c>
      <c r="K12" s="132">
        <v>0</v>
      </c>
      <c r="L12" s="132">
        <v>344000</v>
      </c>
      <c r="M12" s="132">
        <v>-2036000</v>
      </c>
      <c r="N12" s="132">
        <f t="shared" ref="N12:N18" si="4">SUM(D12:M12)</f>
        <v>25985000</v>
      </c>
    </row>
    <row r="13" spans="1:14" x14ac:dyDescent="0.25">
      <c r="A13" s="110">
        <f t="shared" si="0"/>
        <v>6</v>
      </c>
      <c r="B13" s="115">
        <v>24</v>
      </c>
      <c r="C13" s="198">
        <v>2842704000</v>
      </c>
      <c r="D13" s="132">
        <v>276636000</v>
      </c>
      <c r="E13" s="132">
        <v>0</v>
      </c>
      <c r="F13" s="132">
        <v>-4665000</v>
      </c>
      <c r="G13" s="132">
        <v>11962000</v>
      </c>
      <c r="H13" s="132">
        <v>2436000</v>
      </c>
      <c r="I13" s="132">
        <v>0</v>
      </c>
      <c r="J13" s="132">
        <v>-179000</v>
      </c>
      <c r="K13" s="132">
        <v>0</v>
      </c>
      <c r="L13" s="132">
        <v>3556000</v>
      </c>
      <c r="M13" s="132">
        <v>0</v>
      </c>
      <c r="N13" s="132">
        <f t="shared" si="4"/>
        <v>289746000</v>
      </c>
    </row>
    <row r="14" spans="1:14" x14ac:dyDescent="0.25">
      <c r="A14" s="110">
        <f t="shared" si="0"/>
        <v>7</v>
      </c>
      <c r="B14" s="116">
        <v>11</v>
      </c>
      <c r="C14" s="198">
        <v>161833000</v>
      </c>
      <c r="D14" s="132">
        <v>14598000</v>
      </c>
      <c r="E14" s="132">
        <v>0</v>
      </c>
      <c r="F14" s="132">
        <v>-254000</v>
      </c>
      <c r="G14" s="132">
        <v>689000</v>
      </c>
      <c r="H14" s="132">
        <v>129000</v>
      </c>
      <c r="I14" s="132">
        <v>0</v>
      </c>
      <c r="J14" s="132">
        <v>-10000</v>
      </c>
      <c r="K14" s="132">
        <v>0</v>
      </c>
      <c r="L14" s="132">
        <v>228000</v>
      </c>
      <c r="M14" s="132">
        <v>-1199000</v>
      </c>
      <c r="N14" s="132">
        <f t="shared" si="4"/>
        <v>14181000</v>
      </c>
    </row>
    <row r="15" spans="1:14" x14ac:dyDescent="0.25">
      <c r="A15" s="110">
        <f t="shared" si="0"/>
        <v>8</v>
      </c>
      <c r="B15" s="116">
        <v>25</v>
      </c>
      <c r="C15" s="198">
        <v>3118988000</v>
      </c>
      <c r="D15" s="132">
        <v>281348000</v>
      </c>
      <c r="E15" s="132">
        <v>0</v>
      </c>
      <c r="F15" s="132">
        <v>-4891000</v>
      </c>
      <c r="G15" s="132">
        <v>13278000</v>
      </c>
      <c r="H15" s="132">
        <v>2483000</v>
      </c>
      <c r="I15" s="132">
        <v>0</v>
      </c>
      <c r="J15" s="132">
        <v>-187000</v>
      </c>
      <c r="K15" s="132">
        <v>0</v>
      </c>
      <c r="L15" s="132">
        <v>4392000</v>
      </c>
      <c r="M15" s="132">
        <v>0</v>
      </c>
      <c r="N15" s="132">
        <f t="shared" si="4"/>
        <v>296423000</v>
      </c>
    </row>
    <row r="16" spans="1:14" x14ac:dyDescent="0.25">
      <c r="A16" s="110">
        <f t="shared" si="0"/>
        <v>9</v>
      </c>
      <c r="B16" s="115">
        <v>12</v>
      </c>
      <c r="C16" s="198">
        <v>19940000</v>
      </c>
      <c r="D16" s="132">
        <v>1652000</v>
      </c>
      <c r="E16" s="132">
        <v>0</v>
      </c>
      <c r="F16" s="132">
        <v>-34000</v>
      </c>
      <c r="G16" s="132">
        <v>86000</v>
      </c>
      <c r="H16" s="132">
        <v>14000</v>
      </c>
      <c r="I16" s="132">
        <v>0</v>
      </c>
      <c r="J16" s="132">
        <v>-1000</v>
      </c>
      <c r="K16" s="132">
        <v>0</v>
      </c>
      <c r="L16" s="132">
        <v>-1000</v>
      </c>
      <c r="M16" s="132">
        <v>-148000</v>
      </c>
      <c r="N16" s="132">
        <f t="shared" si="4"/>
        <v>1568000</v>
      </c>
    </row>
    <row r="17" spans="1:14" x14ac:dyDescent="0.25">
      <c r="A17" s="110">
        <f t="shared" si="0"/>
        <v>10</v>
      </c>
      <c r="B17" s="115" t="s">
        <v>162</v>
      </c>
      <c r="C17" s="198">
        <v>1922586000</v>
      </c>
      <c r="D17" s="132">
        <v>159298000</v>
      </c>
      <c r="E17" s="132">
        <v>0</v>
      </c>
      <c r="F17" s="132">
        <v>-3288000</v>
      </c>
      <c r="G17" s="132">
        <v>8315000</v>
      </c>
      <c r="H17" s="132">
        <v>1378000</v>
      </c>
      <c r="I17" s="132">
        <v>0</v>
      </c>
      <c r="J17" s="132">
        <v>-125000</v>
      </c>
      <c r="K17" s="132">
        <v>0</v>
      </c>
      <c r="L17" s="132">
        <v>-98000</v>
      </c>
      <c r="M17" s="132">
        <v>0</v>
      </c>
      <c r="N17" s="132">
        <f t="shared" si="4"/>
        <v>165480000</v>
      </c>
    </row>
    <row r="18" spans="1:14" x14ac:dyDescent="0.25">
      <c r="A18" s="110">
        <f t="shared" si="0"/>
        <v>11</v>
      </c>
      <c r="B18" s="115">
        <v>29</v>
      </c>
      <c r="C18" s="198">
        <v>16292000</v>
      </c>
      <c r="D18" s="132">
        <v>1294000</v>
      </c>
      <c r="E18" s="132">
        <v>0</v>
      </c>
      <c r="F18" s="132">
        <v>-21000</v>
      </c>
      <c r="G18" s="132">
        <v>52000</v>
      </c>
      <c r="H18" s="132">
        <v>12000</v>
      </c>
      <c r="I18" s="132">
        <v>0</v>
      </c>
      <c r="J18" s="132">
        <v>-1000</v>
      </c>
      <c r="K18" s="132">
        <v>0</v>
      </c>
      <c r="L18" s="132">
        <v>23000</v>
      </c>
      <c r="M18" s="132">
        <v>-121000</v>
      </c>
      <c r="N18" s="132">
        <f t="shared" si="4"/>
        <v>1238000</v>
      </c>
    </row>
    <row r="19" spans="1:14" x14ac:dyDescent="0.25">
      <c r="A19" s="110">
        <f t="shared" si="0"/>
        <v>12</v>
      </c>
      <c r="B19" s="118" t="s">
        <v>13</v>
      </c>
      <c r="C19" s="199">
        <f t="shared" ref="C19" si="5">SUM(C12:C18)</f>
        <v>8357248000</v>
      </c>
      <c r="D19" s="133">
        <f t="shared" ref="D19:M19" si="6">SUM(D12:D18)</f>
        <v>761578000</v>
      </c>
      <c r="E19" s="133">
        <f t="shared" si="6"/>
        <v>0</v>
      </c>
      <c r="F19" s="133">
        <f t="shared" si="6"/>
        <v>-13604000</v>
      </c>
      <c r="G19" s="133">
        <f t="shared" si="6"/>
        <v>35539000</v>
      </c>
      <c r="H19" s="133">
        <f t="shared" si="6"/>
        <v>6688000</v>
      </c>
      <c r="I19" s="133">
        <f t="shared" si="6"/>
        <v>0</v>
      </c>
      <c r="J19" s="133">
        <f t="shared" si="6"/>
        <v>-520000</v>
      </c>
      <c r="K19" s="133">
        <f t="shared" si="6"/>
        <v>0</v>
      </c>
      <c r="L19" s="133">
        <f t="shared" si="6"/>
        <v>8444000</v>
      </c>
      <c r="M19" s="133">
        <f t="shared" si="6"/>
        <v>-3504000</v>
      </c>
      <c r="N19" s="133">
        <f t="shared" ref="N19" si="7">SUM(N12:N18)</f>
        <v>794621000</v>
      </c>
    </row>
    <row r="20" spans="1:14" x14ac:dyDescent="0.25">
      <c r="A20" s="110">
        <f t="shared" si="0"/>
        <v>13</v>
      </c>
      <c r="B20" s="110"/>
      <c r="C20" s="198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</row>
    <row r="21" spans="1:14" x14ac:dyDescent="0.25">
      <c r="A21" s="110">
        <f t="shared" si="0"/>
        <v>14</v>
      </c>
      <c r="B21" s="115">
        <v>10</v>
      </c>
      <c r="C21" s="198">
        <v>36510000</v>
      </c>
      <c r="D21" s="132">
        <v>2961000</v>
      </c>
      <c r="E21" s="132">
        <v>0</v>
      </c>
      <c r="F21" s="132">
        <v>-56000</v>
      </c>
      <c r="G21" s="132">
        <v>152000</v>
      </c>
      <c r="H21" s="132">
        <v>26000</v>
      </c>
      <c r="I21" s="132">
        <v>0</v>
      </c>
      <c r="J21" s="132">
        <v>-2000</v>
      </c>
      <c r="K21" s="132">
        <v>0</v>
      </c>
      <c r="L21" s="132">
        <v>-8000</v>
      </c>
      <c r="M21" s="132">
        <v>-270000</v>
      </c>
      <c r="N21" s="132">
        <f>SUM(D21:M21)</f>
        <v>2803000</v>
      </c>
    </row>
    <row r="22" spans="1:14" x14ac:dyDescent="0.25">
      <c r="A22" s="110">
        <f t="shared" si="0"/>
        <v>15</v>
      </c>
      <c r="B22" s="115">
        <v>31</v>
      </c>
      <c r="C22" s="198">
        <v>1383563000</v>
      </c>
      <c r="D22" s="132">
        <v>112211000</v>
      </c>
      <c r="E22" s="132">
        <v>0</v>
      </c>
      <c r="F22" s="132">
        <v>-2135000</v>
      </c>
      <c r="G22" s="132">
        <v>5745000</v>
      </c>
      <c r="H22" s="132">
        <v>974000</v>
      </c>
      <c r="I22" s="132">
        <v>0</v>
      </c>
      <c r="J22" s="132">
        <v>-82000</v>
      </c>
      <c r="K22" s="132">
        <v>0</v>
      </c>
      <c r="L22" s="132">
        <v>-342000</v>
      </c>
      <c r="M22" s="132">
        <v>0</v>
      </c>
      <c r="N22" s="132">
        <f>SUM(D22:M22)</f>
        <v>116371000</v>
      </c>
    </row>
    <row r="23" spans="1:14" x14ac:dyDescent="0.25">
      <c r="A23" s="110">
        <f t="shared" si="0"/>
        <v>16</v>
      </c>
      <c r="B23" s="115">
        <v>35</v>
      </c>
      <c r="C23" s="198">
        <v>5174000</v>
      </c>
      <c r="D23" s="132">
        <v>309000</v>
      </c>
      <c r="E23" s="132">
        <v>0</v>
      </c>
      <c r="F23" s="132">
        <v>-6000</v>
      </c>
      <c r="G23" s="132">
        <v>15000</v>
      </c>
      <c r="H23" s="132">
        <v>3000</v>
      </c>
      <c r="I23" s="132">
        <v>0</v>
      </c>
      <c r="J23" s="132">
        <v>0</v>
      </c>
      <c r="K23" s="132">
        <v>0</v>
      </c>
      <c r="L23" s="132">
        <v>7000</v>
      </c>
      <c r="M23" s="132">
        <v>-38000</v>
      </c>
      <c r="N23" s="132">
        <f>SUM(D23:M23)</f>
        <v>290000</v>
      </c>
    </row>
    <row r="24" spans="1:14" x14ac:dyDescent="0.25">
      <c r="A24" s="110">
        <f t="shared" si="0"/>
        <v>17</v>
      </c>
      <c r="B24" s="115">
        <v>43</v>
      </c>
      <c r="C24" s="198">
        <v>127202000</v>
      </c>
      <c r="D24" s="132">
        <v>11159000</v>
      </c>
      <c r="E24" s="132">
        <v>0</v>
      </c>
      <c r="F24" s="132">
        <v>-165000</v>
      </c>
      <c r="G24" s="132">
        <v>420000</v>
      </c>
      <c r="H24" s="132">
        <v>99000</v>
      </c>
      <c r="I24" s="132">
        <v>0</v>
      </c>
      <c r="J24" s="132">
        <v>-6000</v>
      </c>
      <c r="K24" s="132">
        <v>0</v>
      </c>
      <c r="L24" s="132">
        <v>179000</v>
      </c>
      <c r="M24" s="132">
        <v>0</v>
      </c>
      <c r="N24" s="132">
        <f>SUM(D24:M24)</f>
        <v>11686000</v>
      </c>
    </row>
    <row r="25" spans="1:14" x14ac:dyDescent="0.25">
      <c r="A25" s="110">
        <f t="shared" si="0"/>
        <v>18</v>
      </c>
      <c r="B25" s="117" t="s">
        <v>16</v>
      </c>
      <c r="C25" s="199">
        <f t="shared" ref="C25" si="8">SUM(C21:C24)</f>
        <v>1552449000</v>
      </c>
      <c r="D25" s="133">
        <f t="shared" ref="D25:M25" si="9">SUM(D21:D24)</f>
        <v>126640000</v>
      </c>
      <c r="E25" s="133">
        <f t="shared" si="9"/>
        <v>0</v>
      </c>
      <c r="F25" s="133">
        <f t="shared" si="9"/>
        <v>-2362000</v>
      </c>
      <c r="G25" s="133">
        <f t="shared" si="9"/>
        <v>6332000</v>
      </c>
      <c r="H25" s="133">
        <f t="shared" si="9"/>
        <v>1102000</v>
      </c>
      <c r="I25" s="133">
        <f t="shared" si="9"/>
        <v>0</v>
      </c>
      <c r="J25" s="133">
        <f t="shared" si="9"/>
        <v>-90000</v>
      </c>
      <c r="K25" s="133">
        <f t="shared" si="9"/>
        <v>0</v>
      </c>
      <c r="L25" s="133">
        <f t="shared" si="9"/>
        <v>-164000</v>
      </c>
      <c r="M25" s="133">
        <f t="shared" si="9"/>
        <v>-308000</v>
      </c>
      <c r="N25" s="133">
        <f t="shared" ref="N25" si="10">SUM(N21:N24)</f>
        <v>131150000</v>
      </c>
    </row>
    <row r="26" spans="1:14" x14ac:dyDescent="0.25">
      <c r="A26" s="110">
        <f t="shared" si="0"/>
        <v>19</v>
      </c>
      <c r="B26" s="110"/>
      <c r="C26" s="198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</row>
    <row r="27" spans="1:14" x14ac:dyDescent="0.25">
      <c r="A27" s="110">
        <f t="shared" si="0"/>
        <v>20</v>
      </c>
      <c r="B27" s="115">
        <v>40</v>
      </c>
      <c r="C27" s="199">
        <v>586597000</v>
      </c>
      <c r="D27" s="133">
        <v>42793000</v>
      </c>
      <c r="E27" s="133">
        <v>0</v>
      </c>
      <c r="F27" s="133">
        <v>-1029000</v>
      </c>
      <c r="G27" s="133">
        <v>2223000</v>
      </c>
      <c r="H27" s="133">
        <v>380000</v>
      </c>
      <c r="I27" s="133">
        <v>0</v>
      </c>
      <c r="J27" s="133">
        <v>-39000</v>
      </c>
      <c r="K27" s="133">
        <v>0</v>
      </c>
      <c r="L27" s="133">
        <v>1055000</v>
      </c>
      <c r="M27" s="133">
        <v>0</v>
      </c>
      <c r="N27" s="133">
        <f>SUM(D27:M27)</f>
        <v>45383000</v>
      </c>
    </row>
    <row r="28" spans="1:14" x14ac:dyDescent="0.25">
      <c r="A28" s="110">
        <f t="shared" si="0"/>
        <v>21</v>
      </c>
      <c r="B28" s="115"/>
      <c r="C28" s="198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</row>
    <row r="29" spans="1:14" x14ac:dyDescent="0.25">
      <c r="A29" s="110">
        <f t="shared" si="0"/>
        <v>22</v>
      </c>
      <c r="B29" s="115">
        <v>46</v>
      </c>
      <c r="C29" s="198">
        <v>76029000</v>
      </c>
      <c r="D29" s="132">
        <v>5061000</v>
      </c>
      <c r="E29" s="132">
        <v>0</v>
      </c>
      <c r="F29" s="132">
        <v>-76000</v>
      </c>
      <c r="G29" s="132">
        <v>199000</v>
      </c>
      <c r="H29" s="132">
        <v>45000</v>
      </c>
      <c r="I29" s="132">
        <v>0</v>
      </c>
      <c r="J29" s="132">
        <v>-3000</v>
      </c>
      <c r="K29" s="132">
        <v>0</v>
      </c>
      <c r="L29" s="132">
        <v>101000</v>
      </c>
      <c r="M29" s="132">
        <v>0</v>
      </c>
      <c r="N29" s="132">
        <f>SUM(D29:M29)</f>
        <v>5327000</v>
      </c>
    </row>
    <row r="30" spans="1:14" x14ac:dyDescent="0.25">
      <c r="A30" s="110">
        <f t="shared" si="0"/>
        <v>23</v>
      </c>
      <c r="B30" s="115">
        <v>49</v>
      </c>
      <c r="C30" s="198">
        <v>606297000</v>
      </c>
      <c r="D30" s="132">
        <v>39492000</v>
      </c>
      <c r="E30" s="132">
        <v>0</v>
      </c>
      <c r="F30" s="132">
        <v>-917000</v>
      </c>
      <c r="G30" s="132">
        <v>2367000</v>
      </c>
      <c r="H30" s="132">
        <v>347000</v>
      </c>
      <c r="I30" s="132">
        <v>0</v>
      </c>
      <c r="J30" s="132">
        <v>-35000</v>
      </c>
      <c r="K30" s="132">
        <v>0</v>
      </c>
      <c r="L30" s="132">
        <v>802000</v>
      </c>
      <c r="M30" s="132">
        <v>0</v>
      </c>
      <c r="N30" s="132">
        <f>SUM(D30:M30)</f>
        <v>42056000</v>
      </c>
    </row>
    <row r="31" spans="1:14" x14ac:dyDescent="0.25">
      <c r="A31" s="110">
        <f t="shared" si="0"/>
        <v>24</v>
      </c>
      <c r="B31" s="117" t="s">
        <v>18</v>
      </c>
      <c r="C31" s="199">
        <f t="shared" ref="C31" si="11">SUM(C29:C30)</f>
        <v>682326000</v>
      </c>
      <c r="D31" s="133">
        <f t="shared" ref="D31:M31" si="12">SUM(D29:D30)</f>
        <v>44553000</v>
      </c>
      <c r="E31" s="133">
        <f t="shared" si="12"/>
        <v>0</v>
      </c>
      <c r="F31" s="133">
        <f t="shared" si="12"/>
        <v>-993000</v>
      </c>
      <c r="G31" s="133">
        <f t="shared" si="12"/>
        <v>2566000</v>
      </c>
      <c r="H31" s="133">
        <f t="shared" si="12"/>
        <v>392000</v>
      </c>
      <c r="I31" s="133">
        <f t="shared" si="12"/>
        <v>0</v>
      </c>
      <c r="J31" s="133">
        <f t="shared" si="12"/>
        <v>-38000</v>
      </c>
      <c r="K31" s="133">
        <f t="shared" si="12"/>
        <v>0</v>
      </c>
      <c r="L31" s="133">
        <f t="shared" si="12"/>
        <v>903000</v>
      </c>
      <c r="M31" s="133">
        <f t="shared" si="12"/>
        <v>0</v>
      </c>
      <c r="N31" s="133">
        <f t="shared" ref="N31" si="13">SUM(N29:N30)</f>
        <v>47383000</v>
      </c>
    </row>
    <row r="32" spans="1:14" x14ac:dyDescent="0.25">
      <c r="A32" s="110">
        <f t="shared" si="0"/>
        <v>25</v>
      </c>
      <c r="B32" s="115"/>
      <c r="C32" s="198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</row>
    <row r="33" spans="1:14" x14ac:dyDescent="0.25">
      <c r="A33" s="110">
        <f t="shared" si="0"/>
        <v>26</v>
      </c>
      <c r="B33" s="115" t="s">
        <v>20</v>
      </c>
      <c r="C33" s="199">
        <v>71427000</v>
      </c>
      <c r="D33" s="133">
        <v>16711000</v>
      </c>
      <c r="E33" s="133">
        <v>0</v>
      </c>
      <c r="F33" s="133">
        <v>-140000</v>
      </c>
      <c r="G33" s="133">
        <v>326000</v>
      </c>
      <c r="H33" s="133">
        <v>139000</v>
      </c>
      <c r="I33" s="133">
        <v>0</v>
      </c>
      <c r="J33" s="133">
        <v>-5000</v>
      </c>
      <c r="K33" s="133">
        <v>0</v>
      </c>
      <c r="L33" s="133">
        <v>0</v>
      </c>
      <c r="M33" s="133">
        <v>0</v>
      </c>
      <c r="N33" s="133">
        <f>SUM(D33:M33)</f>
        <v>17031000</v>
      </c>
    </row>
    <row r="34" spans="1:14" x14ac:dyDescent="0.25">
      <c r="A34" s="110">
        <f t="shared" si="0"/>
        <v>27</v>
      </c>
      <c r="B34" s="115"/>
      <c r="C34" s="198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</row>
    <row r="35" spans="1:14" x14ac:dyDescent="0.25">
      <c r="A35" s="110">
        <f t="shared" si="0"/>
        <v>28</v>
      </c>
      <c r="B35" s="115" t="s">
        <v>91</v>
      </c>
      <c r="C35" s="199">
        <v>2024995000</v>
      </c>
      <c r="D35" s="133">
        <v>8508000</v>
      </c>
      <c r="E35" s="133">
        <v>0</v>
      </c>
      <c r="F35" s="133">
        <v>0</v>
      </c>
      <c r="G35" s="133">
        <v>2120000</v>
      </c>
      <c r="H35" s="133">
        <v>67000</v>
      </c>
      <c r="I35" s="133">
        <v>0</v>
      </c>
      <c r="J35" s="133">
        <v>0</v>
      </c>
      <c r="K35" s="133">
        <v>0</v>
      </c>
      <c r="L35" s="133">
        <v>0</v>
      </c>
      <c r="M35" s="133">
        <v>-15000</v>
      </c>
      <c r="N35" s="133">
        <f>SUM(D35:M35)</f>
        <v>10680000</v>
      </c>
    </row>
    <row r="36" spans="1:14" x14ac:dyDescent="0.25">
      <c r="A36" s="110">
        <f t="shared" si="0"/>
        <v>29</v>
      </c>
      <c r="B36" s="115"/>
      <c r="C36" s="198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</row>
    <row r="37" spans="1:14" ht="15.75" thickBot="1" x14ac:dyDescent="0.3">
      <c r="A37" s="110">
        <f t="shared" si="0"/>
        <v>30</v>
      </c>
      <c r="B37" s="117" t="s">
        <v>38</v>
      </c>
      <c r="C37" s="200">
        <f t="shared" ref="C37" si="14">SUM(C10,C19,C25,C27,C31,C33,C35)</f>
        <v>24115538000</v>
      </c>
      <c r="D37" s="134">
        <f t="shared" ref="D37:M37" si="15">SUM(D10,D19,D25,D27,D31,D33,D35)</f>
        <v>2128843000</v>
      </c>
      <c r="E37" s="134">
        <f t="shared" si="15"/>
        <v>0</v>
      </c>
      <c r="F37" s="134">
        <f t="shared" si="15"/>
        <v>-38865000</v>
      </c>
      <c r="G37" s="134">
        <f t="shared" si="15"/>
        <v>101789000</v>
      </c>
      <c r="H37" s="134">
        <f t="shared" si="15"/>
        <v>18470000</v>
      </c>
      <c r="I37" s="134">
        <f t="shared" si="15"/>
        <v>0</v>
      </c>
      <c r="J37" s="134">
        <f t="shared" si="15"/>
        <v>-1483000</v>
      </c>
      <c r="K37" s="134">
        <f t="shared" si="15"/>
        <v>0</v>
      </c>
      <c r="L37" s="134">
        <f t="shared" si="15"/>
        <v>-3166000</v>
      </c>
      <c r="M37" s="134">
        <f t="shared" si="15"/>
        <v>-84110000</v>
      </c>
      <c r="N37" s="134">
        <f t="shared" ref="N37" si="16">SUM(N10,N19,N25,N27,N31,N33,N35)</f>
        <v>2121478000</v>
      </c>
    </row>
    <row r="38" spans="1:14" ht="15.75" thickTop="1" x14ac:dyDescent="0.25">
      <c r="A38" s="110">
        <f t="shared" si="0"/>
        <v>31</v>
      </c>
      <c r="B38" s="115"/>
      <c r="C38" s="201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</row>
    <row r="39" spans="1:14" x14ac:dyDescent="0.25">
      <c r="A39" s="110">
        <f t="shared" si="0"/>
        <v>32</v>
      </c>
      <c r="B39" s="115">
        <v>5</v>
      </c>
      <c r="C39" s="199">
        <v>7066000</v>
      </c>
      <c r="D39" s="133">
        <v>322000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-1000</v>
      </c>
      <c r="K39" s="133">
        <v>0</v>
      </c>
      <c r="L39" s="133">
        <v>0</v>
      </c>
      <c r="M39" s="133">
        <v>0</v>
      </c>
      <c r="N39" s="133">
        <f>SUM(D39:M39)</f>
        <v>321000</v>
      </c>
    </row>
    <row r="40" spans="1:14" x14ac:dyDescent="0.25">
      <c r="A40" s="110">
        <f t="shared" si="0"/>
        <v>33</v>
      </c>
      <c r="B40" s="115"/>
      <c r="C40" s="201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</row>
    <row r="41" spans="1:14" ht="15.75" thickBot="1" x14ac:dyDescent="0.3">
      <c r="A41" s="110">
        <f t="shared" si="0"/>
        <v>34</v>
      </c>
      <c r="B41" s="117" t="s">
        <v>163</v>
      </c>
      <c r="C41" s="200">
        <f t="shared" ref="C41" si="17">+C39+C37</f>
        <v>24122604000</v>
      </c>
      <c r="D41" s="134">
        <f t="shared" ref="D41:M41" si="18">+D39+D37</f>
        <v>2129165000</v>
      </c>
      <c r="E41" s="134">
        <f t="shared" si="18"/>
        <v>0</v>
      </c>
      <c r="F41" s="134">
        <f t="shared" si="18"/>
        <v>-38865000</v>
      </c>
      <c r="G41" s="134">
        <f t="shared" si="18"/>
        <v>101789000</v>
      </c>
      <c r="H41" s="134">
        <f t="shared" si="18"/>
        <v>18470000</v>
      </c>
      <c r="I41" s="134">
        <f t="shared" si="18"/>
        <v>0</v>
      </c>
      <c r="J41" s="134">
        <f t="shared" si="18"/>
        <v>-1484000</v>
      </c>
      <c r="K41" s="134">
        <f t="shared" si="18"/>
        <v>0</v>
      </c>
      <c r="L41" s="134">
        <f t="shared" si="18"/>
        <v>-3166000</v>
      </c>
      <c r="M41" s="134">
        <f t="shared" si="18"/>
        <v>-84110000</v>
      </c>
      <c r="N41" s="134">
        <f t="shared" ref="N41" si="19">+N39+N37</f>
        <v>2121799000</v>
      </c>
    </row>
    <row r="42" spans="1:14" ht="15.75" thickTop="1" x14ac:dyDescent="0.25"/>
    <row r="46" spans="1:14" x14ac:dyDescent="0.25">
      <c r="N46" s="202"/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7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zoomScale="80" zoomScaleNormal="80" workbookViewId="0">
      <selection activeCell="E30" sqref="E30"/>
    </sheetView>
  </sheetViews>
  <sheetFormatPr defaultColWidth="9.140625" defaultRowHeight="12.75" x14ac:dyDescent="0.2"/>
  <cols>
    <col min="1" max="1" width="4.7109375" style="12" customWidth="1"/>
    <col min="2" max="2" width="29.7109375" style="12" customWidth="1"/>
    <col min="3" max="5" width="13.85546875" style="12" customWidth="1"/>
    <col min="6" max="6" width="1.28515625" style="12" customWidth="1"/>
    <col min="7" max="7" width="14.7109375" style="12" customWidth="1"/>
    <col min="8" max="8" width="9" style="12" customWidth="1"/>
    <col min="9" max="9" width="1.5703125" style="12" customWidth="1"/>
    <col min="10" max="12" width="12.28515625" style="12" customWidth="1"/>
    <col min="13" max="13" width="1.5703125" style="12" customWidth="1"/>
    <col min="14" max="14" width="14.7109375" style="12" customWidth="1"/>
    <col min="15" max="15" width="1.5703125" style="12" customWidth="1"/>
    <col min="16" max="18" width="10.7109375" style="12" customWidth="1"/>
    <col min="19" max="19" width="1.5703125" style="12" customWidth="1"/>
    <col min="20" max="16384" width="9.140625" style="12"/>
  </cols>
  <sheetData>
    <row r="1" spans="1:19" x14ac:dyDescent="0.2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</row>
    <row r="2" spans="1:19" x14ac:dyDescent="0.2">
      <c r="A2" s="247" t="s">
        <v>78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</row>
    <row r="3" spans="1:19" x14ac:dyDescent="0.2">
      <c r="A3" s="248" t="s">
        <v>166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</row>
    <row r="4" spans="1:19" x14ac:dyDescent="0.2">
      <c r="B4" s="31"/>
      <c r="C4" s="31"/>
      <c r="D4" s="31"/>
      <c r="E4" s="31"/>
      <c r="F4" s="31"/>
      <c r="G4" s="31"/>
    </row>
    <row r="5" spans="1:19" x14ac:dyDescent="0.2">
      <c r="A5" s="29"/>
      <c r="B5" s="30"/>
      <c r="C5" s="30"/>
      <c r="D5" s="30"/>
      <c r="E5" s="30"/>
      <c r="F5" s="30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ht="85.15" customHeight="1" x14ac:dyDescent="0.2">
      <c r="A6" s="28" t="s">
        <v>1</v>
      </c>
      <c r="B6" s="28" t="s">
        <v>2</v>
      </c>
      <c r="C6" s="28" t="s">
        <v>3</v>
      </c>
      <c r="D6" s="27" t="s">
        <v>235</v>
      </c>
      <c r="E6" s="28" t="s">
        <v>5</v>
      </c>
      <c r="F6" s="28"/>
      <c r="G6" s="28" t="s">
        <v>4</v>
      </c>
      <c r="H6" s="28" t="s">
        <v>5</v>
      </c>
      <c r="I6" s="28"/>
      <c r="J6" s="28" t="s">
        <v>73</v>
      </c>
      <c r="K6" s="27" t="s">
        <v>121</v>
      </c>
      <c r="L6" s="28" t="s">
        <v>86</v>
      </c>
      <c r="M6" s="28"/>
      <c r="N6" s="28" t="s">
        <v>165</v>
      </c>
      <c r="O6" s="28"/>
      <c r="P6" s="28" t="s">
        <v>76</v>
      </c>
      <c r="Q6" s="28" t="s">
        <v>77</v>
      </c>
      <c r="R6" s="27" t="s">
        <v>339</v>
      </c>
      <c r="S6" s="28"/>
    </row>
    <row r="7" spans="1:19" ht="25.5" x14ac:dyDescent="0.2">
      <c r="A7" s="3"/>
      <c r="B7" s="3"/>
      <c r="C7" s="76"/>
      <c r="D7" s="76" t="s">
        <v>33</v>
      </c>
      <c r="E7" s="76" t="s">
        <v>170</v>
      </c>
      <c r="F7" s="77"/>
      <c r="G7" s="76" t="s">
        <v>31</v>
      </c>
      <c r="H7" s="76" t="s">
        <v>101</v>
      </c>
      <c r="I7" s="77"/>
      <c r="J7" s="4" t="s">
        <v>169</v>
      </c>
      <c r="K7" s="4" t="s">
        <v>122</v>
      </c>
      <c r="L7" s="76" t="s">
        <v>123</v>
      </c>
      <c r="M7" s="2"/>
      <c r="N7" s="76" t="s">
        <v>104</v>
      </c>
      <c r="O7" s="76"/>
      <c r="P7" s="4" t="s">
        <v>124</v>
      </c>
      <c r="Q7" s="4" t="s">
        <v>125</v>
      </c>
      <c r="R7" s="4" t="s">
        <v>126</v>
      </c>
      <c r="S7" s="2"/>
    </row>
    <row r="8" spans="1:19" x14ac:dyDescent="0.2">
      <c r="A8" s="16">
        <v>1</v>
      </c>
      <c r="B8" s="26" t="s">
        <v>8</v>
      </c>
      <c r="C8" s="25"/>
      <c r="E8" s="16"/>
      <c r="H8" s="16"/>
      <c r="J8" s="16"/>
      <c r="K8" s="16"/>
      <c r="L8" s="16"/>
      <c r="M8" s="16"/>
      <c r="N8" s="25"/>
      <c r="O8" s="25"/>
      <c r="P8" s="16"/>
      <c r="Q8" s="16"/>
      <c r="R8" s="16"/>
      <c r="S8" s="16"/>
    </row>
    <row r="9" spans="1:19" x14ac:dyDescent="0.2">
      <c r="A9" s="16">
        <v>2</v>
      </c>
      <c r="B9" s="20" t="s">
        <v>8</v>
      </c>
      <c r="C9" s="189">
        <v>7</v>
      </c>
      <c r="D9" s="41">
        <v>5545457488.6787891</v>
      </c>
      <c r="E9" s="70">
        <v>0.58338223264030498</v>
      </c>
      <c r="G9" s="41">
        <v>4300371373.6731977</v>
      </c>
      <c r="H9" s="70">
        <v>0.58285685202695958</v>
      </c>
      <c r="J9" s="41">
        <v>23717380.838034675</v>
      </c>
      <c r="K9" s="41">
        <v>13215512.755121503</v>
      </c>
      <c r="L9" s="41">
        <v>36932893.593156174</v>
      </c>
      <c r="M9" s="41"/>
      <c r="N9" s="42">
        <v>10637302000</v>
      </c>
      <c r="O9" s="42"/>
      <c r="P9" s="37">
        <v>2.2300000000000002E-3</v>
      </c>
      <c r="Q9" s="37">
        <v>1.242E-3</v>
      </c>
      <c r="R9" s="37">
        <v>3.4720000000000003E-3</v>
      </c>
    </row>
    <row r="10" spans="1:19" x14ac:dyDescent="0.2">
      <c r="A10" s="16">
        <v>3</v>
      </c>
      <c r="B10" s="18" t="s">
        <v>29</v>
      </c>
      <c r="D10" s="47">
        <v>5545457488.6787891</v>
      </c>
      <c r="E10" s="71">
        <v>0.58338223264030498</v>
      </c>
      <c r="G10" s="47">
        <v>4300371373.6731977</v>
      </c>
      <c r="H10" s="71">
        <v>0.58285685202695958</v>
      </c>
      <c r="J10" s="47">
        <v>23717380.838034675</v>
      </c>
      <c r="K10" s="47">
        <v>13215512.755121503</v>
      </c>
      <c r="L10" s="47">
        <v>36932893.593156174</v>
      </c>
      <c r="M10" s="47"/>
      <c r="N10" s="43">
        <v>10637302000</v>
      </c>
      <c r="O10" s="44"/>
      <c r="P10" s="38">
        <v>2.2300000000000002E-3</v>
      </c>
      <c r="Q10" s="38">
        <v>1.242E-3</v>
      </c>
      <c r="R10" s="38">
        <v>3.4720000000000003E-3</v>
      </c>
    </row>
    <row r="11" spans="1:19" x14ac:dyDescent="0.2">
      <c r="A11" s="16">
        <v>4</v>
      </c>
      <c r="D11" s="48"/>
      <c r="E11" s="72"/>
      <c r="G11" s="48"/>
      <c r="H11" s="72"/>
      <c r="J11" s="48"/>
      <c r="K11" s="48"/>
      <c r="L11" s="48"/>
      <c r="M11" s="48"/>
      <c r="N11" s="44"/>
      <c r="O11" s="44"/>
      <c r="P11" s="39"/>
      <c r="Q11" s="39"/>
      <c r="R11" s="39"/>
    </row>
    <row r="12" spans="1:19" x14ac:dyDescent="0.2">
      <c r="A12" s="16">
        <v>5</v>
      </c>
      <c r="B12" s="12" t="s">
        <v>9</v>
      </c>
      <c r="D12" s="48"/>
      <c r="E12" s="72"/>
      <c r="G12" s="48"/>
      <c r="H12" s="72"/>
      <c r="J12" s="48"/>
      <c r="K12" s="48"/>
      <c r="L12" s="48"/>
      <c r="M12" s="48"/>
      <c r="N12" s="44"/>
      <c r="O12" s="44"/>
      <c r="P12" s="39"/>
      <c r="Q12" s="39"/>
      <c r="R12" s="39"/>
    </row>
    <row r="13" spans="1:19" x14ac:dyDescent="0.2">
      <c r="A13" s="16">
        <v>6</v>
      </c>
      <c r="B13" s="22" t="s">
        <v>10</v>
      </c>
      <c r="C13" s="189" t="s">
        <v>90</v>
      </c>
      <c r="D13" s="41">
        <v>1207741046.4684942</v>
      </c>
      <c r="E13" s="70">
        <v>0.12705438091961535</v>
      </c>
      <c r="G13" s="41">
        <v>896298928.39911652</v>
      </c>
      <c r="H13" s="70">
        <v>0.12148112953222039</v>
      </c>
      <c r="J13" s="41">
        <v>5165390.6663784338</v>
      </c>
      <c r="K13" s="41">
        <v>2754424.8836682937</v>
      </c>
      <c r="L13" s="41">
        <v>7919815.5500467271</v>
      </c>
      <c r="M13" s="41"/>
      <c r="N13" s="42">
        <v>3012037000</v>
      </c>
      <c r="O13" s="42"/>
      <c r="P13" s="37">
        <v>1.7149999999999999E-3</v>
      </c>
      <c r="Q13" s="37">
        <v>9.1399999999999999E-4</v>
      </c>
      <c r="R13" s="37">
        <v>2.6289999999999998E-3</v>
      </c>
    </row>
    <row r="14" spans="1:19" x14ac:dyDescent="0.2">
      <c r="A14" s="16">
        <v>7</v>
      </c>
      <c r="B14" s="22" t="s">
        <v>11</v>
      </c>
      <c r="C14" s="190" t="s">
        <v>99</v>
      </c>
      <c r="D14" s="41">
        <v>1116587567.8116324</v>
      </c>
      <c r="E14" s="70">
        <v>0.11746503324174867</v>
      </c>
      <c r="G14" s="41">
        <v>862212385.4333781</v>
      </c>
      <c r="H14" s="70">
        <v>0.11686116223099591</v>
      </c>
      <c r="J14" s="41">
        <v>4775536.1282397723</v>
      </c>
      <c r="K14" s="41">
        <v>2649673.199639447</v>
      </c>
      <c r="L14" s="41">
        <v>7425209.3278792193</v>
      </c>
      <c r="M14" s="41"/>
      <c r="N14" s="42">
        <v>3009773000</v>
      </c>
      <c r="O14" s="42"/>
      <c r="P14" s="37">
        <v>1.5870000000000001E-3</v>
      </c>
      <c r="Q14" s="37">
        <v>8.8000000000000003E-4</v>
      </c>
      <c r="R14" s="37">
        <v>2.467E-3</v>
      </c>
    </row>
    <row r="15" spans="1:19" x14ac:dyDescent="0.2">
      <c r="A15" s="16">
        <v>8</v>
      </c>
      <c r="B15" s="22" t="s">
        <v>12</v>
      </c>
      <c r="C15" s="190" t="s">
        <v>171</v>
      </c>
      <c r="D15" s="48">
        <v>645442293.35483623</v>
      </c>
      <c r="E15" s="72">
        <v>6.7900541462366168E-2</v>
      </c>
      <c r="G15" s="48">
        <v>512367189.60346317</v>
      </c>
      <c r="H15" s="72">
        <v>6.9444404044363223E-2</v>
      </c>
      <c r="J15" s="48">
        <v>2760493.7395558944</v>
      </c>
      <c r="K15" s="48">
        <v>1574560.5532962731</v>
      </c>
      <c r="L15" s="48">
        <v>4335054.292852167</v>
      </c>
      <c r="M15" s="48"/>
      <c r="N15" s="44">
        <v>1913788000</v>
      </c>
      <c r="O15" s="44"/>
      <c r="P15" s="39">
        <v>1.4419999999999999E-3</v>
      </c>
      <c r="Q15" s="37">
        <v>8.2299999999999995E-4</v>
      </c>
      <c r="R15" s="39">
        <v>2.2649999999999997E-3</v>
      </c>
    </row>
    <row r="16" spans="1:19" x14ac:dyDescent="0.2">
      <c r="A16" s="16">
        <v>9</v>
      </c>
      <c r="B16" s="15" t="s">
        <v>13</v>
      </c>
      <c r="D16" s="47">
        <v>2969770907.634963</v>
      </c>
      <c r="E16" s="71">
        <v>0.31241995562373021</v>
      </c>
      <c r="G16" s="47">
        <v>2270878503.4359579</v>
      </c>
      <c r="H16" s="71">
        <v>0.30778669580757956</v>
      </c>
      <c r="J16" s="47">
        <v>12701420.5341741</v>
      </c>
      <c r="K16" s="47">
        <v>6978658.6366040148</v>
      </c>
      <c r="L16" s="47">
        <v>19680079.170778114</v>
      </c>
      <c r="M16" s="47"/>
      <c r="N16" s="43">
        <v>7935598000</v>
      </c>
      <c r="O16" s="44"/>
      <c r="P16" s="38">
        <v>1.601E-3</v>
      </c>
      <c r="Q16" s="38">
        <v>8.7900000000000001E-4</v>
      </c>
      <c r="R16" s="38">
        <v>2.48E-3</v>
      </c>
    </row>
    <row r="17" spans="1:18" x14ac:dyDescent="0.2">
      <c r="A17" s="16">
        <v>10</v>
      </c>
      <c r="D17" s="48"/>
      <c r="E17" s="72"/>
      <c r="G17" s="48"/>
      <c r="H17" s="72"/>
      <c r="J17" s="48"/>
      <c r="K17" s="48"/>
      <c r="L17" s="48"/>
      <c r="M17" s="48"/>
      <c r="N17" s="44"/>
      <c r="O17" s="44"/>
      <c r="P17" s="39"/>
      <c r="Q17" s="39"/>
      <c r="R17" s="39"/>
    </row>
    <row r="18" spans="1:18" x14ac:dyDescent="0.2">
      <c r="A18" s="16">
        <v>11</v>
      </c>
      <c r="B18" s="12" t="s">
        <v>14</v>
      </c>
      <c r="D18" s="48"/>
      <c r="E18" s="72"/>
      <c r="G18" s="48"/>
      <c r="H18" s="72"/>
      <c r="J18" s="48"/>
      <c r="K18" s="48"/>
      <c r="L18" s="48"/>
      <c r="M18" s="48"/>
      <c r="N18" s="44"/>
      <c r="O18" s="44"/>
      <c r="P18" s="39"/>
      <c r="Q18" s="39"/>
      <c r="R18" s="39"/>
    </row>
    <row r="19" spans="1:18" x14ac:dyDescent="0.2">
      <c r="A19" s="16">
        <v>12</v>
      </c>
      <c r="B19" s="22" t="s">
        <v>25</v>
      </c>
      <c r="C19" s="190" t="s">
        <v>100</v>
      </c>
      <c r="D19" s="41">
        <v>446875030.39957529</v>
      </c>
      <c r="E19" s="70">
        <v>4.701126164575832E-2</v>
      </c>
      <c r="G19" s="41">
        <v>347606412</v>
      </c>
      <c r="H19" s="70">
        <v>4.7113321487313731E-2</v>
      </c>
      <c r="J19" s="41">
        <v>1911240.9218955538</v>
      </c>
      <c r="K19" s="41">
        <v>1068232.6181573919</v>
      </c>
      <c r="L19" s="41">
        <v>2979473.5400529457</v>
      </c>
      <c r="M19" s="41"/>
      <c r="N19" s="42">
        <v>1321833000</v>
      </c>
      <c r="O19" s="42"/>
      <c r="P19" s="37">
        <v>1.446E-3</v>
      </c>
      <c r="Q19" s="37">
        <v>8.0800000000000002E-4</v>
      </c>
      <c r="R19" s="37">
        <v>2.2539999999999999E-3</v>
      </c>
    </row>
    <row r="20" spans="1:18" x14ac:dyDescent="0.2">
      <c r="A20" s="16">
        <v>13</v>
      </c>
      <c r="B20" s="20" t="s">
        <v>15</v>
      </c>
      <c r="C20" s="189">
        <v>43</v>
      </c>
      <c r="D20" s="41">
        <v>56760978.767045557</v>
      </c>
      <c r="E20" s="70">
        <v>5.971256039302408E-3</v>
      </c>
      <c r="G20" s="41">
        <v>53124070</v>
      </c>
      <c r="H20" s="70">
        <v>7.2002451687357217E-3</v>
      </c>
      <c r="J20" s="41">
        <v>242761.17036438739</v>
      </c>
      <c r="K20" s="41">
        <v>163256.09201730305</v>
      </c>
      <c r="L20" s="41">
        <v>406017.26238169044</v>
      </c>
      <c r="M20" s="41"/>
      <c r="N20" s="42">
        <v>123190000</v>
      </c>
      <c r="O20" s="42"/>
      <c r="P20" s="37">
        <v>1.9710000000000001E-3</v>
      </c>
      <c r="Q20" s="37">
        <v>1.325E-3</v>
      </c>
      <c r="R20" s="37">
        <v>3.2960000000000003E-3</v>
      </c>
    </row>
    <row r="21" spans="1:18" x14ac:dyDescent="0.2">
      <c r="A21" s="16">
        <v>14</v>
      </c>
      <c r="B21" s="18" t="s">
        <v>16</v>
      </c>
      <c r="D21" s="47">
        <v>503636009.16662085</v>
      </c>
      <c r="E21" s="71">
        <v>5.2982517685060723E-2</v>
      </c>
      <c r="G21" s="47">
        <v>400730482</v>
      </c>
      <c r="H21" s="71">
        <v>5.4313566656049451E-2</v>
      </c>
      <c r="J21" s="47">
        <v>2154002.0922599412</v>
      </c>
      <c r="K21" s="47">
        <v>1231488.7101746949</v>
      </c>
      <c r="L21" s="47">
        <v>3385490.8024346363</v>
      </c>
      <c r="M21" s="47"/>
      <c r="N21" s="43">
        <v>1445023000</v>
      </c>
      <c r="O21" s="44"/>
      <c r="P21" s="38">
        <v>1.4909999999999999E-3</v>
      </c>
      <c r="Q21" s="38">
        <v>8.52E-4</v>
      </c>
      <c r="R21" s="38">
        <v>2.343E-3</v>
      </c>
    </row>
    <row r="22" spans="1:18" x14ac:dyDescent="0.2">
      <c r="A22" s="16">
        <v>15</v>
      </c>
      <c r="D22" s="35"/>
      <c r="E22" s="73"/>
      <c r="G22" s="35"/>
      <c r="H22" s="73"/>
      <c r="J22" s="35"/>
      <c r="K22" s="35"/>
      <c r="L22" s="35"/>
      <c r="M22" s="35"/>
      <c r="N22" s="45"/>
      <c r="O22" s="45"/>
      <c r="P22" s="36"/>
      <c r="Q22" s="36"/>
      <c r="R22" s="36"/>
    </row>
    <row r="23" spans="1:18" x14ac:dyDescent="0.2">
      <c r="A23" s="16">
        <v>16</v>
      </c>
      <c r="B23" s="12" t="s">
        <v>17</v>
      </c>
      <c r="C23" s="189">
        <v>40</v>
      </c>
      <c r="D23" s="47">
        <v>203194457.72693482</v>
      </c>
      <c r="E23" s="71">
        <v>2.13760607940604E-2</v>
      </c>
      <c r="G23" s="47">
        <v>182181512.15497708</v>
      </c>
      <c r="H23" s="71">
        <v>2.4692226192888495E-2</v>
      </c>
      <c r="J23" s="47">
        <v>869042.87841467874</v>
      </c>
      <c r="K23" s="47">
        <v>559863.76255103108</v>
      </c>
      <c r="L23" s="47">
        <v>1428906.6409657099</v>
      </c>
      <c r="M23" s="47"/>
      <c r="N23" s="43">
        <v>679072000</v>
      </c>
      <c r="O23" s="44"/>
      <c r="P23" s="38">
        <v>1.2800000000000001E-3</v>
      </c>
      <c r="Q23" s="38">
        <v>8.2399999999999997E-4</v>
      </c>
      <c r="R23" s="38">
        <v>2.104E-3</v>
      </c>
    </row>
    <row r="24" spans="1:18" x14ac:dyDescent="0.2">
      <c r="A24" s="16">
        <v>17</v>
      </c>
      <c r="D24" s="35"/>
      <c r="E24" s="73"/>
      <c r="G24" s="35"/>
      <c r="H24" s="73"/>
      <c r="J24" s="35"/>
      <c r="K24" s="35"/>
      <c r="L24" s="35"/>
      <c r="M24" s="35"/>
      <c r="N24" s="45"/>
      <c r="O24" s="45"/>
      <c r="P24" s="36"/>
      <c r="Q24" s="36"/>
      <c r="R24" s="36"/>
    </row>
    <row r="25" spans="1:18" x14ac:dyDescent="0.2">
      <c r="A25" s="16">
        <v>18</v>
      </c>
      <c r="B25" s="12" t="s">
        <v>27</v>
      </c>
      <c r="C25" s="190" t="s">
        <v>74</v>
      </c>
      <c r="D25" s="47">
        <v>168505770.75160074</v>
      </c>
      <c r="E25" s="71">
        <v>1.7726810268500516E-2</v>
      </c>
      <c r="G25" s="47">
        <v>118613433.2227883</v>
      </c>
      <c r="H25" s="71">
        <v>1.6076437658288204E-2</v>
      </c>
      <c r="J25" s="47">
        <v>720682.74736237375</v>
      </c>
      <c r="K25" s="47">
        <v>364512.08592842676</v>
      </c>
      <c r="L25" s="47">
        <v>1085194.8332908005</v>
      </c>
      <c r="M25" s="47"/>
      <c r="N25" s="43">
        <v>656783000</v>
      </c>
      <c r="O25" s="44"/>
      <c r="P25" s="38">
        <v>1.0970000000000001E-3</v>
      </c>
      <c r="Q25" s="38">
        <v>5.5500000000000005E-4</v>
      </c>
      <c r="R25" s="38">
        <v>1.6520000000000003E-3</v>
      </c>
    </row>
    <row r="26" spans="1:18" x14ac:dyDescent="0.2">
      <c r="A26" s="16">
        <v>19</v>
      </c>
      <c r="D26" s="35"/>
      <c r="E26" s="73"/>
      <c r="G26" s="35"/>
      <c r="H26" s="73"/>
      <c r="J26" s="35"/>
      <c r="K26" s="35"/>
      <c r="L26" s="35"/>
      <c r="M26" s="35"/>
      <c r="N26" s="45"/>
      <c r="O26" s="45"/>
      <c r="P26" s="36"/>
      <c r="Q26" s="36"/>
      <c r="R26" s="36"/>
    </row>
    <row r="27" spans="1:18" x14ac:dyDescent="0.2">
      <c r="A27" s="16">
        <v>20</v>
      </c>
      <c r="B27" s="12" t="s">
        <v>19</v>
      </c>
      <c r="C27" s="189" t="s">
        <v>20</v>
      </c>
      <c r="D27" s="47">
        <v>103623580.21183598</v>
      </c>
      <c r="E27" s="71">
        <v>1.0901202597184708E-2</v>
      </c>
      <c r="G27" s="47">
        <v>86896433.930976748</v>
      </c>
      <c r="H27" s="71">
        <v>1.1777629774824824E-2</v>
      </c>
      <c r="J27" s="47">
        <v>443187.94629697769</v>
      </c>
      <c r="K27" s="47">
        <v>267042.26942346542</v>
      </c>
      <c r="L27" s="47">
        <v>710230.21572044306</v>
      </c>
      <c r="M27" s="47"/>
      <c r="N27" s="43">
        <v>76506000</v>
      </c>
      <c r="O27" s="44"/>
      <c r="P27" s="38">
        <v>5.7930000000000004E-3</v>
      </c>
      <c r="Q27" s="38">
        <v>3.49E-3</v>
      </c>
      <c r="R27" s="38">
        <v>9.2829999999999996E-3</v>
      </c>
    </row>
    <row r="28" spans="1:18" x14ac:dyDescent="0.2">
      <c r="A28" s="16">
        <v>21</v>
      </c>
      <c r="C28" s="189"/>
      <c r="D28" s="35"/>
      <c r="E28" s="73"/>
      <c r="G28" s="35"/>
      <c r="H28" s="73"/>
      <c r="J28" s="35"/>
      <c r="K28" s="35"/>
      <c r="L28" s="35"/>
      <c r="M28" s="35"/>
      <c r="N28" s="45"/>
      <c r="O28" s="45"/>
      <c r="P28" s="36"/>
      <c r="Q28" s="36"/>
      <c r="R28" s="36"/>
    </row>
    <row r="29" spans="1:18" x14ac:dyDescent="0.2">
      <c r="A29" s="16">
        <v>22</v>
      </c>
      <c r="B29" s="18" t="s">
        <v>24</v>
      </c>
      <c r="C29" s="190" t="s">
        <v>75</v>
      </c>
      <c r="D29" s="47">
        <v>8251261.5867248578</v>
      </c>
      <c r="E29" s="71">
        <v>8.6803287490525645E-4</v>
      </c>
      <c r="G29" s="47">
        <v>8616676.2544703893</v>
      </c>
      <c r="H29" s="71">
        <v>1.1678732742391581E-3</v>
      </c>
      <c r="J29" s="47">
        <v>35289.84107192661</v>
      </c>
      <c r="K29" s="47">
        <v>26479.990924700011</v>
      </c>
      <c r="L29" s="47">
        <v>61769.831996626621</v>
      </c>
      <c r="M29" s="47"/>
      <c r="N29" s="43">
        <v>2088697000</v>
      </c>
      <c r="O29" s="44"/>
      <c r="P29" s="38">
        <v>1.7E-5</v>
      </c>
      <c r="Q29" s="38">
        <v>1.2999999999999999E-5</v>
      </c>
      <c r="R29" s="38">
        <v>2.9999999999999997E-5</v>
      </c>
    </row>
    <row r="30" spans="1:18" x14ac:dyDescent="0.2">
      <c r="A30" s="16">
        <v>23</v>
      </c>
      <c r="D30" s="35"/>
      <c r="E30" s="73"/>
      <c r="G30" s="35"/>
      <c r="H30" s="73"/>
      <c r="J30" s="35"/>
      <c r="K30" s="35"/>
      <c r="L30" s="35"/>
      <c r="M30" s="35"/>
      <c r="N30" s="45"/>
      <c r="O30" s="45"/>
      <c r="P30" s="36"/>
      <c r="Q30" s="36"/>
      <c r="R30" s="36"/>
    </row>
    <row r="31" spans="1:18" ht="13.5" thickBot="1" x14ac:dyDescent="0.25">
      <c r="A31" s="16">
        <v>24</v>
      </c>
      <c r="B31" s="15" t="s">
        <v>21</v>
      </c>
      <c r="D31" s="49">
        <v>9502439475.7574692</v>
      </c>
      <c r="E31" s="74">
        <v>0.99965681248374683</v>
      </c>
      <c r="G31" s="49">
        <v>7368288414.672368</v>
      </c>
      <c r="H31" s="74">
        <v>0.99867128139082928</v>
      </c>
      <c r="J31" s="49">
        <v>40641006.87761467</v>
      </c>
      <c r="K31" s="49">
        <v>22643558.210727837</v>
      </c>
      <c r="L31" s="49">
        <v>63284565.088342503</v>
      </c>
      <c r="M31" s="49"/>
      <c r="N31" s="46">
        <v>23518981000</v>
      </c>
      <c r="O31" s="44"/>
      <c r="P31" s="40">
        <v>1.7279999999999999E-3</v>
      </c>
      <c r="Q31" s="40">
        <v>9.6299999999999999E-4</v>
      </c>
      <c r="R31" s="40">
        <v>2.6909999999999998E-3</v>
      </c>
    </row>
    <row r="32" spans="1:18" ht="13.5" thickTop="1" x14ac:dyDescent="0.2">
      <c r="A32" s="16">
        <v>25</v>
      </c>
      <c r="D32" s="17"/>
      <c r="E32" s="75"/>
      <c r="G32" s="17"/>
      <c r="H32" s="75"/>
      <c r="J32" s="17"/>
      <c r="K32" s="17"/>
      <c r="L32" s="17"/>
      <c r="M32" s="17"/>
      <c r="N32" s="33"/>
      <c r="O32" s="44"/>
      <c r="P32" s="62"/>
      <c r="Q32" s="62"/>
      <c r="R32" s="62"/>
    </row>
    <row r="33" spans="1:19" x14ac:dyDescent="0.2">
      <c r="A33" s="16">
        <v>26</v>
      </c>
      <c r="B33" s="15" t="s">
        <v>23</v>
      </c>
      <c r="D33" s="47">
        <v>3262238.1614442412</v>
      </c>
      <c r="E33" s="71">
        <v>3.4318751625326557E-4</v>
      </c>
      <c r="G33" s="47">
        <v>9803407.9048292413</v>
      </c>
      <c r="H33" s="71">
        <v>1.3287186091708021E-3</v>
      </c>
      <c r="J33" s="47">
        <v>13952.274454776682</v>
      </c>
      <c r="K33" s="47">
        <v>30126.947408095028</v>
      </c>
      <c r="L33" s="47">
        <v>44079.221862871709</v>
      </c>
      <c r="M33" s="47"/>
      <c r="N33" s="43">
        <v>0</v>
      </c>
      <c r="O33" s="44"/>
      <c r="P33" s="38"/>
      <c r="Q33" s="38"/>
      <c r="R33" s="38"/>
    </row>
    <row r="34" spans="1:19" x14ac:dyDescent="0.2">
      <c r="A34" s="16">
        <v>27</v>
      </c>
      <c r="D34" s="35"/>
      <c r="E34" s="73"/>
      <c r="G34" s="35"/>
      <c r="H34" s="73"/>
      <c r="J34" s="35"/>
      <c r="K34" s="35"/>
      <c r="L34" s="35"/>
      <c r="M34" s="35"/>
      <c r="N34" s="45"/>
      <c r="O34" s="45"/>
      <c r="P34" s="36"/>
      <c r="Q34" s="36"/>
      <c r="R34" s="36"/>
    </row>
    <row r="35" spans="1:19" ht="13.5" thickBot="1" x14ac:dyDescent="0.25">
      <c r="A35" s="16">
        <v>28</v>
      </c>
      <c r="B35" s="15" t="s">
        <v>22</v>
      </c>
      <c r="D35" s="49">
        <v>9505701713.9189129</v>
      </c>
      <c r="E35" s="74">
        <v>1</v>
      </c>
      <c r="G35" s="49">
        <v>7378091822.5771971</v>
      </c>
      <c r="H35" s="74">
        <v>1</v>
      </c>
      <c r="J35" s="49">
        <v>40654959.152069449</v>
      </c>
      <c r="K35" s="49">
        <v>22673685.158135932</v>
      </c>
      <c r="L35" s="49">
        <v>63328644.310205378</v>
      </c>
      <c r="M35" s="49"/>
      <c r="N35" s="46">
        <v>23518981000</v>
      </c>
      <c r="O35" s="44"/>
      <c r="P35" s="40">
        <v>1.7290000000000001E-3</v>
      </c>
      <c r="Q35" s="40">
        <v>9.6400000000000001E-4</v>
      </c>
      <c r="R35" s="40">
        <v>2.6930000000000001E-3</v>
      </c>
      <c r="S35" s="57"/>
    </row>
    <row r="36" spans="1:19" ht="13.5" thickTop="1" x14ac:dyDescent="0.2">
      <c r="A36" s="16">
        <v>29</v>
      </c>
      <c r="S36" s="58"/>
    </row>
    <row r="37" spans="1:19" ht="13.5" thickBot="1" x14ac:dyDescent="0.25">
      <c r="A37" s="16">
        <v>30</v>
      </c>
      <c r="B37" s="12" t="s">
        <v>79</v>
      </c>
      <c r="D37" s="35"/>
      <c r="G37" s="35"/>
      <c r="J37" s="56">
        <v>40654959.152069449</v>
      </c>
      <c r="K37" s="56">
        <v>22673685.158135928</v>
      </c>
      <c r="L37" s="56">
        <v>63328644.310205378</v>
      </c>
    </row>
    <row r="38" spans="1:19" ht="13.5" thickTop="1" x14ac:dyDescent="0.2">
      <c r="J38" s="55" t="s">
        <v>6</v>
      </c>
      <c r="K38" s="55" t="s">
        <v>7</v>
      </c>
    </row>
  </sheetData>
  <mergeCells count="3">
    <mergeCell ref="A1:R1"/>
    <mergeCell ref="A2:R2"/>
    <mergeCell ref="A3:R3"/>
  </mergeCells>
  <printOptions horizontalCentered="1"/>
  <pageMargins left="0.7" right="0.7" top="0.75" bottom="0.75" header="0.3" footer="0.3"/>
  <pageSetup scale="75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2019-04-01T07:00:00+00:00</OpenedDate>
    <SignificantOrder xmlns="dc463f71-b30c-4ab2-9473-d307f9d35888">false</SignificantOrder>
    <Date1 xmlns="dc463f71-b30c-4ab2-9473-d307f9d35888">2019-04-12T07:00:00+00:00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190227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5B82C2B1C4861488E6C70E6BF9E3ACF" ma:contentTypeVersion="56" ma:contentTypeDescription="" ma:contentTypeScope="" ma:versionID="21ffd24185903e54f380f9b7dc0cf55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26D5BF-AA4E-471C-872D-4F40998D149F}"/>
</file>

<file path=customXml/itemProps2.xml><?xml version="1.0" encoding="utf-8"?>
<ds:datastoreItem xmlns:ds="http://schemas.openxmlformats.org/officeDocument/2006/customXml" ds:itemID="{2C7F6398-317E-4952-ABD1-85985A14F63A}"/>
</file>

<file path=customXml/itemProps3.xml><?xml version="1.0" encoding="utf-8"?>
<ds:datastoreItem xmlns:ds="http://schemas.openxmlformats.org/officeDocument/2006/customXml" ds:itemID="{2B27573E-3ADB-4F0C-95CF-81D78B796C36}"/>
</file>

<file path=customXml/itemProps4.xml><?xml version="1.0" encoding="utf-8"?>
<ds:datastoreItem xmlns:ds="http://schemas.openxmlformats.org/officeDocument/2006/customXml" ds:itemID="{46116E46-E601-4B50-87AC-F0AAC2E372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+2019 Prop Tax Rate Impacts</vt:lpstr>
      <vt:lpstr>+FINAL 2019 Prop Tax Rate Des</vt:lpstr>
      <vt:lpstr>+Sch 449-459 Rate Design</vt:lpstr>
      <vt:lpstr>+UE-180280 Compliance ECOS </vt:lpstr>
      <vt:lpstr>+2019 FINAL Rev Req</vt:lpstr>
      <vt:lpstr>+2019 Street &amp; Area Lighting</vt:lpstr>
      <vt:lpstr>+Typical Res Customer Sch 140</vt:lpstr>
      <vt:lpstr>+Projected Revenue on F2017</vt:lpstr>
      <vt:lpstr>+2018 Prop Tax Rate Design</vt:lpstr>
      <vt:lpstr>'+2019 Prop Tax Rate Impacts'!Print_Area</vt:lpstr>
      <vt:lpstr>'+2019 Street &amp; Area Lighting'!Print_Area</vt:lpstr>
      <vt:lpstr>'+FINAL 2019 Prop Tax Rate Des'!Print_Area</vt:lpstr>
      <vt:lpstr>'+Projected Revenue on F2017'!Print_Area</vt:lpstr>
      <vt:lpstr>'+Sch 449-459 Rate Design'!Print_Area</vt:lpstr>
      <vt:lpstr>'+Typical Res Customer Sch 140'!Print_Area</vt:lpstr>
      <vt:lpstr>'+UE-180280 Compliance ECOS '!Print_Area</vt:lpstr>
      <vt:lpstr>'+2019 Street &amp; Area Lighting'!Print_Titles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Puget Sound Energy</cp:lastModifiedBy>
  <cp:lastPrinted>2018-03-23T22:43:26Z</cp:lastPrinted>
  <dcterms:created xsi:type="dcterms:W3CDTF">2014-04-04T17:25:38Z</dcterms:created>
  <dcterms:modified xsi:type="dcterms:W3CDTF">2019-04-11T02:58:22Z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0x0101006E56B4D1795A2E4DB2F0B01679ED314A0015B82C2B1C4861488E6C70E6BF9E3ACF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