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19\1. Final Annual Report for Filing\"/>
    </mc:Choice>
  </mc:AlternateContent>
  <xr:revisionPtr revIDLastSave="0" documentId="13_ncr:1_{812F7816-3106-40EE-ABDA-19F1C3EFFD64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TOTAL FIRST YEAR" sheetId="3" r:id="rId1"/>
    <sheet name="APP 2885" sheetId="8" r:id="rId2"/>
  </sheets>
  <externalReferences>
    <externalReference r:id="rId3"/>
    <externalReference r:id="rId4"/>
    <externalReference r:id="rId5"/>
    <externalReference r:id="rId6"/>
  </externalReferences>
  <definedNames>
    <definedName name="AC">'APP 2885'!$B$10:$H$54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Tdiscount">'[3]Rates&amp;NEB'!$B$9</definedName>
    <definedName name="NEPercentage">'[3]Rates&amp;NEB'!$B$13</definedName>
    <definedName name="NomInt">'[3]Rates&amp;NEB'!$B$5</definedName>
    <definedName name="OffsetAnchor" localSheetId="0">'TOTAL FIRST YEAR'!$B$5</definedName>
    <definedName name="_xlnm.Print_Area" localSheetId="0">'TOTAL FIRST YEAR'!$B$1:$AA$118</definedName>
    <definedName name="SSMeasures">[4]Sheet4!$A$5:$G$115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6" i="3" l="1"/>
  <c r="B115" i="3" l="1"/>
  <c r="B117" i="3"/>
  <c r="M32" i="3" l="1"/>
  <c r="M31" i="3"/>
  <c r="M30" i="3"/>
  <c r="M82" i="3"/>
  <c r="K88" i="3"/>
  <c r="K89" i="3"/>
  <c r="K90" i="3"/>
  <c r="K91" i="3"/>
  <c r="K92" i="3"/>
  <c r="K93" i="3"/>
  <c r="K94" i="3"/>
  <c r="K95" i="3"/>
  <c r="K96" i="3"/>
  <c r="K97" i="3"/>
  <c r="K98" i="3"/>
  <c r="K99" i="3"/>
  <c r="I89" i="3" l="1"/>
  <c r="I90" i="3"/>
  <c r="I91" i="3"/>
  <c r="I92" i="3"/>
  <c r="I93" i="3"/>
  <c r="I94" i="3"/>
  <c r="I95" i="3"/>
  <c r="I96" i="3"/>
  <c r="I97" i="3"/>
  <c r="I98" i="3"/>
  <c r="I99" i="3"/>
  <c r="I88" i="3"/>
  <c r="K71" i="3" l="1"/>
  <c r="K43" i="3"/>
  <c r="K28" i="3"/>
  <c r="K24" i="3"/>
  <c r="K20" i="3"/>
  <c r="K16" i="3"/>
  <c r="K13" i="3"/>
  <c r="K11" i="3"/>
  <c r="K79" i="3"/>
  <c r="K75" i="3"/>
  <c r="K67" i="3"/>
  <c r="K63" i="3"/>
  <c r="K59" i="3"/>
  <c r="K55" i="3"/>
  <c r="K51" i="3"/>
  <c r="K47" i="3"/>
  <c r="K39" i="3"/>
  <c r="K35" i="3"/>
  <c r="K31" i="3"/>
  <c r="K9" i="3"/>
  <c r="K78" i="3"/>
  <c r="K74" i="3"/>
  <c r="K70" i="3"/>
  <c r="K66" i="3"/>
  <c r="K62" i="3"/>
  <c r="K58" i="3"/>
  <c r="K54" i="3"/>
  <c r="K50" i="3"/>
  <c r="K46" i="3"/>
  <c r="K42" i="3"/>
  <c r="K38" i="3"/>
  <c r="K34" i="3"/>
  <c r="K30" i="3"/>
  <c r="K27" i="3"/>
  <c r="K23" i="3"/>
  <c r="K19" i="3"/>
  <c r="K15" i="3"/>
  <c r="K84" i="3"/>
  <c r="K10" i="3"/>
  <c r="K73" i="3"/>
  <c r="K65" i="3"/>
  <c r="K61" i="3"/>
  <c r="K57" i="3"/>
  <c r="K53" i="3"/>
  <c r="K49" i="3"/>
  <c r="K45" i="3"/>
  <c r="K41" i="3"/>
  <c r="K37" i="3"/>
  <c r="K33" i="3"/>
  <c r="K82" i="3"/>
  <c r="K26" i="3"/>
  <c r="K22" i="3"/>
  <c r="K18" i="3"/>
  <c r="K14" i="3"/>
  <c r="K83" i="3"/>
  <c r="I83" i="3"/>
  <c r="K81" i="3"/>
  <c r="K77" i="3"/>
  <c r="K69" i="3"/>
  <c r="K80" i="3"/>
  <c r="K76" i="3"/>
  <c r="K72" i="3"/>
  <c r="K68" i="3"/>
  <c r="K64" i="3"/>
  <c r="K60" i="3"/>
  <c r="K56" i="3"/>
  <c r="K52" i="3"/>
  <c r="K48" i="3"/>
  <c r="K44" i="3"/>
  <c r="K40" i="3"/>
  <c r="K36" i="3"/>
  <c r="K32" i="3"/>
  <c r="K29" i="3"/>
  <c r="K25" i="3"/>
  <c r="K21" i="3"/>
  <c r="K17" i="3"/>
  <c r="K85" i="3"/>
  <c r="K12" i="3"/>
  <c r="S32" i="3"/>
  <c r="S82" i="3"/>
  <c r="S31" i="3"/>
  <c r="S30" i="3"/>
  <c r="S80" i="3"/>
  <c r="S79" i="3"/>
  <c r="S71" i="3"/>
  <c r="S63" i="3"/>
  <c r="S56" i="3"/>
  <c r="S47" i="3"/>
  <c r="S40" i="3"/>
  <c r="S39" i="3"/>
  <c r="S25" i="3"/>
  <c r="S24" i="3"/>
  <c r="S21" i="3"/>
  <c r="S20" i="3"/>
  <c r="S12" i="3"/>
  <c r="S11" i="3"/>
  <c r="S81" i="3"/>
  <c r="S77" i="3"/>
  <c r="I76" i="3"/>
  <c r="P76" i="3" s="1"/>
  <c r="I73" i="3"/>
  <c r="S72" i="3"/>
  <c r="I70" i="3"/>
  <c r="S69" i="3"/>
  <c r="M68" i="3"/>
  <c r="M67" i="3"/>
  <c r="I65" i="3"/>
  <c r="M64" i="3"/>
  <c r="M63" i="3"/>
  <c r="S61" i="3"/>
  <c r="I60" i="3"/>
  <c r="P60" i="3" s="1"/>
  <c r="I58" i="3"/>
  <c r="P58" i="3" s="1"/>
  <c r="V58" i="3" s="1"/>
  <c r="I57" i="3"/>
  <c r="M54" i="3"/>
  <c r="S53" i="3"/>
  <c r="S45" i="3"/>
  <c r="M44" i="3"/>
  <c r="M40" i="3"/>
  <c r="S37" i="3"/>
  <c r="M36" i="3"/>
  <c r="M35" i="3"/>
  <c r="I27" i="3"/>
  <c r="M25" i="3"/>
  <c r="S22" i="3"/>
  <c r="S83" i="3"/>
  <c r="K106" i="3" l="1"/>
  <c r="W40" i="3"/>
  <c r="W12" i="3"/>
  <c r="W25" i="3"/>
  <c r="W56" i="3"/>
  <c r="M39" i="3"/>
  <c r="M43" i="3"/>
  <c r="M71" i="3"/>
  <c r="M24" i="3"/>
  <c r="M28" i="3"/>
  <c r="M47" i="3"/>
  <c r="M51" i="3"/>
  <c r="M75" i="3"/>
  <c r="M55" i="3"/>
  <c r="M59" i="3"/>
  <c r="L79" i="3"/>
  <c r="M74" i="3"/>
  <c r="I64" i="3"/>
  <c r="P64" i="3" s="1"/>
  <c r="M66" i="3"/>
  <c r="I74" i="3"/>
  <c r="P74" i="3" s="1"/>
  <c r="M23" i="3"/>
  <c r="M42" i="3"/>
  <c r="M62" i="3"/>
  <c r="M34" i="3"/>
  <c r="M46" i="3"/>
  <c r="M58" i="3"/>
  <c r="M78" i="3"/>
  <c r="M70" i="3"/>
  <c r="M27" i="3"/>
  <c r="M29" i="3"/>
  <c r="M38" i="3"/>
  <c r="M48" i="3"/>
  <c r="M50" i="3"/>
  <c r="M52" i="3"/>
  <c r="L57" i="3"/>
  <c r="M60" i="3"/>
  <c r="M72" i="3"/>
  <c r="I62" i="3"/>
  <c r="P62" i="3" s="1"/>
  <c r="I68" i="3"/>
  <c r="P68" i="3" s="1"/>
  <c r="V68" i="3" s="1"/>
  <c r="L72" i="3"/>
  <c r="N72" i="3" s="1"/>
  <c r="M79" i="3"/>
  <c r="M57" i="3"/>
  <c r="L67" i="3"/>
  <c r="N67" i="3" s="1"/>
  <c r="I78" i="3"/>
  <c r="P78" i="3" s="1"/>
  <c r="L62" i="3"/>
  <c r="I56" i="3"/>
  <c r="P56" i="3" s="1"/>
  <c r="V56" i="3" s="1"/>
  <c r="L78" i="3"/>
  <c r="N78" i="3" s="1"/>
  <c r="L71" i="3"/>
  <c r="N71" i="3" s="1"/>
  <c r="L66" i="3"/>
  <c r="L60" i="3"/>
  <c r="M56" i="3"/>
  <c r="M53" i="3"/>
  <c r="M49" i="3"/>
  <c r="M45" i="3"/>
  <c r="M41" i="3"/>
  <c r="M37" i="3"/>
  <c r="M33" i="3"/>
  <c r="M26" i="3"/>
  <c r="M22" i="3"/>
  <c r="M81" i="3"/>
  <c r="M77" i="3"/>
  <c r="M73" i="3"/>
  <c r="M69" i="3"/>
  <c r="M65" i="3"/>
  <c r="M61" i="3"/>
  <c r="I10" i="3"/>
  <c r="I84" i="3"/>
  <c r="I85" i="3"/>
  <c r="P85" i="3" s="1"/>
  <c r="Z85" i="3" s="1"/>
  <c r="I15" i="3"/>
  <c r="I17" i="3"/>
  <c r="P17" i="3" s="1"/>
  <c r="I18" i="3"/>
  <c r="P18" i="3" s="1"/>
  <c r="Z18" i="3" s="1"/>
  <c r="I23" i="3"/>
  <c r="P23" i="3" s="1"/>
  <c r="V23" i="3" s="1"/>
  <c r="I26" i="3"/>
  <c r="P26" i="3" s="1"/>
  <c r="V26" i="3" s="1"/>
  <c r="P27" i="3"/>
  <c r="I29" i="3"/>
  <c r="P29" i="3" s="1"/>
  <c r="V29" i="3" s="1"/>
  <c r="I30" i="3"/>
  <c r="P30" i="3" s="1"/>
  <c r="I33" i="3"/>
  <c r="P33" i="3" s="1"/>
  <c r="I36" i="3"/>
  <c r="P36" i="3" s="1"/>
  <c r="V36" i="3" s="1"/>
  <c r="I38" i="3"/>
  <c r="P38" i="3" s="1"/>
  <c r="I41" i="3"/>
  <c r="P41" i="3" s="1"/>
  <c r="I42" i="3"/>
  <c r="P42" i="3" s="1"/>
  <c r="V42" i="3" s="1"/>
  <c r="I44" i="3"/>
  <c r="P44" i="3" s="1"/>
  <c r="V44" i="3" s="1"/>
  <c r="I46" i="3"/>
  <c r="P46" i="3" s="1"/>
  <c r="I48" i="3"/>
  <c r="P48" i="3" s="1"/>
  <c r="I49" i="3"/>
  <c r="P49" i="3" s="1"/>
  <c r="Z49" i="3" s="1"/>
  <c r="I52" i="3"/>
  <c r="P52" i="3" s="1"/>
  <c r="V52" i="3" s="1"/>
  <c r="I54" i="3"/>
  <c r="P54" i="3" s="1"/>
  <c r="Z54" i="3" s="1"/>
  <c r="S55" i="3"/>
  <c r="L75" i="3"/>
  <c r="N75" i="3" s="1"/>
  <c r="L70" i="3"/>
  <c r="L64" i="3"/>
  <c r="N64" i="3" s="1"/>
  <c r="L59" i="3"/>
  <c r="N59" i="3" s="1"/>
  <c r="M80" i="3"/>
  <c r="M76" i="3"/>
  <c r="L74" i="3"/>
  <c r="N74" i="3" s="1"/>
  <c r="L68" i="3"/>
  <c r="N68" i="3" s="1"/>
  <c r="L63" i="3"/>
  <c r="N63" i="3" s="1"/>
  <c r="L58" i="3"/>
  <c r="N58" i="3" s="1"/>
  <c r="S49" i="3"/>
  <c r="S38" i="3"/>
  <c r="S70" i="3"/>
  <c r="S18" i="3"/>
  <c r="I72" i="3"/>
  <c r="P72" i="3" s="1"/>
  <c r="U72" i="3" s="1"/>
  <c r="S68" i="3"/>
  <c r="I25" i="3"/>
  <c r="P25" i="3" s="1"/>
  <c r="V25" i="3" s="1"/>
  <c r="S60" i="3"/>
  <c r="S36" i="3"/>
  <c r="I40" i="3"/>
  <c r="P40" i="3" s="1"/>
  <c r="V40" i="3" s="1"/>
  <c r="W69" i="3"/>
  <c r="W21" i="3"/>
  <c r="I28" i="3"/>
  <c r="S28" i="3"/>
  <c r="I59" i="3"/>
  <c r="S59" i="3"/>
  <c r="V60" i="3"/>
  <c r="Z60" i="3"/>
  <c r="S78" i="3"/>
  <c r="S64" i="3"/>
  <c r="S57" i="3"/>
  <c r="S42" i="3"/>
  <c r="S29" i="3"/>
  <c r="S15" i="3"/>
  <c r="S10" i="3"/>
  <c r="Z58" i="3"/>
  <c r="I32" i="3"/>
  <c r="I34" i="3"/>
  <c r="S34" i="3"/>
  <c r="I35" i="3"/>
  <c r="S35" i="3"/>
  <c r="W39" i="3"/>
  <c r="I66" i="3"/>
  <c r="S66" i="3"/>
  <c r="I67" i="3"/>
  <c r="S67" i="3"/>
  <c r="W71" i="3"/>
  <c r="P70" i="3"/>
  <c r="P65" i="3"/>
  <c r="S76" i="3"/>
  <c r="S62" i="3"/>
  <c r="S54" i="3"/>
  <c r="S48" i="3"/>
  <c r="S41" i="3"/>
  <c r="S33" i="3"/>
  <c r="S27" i="3"/>
  <c r="S85" i="3"/>
  <c r="W22" i="3"/>
  <c r="I75" i="3"/>
  <c r="S75" i="3"/>
  <c r="S74" i="3"/>
  <c r="S46" i="3"/>
  <c r="W11" i="3"/>
  <c r="I43" i="3"/>
  <c r="S43" i="3"/>
  <c r="S26" i="3"/>
  <c r="S84" i="3"/>
  <c r="W47" i="3"/>
  <c r="I13" i="3"/>
  <c r="S13" i="3"/>
  <c r="I14" i="3"/>
  <c r="S14" i="3"/>
  <c r="I16" i="3"/>
  <c r="S16" i="3"/>
  <c r="I19" i="3"/>
  <c r="S19" i="3"/>
  <c r="I50" i="3"/>
  <c r="S50" i="3"/>
  <c r="I51" i="3"/>
  <c r="S51" i="3"/>
  <c r="P73" i="3"/>
  <c r="P57" i="3"/>
  <c r="P15" i="3"/>
  <c r="S73" i="3"/>
  <c r="S65" i="3"/>
  <c r="S58" i="3"/>
  <c r="S52" i="3"/>
  <c r="S44" i="3"/>
  <c r="S23" i="3"/>
  <c r="S17" i="3"/>
  <c r="L77" i="3"/>
  <c r="N77" i="3" s="1"/>
  <c r="L73" i="3"/>
  <c r="L69" i="3"/>
  <c r="N69" i="3" s="1"/>
  <c r="L65" i="3"/>
  <c r="L61" i="3"/>
  <c r="N61" i="3" s="1"/>
  <c r="L80" i="3"/>
  <c r="N80" i="3" s="1"/>
  <c r="L76" i="3"/>
  <c r="I22" i="3"/>
  <c r="I82" i="3"/>
  <c r="I37" i="3"/>
  <c r="I45" i="3"/>
  <c r="I61" i="3"/>
  <c r="I69" i="3"/>
  <c r="I77" i="3"/>
  <c r="I20" i="3"/>
  <c r="I21" i="3"/>
  <c r="I53" i="3"/>
  <c r="I11" i="3"/>
  <c r="I12" i="3"/>
  <c r="I24" i="3"/>
  <c r="I31" i="3"/>
  <c r="I39" i="3"/>
  <c r="I47" i="3"/>
  <c r="I55" i="3"/>
  <c r="I63" i="3"/>
  <c r="I71" i="3"/>
  <c r="I79" i="3"/>
  <c r="I80" i="3"/>
  <c r="I81" i="3"/>
  <c r="N76" i="3" l="1"/>
  <c r="N73" i="3"/>
  <c r="N57" i="3"/>
  <c r="Y57" i="3" s="1"/>
  <c r="N65" i="3"/>
  <c r="Y65" i="3" s="1"/>
  <c r="N66" i="3"/>
  <c r="N62" i="3"/>
  <c r="Y62" i="3" s="1"/>
  <c r="N79" i="3"/>
  <c r="N70" i="3"/>
  <c r="Y70" i="3" s="1"/>
  <c r="N60" i="3"/>
  <c r="Y60" i="3" s="1"/>
  <c r="AA71" i="3"/>
  <c r="AA57" i="3"/>
  <c r="W36" i="3"/>
  <c r="W60" i="3"/>
  <c r="W18" i="3"/>
  <c r="W55" i="3"/>
  <c r="Z56" i="3"/>
  <c r="U56" i="3"/>
  <c r="Y74" i="3"/>
  <c r="Z52" i="3"/>
  <c r="Z68" i="3"/>
  <c r="U68" i="3"/>
  <c r="Y73" i="3"/>
  <c r="Z44" i="3"/>
  <c r="AA69" i="3"/>
  <c r="V18" i="3"/>
  <c r="Z36" i="3"/>
  <c r="V49" i="3"/>
  <c r="Z23" i="3"/>
  <c r="U25" i="3"/>
  <c r="Z29" i="3"/>
  <c r="V54" i="3"/>
  <c r="W68" i="3"/>
  <c r="U36" i="3"/>
  <c r="Z26" i="3"/>
  <c r="U38" i="3"/>
  <c r="Z42" i="3"/>
  <c r="U49" i="3"/>
  <c r="W49" i="3"/>
  <c r="Y72" i="3"/>
  <c r="V85" i="3"/>
  <c r="Z40" i="3"/>
  <c r="U40" i="3"/>
  <c r="U18" i="3"/>
  <c r="Z25" i="3"/>
  <c r="U60" i="3"/>
  <c r="P79" i="3"/>
  <c r="P47" i="3"/>
  <c r="P21" i="3"/>
  <c r="P61" i="3"/>
  <c r="P22" i="3"/>
  <c r="W44" i="3"/>
  <c r="U44" i="3"/>
  <c r="U73" i="3"/>
  <c r="Z15" i="3"/>
  <c r="V15" i="3"/>
  <c r="P50" i="3"/>
  <c r="W14" i="3"/>
  <c r="W43" i="3"/>
  <c r="U33" i="3"/>
  <c r="W33" i="3"/>
  <c r="U62" i="3"/>
  <c r="P67" i="3"/>
  <c r="W34" i="3"/>
  <c r="W15" i="3"/>
  <c r="U15" i="3"/>
  <c r="U57" i="3"/>
  <c r="W57" i="3"/>
  <c r="Y64" i="3"/>
  <c r="P55" i="3"/>
  <c r="P24" i="3"/>
  <c r="P69" i="3"/>
  <c r="P82" i="3"/>
  <c r="U30" i="3"/>
  <c r="W30" i="3"/>
  <c r="U65" i="3"/>
  <c r="Y68" i="3"/>
  <c r="AA68" i="3"/>
  <c r="V17" i="3"/>
  <c r="Z17" i="3"/>
  <c r="U26" i="3"/>
  <c r="W26" i="3"/>
  <c r="Y78" i="3"/>
  <c r="P75" i="3"/>
  <c r="U27" i="3"/>
  <c r="W54" i="3"/>
  <c r="U54" i="3"/>
  <c r="V33" i="3"/>
  <c r="Z33" i="3"/>
  <c r="P35" i="3"/>
  <c r="U78" i="3"/>
  <c r="P28" i="3"/>
  <c r="P71" i="3"/>
  <c r="P39" i="3"/>
  <c r="P20" i="3"/>
  <c r="P45" i="3"/>
  <c r="Y76" i="3"/>
  <c r="W17" i="3"/>
  <c r="U17" i="3"/>
  <c r="W52" i="3"/>
  <c r="U52" i="3"/>
  <c r="V30" i="3"/>
  <c r="Z30" i="3"/>
  <c r="W19" i="3"/>
  <c r="W16" i="3"/>
  <c r="P14" i="3"/>
  <c r="U14" i="3" s="1"/>
  <c r="P43" i="3"/>
  <c r="U74" i="3"/>
  <c r="U41" i="3"/>
  <c r="U76" i="3"/>
  <c r="P34" i="3"/>
  <c r="U34" i="3" s="1"/>
  <c r="W42" i="3"/>
  <c r="U42" i="3"/>
  <c r="U64" i="3"/>
  <c r="Y58" i="3"/>
  <c r="AA58" i="3"/>
  <c r="V48" i="3"/>
  <c r="Z48" i="3"/>
  <c r="P80" i="3"/>
  <c r="P53" i="3"/>
  <c r="V57" i="3"/>
  <c r="Z57" i="3"/>
  <c r="P81" i="3"/>
  <c r="P63" i="3"/>
  <c r="Y63" i="3" s="1"/>
  <c r="P31" i="3"/>
  <c r="P77" i="3"/>
  <c r="P37" i="3"/>
  <c r="W23" i="3"/>
  <c r="U23" i="3"/>
  <c r="W58" i="3"/>
  <c r="U58" i="3"/>
  <c r="V46" i="3"/>
  <c r="Z46" i="3"/>
  <c r="P51" i="3"/>
  <c r="P19" i="3"/>
  <c r="P16" i="3"/>
  <c r="W13" i="3"/>
  <c r="W46" i="3"/>
  <c r="U46" i="3"/>
  <c r="U85" i="3"/>
  <c r="W48" i="3"/>
  <c r="U48" i="3"/>
  <c r="U70" i="3"/>
  <c r="P66" i="3"/>
  <c r="U66" i="3" s="1"/>
  <c r="W35" i="3"/>
  <c r="P32" i="3"/>
  <c r="W29" i="3"/>
  <c r="U29" i="3"/>
  <c r="P59" i="3"/>
  <c r="U59" i="3" s="1"/>
  <c r="Y79" i="3" l="1"/>
  <c r="Y75" i="3"/>
  <c r="AA60" i="3"/>
  <c r="Y61" i="3"/>
  <c r="U77" i="3"/>
  <c r="U80" i="3"/>
  <c r="V39" i="3"/>
  <c r="Z39" i="3"/>
  <c r="U39" i="3"/>
  <c r="V69" i="3"/>
  <c r="Z69" i="3"/>
  <c r="U69" i="3"/>
  <c r="U63" i="3"/>
  <c r="U61" i="3"/>
  <c r="Z21" i="3"/>
  <c r="V21" i="3"/>
  <c r="U21" i="3"/>
  <c r="U79" i="3"/>
  <c r="V19" i="3"/>
  <c r="Z19" i="3"/>
  <c r="V55" i="3"/>
  <c r="Z55" i="3"/>
  <c r="U55" i="3"/>
  <c r="V47" i="3"/>
  <c r="Z47" i="3"/>
  <c r="U47" i="3"/>
  <c r="Y80" i="3"/>
  <c r="V43" i="3"/>
  <c r="Z43" i="3"/>
  <c r="V35" i="3"/>
  <c r="Z35" i="3"/>
  <c r="U28" i="3"/>
  <c r="U35" i="3"/>
  <c r="Z16" i="3"/>
  <c r="V16" i="3"/>
  <c r="U37" i="3"/>
  <c r="U50" i="3"/>
  <c r="U53" i="3"/>
  <c r="U16" i="3"/>
  <c r="Y69" i="3"/>
  <c r="U45" i="3"/>
  <c r="U20" i="3"/>
  <c r="V71" i="3"/>
  <c r="Z71" i="3"/>
  <c r="U71" i="3"/>
  <c r="Y71" i="3"/>
  <c r="Y77" i="3"/>
  <c r="U82" i="3"/>
  <c r="U24" i="3"/>
  <c r="U43" i="3"/>
  <c r="U32" i="3"/>
  <c r="Y66" i="3"/>
  <c r="U75" i="3"/>
  <c r="U31" i="3"/>
  <c r="U81" i="3"/>
  <c r="V34" i="3"/>
  <c r="Z34" i="3"/>
  <c r="Y67" i="3"/>
  <c r="Z14" i="3"/>
  <c r="V14" i="3"/>
  <c r="U19" i="3"/>
  <c r="U51" i="3"/>
  <c r="U67" i="3"/>
  <c r="Y59" i="3"/>
  <c r="Z22" i="3"/>
  <c r="V22" i="3"/>
  <c r="U22" i="3"/>
  <c r="S88" i="3" l="1"/>
  <c r="S89" i="3"/>
  <c r="S90" i="3"/>
  <c r="S91" i="3"/>
  <c r="S92" i="3"/>
  <c r="S93" i="3"/>
  <c r="S94" i="3"/>
  <c r="S95" i="3"/>
  <c r="S96" i="3"/>
  <c r="S97" i="3"/>
  <c r="S98" i="3"/>
  <c r="S99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43" i="3"/>
  <c r="N43" i="3" s="1"/>
  <c r="L38" i="3"/>
  <c r="N38" i="3" s="1"/>
  <c r="L42" i="3"/>
  <c r="N42" i="3" s="1"/>
  <c r="L49" i="3"/>
  <c r="N49" i="3" s="1"/>
  <c r="L56" i="3"/>
  <c r="N56" i="3" s="1"/>
  <c r="L37" i="3"/>
  <c r="N37" i="3" s="1"/>
  <c r="L52" i="3"/>
  <c r="N52" i="3" s="1"/>
  <c r="N94" i="3" l="1"/>
  <c r="N95" i="3"/>
  <c r="N93" i="3"/>
  <c r="Y52" i="3"/>
  <c r="AA52" i="3"/>
  <c r="Y37" i="3"/>
  <c r="Y56" i="3"/>
  <c r="AA56" i="3"/>
  <c r="AA43" i="3"/>
  <c r="Y43" i="3"/>
  <c r="AA49" i="3"/>
  <c r="Y49" i="3"/>
  <c r="Y42" i="3"/>
  <c r="AA42" i="3"/>
  <c r="Y38" i="3"/>
  <c r="N98" i="3"/>
  <c r="N90" i="3"/>
  <c r="N89" i="3"/>
  <c r="N92" i="3"/>
  <c r="N97" i="3"/>
  <c r="N99" i="3"/>
  <c r="N96" i="3"/>
  <c r="N91" i="3"/>
  <c r="P96" i="3" l="1"/>
  <c r="P92" i="3"/>
  <c r="P99" i="3"/>
  <c r="P95" i="3"/>
  <c r="P91" i="3"/>
  <c r="P98" i="3"/>
  <c r="P94" i="3"/>
  <c r="P90" i="3"/>
  <c r="P97" i="3"/>
  <c r="P93" i="3"/>
  <c r="P89" i="3"/>
  <c r="L41" i="3"/>
  <c r="N41" i="3" s="1"/>
  <c r="L47" i="3"/>
  <c r="N47" i="3" s="1"/>
  <c r="L48" i="3"/>
  <c r="N48" i="3" s="1"/>
  <c r="L53" i="3"/>
  <c r="N53" i="3" s="1"/>
  <c r="L55" i="3"/>
  <c r="N55" i="3" s="1"/>
  <c r="L81" i="3"/>
  <c r="N81" i="3" s="1"/>
  <c r="AA55" i="3" l="1"/>
  <c r="Y55" i="3"/>
  <c r="Y41" i="3"/>
  <c r="Y48" i="3"/>
  <c r="AA48" i="3"/>
  <c r="Y53" i="3"/>
  <c r="Y81" i="3"/>
  <c r="AA47" i="3"/>
  <c r="Y47" i="3"/>
  <c r="U94" i="3"/>
  <c r="Y94" i="3"/>
  <c r="U91" i="3"/>
  <c r="Y91" i="3"/>
  <c r="U99" i="3"/>
  <c r="Y99" i="3"/>
  <c r="U90" i="3"/>
  <c r="Y90" i="3"/>
  <c r="U89" i="3"/>
  <c r="Y89" i="3"/>
  <c r="U97" i="3"/>
  <c r="Y97" i="3"/>
  <c r="U95" i="3"/>
  <c r="Y95" i="3"/>
  <c r="U96" i="3"/>
  <c r="Y96" i="3"/>
  <c r="U93" i="3"/>
  <c r="Y93" i="3"/>
  <c r="U98" i="3"/>
  <c r="Y98" i="3"/>
  <c r="U92" i="3"/>
  <c r="Y92" i="3"/>
  <c r="L39" i="3" l="1"/>
  <c r="N39" i="3" s="1"/>
  <c r="L40" i="3"/>
  <c r="N40" i="3" s="1"/>
  <c r="L44" i="3"/>
  <c r="N44" i="3" s="1"/>
  <c r="L45" i="3"/>
  <c r="N45" i="3" s="1"/>
  <c r="L46" i="3"/>
  <c r="N46" i="3" s="1"/>
  <c r="L51" i="3"/>
  <c r="N51" i="3" s="1"/>
  <c r="L54" i="3"/>
  <c r="N54" i="3" s="1"/>
  <c r="Y45" i="3" l="1"/>
  <c r="Y54" i="3"/>
  <c r="AA54" i="3"/>
  <c r="Y44" i="3"/>
  <c r="AA44" i="3"/>
  <c r="Y51" i="3"/>
  <c r="Y40" i="3"/>
  <c r="AA40" i="3"/>
  <c r="Y46" i="3"/>
  <c r="AA46" i="3"/>
  <c r="AA39" i="3"/>
  <c r="Y39" i="3"/>
  <c r="L34" i="3"/>
  <c r="N34" i="3" s="1"/>
  <c r="L35" i="3"/>
  <c r="N35" i="3" s="1"/>
  <c r="L36" i="3"/>
  <c r="N36" i="3" s="1"/>
  <c r="L50" i="3"/>
  <c r="N50" i="3" s="1"/>
  <c r="Y50" i="3" l="1"/>
  <c r="Y36" i="3"/>
  <c r="AA36" i="3"/>
  <c r="AA35" i="3"/>
  <c r="Y35" i="3"/>
  <c r="Y34" i="3"/>
  <c r="AA34" i="3"/>
  <c r="L33" i="3" l="1"/>
  <c r="N33" i="3" s="1"/>
  <c r="AA33" i="3" l="1"/>
  <c r="Y33" i="3"/>
  <c r="L25" i="3"/>
  <c r="N25" i="3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Y25" i="3" l="1"/>
  <c r="AA25" i="3"/>
  <c r="L30" i="3"/>
  <c r="N30" i="3" s="1"/>
  <c r="L18" i="3"/>
  <c r="N18" i="3" s="1"/>
  <c r="M18" i="3"/>
  <c r="L83" i="3"/>
  <c r="M83" i="3"/>
  <c r="L31" i="3"/>
  <c r="N31" i="3" s="1"/>
  <c r="L26" i="3"/>
  <c r="N26" i="3" s="1"/>
  <c r="L24" i="3"/>
  <c r="N24" i="3" s="1"/>
  <c r="L19" i="3"/>
  <c r="M19" i="3"/>
  <c r="L15" i="3"/>
  <c r="M15" i="3"/>
  <c r="L84" i="3"/>
  <c r="M84" i="3"/>
  <c r="L82" i="3"/>
  <c r="N82" i="3" s="1"/>
  <c r="L21" i="3"/>
  <c r="M21" i="3"/>
  <c r="L17" i="3"/>
  <c r="M17" i="3"/>
  <c r="L85" i="3"/>
  <c r="M85" i="3"/>
  <c r="L12" i="3"/>
  <c r="M12" i="3"/>
  <c r="L22" i="3"/>
  <c r="N22" i="3" s="1"/>
  <c r="L14" i="3"/>
  <c r="M14" i="3"/>
  <c r="L32" i="3"/>
  <c r="N32" i="3" s="1"/>
  <c r="L29" i="3"/>
  <c r="N29" i="3" s="1"/>
  <c r="L20" i="3"/>
  <c r="M20" i="3"/>
  <c r="L16" i="3"/>
  <c r="M16" i="3"/>
  <c r="L13" i="3"/>
  <c r="M13" i="3"/>
  <c r="P13" i="3"/>
  <c r="P84" i="3"/>
  <c r="N17" i="3" l="1"/>
  <c r="N12" i="3"/>
  <c r="AA12" i="3" s="1"/>
  <c r="N16" i="3"/>
  <c r="N15" i="3"/>
  <c r="N13" i="3"/>
  <c r="N14" i="3"/>
  <c r="N84" i="3"/>
  <c r="N19" i="3"/>
  <c r="N20" i="3"/>
  <c r="N85" i="3"/>
  <c r="Y85" i="3" s="1"/>
  <c r="N21" i="3"/>
  <c r="Y21" i="3" s="1"/>
  <c r="N83" i="3"/>
  <c r="AA18" i="3"/>
  <c r="V84" i="3"/>
  <c r="Z84" i="3"/>
  <c r="U84" i="3"/>
  <c r="Y22" i="3"/>
  <c r="AA22" i="3"/>
  <c r="Y31" i="3"/>
  <c r="Y30" i="3"/>
  <c r="AA30" i="3"/>
  <c r="Y24" i="3"/>
  <c r="Y29" i="3"/>
  <c r="AA29" i="3"/>
  <c r="Z13" i="3"/>
  <c r="V13" i="3"/>
  <c r="U13" i="3"/>
  <c r="Y32" i="3"/>
  <c r="Y82" i="3"/>
  <c r="AA26" i="3"/>
  <c r="Y26" i="3"/>
  <c r="P83" i="3"/>
  <c r="P12" i="3"/>
  <c r="I9" i="3"/>
  <c r="Q9" i="3" s="1"/>
  <c r="Y18" i="3" l="1"/>
  <c r="AA21" i="3"/>
  <c r="Y12" i="3"/>
  <c r="AA19" i="3"/>
  <c r="Y19" i="3"/>
  <c r="AA13" i="3"/>
  <c r="Y13" i="3"/>
  <c r="Y83" i="3"/>
  <c r="Z83" i="3"/>
  <c r="V83" i="3"/>
  <c r="U83" i="3"/>
  <c r="Y20" i="3"/>
  <c r="AA16" i="3"/>
  <c r="Y16" i="3"/>
  <c r="Q18" i="3"/>
  <c r="Q52" i="3"/>
  <c r="Q49" i="3"/>
  <c r="Q57" i="3"/>
  <c r="Q33" i="3"/>
  <c r="Q48" i="3"/>
  <c r="Q56" i="3"/>
  <c r="Q70" i="3"/>
  <c r="Q76" i="3"/>
  <c r="Q85" i="3"/>
  <c r="Q10" i="3"/>
  <c r="W10" i="3" s="1"/>
  <c r="Q42" i="3"/>
  <c r="Q46" i="3"/>
  <c r="Q44" i="3"/>
  <c r="Q73" i="3"/>
  <c r="Q62" i="3"/>
  <c r="Q41" i="3"/>
  <c r="Q38" i="3"/>
  <c r="Q60" i="3"/>
  <c r="Q25" i="3"/>
  <c r="Q36" i="3"/>
  <c r="Q84" i="3"/>
  <c r="W84" i="3" s="1"/>
  <c r="Q30" i="3"/>
  <c r="Q58" i="3"/>
  <c r="Q72" i="3"/>
  <c r="Q26" i="3"/>
  <c r="Q78" i="3"/>
  <c r="Q15" i="3"/>
  <c r="Q23" i="3"/>
  <c r="Q68" i="3"/>
  <c r="Q64" i="3"/>
  <c r="Q27" i="3"/>
  <c r="Q29" i="3"/>
  <c r="Q40" i="3"/>
  <c r="Q74" i="3"/>
  <c r="Q17" i="3"/>
  <c r="Q54" i="3"/>
  <c r="Q65" i="3"/>
  <c r="Q47" i="3"/>
  <c r="Q67" i="3"/>
  <c r="Q24" i="3"/>
  <c r="Q82" i="3"/>
  <c r="Q71" i="3"/>
  <c r="Q12" i="3"/>
  <c r="Q45" i="3"/>
  <c r="Q53" i="3"/>
  <c r="Q37" i="3"/>
  <c r="Q51" i="3"/>
  <c r="Q16" i="3"/>
  <c r="Q66" i="3"/>
  <c r="Q79" i="3"/>
  <c r="Q83" i="3"/>
  <c r="Q61" i="3"/>
  <c r="Q50" i="3"/>
  <c r="Q43" i="3"/>
  <c r="Q63" i="3"/>
  <c r="Q11" i="3"/>
  <c r="Q59" i="3"/>
  <c r="Q69" i="3"/>
  <c r="Q75" i="3"/>
  <c r="Q28" i="3"/>
  <c r="Q39" i="3"/>
  <c r="Q80" i="3"/>
  <c r="Q13" i="3"/>
  <c r="Q77" i="3"/>
  <c r="Q21" i="3"/>
  <c r="Q22" i="3"/>
  <c r="Q35" i="3"/>
  <c r="Q20" i="3"/>
  <c r="Z20" i="3" s="1"/>
  <c r="Q14" i="3"/>
  <c r="Q34" i="3"/>
  <c r="Q31" i="3"/>
  <c r="Q55" i="3"/>
  <c r="Q19" i="3"/>
  <c r="Q81" i="3"/>
  <c r="Q32" i="3"/>
  <c r="AA84" i="3"/>
  <c r="Y84" i="3"/>
  <c r="AA17" i="3"/>
  <c r="Y17" i="3"/>
  <c r="V12" i="3"/>
  <c r="Z12" i="3"/>
  <c r="U12" i="3"/>
  <c r="Y14" i="3"/>
  <c r="AA14" i="3"/>
  <c r="Y15" i="3"/>
  <c r="AA15" i="3"/>
  <c r="S9" i="3"/>
  <c r="M10" i="3"/>
  <c r="M11" i="3"/>
  <c r="AA85" i="3" l="1"/>
  <c r="W85" i="3"/>
  <c r="AA83" i="3"/>
  <c r="W83" i="3"/>
  <c r="W59" i="3"/>
  <c r="AA59" i="3"/>
  <c r="Z59" i="3"/>
  <c r="V59" i="3"/>
  <c r="W50" i="3"/>
  <c r="V50" i="3"/>
  <c r="Z50" i="3"/>
  <c r="AA50" i="3"/>
  <c r="AA66" i="3"/>
  <c r="W66" i="3"/>
  <c r="V66" i="3"/>
  <c r="Z66" i="3"/>
  <c r="W53" i="3"/>
  <c r="V53" i="3"/>
  <c r="Z53" i="3"/>
  <c r="AA53" i="3"/>
  <c r="W82" i="3"/>
  <c r="V82" i="3"/>
  <c r="AA82" i="3"/>
  <c r="Z82" i="3"/>
  <c r="AA65" i="3"/>
  <c r="W65" i="3"/>
  <c r="V65" i="3"/>
  <c r="Z65" i="3"/>
  <c r="W38" i="3"/>
  <c r="V38" i="3"/>
  <c r="AA38" i="3"/>
  <c r="Z38" i="3"/>
  <c r="W20" i="3"/>
  <c r="V20" i="3"/>
  <c r="W77" i="3"/>
  <c r="AA77" i="3"/>
  <c r="Z77" i="3"/>
  <c r="V77" i="3"/>
  <c r="W28" i="3"/>
  <c r="V28" i="3"/>
  <c r="W61" i="3"/>
  <c r="AA61" i="3"/>
  <c r="V61" i="3"/>
  <c r="Z61" i="3"/>
  <c r="W45" i="3"/>
  <c r="V45" i="3"/>
  <c r="AA45" i="3"/>
  <c r="Z45" i="3"/>
  <c r="W24" i="3"/>
  <c r="V24" i="3"/>
  <c r="AA24" i="3"/>
  <c r="Z24" i="3"/>
  <c r="Z72" i="3"/>
  <c r="V72" i="3"/>
  <c r="W72" i="3"/>
  <c r="AA72" i="3"/>
  <c r="V41" i="3"/>
  <c r="W41" i="3"/>
  <c r="Z41" i="3"/>
  <c r="AA41" i="3"/>
  <c r="V76" i="3"/>
  <c r="Z76" i="3"/>
  <c r="AA76" i="3"/>
  <c r="W76" i="3"/>
  <c r="W32" i="3"/>
  <c r="V32" i="3"/>
  <c r="Z32" i="3"/>
  <c r="AA32" i="3"/>
  <c r="W31" i="3"/>
  <c r="V31" i="3"/>
  <c r="Z31" i="3"/>
  <c r="AA31" i="3"/>
  <c r="W75" i="3"/>
  <c r="AA75" i="3"/>
  <c r="V75" i="3"/>
  <c r="Z75" i="3"/>
  <c r="W63" i="3"/>
  <c r="AA63" i="3"/>
  <c r="Z63" i="3"/>
  <c r="V63" i="3"/>
  <c r="W51" i="3"/>
  <c r="V51" i="3"/>
  <c r="Z51" i="3"/>
  <c r="AA51" i="3"/>
  <c r="AA67" i="3"/>
  <c r="W67" i="3"/>
  <c r="V67" i="3"/>
  <c r="Z67" i="3"/>
  <c r="W27" i="3"/>
  <c r="V27" i="3"/>
  <c r="V62" i="3"/>
  <c r="W62" i="3"/>
  <c r="Z62" i="3"/>
  <c r="AA62" i="3"/>
  <c r="W70" i="3"/>
  <c r="V70" i="3"/>
  <c r="Z70" i="3"/>
  <c r="AA70" i="3"/>
  <c r="AA20" i="3"/>
  <c r="W81" i="3"/>
  <c r="V81" i="3"/>
  <c r="Z81" i="3"/>
  <c r="AA81" i="3"/>
  <c r="W80" i="3"/>
  <c r="AA80" i="3"/>
  <c r="Z80" i="3"/>
  <c r="V80" i="3"/>
  <c r="W79" i="3"/>
  <c r="AA79" i="3"/>
  <c r="V79" i="3"/>
  <c r="Z79" i="3"/>
  <c r="W37" i="3"/>
  <c r="V37" i="3"/>
  <c r="Z37" i="3"/>
  <c r="AA37" i="3"/>
  <c r="Z74" i="3"/>
  <c r="AA74" i="3"/>
  <c r="W74" i="3"/>
  <c r="V74" i="3"/>
  <c r="AA64" i="3"/>
  <c r="V64" i="3"/>
  <c r="Z64" i="3"/>
  <c r="W64" i="3"/>
  <c r="V78" i="3"/>
  <c r="AA78" i="3"/>
  <c r="Z78" i="3"/>
  <c r="W78" i="3"/>
  <c r="V73" i="3"/>
  <c r="AA73" i="3"/>
  <c r="Z73" i="3"/>
  <c r="W73" i="3"/>
  <c r="L9" i="3"/>
  <c r="M9" i="3"/>
  <c r="L28" i="3"/>
  <c r="N28" i="3" s="1"/>
  <c r="L10" i="3"/>
  <c r="N10" i="3" s="1"/>
  <c r="L27" i="3"/>
  <c r="N27" i="3" s="1"/>
  <c r="L23" i="3"/>
  <c r="N23" i="3" s="1"/>
  <c r="L11" i="3"/>
  <c r="N11" i="3" s="1"/>
  <c r="S106" i="3"/>
  <c r="T106" i="3" s="1"/>
  <c r="P9" i="3"/>
  <c r="N9" i="3" l="1"/>
  <c r="Y23" i="3"/>
  <c r="AA23" i="3"/>
  <c r="Y27" i="3"/>
  <c r="AA27" i="3"/>
  <c r="Z27" i="3"/>
  <c r="AA10" i="3"/>
  <c r="AA11" i="3"/>
  <c r="AA28" i="3"/>
  <c r="Y28" i="3"/>
  <c r="Z28" i="3"/>
  <c r="P11" i="3"/>
  <c r="P10" i="3"/>
  <c r="Y10" i="3" s="1"/>
  <c r="U9" i="3"/>
  <c r="Z11" i="3" l="1"/>
  <c r="V11" i="3"/>
  <c r="U11" i="3"/>
  <c r="Z10" i="3"/>
  <c r="V10" i="3"/>
  <c r="U10" i="3"/>
  <c r="Y11" i="3"/>
  <c r="Z9" i="3"/>
  <c r="AA9" i="3"/>
  <c r="Y9" i="3"/>
  <c r="V9" i="3"/>
  <c r="W9" i="3" l="1"/>
  <c r="L88" i="3" l="1"/>
  <c r="M88" i="3"/>
  <c r="Q98" i="3"/>
  <c r="AA98" i="3" l="1"/>
  <c r="Z98" i="3"/>
  <c r="V98" i="3"/>
  <c r="W98" i="3"/>
  <c r="N88" i="3"/>
  <c r="O106" i="3"/>
  <c r="I106" i="3"/>
  <c r="Q90" i="3"/>
  <c r="Q89" i="3"/>
  <c r="Q99" i="3"/>
  <c r="Q88" i="3"/>
  <c r="Q93" i="3"/>
  <c r="Q95" i="3"/>
  <c r="Q94" i="3"/>
  <c r="Q91" i="3"/>
  <c r="P88" i="3"/>
  <c r="Q96" i="3"/>
  <c r="Q92" i="3"/>
  <c r="Q97" i="3"/>
  <c r="N106" i="3" l="1"/>
  <c r="AA96" i="3"/>
  <c r="V96" i="3"/>
  <c r="Z96" i="3"/>
  <c r="W96" i="3"/>
  <c r="AA95" i="3"/>
  <c r="V95" i="3"/>
  <c r="Z95" i="3"/>
  <c r="W95" i="3"/>
  <c r="AA93" i="3"/>
  <c r="Z93" i="3"/>
  <c r="V93" i="3"/>
  <c r="W93" i="3"/>
  <c r="AA90" i="3"/>
  <c r="Z90" i="3"/>
  <c r="V90" i="3"/>
  <c r="W90" i="3"/>
  <c r="AA97" i="3"/>
  <c r="Z97" i="3"/>
  <c r="V97" i="3"/>
  <c r="W97" i="3"/>
  <c r="AA99" i="3"/>
  <c r="V99" i="3"/>
  <c r="Z99" i="3"/>
  <c r="W99" i="3"/>
  <c r="AA88" i="3"/>
  <c r="W88" i="3"/>
  <c r="Y88" i="3"/>
  <c r="Z91" i="3"/>
  <c r="V91" i="3"/>
  <c r="W91" i="3"/>
  <c r="AA91" i="3"/>
  <c r="Q106" i="3"/>
  <c r="W92" i="3"/>
  <c r="V92" i="3"/>
  <c r="AA92" i="3"/>
  <c r="Z92" i="3"/>
  <c r="V94" i="3"/>
  <c r="AA94" i="3"/>
  <c r="W94" i="3"/>
  <c r="Z94" i="3"/>
  <c r="Z88" i="3"/>
  <c r="V88" i="3"/>
  <c r="P106" i="3"/>
  <c r="U106" i="3" s="1"/>
  <c r="U88" i="3"/>
  <c r="V89" i="3"/>
  <c r="Z89" i="3"/>
  <c r="W89" i="3"/>
  <c r="AA89" i="3"/>
  <c r="AA106" i="3" l="1"/>
  <c r="V106" i="3"/>
  <c r="W106" i="3"/>
  <c r="Y106" i="3"/>
  <c r="Z10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Cuti</author>
    <author>Bashour, Margaret A (US)</author>
  </authors>
  <commentList>
    <comment ref="AA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Uses Column 5 in APP 2885 table to make B/C Ratio calc</t>
        </r>
      </text>
    </comment>
    <comment ref="T27" authorId="1" shapeId="0" xr:uid="{18F0C330-6D16-4776-9D18-F9A56AF6D3CE}">
      <text>
        <r>
          <rPr>
            <b/>
            <sz val="9"/>
            <color indexed="81"/>
            <rFont val="Tahoma"/>
            <family val="2"/>
          </rPr>
          <t>Bashour, Margaret A (US):</t>
        </r>
        <r>
          <rPr>
            <sz val="9"/>
            <color indexed="81"/>
            <rFont val="Tahoma"/>
            <family val="2"/>
          </rPr>
          <t xml:space="preserve">
Rounding error on project #7697</t>
        </r>
      </text>
    </comment>
  </commentList>
</comments>
</file>

<file path=xl/sharedStrings.xml><?xml version="1.0" encoding="utf-8"?>
<sst xmlns="http://schemas.openxmlformats.org/spreadsheetml/2006/main" count="568" uniqueCount="335">
  <si>
    <t>BENEFIT</t>
  </si>
  <si>
    <t>RATIO</t>
  </si>
  <si>
    <t>TOTAL PROGRAM</t>
  </si>
  <si>
    <t>CASCADE NATURAL GAS CORPORATION</t>
  </si>
  <si>
    <t>MEASURE</t>
  </si>
  <si>
    <t>DISCOUNTED</t>
  </si>
  <si>
    <t>TOTAL</t>
  </si>
  <si>
    <t>ANNUAL THERM</t>
  </si>
  <si>
    <t>INSTALLED</t>
  </si>
  <si>
    <t>THERM</t>
  </si>
  <si>
    <t>RESOURCE</t>
  </si>
  <si>
    <t>PROGRAM</t>
  </si>
  <si>
    <t>UTILITY</t>
  </si>
  <si>
    <t>SAVINGS</t>
  </si>
  <si>
    <t>COST</t>
  </si>
  <si>
    <t>LIFE</t>
  </si>
  <si>
    <t>REBATE</t>
  </si>
  <si>
    <t>Nominal interest rate (post tax cost of cap.)</t>
  </si>
  <si>
    <t>Inflation rate</t>
  </si>
  <si>
    <t>Long term real discount rate</t>
  </si>
  <si>
    <t>Radiant Heating</t>
  </si>
  <si>
    <t>Clothes Washer</t>
  </si>
  <si>
    <t>DESCRIPTION</t>
  </si>
  <si>
    <t>Condensing Tank</t>
  </si>
  <si>
    <t>Boiler Vent Damper</t>
  </si>
  <si>
    <t>Energy Star</t>
  </si>
  <si>
    <t>Commercial Gas Washer</t>
  </si>
  <si>
    <t>EFFICIENCY TYPE FOR QUALIFICATION</t>
  </si>
  <si>
    <t>Minimum 86% AFUE</t>
  </si>
  <si>
    <t>Minimum 92% AFUE</t>
  </si>
  <si>
    <t>None</t>
  </si>
  <si>
    <t>Minimum 91% AFUE or 91% Thermal Efficiency</t>
  </si>
  <si>
    <t>1.8 MEF</t>
  </si>
  <si>
    <t>UNITS</t>
  </si>
  <si>
    <t>REBATES</t>
  </si>
  <si>
    <t>&amp; ADMIN</t>
  </si>
  <si>
    <t>TRC</t>
  </si>
  <si>
    <t>UC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</si>
  <si>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</si>
  <si>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</si>
  <si>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</si>
  <si>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</si>
  <si>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</si>
  <si>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</si>
  <si>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</si>
  <si>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</si>
  <si>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COST - %</t>
  </si>
  <si>
    <t>CONSERVATION</t>
  </si>
  <si>
    <t>EFFECTIVENESS</t>
  </si>
  <si>
    <t>YEAR</t>
  </si>
  <si>
    <t>THERM (PV)*</t>
  </si>
  <si>
    <t>CHANGE</t>
  </si>
  <si>
    <t>COST/THERM</t>
  </si>
  <si>
    <t>CREDIT</t>
  </si>
  <si>
    <t>LIMIT</t>
  </si>
  <si>
    <t>Cascade's Long Term Real Discount Rate:</t>
  </si>
  <si>
    <t>IRP Discount Rate =</t>
  </si>
  <si>
    <t>Revised Discount Rate=</t>
  </si>
  <si>
    <t>Years 21-45 Escalation =</t>
  </si>
  <si>
    <t>(EIA Inflation Rate)</t>
  </si>
  <si>
    <t>SAVINGS/UNIT</t>
  </si>
  <si>
    <t>COUNT</t>
  </si>
  <si>
    <t xml:space="preserve">COMMERCIAL Program Participant Cost Effectiveness </t>
  </si>
  <si>
    <t>/unit</t>
  </si>
  <si>
    <t>COMDHWTSCT</t>
  </si>
  <si>
    <t>COMFURNACE</t>
  </si>
  <si>
    <t>Program Year:</t>
  </si>
  <si>
    <t>COMBOILERS</t>
  </si>
  <si>
    <t>COMTANKLESS</t>
  </si>
  <si>
    <t>Double Rack Oven</t>
  </si>
  <si>
    <t>DELIVERY</t>
  </si>
  <si>
    <t xml:space="preserve">NON </t>
  </si>
  <si>
    <t xml:space="preserve">ENERGY </t>
  </si>
  <si>
    <t>PORTFOLIO COST APPENDIX 1 TABLE H</t>
  </si>
  <si>
    <t xml:space="preserve">WITH </t>
  </si>
  <si>
    <t>LOADED</t>
  </si>
  <si>
    <t>SOCIETAL</t>
  </si>
  <si>
    <t>NEBS</t>
  </si>
  <si>
    <t>PARTICIPANT</t>
  </si>
  <si>
    <t>NET</t>
  </si>
  <si>
    <t>INCREM</t>
  </si>
  <si>
    <t>Boiler</t>
  </si>
  <si>
    <t>COMBOILVTD</t>
  </si>
  <si>
    <t>Standard Measures</t>
  </si>
  <si>
    <t>Custom Measures</t>
  </si>
  <si>
    <t>COMMTNFCTR</t>
  </si>
  <si>
    <t>&lt;= 1.8 gpm, Watersense Certified</t>
  </si>
  <si>
    <t>COMESVKTA</t>
  </si>
  <si>
    <t>COMESVKTB</t>
  </si>
  <si>
    <t>COMFSFRYERREST</t>
  </si>
  <si>
    <t/>
  </si>
  <si>
    <t>COMFSFRYERLODGE</t>
  </si>
  <si>
    <t>COMFSOVENSCHO-7-17</t>
  </si>
  <si>
    <t>COMIRT2-7-17</t>
  </si>
  <si>
    <t>COMFSOVENREST-7-17</t>
  </si>
  <si>
    <t>COMIWT2-7-17</t>
  </si>
  <si>
    <t>COMIAT2-7-17</t>
  </si>
  <si>
    <t>Custom Admin.</t>
  </si>
  <si>
    <t>Prescriptive Admin.</t>
  </si>
  <si>
    <t>Boilers</t>
  </si>
  <si>
    <t>COMDCV-7-17</t>
  </si>
  <si>
    <t>COMFSCVROVEN</t>
  </si>
  <si>
    <t>COMFSDISDL-7-17</t>
  </si>
  <si>
    <t>COMFSFRYERSCHO</t>
  </si>
  <si>
    <t>COMFSOVENLODGE-7-17</t>
  </si>
  <si>
    <t>COMHVACCON</t>
  </si>
  <si>
    <t>COMHVACNCU</t>
  </si>
  <si>
    <t>COMIAT1-7-17</t>
  </si>
  <si>
    <t>Attic Insulation</t>
  </si>
  <si>
    <t>COMIRT1-7-17</t>
  </si>
  <si>
    <t>COMIWT1-7-17</t>
  </si>
  <si>
    <t>COMRADIANT-7-17</t>
  </si>
  <si>
    <t>COMFSBNDLA-7-17</t>
  </si>
  <si>
    <t>COMFSBNDLB-7-17</t>
  </si>
  <si>
    <t>COMINSBNDL-7-17</t>
  </si>
  <si>
    <t>Demand Control Ventilation</t>
  </si>
  <si>
    <t>Gas Conveyor Oven</t>
  </si>
  <si>
    <t>Radiant Heating - Tariff Update</t>
  </si>
  <si>
    <t>Meet JUARC Guidelines for DCV RTUs in 5-20 ton</t>
  </si>
  <si>
    <t>2018 INTEGRATED RESOURCE PLAN</t>
  </si>
  <si>
    <t>5%</t>
  </si>
  <si>
    <t>7.5%</t>
  </si>
  <si>
    <t>10%</t>
  </si>
  <si>
    <t>12.5%</t>
  </si>
  <si>
    <t>15%</t>
  </si>
  <si>
    <t>17.5%</t>
  </si>
  <si>
    <t>Bonus - Insulation Bundle A</t>
  </si>
  <si>
    <t>Insulation Bundle A</t>
  </si>
  <si>
    <t>Two Insulation Measures, min. 1000 sq. ft.+</t>
  </si>
  <si>
    <t>Bonus - Kitchen Bundle C (3 or more measures)</t>
  </si>
  <si>
    <t>Foodservice Bundle C</t>
  </si>
  <si>
    <t>Any 3 Kitchen equipment measures</t>
  </si>
  <si>
    <t>Bonus - Kitchen Bundle B (2 - measures)</t>
  </si>
  <si>
    <t>Foodservice Bundle B</t>
  </si>
  <si>
    <t>Any 2 Kitchen equipment measures</t>
  </si>
  <si>
    <t>Custom Hood System M/U Air Reduction</t>
  </si>
  <si>
    <t>Custom Other</t>
  </si>
  <si>
    <t>Energy Saver Kit A</t>
  </si>
  <si>
    <t>Low Flow Kitchen Pre Rinse Spray Valve and Bath Aerators</t>
  </si>
  <si>
    <t>PRSV &lt;=1 gpm / Aerators &lt;=.75 gpm</t>
  </si>
  <si>
    <t>/kit</t>
  </si>
  <si>
    <t>Motion Faucet Controls</t>
  </si>
  <si>
    <t>Motion Controlled Faucet</t>
  </si>
  <si>
    <t>/faucet</t>
  </si>
  <si>
    <t>Energy Saver Kit B</t>
  </si>
  <si>
    <t>Low Flow Showerheads</t>
  </si>
  <si>
    <t>Showerhead &lt;= 1.85 gpm</t>
  </si>
  <si>
    <t>DCV</t>
  </si>
  <si>
    <t>/ton</t>
  </si>
  <si>
    <t>COMESVKTB2-19-19</t>
  </si>
  <si>
    <t>Convection Oven (Restaurant)</t>
  </si>
  <si>
    <t>&gt;= 44% Cooking Efficiency,&lt;= 13,000 Btu/hr Idle Rate</t>
  </si>
  <si>
    <t>/oven</t>
  </si>
  <si>
    <t>Low Temp Door Dishwasher</t>
  </si>
  <si>
    <t>&lt;=.6kW Idle Rate, &lt;= 1.18 gal/rack</t>
  </si>
  <si>
    <t>COMFSDOVEN</t>
  </si>
  <si>
    <t>FSTC Qualified</t>
  </si>
  <si>
    <t>&gt;=50% Cooking Efficiency, &lt;=35,000 Btu/hr Idle Rate</t>
  </si>
  <si>
    <t>Steamer - 6 Pan</t>
  </si>
  <si>
    <t>COMFSSTM6P</t>
  </si>
  <si>
    <t>Connectionless Estar or CEE Qualified</t>
  </si>
  <si>
    <t>&gt;=38% Cooking Efficiency,&lt;= 2083  Btu/hr /pan Idle Rate</t>
  </si>
  <si>
    <t>Griddle (Restaurant)</t>
  </si>
  <si>
    <t>COMFSGRIDREST-7-17</t>
  </si>
  <si>
    <t>&gt;=38% Cooking Efficiency,&lt;= 2650 Btu/hr-sq ft Idle Rate</t>
  </si>
  <si>
    <t>/griddle</t>
  </si>
  <si>
    <t>Fryer (Restaurant)</t>
  </si>
  <si>
    <t>&gt;=50% Cooking Efficiency</t>
  </si>
  <si>
    <t>/fryer</t>
  </si>
  <si>
    <t>Steamer - 3 Pan</t>
  </si>
  <si>
    <t>COMFSSTM3P-NT</t>
  </si>
  <si>
    <t>COMFSFRYERREST2-19-19</t>
  </si>
  <si>
    <t>Medium Temp Case Doors</t>
  </si>
  <si>
    <t>Domestic Hot Water Tanks - Condensing</t>
  </si>
  <si>
    <t>/kBtu/hr in</t>
  </si>
  <si>
    <t>Custom Heat Recovery</t>
  </si>
  <si>
    <t>Poolroom make up AHU w heat recovery</t>
  </si>
  <si>
    <t>FSTC Qualified Gas Fired Conveyor Oven</t>
  </si>
  <si>
    <t>&gt;=42% Baking Efficiency</t>
  </si>
  <si>
    <t>Tankless Water Heater</t>
  </si>
  <si>
    <t>Minimum .82 Energy Factor</t>
  </si>
  <si>
    <t>/gpm</t>
  </si>
  <si>
    <t>Warm-Air Furnace</t>
  </si>
  <si>
    <t>High-Efficiency Condensing Furnace</t>
  </si>
  <si>
    <t>Minimum  91% AFUE</t>
  </si>
  <si>
    <t>Direct-fired Radiant Heating</t>
  </si>
  <si>
    <t>COMFURNACE2-19-19</t>
  </si>
  <si>
    <t>COMRADIANT2-19-19</t>
  </si>
  <si>
    <t>COMTANKLESST12-19-19</t>
  </si>
  <si>
    <t>Minimum .87 Energy Factor</t>
  </si>
  <si>
    <t xml:space="preserve">High-Efficiency-Condensing Boiler </t>
  </si>
  <si>
    <t>Minimum 90% Thermal Efficiency and 300 kBtu/hr input</t>
  </si>
  <si>
    <t>Custom Boilers</t>
  </si>
  <si>
    <t>Condensing pool boiler and HX loop</t>
  </si>
  <si>
    <t>COMTANKLESST22-19-19</t>
  </si>
  <si>
    <t>Minimum .93 Energy Factor</t>
  </si>
  <si>
    <t>COMBOILERS2-19-19</t>
  </si>
  <si>
    <t>High-Efficiency-Condensing Boiler</t>
  </si>
  <si>
    <t>Insulation - Attic - Tier 1 - Min R-30</t>
  </si>
  <si>
    <t>Tier 1 /  Minimum R-30</t>
  </si>
  <si>
    <t>/sq.ft.</t>
  </si>
  <si>
    <t>Insulation - Wall - Tier 1 - Min R-11</t>
  </si>
  <si>
    <t>Wall Insulation</t>
  </si>
  <si>
    <t>Tier 1 / Minimum R-11</t>
  </si>
  <si>
    <t>Insulation - Roof - Tier 2 - Min R-30</t>
  </si>
  <si>
    <t>Roof Insulation</t>
  </si>
  <si>
    <t>Tier 2 /  Minimum R-30</t>
  </si>
  <si>
    <t>Insulation - Wall - Tier 2 - Min R-19</t>
  </si>
  <si>
    <t>Tier 2 /  Minimum R-19</t>
  </si>
  <si>
    <t>/sq. ft.</t>
  </si>
  <si>
    <t>Insulation - Roof - Tier 1 - Min R-21</t>
  </si>
  <si>
    <t>Tier 1 /  Minimum R-21</t>
  </si>
  <si>
    <t>Insulation - Attic - Tier 2 - Min R-45</t>
  </si>
  <si>
    <t>COMIAT22-19-19</t>
  </si>
  <si>
    <t>Tier 2 /  Minimum R-45</t>
  </si>
  <si>
    <t>COMIAT12-19-19</t>
  </si>
  <si>
    <t>COMIRT22-19-19</t>
  </si>
  <si>
    <t>COMIWT12-19-19</t>
  </si>
  <si>
    <t>COMIWT22-19-19</t>
  </si>
  <si>
    <t>COMWINDOWS2-19-19</t>
  </si>
  <si>
    <t>Single pane to .27 or less (not LoadMAP's .50 to .22) per sq ft</t>
  </si>
  <si>
    <t>0.27 or less U</t>
  </si>
  <si>
    <t>Boiler - Tariff Update</t>
  </si>
  <si>
    <t>Boiler Steam Trap</t>
  </si>
  <si>
    <t>Bonus - Kitchen Bundle B (2 - measures) - Tariff Update</t>
  </si>
  <si>
    <t>Bonus - Kitchen Bundle C (3 or more measures) - Tariff Update</t>
  </si>
  <si>
    <t>Convection Oven (Grocery)</t>
  </si>
  <si>
    <t>Convection Oven (Grocery) - Tariff Update</t>
  </si>
  <si>
    <t>Convection Oven (Lodging)</t>
  </si>
  <si>
    <t>Convection Oven (Lodging) - Tariff Update</t>
  </si>
  <si>
    <t>Convection Oven (Restaurant) - Tariff Update</t>
  </si>
  <si>
    <t>Convection Oven (School)</t>
  </si>
  <si>
    <t>Convection Oven (School) - Tariff Update</t>
  </si>
  <si>
    <t>DHW Recirculation Controls</t>
  </si>
  <si>
    <t>DHW Recirculation Controls - Tariff Update</t>
  </si>
  <si>
    <t>Double Rack Oven - Tariff Update</t>
  </si>
  <si>
    <t>Energy Saver Kit A - Tariff Update</t>
  </si>
  <si>
    <t>Energy Saver Kit B - Tariff Update</t>
  </si>
  <si>
    <t>Fryer (Grocery)</t>
  </si>
  <si>
    <t>Fryer (Grocery) - Tariff Update</t>
  </si>
  <si>
    <t>Fryer (Lodging)</t>
  </si>
  <si>
    <t>Fryer (Lodging) - Tariff Update</t>
  </si>
  <si>
    <t>Fryer (Restaurant) - Tariff Update</t>
  </si>
  <si>
    <t>Fryer (School)</t>
  </si>
  <si>
    <t>Fryer (School) - Tariff Update</t>
  </si>
  <si>
    <t>Gas Conveyor Oven - Tariff Update</t>
  </si>
  <si>
    <t>Griddle (Grocery)</t>
  </si>
  <si>
    <t>Griddle (Lodging)</t>
  </si>
  <si>
    <t>Griddle (School)</t>
  </si>
  <si>
    <t>HVAC Unit Heater - Condensing</t>
  </si>
  <si>
    <t>HVAC Unit Heater - Condensing - Tariff Update</t>
  </si>
  <si>
    <t>HVAC Unit Heater - Non-Condensing</t>
  </si>
  <si>
    <t>Insulation - Attic - Tier 1 - Min R-30 - Tariff Update</t>
  </si>
  <si>
    <t>Insulation - Attic - Tier 2 - Min R-45 - Tariff Update</t>
  </si>
  <si>
    <t>Insulation - Floor - Tariff Update</t>
  </si>
  <si>
    <t>Insulation - Pipe - 1.5"</t>
  </si>
  <si>
    <t>Insulation - Pipe - 1.5" - Tariff Update</t>
  </si>
  <si>
    <t>Insulation - Pipe - 2.5"</t>
  </si>
  <si>
    <t>Insulation - Pipe - 2.5" - Tariff Update</t>
  </si>
  <si>
    <t>Insulation - Roof - Tier 1 - Min R-21 - Tariff Update</t>
  </si>
  <si>
    <t>Insulation - Roof - Tier 2 - Min R-30 - Tariff Update</t>
  </si>
  <si>
    <t>Insulation - Wall - Tier 1 - Min R-11 - Tariff Update</t>
  </si>
  <si>
    <t>Insulation - Wall - Tier 2 - Min R-19 - Tariff Update</t>
  </si>
  <si>
    <t>Low Temp Multi Tank Dishwasher</t>
  </si>
  <si>
    <t>Low Temp Multi Tank Dishwasher - Tariff Update</t>
  </si>
  <si>
    <t>Ozone Injection Laundry</t>
  </si>
  <si>
    <t>Tankless Water Heater - Tariff Update</t>
  </si>
  <si>
    <t>Tankless Water Heater - Tier 2 - Tariff Update</t>
  </si>
  <si>
    <t>Warm-Air Furnace - Tariff Update</t>
  </si>
  <si>
    <t>Windows - Tariff Update</t>
  </si>
  <si>
    <t>Steam Trap fitted to Steam Boiler</t>
  </si>
  <si>
    <t>Minimum 300 kBtu input and steam pressures at 7psig or greater</t>
  </si>
  <si>
    <t>Minimum 1,000 kBtu/hr input</t>
  </si>
  <si>
    <t>Schedule Control for Continuous Operation DHW Recirculation Pump</t>
  </si>
  <si>
    <t>Add time clock or other schedule control for continuous operation DHW recirculation pump</t>
  </si>
  <si>
    <t>High Efficiency Condensing</t>
  </si>
  <si>
    <t>High-Efficiency-Non-Condensing Unit Heater with Electronic Ignition</t>
  </si>
  <si>
    <t>Floor Insulation</t>
  </si>
  <si>
    <t>Equal to or greater than R-30 Post and equal to or less than R-11 Pre</t>
  </si>
  <si>
    <t xml:space="preserve">1.5" Thick Pipe Insulation </t>
  </si>
  <si>
    <t>Retrofit for T&gt;140F&lt;=200F</t>
  </si>
  <si>
    <t>2.5" Thick Pipe Insulation</t>
  </si>
  <si>
    <t>Retrofit for T&gt;200F</t>
  </si>
  <si>
    <t>&lt;=2kW Idle Rate, &lt;=.50 gal/rack</t>
  </si>
  <si>
    <t>Venturi Injection or Bubble Diffusion Ozone Injection Laundry</t>
  </si>
  <si>
    <t>Minimum 125 lb Total Washer/Extractor Capacity  and Pre Approved by CNG</t>
  </si>
  <si>
    <t>COMBOILSTP-NT</t>
  </si>
  <si>
    <t>COMFSBNDLA2-19-19</t>
  </si>
  <si>
    <t>COMFSBNDLB2-19-19</t>
  </si>
  <si>
    <t>COMCLOTHES</t>
  </si>
  <si>
    <t>COMFSOVENGROC-7-17</t>
  </si>
  <si>
    <t>COMFSOVENGROC2-19-19</t>
  </si>
  <si>
    <t>COMFSOVENLODGE2-19-19</t>
  </si>
  <si>
    <t>COMFSOVENREST2-19-19</t>
  </si>
  <si>
    <t>COMFSOVENSCHO2-19-19</t>
  </si>
  <si>
    <t>COMDHWRCTR</t>
  </si>
  <si>
    <t>COMDHWRCTR2-19-19</t>
  </si>
  <si>
    <t>COMFSDOVEN2-19-19</t>
  </si>
  <si>
    <t>COMESVKTA2-19-19</t>
  </si>
  <si>
    <t>COMFSFRYERGROC</t>
  </si>
  <si>
    <t>COMFSFRYERGROC2-19-19</t>
  </si>
  <si>
    <t>COMFSFRYERLODGE2-19-19</t>
  </si>
  <si>
    <t>COMFSFRYERSCHO2-19-19</t>
  </si>
  <si>
    <t>COMFSCVROVEN2-19-19</t>
  </si>
  <si>
    <t>COMFSGRIDGROC-7-17</t>
  </si>
  <si>
    <t>COMFSGRIDLODGE-7-17</t>
  </si>
  <si>
    <t>COMFSGRIDSCHO-7-17</t>
  </si>
  <si>
    <t>COMHVACCON2-19-19</t>
  </si>
  <si>
    <t>COMFLOORINS2-19-19</t>
  </si>
  <si>
    <t>COMPIPINS1.5-7-17</t>
  </si>
  <si>
    <t>COMPIPINS1.52-19-19</t>
  </si>
  <si>
    <t>COMPIPINS2.5-7-17</t>
  </si>
  <si>
    <t>COMPIPINS2.52-19-19</t>
  </si>
  <si>
    <t>COMIRT12-19-19</t>
  </si>
  <si>
    <t>COMFSDISML-7-17</t>
  </si>
  <si>
    <t>COMFSDISML2-19-19</t>
  </si>
  <si>
    <t>COMOZNLNDRY</t>
  </si>
  <si>
    <t>MEASURE CODE</t>
  </si>
  <si>
    <t>Total 2019 Program Admin.</t>
  </si>
  <si>
    <t>/controller</t>
  </si>
  <si>
    <t>/LF</t>
  </si>
  <si>
    <t>/system</t>
  </si>
  <si>
    <t xml:space="preserve">Install Central Condensing Hot Water Boiler Plant </t>
  </si>
  <si>
    <t>OFFSET FOR</t>
  </si>
  <si>
    <t>CAPPED</t>
  </si>
  <si>
    <t>INCENTIVES</t>
  </si>
  <si>
    <t xml:space="preserve">TOTAL </t>
  </si>
  <si>
    <t>007844-C-Farm</t>
  </si>
  <si>
    <t>007718-C-Restaurant</t>
  </si>
  <si>
    <t>007828-C-Grocery Store</t>
  </si>
  <si>
    <t>007781-C-Community Center</t>
  </si>
  <si>
    <t>007834-C-SCHOOL DISTRICT</t>
  </si>
  <si>
    <t>007773-C-High School</t>
  </si>
  <si>
    <t>007777-C-Junior High School</t>
  </si>
  <si>
    <t>007733-C-Specialties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</si>
</sst>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  <numFmt numFmtId="166" formatCode="_(&quot;$&quot;* #,##0.00_);_(&quot;$&quot;* \(#,##0.00\);_(&quot;$&quot;* &quot;-&quot;_);_(@_)"/>
    <numFmt numFmtId="167" formatCode="_(&quot;$&quot;* #,##0.000_);_(&quot;$&quot;* \(#,##0.000\);_(&quot;$&quot;* &quot;-&quot;_);_(@_)"/>
    <numFmt numFmtId="168" formatCode="0.000%"/>
    <numFmt numFmtId="169" formatCode="#,##0.000"/>
    <numFmt numFmtId="170" formatCode="&quot;$&quot;#,##0.0000_);[Red]\(&quot;$&quot;#,##0.0000\)"/>
    <numFmt numFmtId="171" formatCode="&quot;$&quot;#,##0.00"/>
    <numFmt numFmtId="172" formatCode="yyyy"/>
    <numFmt numFmtId="173" formatCode="0.0%"/>
    <numFmt numFmtId="174" formatCode="_(&quot;$&quot;* #,##0_);_(&quot;$&quot;* \(#,##0\);_(&quot;$&quot;* &quot;-&quot;??_);_(@_)"/>
    <numFmt numFmtId="175" formatCode="_(* #,##0_);_(* \(#,##0\);_(* &quot;-&quot;??_);_(@_)"/>
  </numFmts>
  <fonts count="21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indexed="0"/>
      <name val="Arial"/>
      <family val="2"/>
    </font>
    <font>
      <sz val="10"/>
      <color rgb="FFFF0000"/>
      <name val="Times New Roman"/>
      <family val="1"/>
    </font>
    <font>
      <sz val="10"/>
      <color indexed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Times New Roman"/>
      <family val="1"/>
    </font>
    <font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0" fontId="13" fillId="0" borderId="0"/>
    <xf numFmtId="0" fontId="15" fillId="0" borderId="0"/>
    <xf numFmtId="0" fontId="19" fillId="0" borderId="0"/>
    <xf numFmtId="0" fontId="20" fillId="0" borderId="0"/>
  </cellStyleXfs>
  <cellXfs count="24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44" fontId="4" fillId="0" borderId="0" xfId="13" applyFont="1" applyFill="1"/>
    <xf numFmtId="0" fontId="3" fillId="0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Fill="1"/>
    <xf numFmtId="0" fontId="4" fillId="0" borderId="0" xfId="3" applyFont="1"/>
    <xf numFmtId="0" fontId="4" fillId="0" borderId="0" xfId="3" applyFont="1" applyFill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4" fillId="0" borderId="29" xfId="3" applyFont="1" applyFill="1" applyBorder="1" applyAlignment="1">
      <alignment horizontal="center"/>
    </xf>
    <xf numFmtId="0" fontId="4" fillId="0" borderId="0" xfId="14" applyFont="1" applyFill="1"/>
    <xf numFmtId="44" fontId="4" fillId="0" borderId="0" xfId="2" applyFont="1" applyAlignment="1">
      <alignment horizontal="center"/>
    </xf>
    <xf numFmtId="44" fontId="4" fillId="0" borderId="0" xfId="3" applyNumberFormat="1" applyFont="1" applyAlignment="1">
      <alignment horizontal="center"/>
    </xf>
    <xf numFmtId="170" fontId="4" fillId="0" borderId="0" xfId="14" applyNumberFormat="1" applyFont="1" applyFill="1" applyAlignment="1">
      <alignment horizontal="center"/>
    </xf>
    <xf numFmtId="44" fontId="4" fillId="0" borderId="0" xfId="14" applyNumberFormat="1" applyFont="1" applyFill="1" applyAlignment="1">
      <alignment horizontal="center"/>
    </xf>
    <xf numFmtId="9" fontId="4" fillId="0" borderId="0" xfId="4" applyFont="1" applyAlignment="1">
      <alignment horizontal="center"/>
    </xf>
    <xf numFmtId="44" fontId="4" fillId="0" borderId="0" xfId="3" applyNumberFormat="1" applyFont="1" applyFill="1"/>
    <xf numFmtId="10" fontId="4" fillId="0" borderId="0" xfId="14" applyNumberFormat="1" applyFont="1" applyFill="1" applyAlignment="1">
      <alignment horizontal="center"/>
    </xf>
    <xf numFmtId="44" fontId="4" fillId="0" borderId="0" xfId="4" applyNumberFormat="1" applyFont="1" applyFill="1"/>
    <xf numFmtId="173" fontId="4" fillId="0" borderId="0" xfId="4" applyNumberFormat="1" applyFont="1" applyAlignment="1">
      <alignment horizontal="center"/>
    </xf>
    <xf numFmtId="0" fontId="4" fillId="0" borderId="0" xfId="14" applyFont="1" applyFill="1" applyAlignment="1">
      <alignment horizontal="center"/>
    </xf>
    <xf numFmtId="0" fontId="3" fillId="0" borderId="0" xfId="3" applyFont="1" applyFill="1"/>
    <xf numFmtId="168" fontId="4" fillId="0" borderId="0" xfId="4" applyNumberFormat="1" applyFont="1" applyFill="1"/>
    <xf numFmtId="168" fontId="4" fillId="0" borderId="0" xfId="4" applyNumberFormat="1" applyFont="1"/>
    <xf numFmtId="168" fontId="4" fillId="0" borderId="0" xfId="3" applyNumberFormat="1" applyFont="1"/>
    <xf numFmtId="10" fontId="4" fillId="0" borderId="0" xfId="3" applyNumberFormat="1" applyFont="1"/>
    <xf numFmtId="10" fontId="4" fillId="0" borderId="0" xfId="4" applyNumberFormat="1" applyFont="1"/>
    <xf numFmtId="166" fontId="4" fillId="2" borderId="27" xfId="2" applyNumberFormat="1" applyFont="1" applyFill="1" applyBorder="1"/>
    <xf numFmtId="0" fontId="4" fillId="0" borderId="27" xfId="0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2" fontId="4" fillId="0" borderId="27" xfId="1" applyNumberFormat="1" applyFont="1" applyFill="1" applyBorder="1" applyAlignment="1">
      <alignment horizontal="center"/>
    </xf>
    <xf numFmtId="169" fontId="4" fillId="0" borderId="27" xfId="0" applyNumberFormat="1" applyFont="1" applyFill="1" applyBorder="1" applyAlignment="1">
      <alignment horizontal="center"/>
    </xf>
    <xf numFmtId="3" fontId="4" fillId="0" borderId="27" xfId="1" applyNumberFormat="1" applyFont="1" applyFill="1" applyBorder="1" applyAlignment="1">
      <alignment horizontal="center"/>
    </xf>
    <xf numFmtId="4" fontId="4" fillId="0" borderId="27" xfId="1" applyNumberFormat="1" applyFont="1" applyFill="1" applyBorder="1" applyAlignment="1">
      <alignment horizontal="center"/>
    </xf>
    <xf numFmtId="166" fontId="4" fillId="0" borderId="27" xfId="2" applyNumberFormat="1" applyFont="1" applyFill="1" applyBorder="1"/>
    <xf numFmtId="0" fontId="4" fillId="0" borderId="27" xfId="0" applyFont="1" applyFill="1" applyBorder="1" applyAlignment="1">
      <alignment horizontal="center"/>
    </xf>
    <xf numFmtId="44" fontId="4" fillId="0" borderId="27" xfId="0" applyNumberFormat="1" applyFont="1" applyFill="1" applyBorder="1"/>
    <xf numFmtId="0" fontId="14" fillId="0" borderId="0" xfId="0" applyFont="1" applyFill="1" applyBorder="1"/>
    <xf numFmtId="44" fontId="4" fillId="0" borderId="27" xfId="2" applyNumberFormat="1" applyFont="1" applyFill="1" applyBorder="1"/>
    <xf numFmtId="42" fontId="4" fillId="0" borderId="27" xfId="2" applyNumberFormat="1" applyFont="1" applyFill="1" applyBorder="1"/>
    <xf numFmtId="0" fontId="3" fillId="0" borderId="0" xfId="0" applyFont="1" applyFill="1"/>
    <xf numFmtId="172" fontId="3" fillId="0" borderId="0" xfId="0" applyNumberFormat="1" applyFont="1" applyFill="1" applyAlignment="1">
      <alignment horizontal="left"/>
    </xf>
    <xf numFmtId="14" fontId="12" fillId="0" borderId="0" xfId="0" applyNumberFormat="1" applyFont="1" applyFill="1"/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/>
    <xf numFmtId="0" fontId="3" fillId="0" borderId="1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/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" fontId="3" fillId="0" borderId="4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2" fontId="4" fillId="0" borderId="24" xfId="0" applyNumberFormat="1" applyFont="1" applyFill="1" applyBorder="1" applyAlignment="1">
      <alignment horizontal="center"/>
    </xf>
    <xf numFmtId="169" fontId="4" fillId="0" borderId="24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/>
    <xf numFmtId="4" fontId="3" fillId="0" borderId="24" xfId="0" applyNumberFormat="1" applyFont="1" applyFill="1" applyBorder="1" applyAlignment="1">
      <alignment horizontal="center"/>
    </xf>
    <xf numFmtId="165" fontId="4" fillId="0" borderId="27" xfId="0" applyNumberFormat="1" applyFont="1" applyFill="1" applyBorder="1"/>
    <xf numFmtId="44" fontId="4" fillId="0" borderId="0" xfId="0" applyNumberFormat="1" applyFont="1" applyFill="1"/>
    <xf numFmtId="0" fontId="4" fillId="0" borderId="0" xfId="0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4" fillId="0" borderId="27" xfId="0" applyNumberFormat="1" applyFont="1" applyFill="1" applyBorder="1" applyAlignment="1">
      <alignment horizontal="left"/>
    </xf>
    <xf numFmtId="0" fontId="14" fillId="0" borderId="26" xfId="0" applyNumberFormat="1" applyFont="1" applyFill="1" applyBorder="1" applyAlignment="1">
      <alignment horizontal="left" wrapText="1"/>
    </xf>
    <xf numFmtId="2" fontId="14" fillId="0" borderId="27" xfId="0" applyNumberFormat="1" applyFont="1" applyFill="1" applyBorder="1" applyAlignment="1">
      <alignment horizontal="center"/>
    </xf>
    <xf numFmtId="169" fontId="14" fillId="0" borderId="27" xfId="0" applyNumberFormat="1" applyFont="1" applyFill="1" applyBorder="1" applyAlignment="1">
      <alignment horizontal="center"/>
    </xf>
    <xf numFmtId="3" fontId="14" fillId="0" borderId="27" xfId="1" applyNumberFormat="1" applyFont="1" applyFill="1" applyBorder="1" applyAlignment="1">
      <alignment horizontal="center"/>
    </xf>
    <xf numFmtId="4" fontId="14" fillId="0" borderId="27" xfId="0" applyNumberFormat="1" applyFont="1" applyFill="1" applyBorder="1" applyAlignment="1" applyProtection="1">
      <alignment horizontal="center"/>
      <protection locked="0"/>
    </xf>
    <xf numFmtId="4" fontId="14" fillId="0" borderId="27" xfId="1" applyNumberFormat="1" applyFont="1" applyFill="1" applyBorder="1" applyAlignment="1">
      <alignment horizontal="center"/>
    </xf>
    <xf numFmtId="44" fontId="14" fillId="0" borderId="27" xfId="2" applyNumberFormat="1" applyFont="1" applyFill="1" applyBorder="1"/>
    <xf numFmtId="0" fontId="14" fillId="0" borderId="27" xfId="0" applyFont="1" applyFill="1" applyBorder="1" applyAlignment="1">
      <alignment horizontal="center"/>
    </xf>
    <xf numFmtId="44" fontId="14" fillId="0" borderId="27" xfId="0" applyNumberFormat="1" applyFont="1" applyFill="1" applyBorder="1"/>
    <xf numFmtId="165" fontId="14" fillId="0" borderId="27" xfId="0" applyNumberFormat="1" applyFont="1" applyFill="1" applyBorder="1"/>
    <xf numFmtId="0" fontId="4" fillId="0" borderId="35" xfId="16" applyFont="1" applyFill="1" applyBorder="1" applyAlignment="1">
      <alignment horizontal="left" vertical="top" wrapText="1"/>
    </xf>
    <xf numFmtId="0" fontId="4" fillId="0" borderId="0" xfId="9" applyFont="1" applyFill="1" applyBorder="1" applyAlignment="1">
      <alignment horizontal="left" vertical="center" wrapText="1"/>
    </xf>
    <xf numFmtId="0" fontId="4" fillId="0" borderId="26" xfId="9" applyFont="1" applyFill="1" applyBorder="1" applyAlignment="1">
      <alignment horizontal="center" vertical="center" wrapText="1"/>
    </xf>
    <xf numFmtId="42" fontId="4" fillId="0" borderId="30" xfId="2" applyNumberFormat="1" applyFont="1" applyFill="1" applyBorder="1"/>
    <xf numFmtId="0" fontId="4" fillId="0" borderId="25" xfId="16" applyFont="1" applyFill="1" applyBorder="1" applyAlignment="1">
      <alignment horizontal="left" vertical="top" wrapText="1"/>
    </xf>
    <xf numFmtId="0" fontId="14" fillId="0" borderId="25" xfId="16" applyFont="1" applyFill="1" applyBorder="1" applyAlignment="1">
      <alignment horizontal="left" vertical="top" wrapText="1"/>
    </xf>
    <xf numFmtId="0" fontId="14" fillId="0" borderId="0" xfId="9" applyFont="1" applyFill="1" applyBorder="1" applyAlignment="1">
      <alignment horizontal="left" vertical="center" wrapText="1"/>
    </xf>
    <xf numFmtId="3" fontId="14" fillId="0" borderId="27" xfId="0" applyNumberFormat="1" applyFont="1" applyFill="1" applyBorder="1" applyAlignment="1">
      <alignment horizontal="center"/>
    </xf>
    <xf numFmtId="166" fontId="14" fillId="0" borderId="27" xfId="2" applyNumberFormat="1" applyFont="1" applyFill="1" applyBorder="1"/>
    <xf numFmtId="2" fontId="14" fillId="0" borderId="26" xfId="9" applyNumberFormat="1" applyFont="1" applyFill="1" applyBorder="1" applyAlignment="1">
      <alignment horizontal="center" vertical="center" wrapText="1"/>
    </xf>
    <xf numFmtId="4" fontId="14" fillId="0" borderId="0" xfId="5" applyNumberFormat="1" applyFont="1" applyFill="1" applyBorder="1" applyAlignment="1">
      <alignment horizontal="center" vertical="center" wrapText="1"/>
    </xf>
    <xf numFmtId="42" fontId="14" fillId="0" borderId="30" xfId="2" applyNumberFormat="1" applyFont="1" applyFill="1" applyBorder="1"/>
    <xf numFmtId="3" fontId="14" fillId="0" borderId="27" xfId="1" applyNumberFormat="1" applyFont="1" applyFill="1" applyBorder="1" applyAlignment="1" applyProtection="1">
      <alignment horizontal="center"/>
      <protection locked="0"/>
    </xf>
    <xf numFmtId="0" fontId="14" fillId="0" borderId="26" xfId="9" applyFont="1" applyFill="1" applyBorder="1" applyAlignment="1">
      <alignment horizontal="center" vertical="center" wrapText="1"/>
    </xf>
    <xf numFmtId="0" fontId="4" fillId="0" borderId="31" xfId="9" applyFont="1" applyFill="1" applyBorder="1" applyAlignment="1">
      <alignment horizontal="left" vertical="center" wrapText="1"/>
    </xf>
    <xf numFmtId="2" fontId="9" fillId="0" borderId="33" xfId="9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/>
    </xf>
    <xf numFmtId="0" fontId="9" fillId="0" borderId="26" xfId="9" applyFont="1" applyFill="1" applyBorder="1" applyAlignment="1">
      <alignment horizontal="center" vertical="center" wrapText="1"/>
    </xf>
    <xf numFmtId="3" fontId="4" fillId="0" borderId="33" xfId="1" applyNumberFormat="1" applyFont="1" applyFill="1" applyBorder="1" applyAlignment="1" applyProtection="1">
      <alignment horizontal="center"/>
      <protection locked="0"/>
    </xf>
    <xf numFmtId="4" fontId="9" fillId="0" borderId="0" xfId="5" applyNumberFormat="1" applyFont="1" applyFill="1" applyBorder="1" applyAlignment="1">
      <alignment horizontal="center" vertical="center" wrapText="1"/>
    </xf>
    <xf numFmtId="3" fontId="9" fillId="0" borderId="26" xfId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2" fontId="3" fillId="0" borderId="9" xfId="2" applyNumberFormat="1" applyFont="1" applyFill="1" applyBorder="1"/>
    <xf numFmtId="174" fontId="3" fillId="0" borderId="9" xfId="2" applyNumberFormat="1" applyFont="1" applyFill="1" applyBorder="1"/>
    <xf numFmtId="4" fontId="3" fillId="0" borderId="7" xfId="0" applyNumberFormat="1" applyFont="1" applyFill="1" applyBorder="1" applyAlignment="1">
      <alignment horizontal="center"/>
    </xf>
    <xf numFmtId="44" fontId="3" fillId="0" borderId="9" xfId="0" applyNumberFormat="1" applyFont="1" applyFill="1" applyBorder="1" applyAlignment="1">
      <alignment horizontal="center"/>
    </xf>
    <xf numFmtId="4" fontId="3" fillId="0" borderId="19" xfId="0" applyNumberFormat="1" applyFont="1" applyFill="1" applyBorder="1"/>
    <xf numFmtId="164" fontId="3" fillId="0" borderId="23" xfId="2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2" fontId="4" fillId="0" borderId="0" xfId="2" applyNumberFormat="1" applyFont="1" applyFill="1" applyBorder="1"/>
    <xf numFmtId="0" fontId="4" fillId="0" borderId="0" xfId="1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2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left"/>
    </xf>
    <xf numFmtId="10" fontId="4" fillId="0" borderId="0" xfId="0" applyNumberFormat="1" applyFont="1" applyFill="1" applyAlignment="1" applyProtection="1">
      <alignment horizontal="left"/>
    </xf>
    <xf numFmtId="2" fontId="4" fillId="0" borderId="0" xfId="0" applyNumberFormat="1" applyFont="1" applyFill="1" applyAlignment="1" applyProtection="1">
      <alignment horizontal="center"/>
    </xf>
    <xf numFmtId="10" fontId="4" fillId="0" borderId="0" xfId="0" applyNumberFormat="1" applyFont="1" applyFill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center"/>
    </xf>
    <xf numFmtId="10" fontId="4" fillId="0" borderId="0" xfId="0" applyNumberFormat="1" applyFont="1" applyFill="1" applyBorder="1" applyAlignment="1" applyProtection="1">
      <alignment horizontal="center"/>
    </xf>
    <xf numFmtId="174" fontId="3" fillId="0" borderId="0" xfId="2" applyNumberFormat="1" applyFont="1" applyFill="1" applyBorder="1" applyAlignment="1">
      <alignment horizontal="center"/>
    </xf>
    <xf numFmtId="175" fontId="3" fillId="0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/>
    <xf numFmtId="169" fontId="3" fillId="0" borderId="0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left"/>
    </xf>
    <xf numFmtId="2" fontId="4" fillId="0" borderId="0" xfId="1" applyNumberFormat="1" applyFont="1" applyFill="1" applyAlignment="1" applyProtection="1">
      <alignment horizontal="center"/>
    </xf>
    <xf numFmtId="3" fontId="3" fillId="0" borderId="0" xfId="0" applyNumberFormat="1" applyFont="1" applyFill="1" applyBorder="1"/>
    <xf numFmtId="3" fontId="9" fillId="0" borderId="0" xfId="1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71" fontId="4" fillId="0" borderId="0" xfId="0" applyNumberFormat="1" applyFont="1" applyFill="1" applyAlignment="1" applyProtection="1">
      <alignment horizontal="center"/>
    </xf>
    <xf numFmtId="7" fontId="4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 applyProtection="1">
      <alignment horizontal="center"/>
    </xf>
    <xf numFmtId="3" fontId="3" fillId="0" borderId="0" xfId="0" applyNumberFormat="1" applyFont="1" applyFill="1" applyAlignment="1">
      <alignment horizontal="center"/>
    </xf>
    <xf numFmtId="7" fontId="4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8" fontId="4" fillId="0" borderId="0" xfId="14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44" fontId="4" fillId="0" borderId="27" xfId="2" applyNumberFormat="1" applyFont="1" applyFill="1" applyBorder="1" applyProtection="1">
      <protection locked="0"/>
    </xf>
    <xf numFmtId="3" fontId="9" fillId="0" borderId="27" xfId="1" applyNumberFormat="1" applyFont="1" applyFill="1" applyBorder="1" applyAlignment="1">
      <alignment horizontal="center"/>
    </xf>
    <xf numFmtId="4" fontId="3" fillId="3" borderId="12" xfId="0" quotePrefix="1" applyNumberFormat="1" applyFont="1" applyFill="1" applyBorder="1"/>
    <xf numFmtId="4" fontId="14" fillId="0" borderId="26" xfId="1" applyNumberFormat="1" applyFont="1" applyFill="1" applyBorder="1" applyAlignment="1">
      <alignment horizontal="center"/>
    </xf>
    <xf numFmtId="4" fontId="14" fillId="0" borderId="44" xfId="1" applyNumberFormat="1" applyFont="1" applyFill="1" applyBorder="1" applyAlignment="1">
      <alignment horizontal="center"/>
    </xf>
    <xf numFmtId="39" fontId="3" fillId="0" borderId="33" xfId="0" applyNumberFormat="1" applyFont="1" applyFill="1" applyBorder="1"/>
    <xf numFmtId="0" fontId="4" fillId="0" borderId="0" xfId="0" applyFont="1" applyFill="1" applyAlignment="1">
      <alignment horizontal="center" vertical="center"/>
    </xf>
    <xf numFmtId="4" fontId="3" fillId="0" borderId="0" xfId="0" quotePrefix="1" applyNumberFormat="1" applyFont="1" applyFill="1" applyBorder="1"/>
    <xf numFmtId="0" fontId="4" fillId="0" borderId="0" xfId="0" applyFont="1" applyFill="1" applyAlignment="1">
      <alignment vertical="center" wrapText="1"/>
    </xf>
    <xf numFmtId="0" fontId="4" fillId="4" borderId="24" xfId="0" applyFont="1" applyFill="1" applyBorder="1"/>
    <xf numFmtId="0" fontId="4" fillId="4" borderId="24" xfId="0" applyFont="1" applyFill="1" applyBorder="1" applyAlignment="1">
      <alignment horizontal="center"/>
    </xf>
    <xf numFmtId="169" fontId="4" fillId="4" borderId="24" xfId="0" applyNumberFormat="1" applyFont="1" applyFill="1" applyBorder="1" applyAlignment="1">
      <alignment horizontal="center"/>
    </xf>
    <xf numFmtId="165" fontId="4" fillId="4" borderId="27" xfId="0" applyNumberFormat="1" applyFont="1" applyFill="1" applyBorder="1"/>
    <xf numFmtId="169" fontId="4" fillId="4" borderId="27" xfId="0" applyNumberFormat="1" applyFont="1" applyFill="1" applyBorder="1" applyAlignment="1">
      <alignment horizontal="center"/>
    </xf>
    <xf numFmtId="165" fontId="14" fillId="4" borderId="27" xfId="0" applyNumberFormat="1" applyFont="1" applyFill="1" applyBorder="1"/>
    <xf numFmtId="169" fontId="14" fillId="4" borderId="27" xfId="0" applyNumberFormat="1" applyFont="1" applyFill="1" applyBorder="1" applyAlignment="1">
      <alignment horizontal="center"/>
    </xf>
    <xf numFmtId="165" fontId="14" fillId="4" borderId="30" xfId="0" applyNumberFormat="1" applyFont="1" applyFill="1" applyBorder="1"/>
    <xf numFmtId="165" fontId="4" fillId="4" borderId="30" xfId="0" applyNumberFormat="1" applyFont="1" applyFill="1" applyBorder="1"/>
    <xf numFmtId="164" fontId="3" fillId="4" borderId="43" xfId="0" applyNumberFormat="1" applyFont="1" applyFill="1" applyBorder="1" applyAlignment="1">
      <alignment horizontal="center"/>
    </xf>
    <xf numFmtId="164" fontId="3" fillId="4" borderId="11" xfId="2" applyNumberFormat="1" applyFont="1" applyFill="1" applyBorder="1"/>
    <xf numFmtId="169" fontId="3" fillId="4" borderId="12" xfId="0" applyNumberFormat="1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169" fontId="4" fillId="5" borderId="34" xfId="0" applyNumberFormat="1" applyFont="1" applyFill="1" applyBorder="1" applyAlignment="1">
      <alignment horizontal="center"/>
    </xf>
    <xf numFmtId="165" fontId="4" fillId="5" borderId="27" xfId="0" applyNumberFormat="1" applyFont="1" applyFill="1" applyBorder="1"/>
    <xf numFmtId="169" fontId="4" fillId="5" borderId="16" xfId="0" applyNumberFormat="1" applyFont="1" applyFill="1" applyBorder="1" applyAlignment="1">
      <alignment horizontal="center"/>
    </xf>
    <xf numFmtId="165" fontId="14" fillId="5" borderId="27" xfId="0" applyNumberFormat="1" applyFont="1" applyFill="1" applyBorder="1"/>
    <xf numFmtId="169" fontId="14" fillId="5" borderId="16" xfId="0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167" fontId="3" fillId="5" borderId="7" xfId="0" applyNumberFormat="1" applyFont="1" applyFill="1" applyBorder="1"/>
    <xf numFmtId="169" fontId="3" fillId="5" borderId="12" xfId="0" applyNumberFormat="1" applyFont="1" applyFill="1" applyBorder="1" applyAlignment="1">
      <alignment horizontal="center"/>
    </xf>
    <xf numFmtId="166" fontId="4" fillId="0" borderId="30" xfId="2" applyNumberFormat="1" applyFont="1" applyFill="1" applyBorder="1"/>
    <xf numFmtId="166" fontId="3" fillId="0" borderId="9" xfId="2" applyNumberFormat="1" applyFont="1" applyFill="1" applyBorder="1"/>
    <xf numFmtId="39" fontId="3" fillId="0" borderId="7" xfId="2" applyNumberFormat="1" applyFont="1" applyFill="1" applyBorder="1" applyAlignment="1">
      <alignment horizontal="center"/>
    </xf>
    <xf numFmtId="44" fontId="4" fillId="0" borderId="27" xfId="0" applyNumberFormat="1" applyFont="1" applyFill="1" applyBorder="1" applyAlignment="1">
      <alignment horizontal="center"/>
    </xf>
    <xf numFmtId="44" fontId="14" fillId="0" borderId="27" xfId="0" applyNumberFormat="1" applyFont="1" applyFill="1" applyBorder="1" applyAlignment="1">
      <alignment horizontal="center"/>
    </xf>
    <xf numFmtId="10" fontId="4" fillId="2" borderId="37" xfId="0" applyNumberFormat="1" applyFont="1" applyFill="1" applyBorder="1" applyAlignment="1" applyProtection="1">
      <alignment horizontal="left"/>
    </xf>
    <xf numFmtId="10" fontId="4" fillId="2" borderId="39" xfId="0" applyNumberFormat="1" applyFont="1" applyFill="1" applyBorder="1" applyAlignment="1" applyProtection="1">
      <alignment horizontal="left"/>
    </xf>
    <xf numFmtId="10" fontId="4" fillId="2" borderId="41" xfId="0" applyNumberFormat="1" applyFont="1" applyFill="1" applyBorder="1" applyAlignment="1" applyProtection="1">
      <alignment horizontal="left"/>
    </xf>
    <xf numFmtId="171" fontId="4" fillId="0" borderId="0" xfId="0" applyNumberFormat="1" applyFont="1" applyFill="1" applyAlignment="1" applyProtection="1">
      <alignment horizontal="left"/>
    </xf>
    <xf numFmtId="7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3" applyFont="1" applyFill="1" applyAlignment="1">
      <alignment horizontal="center"/>
    </xf>
  </cellXfs>
  <cellStyles count="20">
    <cellStyle name="Comma" xfId="1" builtinId="3"/>
    <cellStyle name="Comma 2" xfId="6" xr:uid="{00000000-0005-0000-0000-000001000000}"/>
    <cellStyle name="Comma 3" xfId="10" xr:uid="{00000000-0005-0000-0000-000002000000}"/>
    <cellStyle name="Comma 4" xfId="12" xr:uid="{00000000-0005-0000-0000-000003000000}"/>
    <cellStyle name="Currency" xfId="2" builtinId="4"/>
    <cellStyle name="Currency 2" xfId="7" xr:uid="{00000000-0005-0000-0000-000005000000}"/>
    <cellStyle name="Currency 3" xfId="11" xr:uid="{00000000-0005-0000-0000-000006000000}"/>
    <cellStyle name="Currency 4" xfId="13" xr:uid="{00000000-0005-0000-0000-000007000000}"/>
    <cellStyle name="Normal" xfId="0" builtinId="0"/>
    <cellStyle name="Normal 2" xfId="8" xr:uid="{00000000-0005-0000-0000-000009000000}"/>
    <cellStyle name="Normal 3" xfId="5" xr:uid="{00000000-0005-0000-0000-00000A000000}"/>
    <cellStyle name="Normal 4" xfId="9" xr:uid="{00000000-0005-0000-0000-00000B000000}"/>
    <cellStyle name="Normal 5" xfId="16" xr:uid="{00000000-0005-0000-0000-00000C000000}"/>
    <cellStyle name="Normal 6" xfId="17" xr:uid="{00000000-0005-0000-0000-00000D000000}"/>
    <cellStyle name="Normal 7" xfId="18" xr:uid="{278682B4-EEF6-403B-9D7A-0216CA2EC355}"/>
    <cellStyle name="Normal 8" xfId="19" xr:uid="{5511A7CE-E242-4BD6-9FC5-43B2BD92E727}"/>
    <cellStyle name="Normal_Copy of Avoided Cost adjusted Final" xfId="3" xr:uid="{00000000-0005-0000-0000-00000E000000}"/>
    <cellStyle name="Normal_Copy of Avoided Cost adjusted Final 2" xfId="14" xr:uid="{00000000-0005-0000-0000-00000F000000}"/>
    <cellStyle name="Percent" xfId="4" builtinId="5"/>
    <cellStyle name="Percent 2" xfId="15" xr:uid="{00000000-0005-0000-0000-000011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DaveB\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1"/>
    <pageSetUpPr fitToPage="1"/>
  </sheetPr>
  <dimension ref="A1:AC126"/>
  <sheetViews>
    <sheetView tabSelected="1" showOutlineSymbols="0" zoomScale="75" zoomScaleNormal="75" workbookViewId="0">
      <pane xSplit="2" ySplit="7" topLeftCell="C70" activePane="bottomRight" state="frozen"/>
      <selection pane="topRight" activeCell="C1" sqref="C1"/>
      <selection pane="bottomLeft" activeCell="A8" sqref="A8"/>
      <selection pane="bottomRight" activeCell="U113" sqref="U113"/>
    </sheetView>
  </sheetViews>
  <sheetFormatPr defaultColWidth="216.5" defaultRowHeight="12.75" outlineLevelCol="1" x14ac:dyDescent="0.2"/>
  <cols>
    <col min="1" max="1" width="13.33203125" style="1" hidden="1" customWidth="1" outlineLevel="1"/>
    <col min="2" max="2" width="58.5" style="1" bestFit="1" customWidth="1" collapsed="1"/>
    <col min="3" max="3" width="65.33203125" style="52" bestFit="1" customWidth="1"/>
    <col min="4" max="4" width="85.6640625" style="52" bestFit="1" customWidth="1"/>
    <col min="5" max="5" width="14.1640625" style="53" customWidth="1"/>
    <col min="6" max="6" width="22.1640625" style="2" customWidth="1"/>
    <col min="7" max="7" width="11.6640625" style="2" customWidth="1"/>
    <col min="8" max="8" width="16" style="50" customWidth="1"/>
    <col min="9" max="9" width="22" style="50" customWidth="1"/>
    <col min="10" max="10" width="15.6640625" style="1" customWidth="1"/>
    <col min="11" max="11" width="21.33203125" style="1" bestFit="1" customWidth="1"/>
    <col min="12" max="12" width="14.6640625" style="1" bestFit="1" customWidth="1"/>
    <col min="13" max="13" width="19" style="1" bestFit="1" customWidth="1"/>
    <col min="14" max="14" width="17.5" style="1" bestFit="1" customWidth="1"/>
    <col min="15" max="15" width="8.6640625" style="1" bestFit="1" customWidth="1"/>
    <col min="16" max="16" width="19.6640625" style="1" bestFit="1" customWidth="1"/>
    <col min="17" max="17" width="21.33203125" style="2" bestFit="1" customWidth="1"/>
    <col min="18" max="18" width="18.33203125" style="2" bestFit="1" customWidth="1"/>
    <col min="19" max="19" width="18.83203125" style="54" bestFit="1" customWidth="1"/>
    <col min="20" max="20" width="18.83203125" style="54" customWidth="1"/>
    <col min="21" max="21" width="13" style="2" bestFit="1" customWidth="1"/>
    <col min="22" max="23" width="12.33203125" style="2" bestFit="1" customWidth="1"/>
    <col min="24" max="24" width="216.5" style="2" hidden="1" customWidth="1"/>
    <col min="25" max="25" width="16" style="2" bestFit="1" customWidth="1"/>
    <col min="26" max="26" width="12.33203125" style="2" bestFit="1" customWidth="1"/>
    <col min="27" max="27" width="12.33203125" style="1" bestFit="1" customWidth="1"/>
    <col min="28" max="16384" width="216.5" style="1"/>
  </cols>
  <sheetData>
    <row r="1" spans="1:27" x14ac:dyDescent="0.2">
      <c r="B1" s="45" t="s">
        <v>66</v>
      </c>
      <c r="C1" s="241" t="s">
        <v>3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1:27" x14ac:dyDescent="0.2">
      <c r="B2" s="46">
        <v>43466</v>
      </c>
      <c r="C2" s="241" t="s">
        <v>62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27" x14ac:dyDescent="0.2">
      <c r="B3" s="47"/>
      <c r="C3" s="48"/>
      <c r="D3" s="48"/>
      <c r="E3" s="49"/>
      <c r="F3" s="50"/>
      <c r="G3" s="50"/>
      <c r="J3" s="50"/>
      <c r="K3" s="188"/>
      <c r="L3" s="50"/>
      <c r="M3" s="50"/>
      <c r="N3" s="50"/>
      <c r="O3" s="50"/>
      <c r="P3" s="50"/>
      <c r="Q3" s="50"/>
      <c r="R3" s="50"/>
      <c r="S3" s="51"/>
      <c r="T3" s="51"/>
      <c r="U3" s="50"/>
      <c r="V3" s="50"/>
      <c r="W3" s="50"/>
      <c r="X3" s="50"/>
      <c r="Y3" s="50"/>
      <c r="Z3" s="50"/>
      <c r="AA3" s="50"/>
    </row>
    <row r="4" spans="1:27" ht="13.5" thickBot="1" x14ac:dyDescent="0.25">
      <c r="X4" s="55"/>
      <c r="Y4" s="55"/>
      <c r="Z4" s="55"/>
    </row>
    <row r="5" spans="1:27" s="45" customFormat="1" x14ac:dyDescent="0.2">
      <c r="B5" s="56"/>
      <c r="C5" s="57"/>
      <c r="D5" s="58"/>
      <c r="E5" s="59" t="s">
        <v>6</v>
      </c>
      <c r="F5" s="60"/>
      <c r="G5" s="61"/>
      <c r="H5" s="62"/>
      <c r="I5" s="60" t="s">
        <v>6</v>
      </c>
      <c r="J5" s="63" t="s">
        <v>4</v>
      </c>
      <c r="K5" s="63" t="s">
        <v>326</v>
      </c>
      <c r="L5" s="63" t="s">
        <v>76</v>
      </c>
      <c r="M5" s="63" t="s">
        <v>78</v>
      </c>
      <c r="N5" s="63" t="s">
        <v>79</v>
      </c>
      <c r="O5" s="63"/>
      <c r="P5" s="63" t="s">
        <v>5</v>
      </c>
      <c r="Q5" s="63" t="s">
        <v>11</v>
      </c>
      <c r="R5" s="64"/>
      <c r="S5" s="63" t="s">
        <v>6</v>
      </c>
      <c r="T5" s="186" t="s">
        <v>323</v>
      </c>
      <c r="U5" s="65"/>
      <c r="V5" s="62" t="s">
        <v>75</v>
      </c>
      <c r="W5" s="62" t="s">
        <v>0</v>
      </c>
      <c r="X5" s="62"/>
      <c r="Y5" s="66" t="s">
        <v>6</v>
      </c>
      <c r="Z5" s="67" t="s">
        <v>75</v>
      </c>
      <c r="AA5" s="68" t="s">
        <v>0</v>
      </c>
    </row>
    <row r="6" spans="1:27" s="45" customFormat="1" x14ac:dyDescent="0.2">
      <c r="B6" s="69"/>
      <c r="C6" s="189"/>
      <c r="D6" s="190"/>
      <c r="E6" s="70" t="s">
        <v>4</v>
      </c>
      <c r="F6" s="191" t="s">
        <v>7</v>
      </c>
      <c r="G6" s="192"/>
      <c r="H6" s="71" t="s">
        <v>33</v>
      </c>
      <c r="I6" s="191" t="s">
        <v>7</v>
      </c>
      <c r="J6" s="72" t="s">
        <v>80</v>
      </c>
      <c r="K6" s="72" t="s">
        <v>80</v>
      </c>
      <c r="L6" s="72" t="s">
        <v>77</v>
      </c>
      <c r="M6" s="72" t="s">
        <v>77</v>
      </c>
      <c r="N6" s="72" t="s">
        <v>8</v>
      </c>
      <c r="O6" s="72"/>
      <c r="P6" s="72" t="s">
        <v>9</v>
      </c>
      <c r="Q6" s="72" t="s">
        <v>70</v>
      </c>
      <c r="R6" s="72" t="s">
        <v>11</v>
      </c>
      <c r="S6" s="72" t="s">
        <v>34</v>
      </c>
      <c r="T6" s="75" t="s">
        <v>324</v>
      </c>
      <c r="U6" s="71" t="s">
        <v>12</v>
      </c>
      <c r="V6" s="71" t="s">
        <v>37</v>
      </c>
      <c r="W6" s="71" t="s">
        <v>14</v>
      </c>
      <c r="X6" s="71"/>
      <c r="Y6" s="74" t="s">
        <v>10</v>
      </c>
      <c r="Z6" s="75" t="s">
        <v>36</v>
      </c>
      <c r="AA6" s="76" t="s">
        <v>14</v>
      </c>
    </row>
    <row r="7" spans="1:27" s="45" customFormat="1" x14ac:dyDescent="0.2">
      <c r="A7" s="184" t="s">
        <v>317</v>
      </c>
      <c r="B7" s="77" t="s">
        <v>4</v>
      </c>
      <c r="C7" s="193" t="s">
        <v>22</v>
      </c>
      <c r="D7" s="78" t="s">
        <v>27</v>
      </c>
      <c r="E7" s="79" t="s">
        <v>61</v>
      </c>
      <c r="F7" s="80" t="s">
        <v>60</v>
      </c>
      <c r="G7" s="81" t="s">
        <v>33</v>
      </c>
      <c r="H7" s="82" t="s">
        <v>8</v>
      </c>
      <c r="I7" s="80" t="s">
        <v>13</v>
      </c>
      <c r="J7" s="83" t="s">
        <v>14</v>
      </c>
      <c r="K7" s="83" t="s">
        <v>14</v>
      </c>
      <c r="L7" s="83"/>
      <c r="M7" s="83"/>
      <c r="N7" s="83" t="s">
        <v>14</v>
      </c>
      <c r="O7" s="83" t="s">
        <v>15</v>
      </c>
      <c r="P7" s="83" t="s">
        <v>13</v>
      </c>
      <c r="Q7" s="72" t="s">
        <v>35</v>
      </c>
      <c r="R7" s="83" t="s">
        <v>16</v>
      </c>
      <c r="S7" s="83" t="s">
        <v>14</v>
      </c>
      <c r="T7" s="185" t="s">
        <v>325</v>
      </c>
      <c r="U7" s="82" t="s">
        <v>14</v>
      </c>
      <c r="V7" s="82"/>
      <c r="W7" s="82" t="s">
        <v>1</v>
      </c>
      <c r="X7" s="82"/>
      <c r="Y7" s="77" t="s">
        <v>14</v>
      </c>
      <c r="Z7" s="185"/>
      <c r="AA7" s="84" t="s">
        <v>1</v>
      </c>
    </row>
    <row r="8" spans="1:27" ht="18.600000000000001" customHeight="1" x14ac:dyDescent="0.2">
      <c r="B8" s="194" t="s">
        <v>83</v>
      </c>
      <c r="C8" s="85"/>
      <c r="D8" s="86"/>
      <c r="E8" s="87"/>
      <c r="F8" s="88"/>
      <c r="G8" s="40"/>
      <c r="H8" s="89"/>
      <c r="I8" s="90"/>
      <c r="J8" s="40"/>
      <c r="K8" s="40"/>
      <c r="L8" s="91"/>
      <c r="M8" s="40"/>
      <c r="N8" s="40"/>
      <c r="O8" s="40"/>
      <c r="P8" s="40"/>
      <c r="Q8" s="40"/>
      <c r="R8" s="92"/>
      <c r="S8" s="93"/>
      <c r="T8" s="93"/>
      <c r="U8" s="210"/>
      <c r="V8" s="211"/>
      <c r="W8" s="212"/>
      <c r="X8" s="91"/>
      <c r="Y8" s="222"/>
      <c r="Z8" s="222"/>
      <c r="AA8" s="223"/>
    </row>
    <row r="9" spans="1:27" x14ac:dyDescent="0.2">
      <c r="A9" s="1" t="s">
        <v>67</v>
      </c>
      <c r="B9" s="195" t="s">
        <v>81</v>
      </c>
      <c r="C9" s="33" t="s">
        <v>190</v>
      </c>
      <c r="D9" s="34" t="s">
        <v>191</v>
      </c>
      <c r="E9" s="35">
        <v>25</v>
      </c>
      <c r="F9" s="38">
        <v>1.5</v>
      </c>
      <c r="G9" s="37" t="s">
        <v>174</v>
      </c>
      <c r="H9" s="38">
        <v>35775</v>
      </c>
      <c r="I9" s="38">
        <f>H9*F9</f>
        <v>53662.5</v>
      </c>
      <c r="J9" s="39">
        <v>8.89</v>
      </c>
      <c r="K9" s="39">
        <f t="shared" ref="K9:K68" si="0">J9*H9</f>
        <v>318039.75</v>
      </c>
      <c r="L9" s="43">
        <f t="shared" ref="L9:L40" si="1">0.5*0.9*$F9+PV($C$110,$O9,-(0.116*$F9))</f>
        <v>2.9521723776330537</v>
      </c>
      <c r="M9" s="39">
        <f t="shared" ref="M9:M29" si="2">0.1*$F9+PV($C$110,$O9,(-0.05*0.9*$F9))</f>
        <v>1.0333858361507535</v>
      </c>
      <c r="N9" s="44">
        <f>MAX(0,H9*(J9-L9-M9))</f>
        <v>175456.40490188429</v>
      </c>
      <c r="O9" s="40">
        <v>20</v>
      </c>
      <c r="P9" s="37">
        <f t="shared" ref="P9:P40" si="3">PV($C$110,O9,-I9)</f>
        <v>702291.739739849</v>
      </c>
      <c r="Q9" s="234">
        <f t="shared" ref="Q9:Q40" si="4">$B$117*I9/SUM($I$9:$I$81)</f>
        <v>154693.0459700494</v>
      </c>
      <c r="R9" s="41">
        <v>4</v>
      </c>
      <c r="S9" s="41">
        <f t="shared" ref="S9:S36" si="5">H9*R9</f>
        <v>143100</v>
      </c>
      <c r="T9" s="41">
        <v>0</v>
      </c>
      <c r="U9" s="213">
        <f t="shared" ref="U9:U36" si="6">IF(ISERROR(S9/P9),0,S9/P9)</f>
        <v>0.2037614739040057</v>
      </c>
      <c r="V9" s="213">
        <f t="shared" ref="V9:V36" si="7">IF(P9=0,0,(S9+Q9)/P9)</f>
        <v>0.42403039807980841</v>
      </c>
      <c r="W9" s="214">
        <f t="shared" ref="W9:W36" si="8">IF($S9=0,"-",(VLOOKUP($O9,AC,7)*$I9)/($S9+$Q9))</f>
        <v>2.3501588375585798</v>
      </c>
      <c r="X9" s="94"/>
      <c r="Y9" s="224">
        <f t="shared" ref="Y9:Y36" si="9">IF(ISERROR(N9/P9),0,N9/P9)</f>
        <v>0.24983407175895145</v>
      </c>
      <c r="Z9" s="224">
        <f t="shared" ref="Z9:Z36" si="10">IF(P9=0,0,(N9+Q9)/P9)</f>
        <v>0.47010299593475424</v>
      </c>
      <c r="AA9" s="225">
        <f t="shared" ref="AA9:AA36" si="11">IF($N9=0,"-",(VLOOKUP($O9,AC,5)*$I9)/(N9+Q9))</f>
        <v>2.2657289936148377</v>
      </c>
    </row>
    <row r="10" spans="1:27" x14ac:dyDescent="0.2">
      <c r="A10" s="1" t="s">
        <v>196</v>
      </c>
      <c r="B10" s="195" t="s">
        <v>222</v>
      </c>
      <c r="C10" s="33" t="s">
        <v>197</v>
      </c>
      <c r="D10" s="34" t="s">
        <v>191</v>
      </c>
      <c r="E10" s="35">
        <v>13</v>
      </c>
      <c r="F10" s="38">
        <v>1.5</v>
      </c>
      <c r="G10" s="37" t="s">
        <v>174</v>
      </c>
      <c r="H10" s="38">
        <v>17850</v>
      </c>
      <c r="I10" s="38">
        <f t="shared" ref="I10:I69" si="12">H10*F10</f>
        <v>26775</v>
      </c>
      <c r="J10" s="39">
        <v>8.89</v>
      </c>
      <c r="K10" s="39">
        <f t="shared" si="0"/>
        <v>158686.5</v>
      </c>
      <c r="L10" s="43">
        <f t="shared" si="1"/>
        <v>2.9521723776330537</v>
      </c>
      <c r="M10" s="39">
        <f t="shared" si="2"/>
        <v>1.0333858361507535</v>
      </c>
      <c r="N10" s="44">
        <f t="shared" ref="N10:N69" si="13">MAX(0,H10*(J10-L10-M10))</f>
        <v>87544.285883959048</v>
      </c>
      <c r="O10" s="40">
        <v>20</v>
      </c>
      <c r="P10" s="37">
        <f t="shared" si="3"/>
        <v>350409.7150064655</v>
      </c>
      <c r="Q10" s="234">
        <f t="shared" si="4"/>
        <v>77184.370945223796</v>
      </c>
      <c r="R10" s="41">
        <v>6</v>
      </c>
      <c r="S10" s="41">
        <f t="shared" si="5"/>
        <v>107100</v>
      </c>
      <c r="T10" s="41">
        <v>0</v>
      </c>
      <c r="U10" s="213">
        <f t="shared" si="6"/>
        <v>0.30564221085600857</v>
      </c>
      <c r="V10" s="213">
        <f t="shared" si="7"/>
        <v>0.52591113503181131</v>
      </c>
      <c r="W10" s="214">
        <f t="shared" si="8"/>
        <v>1.8948805626267373</v>
      </c>
      <c r="X10" s="94"/>
      <c r="Y10" s="224">
        <f t="shared" si="9"/>
        <v>0.2498340717589515</v>
      </c>
      <c r="Z10" s="224">
        <f t="shared" si="10"/>
        <v>0.47010299593475424</v>
      </c>
      <c r="AA10" s="225">
        <f t="shared" si="11"/>
        <v>2.2657289936148381</v>
      </c>
    </row>
    <row r="11" spans="1:27" hidden="1" x14ac:dyDescent="0.2">
      <c r="A11" s="1" t="s">
        <v>286</v>
      </c>
      <c r="B11" s="195" t="s">
        <v>223</v>
      </c>
      <c r="C11" s="33" t="s">
        <v>270</v>
      </c>
      <c r="D11" s="34" t="s">
        <v>271</v>
      </c>
      <c r="E11" s="35">
        <v>0</v>
      </c>
      <c r="F11" s="38">
        <v>136.9</v>
      </c>
      <c r="G11" s="37" t="s">
        <v>63</v>
      </c>
      <c r="H11" s="38">
        <v>0</v>
      </c>
      <c r="I11" s="38">
        <f t="shared" si="12"/>
        <v>0</v>
      </c>
      <c r="J11" s="39">
        <v>315</v>
      </c>
      <c r="K11" s="39">
        <f t="shared" si="0"/>
        <v>0</v>
      </c>
      <c r="L11" s="43">
        <f t="shared" si="1"/>
        <v>155.42363734431694</v>
      </c>
      <c r="M11" s="39">
        <f t="shared" si="2"/>
        <v>50.085161038743649</v>
      </c>
      <c r="N11" s="44">
        <f t="shared" si="13"/>
        <v>0</v>
      </c>
      <c r="O11" s="40">
        <v>7</v>
      </c>
      <c r="P11" s="37">
        <f t="shared" si="3"/>
        <v>0</v>
      </c>
      <c r="Q11" s="234">
        <f t="shared" si="4"/>
        <v>0</v>
      </c>
      <c r="R11" s="41">
        <v>125</v>
      </c>
      <c r="S11" s="41">
        <f t="shared" si="5"/>
        <v>0</v>
      </c>
      <c r="T11" s="41">
        <v>0</v>
      </c>
      <c r="U11" s="213">
        <f t="shared" si="6"/>
        <v>0</v>
      </c>
      <c r="V11" s="213">
        <f t="shared" si="7"/>
        <v>0</v>
      </c>
      <c r="W11" s="214" t="str">
        <f t="shared" si="8"/>
        <v>-</v>
      </c>
      <c r="X11" s="94"/>
      <c r="Y11" s="224">
        <f t="shared" si="9"/>
        <v>0</v>
      </c>
      <c r="Z11" s="224">
        <f t="shared" si="10"/>
        <v>0</v>
      </c>
      <c r="AA11" s="225" t="str">
        <f t="shared" si="11"/>
        <v>-</v>
      </c>
    </row>
    <row r="12" spans="1:27" ht="12" hidden="1" customHeight="1" x14ac:dyDescent="0.2">
      <c r="A12" s="1" t="s">
        <v>82</v>
      </c>
      <c r="B12" s="195" t="s">
        <v>24</v>
      </c>
      <c r="C12" s="33" t="s">
        <v>24</v>
      </c>
      <c r="D12" s="34" t="s">
        <v>272</v>
      </c>
      <c r="E12" s="35">
        <v>0</v>
      </c>
      <c r="F12" s="38">
        <v>270</v>
      </c>
      <c r="G12" s="37" t="s">
        <v>63</v>
      </c>
      <c r="H12" s="38">
        <v>0</v>
      </c>
      <c r="I12" s="38">
        <f t="shared" si="12"/>
        <v>0</v>
      </c>
      <c r="J12" s="39">
        <v>1.5</v>
      </c>
      <c r="K12" s="39">
        <f t="shared" si="0"/>
        <v>0</v>
      </c>
      <c r="L12" s="43">
        <f t="shared" si="1"/>
        <v>408.24099897356422</v>
      </c>
      <c r="M12" s="39">
        <f t="shared" si="2"/>
        <v>138.23573236043444</v>
      </c>
      <c r="N12" s="44">
        <f t="shared" si="13"/>
        <v>0</v>
      </c>
      <c r="O12" s="40">
        <v>12</v>
      </c>
      <c r="P12" s="37">
        <f t="shared" si="3"/>
        <v>0</v>
      </c>
      <c r="Q12" s="234">
        <f t="shared" si="4"/>
        <v>0</v>
      </c>
      <c r="R12" s="41">
        <v>1000</v>
      </c>
      <c r="S12" s="41">
        <f t="shared" si="5"/>
        <v>0</v>
      </c>
      <c r="T12" s="41">
        <v>0</v>
      </c>
      <c r="U12" s="213">
        <f t="shared" si="6"/>
        <v>0</v>
      </c>
      <c r="V12" s="213">
        <f t="shared" si="7"/>
        <v>0</v>
      </c>
      <c r="W12" s="214" t="str">
        <f t="shared" si="8"/>
        <v>-</v>
      </c>
      <c r="X12" s="94"/>
      <c r="Y12" s="224">
        <f t="shared" si="9"/>
        <v>0</v>
      </c>
      <c r="Z12" s="224">
        <f t="shared" si="10"/>
        <v>0</v>
      </c>
      <c r="AA12" s="225" t="str">
        <f t="shared" si="11"/>
        <v>-</v>
      </c>
    </row>
    <row r="13" spans="1:27" hidden="1" x14ac:dyDescent="0.2">
      <c r="A13" s="1" t="s">
        <v>287</v>
      </c>
      <c r="B13" s="195" t="s">
        <v>224</v>
      </c>
      <c r="C13" s="33" t="s">
        <v>133</v>
      </c>
      <c r="D13" s="34" t="s">
        <v>134</v>
      </c>
      <c r="E13" s="35">
        <v>0</v>
      </c>
      <c r="F13" s="38">
        <v>0</v>
      </c>
      <c r="G13" s="37" t="s">
        <v>63</v>
      </c>
      <c r="H13" s="38">
        <v>0</v>
      </c>
      <c r="I13" s="38">
        <f t="shared" si="12"/>
        <v>0</v>
      </c>
      <c r="J13" s="39"/>
      <c r="K13" s="39">
        <f t="shared" si="0"/>
        <v>0</v>
      </c>
      <c r="L13" s="43">
        <f t="shared" si="1"/>
        <v>0</v>
      </c>
      <c r="M13" s="39">
        <f t="shared" si="2"/>
        <v>0</v>
      </c>
      <c r="N13" s="44">
        <f t="shared" si="13"/>
        <v>0</v>
      </c>
      <c r="O13" s="40">
        <v>0</v>
      </c>
      <c r="P13" s="37">
        <f t="shared" si="3"/>
        <v>0</v>
      </c>
      <c r="Q13" s="234">
        <f t="shared" si="4"/>
        <v>0</v>
      </c>
      <c r="R13" s="41">
        <v>300</v>
      </c>
      <c r="S13" s="41">
        <f t="shared" si="5"/>
        <v>0</v>
      </c>
      <c r="T13" s="41">
        <v>0</v>
      </c>
      <c r="U13" s="213">
        <f t="shared" si="6"/>
        <v>0</v>
      </c>
      <c r="V13" s="213">
        <f t="shared" si="7"/>
        <v>0</v>
      </c>
      <c r="W13" s="214" t="str">
        <f t="shared" si="8"/>
        <v>-</v>
      </c>
      <c r="X13" s="94"/>
      <c r="Y13" s="224">
        <f t="shared" si="9"/>
        <v>0</v>
      </c>
      <c r="Z13" s="224">
        <f t="shared" si="10"/>
        <v>0</v>
      </c>
      <c r="AA13" s="225" t="str">
        <f t="shared" si="11"/>
        <v>-</v>
      </c>
    </row>
    <row r="14" spans="1:27" hidden="1" x14ac:dyDescent="0.2">
      <c r="A14" s="1" t="s">
        <v>288</v>
      </c>
      <c r="B14" s="195" t="s">
        <v>225</v>
      </c>
      <c r="C14" s="33" t="s">
        <v>130</v>
      </c>
      <c r="D14" s="34" t="s">
        <v>131</v>
      </c>
      <c r="E14" s="35">
        <v>0</v>
      </c>
      <c r="F14" s="38">
        <v>0</v>
      </c>
      <c r="G14" s="37" t="s">
        <v>63</v>
      </c>
      <c r="H14" s="38">
        <v>0</v>
      </c>
      <c r="I14" s="38">
        <f t="shared" si="12"/>
        <v>0</v>
      </c>
      <c r="J14" s="39"/>
      <c r="K14" s="39">
        <f t="shared" si="0"/>
        <v>0</v>
      </c>
      <c r="L14" s="43">
        <f t="shared" si="1"/>
        <v>0</v>
      </c>
      <c r="M14" s="39">
        <f t="shared" si="2"/>
        <v>0</v>
      </c>
      <c r="N14" s="44">
        <f t="shared" si="13"/>
        <v>0</v>
      </c>
      <c r="O14" s="40">
        <v>0</v>
      </c>
      <c r="P14" s="37">
        <f t="shared" si="3"/>
        <v>0</v>
      </c>
      <c r="Q14" s="234">
        <f t="shared" si="4"/>
        <v>0</v>
      </c>
      <c r="R14" s="41">
        <v>500</v>
      </c>
      <c r="S14" s="41">
        <f t="shared" si="5"/>
        <v>0</v>
      </c>
      <c r="T14" s="41">
        <v>0</v>
      </c>
      <c r="U14" s="213">
        <f t="shared" si="6"/>
        <v>0</v>
      </c>
      <c r="V14" s="213">
        <f t="shared" si="7"/>
        <v>0</v>
      </c>
      <c r="W14" s="214" t="str">
        <f t="shared" si="8"/>
        <v>-</v>
      </c>
      <c r="X14" s="94"/>
      <c r="Y14" s="224">
        <f t="shared" si="9"/>
        <v>0</v>
      </c>
      <c r="Z14" s="224">
        <f t="shared" si="10"/>
        <v>0</v>
      </c>
      <c r="AA14" s="225" t="str">
        <f t="shared" si="11"/>
        <v>-</v>
      </c>
    </row>
    <row r="15" spans="1:27" hidden="1" x14ac:dyDescent="0.2">
      <c r="A15" s="1" t="s">
        <v>289</v>
      </c>
      <c r="B15" s="195" t="s">
        <v>21</v>
      </c>
      <c r="C15" s="33" t="s">
        <v>26</v>
      </c>
      <c r="D15" s="34" t="s">
        <v>32</v>
      </c>
      <c r="E15" s="35">
        <v>0</v>
      </c>
      <c r="F15" s="38">
        <v>90</v>
      </c>
      <c r="G15" s="37" t="s">
        <v>63</v>
      </c>
      <c r="H15" s="38">
        <v>0</v>
      </c>
      <c r="I15" s="38">
        <f t="shared" si="12"/>
        <v>0</v>
      </c>
      <c r="J15" s="39">
        <v>200</v>
      </c>
      <c r="K15" s="39">
        <f t="shared" si="0"/>
        <v>0</v>
      </c>
      <c r="L15" s="43">
        <f t="shared" si="1"/>
        <v>123.39383394189926</v>
      </c>
      <c r="M15" s="39">
        <f t="shared" si="2"/>
        <v>41.15709075332299</v>
      </c>
      <c r="N15" s="44">
        <f t="shared" si="13"/>
        <v>0</v>
      </c>
      <c r="O15" s="40">
        <v>10</v>
      </c>
      <c r="P15" s="37">
        <f t="shared" si="3"/>
        <v>0</v>
      </c>
      <c r="Q15" s="234">
        <f t="shared" si="4"/>
        <v>0</v>
      </c>
      <c r="R15" s="41">
        <v>180</v>
      </c>
      <c r="S15" s="41">
        <f t="shared" si="5"/>
        <v>0</v>
      </c>
      <c r="T15" s="41">
        <v>0</v>
      </c>
      <c r="U15" s="213">
        <f t="shared" si="6"/>
        <v>0</v>
      </c>
      <c r="V15" s="213">
        <f t="shared" si="7"/>
        <v>0</v>
      </c>
      <c r="W15" s="214" t="str">
        <f t="shared" si="8"/>
        <v>-</v>
      </c>
      <c r="X15" s="94"/>
      <c r="Y15" s="224">
        <f t="shared" si="9"/>
        <v>0</v>
      </c>
      <c r="Z15" s="224">
        <f t="shared" si="10"/>
        <v>0</v>
      </c>
      <c r="AA15" s="225" t="str">
        <f t="shared" si="11"/>
        <v>-</v>
      </c>
    </row>
    <row r="16" spans="1:27" hidden="1" x14ac:dyDescent="0.2">
      <c r="A16" s="1" t="s">
        <v>290</v>
      </c>
      <c r="B16" s="195" t="s">
        <v>226</v>
      </c>
      <c r="C16" s="33" t="s">
        <v>25</v>
      </c>
      <c r="D16" s="34" t="s">
        <v>151</v>
      </c>
      <c r="E16" s="35">
        <v>0</v>
      </c>
      <c r="F16" s="38">
        <v>368</v>
      </c>
      <c r="G16" s="37" t="s">
        <v>152</v>
      </c>
      <c r="H16" s="38">
        <v>0</v>
      </c>
      <c r="I16" s="38">
        <f t="shared" si="12"/>
        <v>0</v>
      </c>
      <c r="J16" s="39">
        <v>900</v>
      </c>
      <c r="K16" s="39">
        <f t="shared" si="0"/>
        <v>0</v>
      </c>
      <c r="L16" s="43">
        <f t="shared" si="1"/>
        <v>556.41736156396905</v>
      </c>
      <c r="M16" s="39">
        <f t="shared" si="2"/>
        <v>188.41018336533284</v>
      </c>
      <c r="N16" s="44">
        <f t="shared" si="13"/>
        <v>0</v>
      </c>
      <c r="O16" s="40">
        <v>12</v>
      </c>
      <c r="P16" s="37">
        <f t="shared" si="3"/>
        <v>0</v>
      </c>
      <c r="Q16" s="234">
        <f t="shared" si="4"/>
        <v>0</v>
      </c>
      <c r="R16" s="41">
        <v>500</v>
      </c>
      <c r="S16" s="41">
        <f t="shared" si="5"/>
        <v>0</v>
      </c>
      <c r="T16" s="41">
        <v>0</v>
      </c>
      <c r="U16" s="213">
        <f t="shared" si="6"/>
        <v>0</v>
      </c>
      <c r="V16" s="213">
        <f t="shared" si="7"/>
        <v>0</v>
      </c>
      <c r="W16" s="214" t="str">
        <f t="shared" si="8"/>
        <v>-</v>
      </c>
      <c r="X16" s="94"/>
      <c r="Y16" s="224">
        <f t="shared" si="9"/>
        <v>0</v>
      </c>
      <c r="Z16" s="224">
        <f t="shared" si="10"/>
        <v>0</v>
      </c>
      <c r="AA16" s="225" t="str">
        <f t="shared" si="11"/>
        <v>-</v>
      </c>
    </row>
    <row r="17" spans="1:29" hidden="1" x14ac:dyDescent="0.2">
      <c r="A17" s="1" t="s">
        <v>291</v>
      </c>
      <c r="B17" s="195" t="s">
        <v>227</v>
      </c>
      <c r="C17" s="33" t="s">
        <v>25</v>
      </c>
      <c r="D17" s="34" t="s">
        <v>151</v>
      </c>
      <c r="E17" s="35">
        <v>0</v>
      </c>
      <c r="F17" s="38">
        <v>368</v>
      </c>
      <c r="G17" s="37" t="s">
        <v>152</v>
      </c>
      <c r="H17" s="38">
        <v>0</v>
      </c>
      <c r="I17" s="38">
        <f t="shared" si="12"/>
        <v>0</v>
      </c>
      <c r="J17" s="39">
        <v>900</v>
      </c>
      <c r="K17" s="39">
        <f t="shared" si="0"/>
        <v>0</v>
      </c>
      <c r="L17" s="43">
        <f t="shared" si="1"/>
        <v>556.41736156396905</v>
      </c>
      <c r="M17" s="39">
        <f t="shared" si="2"/>
        <v>188.41018336533284</v>
      </c>
      <c r="N17" s="44">
        <f t="shared" si="13"/>
        <v>0</v>
      </c>
      <c r="O17" s="40">
        <v>12</v>
      </c>
      <c r="P17" s="37">
        <f t="shared" si="3"/>
        <v>0</v>
      </c>
      <c r="Q17" s="234">
        <f t="shared" si="4"/>
        <v>0</v>
      </c>
      <c r="R17" s="41">
        <v>800</v>
      </c>
      <c r="S17" s="41">
        <f t="shared" si="5"/>
        <v>0</v>
      </c>
      <c r="T17" s="41">
        <v>0</v>
      </c>
      <c r="U17" s="213">
        <f t="shared" si="6"/>
        <v>0</v>
      </c>
      <c r="V17" s="213">
        <f t="shared" si="7"/>
        <v>0</v>
      </c>
      <c r="W17" s="214" t="str">
        <f t="shared" si="8"/>
        <v>-</v>
      </c>
      <c r="X17" s="94"/>
      <c r="Y17" s="224">
        <f t="shared" si="9"/>
        <v>0</v>
      </c>
      <c r="Z17" s="224">
        <f t="shared" si="10"/>
        <v>0</v>
      </c>
      <c r="AA17" s="225" t="str">
        <f t="shared" si="11"/>
        <v>-</v>
      </c>
    </row>
    <row r="18" spans="1:29" hidden="1" x14ac:dyDescent="0.2">
      <c r="A18" s="1" t="s">
        <v>104</v>
      </c>
      <c r="B18" s="195" t="s">
        <v>228</v>
      </c>
      <c r="C18" s="33" t="s">
        <v>25</v>
      </c>
      <c r="D18" s="34" t="s">
        <v>151</v>
      </c>
      <c r="E18" s="35">
        <v>0</v>
      </c>
      <c r="F18" s="38">
        <v>219</v>
      </c>
      <c r="G18" s="37" t="s">
        <v>152</v>
      </c>
      <c r="H18" s="38">
        <v>0</v>
      </c>
      <c r="I18" s="38">
        <f t="shared" si="12"/>
        <v>0</v>
      </c>
      <c r="J18" s="39">
        <v>900</v>
      </c>
      <c r="K18" s="39">
        <f t="shared" si="0"/>
        <v>0</v>
      </c>
      <c r="L18" s="43">
        <f t="shared" si="1"/>
        <v>331.12881027855769</v>
      </c>
      <c r="M18" s="39">
        <f t="shared" si="2"/>
        <v>112.12453847013015</v>
      </c>
      <c r="N18" s="44">
        <f t="shared" si="13"/>
        <v>0</v>
      </c>
      <c r="O18" s="40">
        <v>12</v>
      </c>
      <c r="P18" s="37">
        <f t="shared" si="3"/>
        <v>0</v>
      </c>
      <c r="Q18" s="234">
        <f t="shared" si="4"/>
        <v>0</v>
      </c>
      <c r="R18" s="41">
        <v>500</v>
      </c>
      <c r="S18" s="41">
        <f t="shared" si="5"/>
        <v>0</v>
      </c>
      <c r="T18" s="41">
        <v>0</v>
      </c>
      <c r="U18" s="213">
        <f t="shared" si="6"/>
        <v>0</v>
      </c>
      <c r="V18" s="213">
        <f t="shared" si="7"/>
        <v>0</v>
      </c>
      <c r="W18" s="214" t="str">
        <f t="shared" si="8"/>
        <v>-</v>
      </c>
      <c r="X18" s="94"/>
      <c r="Y18" s="224">
        <f t="shared" si="9"/>
        <v>0</v>
      </c>
      <c r="Z18" s="224">
        <f t="shared" si="10"/>
        <v>0</v>
      </c>
      <c r="AA18" s="225" t="str">
        <f t="shared" si="11"/>
        <v>-</v>
      </c>
    </row>
    <row r="19" spans="1:29" hidden="1" x14ac:dyDescent="0.2">
      <c r="A19" s="1" t="s">
        <v>292</v>
      </c>
      <c r="B19" s="195" t="s">
        <v>229</v>
      </c>
      <c r="C19" s="33" t="s">
        <v>25</v>
      </c>
      <c r="D19" s="34" t="s">
        <v>151</v>
      </c>
      <c r="E19" s="35">
        <v>0</v>
      </c>
      <c r="F19" s="38">
        <v>219</v>
      </c>
      <c r="G19" s="37" t="s">
        <v>152</v>
      </c>
      <c r="H19" s="38">
        <v>0</v>
      </c>
      <c r="I19" s="38">
        <f t="shared" si="12"/>
        <v>0</v>
      </c>
      <c r="J19" s="39">
        <v>900</v>
      </c>
      <c r="K19" s="39">
        <f t="shared" si="0"/>
        <v>0</v>
      </c>
      <c r="L19" s="43">
        <f t="shared" si="1"/>
        <v>331.12881027855769</v>
      </c>
      <c r="M19" s="39">
        <f t="shared" si="2"/>
        <v>112.12453847013015</v>
      </c>
      <c r="N19" s="44">
        <f t="shared" si="13"/>
        <v>0</v>
      </c>
      <c r="O19" s="40">
        <v>12</v>
      </c>
      <c r="P19" s="37">
        <f t="shared" si="3"/>
        <v>0</v>
      </c>
      <c r="Q19" s="234">
        <f t="shared" si="4"/>
        <v>0</v>
      </c>
      <c r="R19" s="41">
        <v>800</v>
      </c>
      <c r="S19" s="41">
        <f t="shared" si="5"/>
        <v>0</v>
      </c>
      <c r="T19" s="41">
        <v>0</v>
      </c>
      <c r="U19" s="213">
        <f t="shared" si="6"/>
        <v>0</v>
      </c>
      <c r="V19" s="213">
        <f t="shared" si="7"/>
        <v>0</v>
      </c>
      <c r="W19" s="214" t="str">
        <f t="shared" si="8"/>
        <v>-</v>
      </c>
      <c r="X19" s="94"/>
      <c r="Y19" s="224">
        <f t="shared" si="9"/>
        <v>0</v>
      </c>
      <c r="Z19" s="224">
        <f t="shared" si="10"/>
        <v>0</v>
      </c>
      <c r="AA19" s="225" t="str">
        <f t="shared" si="11"/>
        <v>-</v>
      </c>
      <c r="AC19" s="95"/>
    </row>
    <row r="20" spans="1:29" x14ac:dyDescent="0.2">
      <c r="A20" s="1" t="s">
        <v>94</v>
      </c>
      <c r="B20" s="196" t="s">
        <v>150</v>
      </c>
      <c r="C20" s="97" t="s">
        <v>25</v>
      </c>
      <c r="D20" s="34" t="s">
        <v>151</v>
      </c>
      <c r="E20" s="35">
        <v>2</v>
      </c>
      <c r="F20" s="38">
        <v>649</v>
      </c>
      <c r="G20" s="37" t="s">
        <v>152</v>
      </c>
      <c r="H20" s="38">
        <v>2</v>
      </c>
      <c r="I20" s="38">
        <f t="shared" si="12"/>
        <v>1298</v>
      </c>
      <c r="J20" s="39">
        <v>900</v>
      </c>
      <c r="K20" s="39">
        <f t="shared" si="0"/>
        <v>1800</v>
      </c>
      <c r="L20" s="43">
        <f t="shared" si="1"/>
        <v>981.29040123645632</v>
      </c>
      <c r="M20" s="39">
        <f t="shared" si="2"/>
        <v>332.2777418589701</v>
      </c>
      <c r="N20" s="44">
        <f t="shared" si="13"/>
        <v>0</v>
      </c>
      <c r="O20" s="40">
        <v>12</v>
      </c>
      <c r="P20" s="37">
        <f t="shared" si="3"/>
        <v>11883.455193732005</v>
      </c>
      <c r="Q20" s="234">
        <f t="shared" si="4"/>
        <v>3741.748402872101</v>
      </c>
      <c r="R20" s="41">
        <v>500</v>
      </c>
      <c r="S20" s="41">
        <f t="shared" si="5"/>
        <v>1000</v>
      </c>
      <c r="T20" s="41">
        <v>0</v>
      </c>
      <c r="U20" s="213">
        <f t="shared" si="6"/>
        <v>8.4150609708820684E-2</v>
      </c>
      <c r="V20" s="213">
        <f t="shared" si="7"/>
        <v>0.39902101918751398</v>
      </c>
      <c r="W20" s="214">
        <f t="shared" si="8"/>
        <v>1.9430191265355736</v>
      </c>
      <c r="X20" s="94"/>
      <c r="Y20" s="224">
        <f t="shared" si="9"/>
        <v>0</v>
      </c>
      <c r="Z20" s="224">
        <f t="shared" si="10"/>
        <v>0.31487040947869332</v>
      </c>
      <c r="AA20" s="225" t="str">
        <f t="shared" si="11"/>
        <v>-</v>
      </c>
    </row>
    <row r="21" spans="1:29" hidden="1" x14ac:dyDescent="0.2">
      <c r="A21" s="1" t="s">
        <v>293</v>
      </c>
      <c r="B21" s="196" t="s">
        <v>230</v>
      </c>
      <c r="C21" s="97" t="s">
        <v>25</v>
      </c>
      <c r="D21" s="34" t="s">
        <v>151</v>
      </c>
      <c r="E21" s="35">
        <v>0</v>
      </c>
      <c r="F21" s="38">
        <v>649</v>
      </c>
      <c r="G21" s="37" t="s">
        <v>152</v>
      </c>
      <c r="H21" s="38">
        <v>0</v>
      </c>
      <c r="I21" s="38">
        <f t="shared" si="12"/>
        <v>0</v>
      </c>
      <c r="J21" s="39">
        <v>900</v>
      </c>
      <c r="K21" s="39">
        <f t="shared" si="0"/>
        <v>0</v>
      </c>
      <c r="L21" s="43">
        <f t="shared" si="1"/>
        <v>981.29040123645632</v>
      </c>
      <c r="M21" s="39">
        <f t="shared" si="2"/>
        <v>332.2777418589701</v>
      </c>
      <c r="N21" s="44">
        <f t="shared" si="13"/>
        <v>0</v>
      </c>
      <c r="O21" s="40">
        <v>12</v>
      </c>
      <c r="P21" s="37">
        <f t="shared" si="3"/>
        <v>0</v>
      </c>
      <c r="Q21" s="234">
        <f t="shared" si="4"/>
        <v>0</v>
      </c>
      <c r="R21" s="41">
        <v>800</v>
      </c>
      <c r="S21" s="41">
        <f t="shared" si="5"/>
        <v>0</v>
      </c>
      <c r="T21" s="41">
        <v>0</v>
      </c>
      <c r="U21" s="213">
        <f t="shared" si="6"/>
        <v>0</v>
      </c>
      <c r="V21" s="213">
        <f t="shared" si="7"/>
        <v>0</v>
      </c>
      <c r="W21" s="214" t="str">
        <f t="shared" si="8"/>
        <v>-</v>
      </c>
      <c r="X21" s="94"/>
      <c r="Y21" s="224">
        <f t="shared" si="9"/>
        <v>0</v>
      </c>
      <c r="Z21" s="224">
        <f t="shared" si="10"/>
        <v>0</v>
      </c>
      <c r="AA21" s="225" t="str">
        <f t="shared" si="11"/>
        <v>-</v>
      </c>
    </row>
    <row r="22" spans="1:29" s="3" customFormat="1" hidden="1" x14ac:dyDescent="0.2">
      <c r="A22" s="3" t="s">
        <v>92</v>
      </c>
      <c r="B22" s="196" t="s">
        <v>231</v>
      </c>
      <c r="C22" s="98" t="s">
        <v>25</v>
      </c>
      <c r="D22" s="99" t="s">
        <v>151</v>
      </c>
      <c r="E22" s="35">
        <v>0</v>
      </c>
      <c r="F22" s="38">
        <v>141</v>
      </c>
      <c r="G22" s="37" t="s">
        <v>152</v>
      </c>
      <c r="H22" s="38">
        <v>0</v>
      </c>
      <c r="I22" s="38">
        <f t="shared" si="12"/>
        <v>0</v>
      </c>
      <c r="J22" s="39">
        <v>900</v>
      </c>
      <c r="K22" s="39">
        <f t="shared" si="0"/>
        <v>0</v>
      </c>
      <c r="L22" s="43">
        <f t="shared" si="1"/>
        <v>213.19252168619471</v>
      </c>
      <c r="M22" s="39">
        <f t="shared" si="2"/>
        <v>72.189771343782425</v>
      </c>
      <c r="N22" s="44">
        <f t="shared" si="13"/>
        <v>0</v>
      </c>
      <c r="O22" s="40">
        <v>12</v>
      </c>
      <c r="P22" s="37">
        <f t="shared" si="3"/>
        <v>0</v>
      </c>
      <c r="Q22" s="234">
        <f t="shared" si="4"/>
        <v>0</v>
      </c>
      <c r="R22" s="41">
        <v>500</v>
      </c>
      <c r="S22" s="41">
        <f t="shared" si="5"/>
        <v>0</v>
      </c>
      <c r="T22" s="41">
        <v>0</v>
      </c>
      <c r="U22" s="213">
        <f t="shared" si="6"/>
        <v>0</v>
      </c>
      <c r="V22" s="213">
        <f t="shared" si="7"/>
        <v>0</v>
      </c>
      <c r="W22" s="214" t="str">
        <f t="shared" si="8"/>
        <v>-</v>
      </c>
      <c r="X22" s="94"/>
      <c r="Y22" s="224">
        <f t="shared" si="9"/>
        <v>0</v>
      </c>
      <c r="Z22" s="224">
        <f t="shared" si="10"/>
        <v>0</v>
      </c>
      <c r="AA22" s="225" t="str">
        <f t="shared" si="11"/>
        <v>-</v>
      </c>
    </row>
    <row r="23" spans="1:29" hidden="1" x14ac:dyDescent="0.2">
      <c r="A23" s="1" t="s">
        <v>294</v>
      </c>
      <c r="B23" s="196" t="s">
        <v>232</v>
      </c>
      <c r="C23" s="97" t="s">
        <v>25</v>
      </c>
      <c r="D23" s="34" t="s">
        <v>151</v>
      </c>
      <c r="E23" s="35">
        <v>0</v>
      </c>
      <c r="F23" s="38">
        <v>141</v>
      </c>
      <c r="G23" s="37" t="s">
        <v>152</v>
      </c>
      <c r="H23" s="38">
        <v>0</v>
      </c>
      <c r="I23" s="38">
        <f t="shared" si="12"/>
        <v>0</v>
      </c>
      <c r="J23" s="39">
        <v>900</v>
      </c>
      <c r="K23" s="39">
        <f t="shared" si="0"/>
        <v>0</v>
      </c>
      <c r="L23" s="43">
        <f t="shared" si="1"/>
        <v>213.19252168619471</v>
      </c>
      <c r="M23" s="39">
        <f t="shared" si="2"/>
        <v>72.189771343782425</v>
      </c>
      <c r="N23" s="44">
        <f t="shared" si="13"/>
        <v>0</v>
      </c>
      <c r="O23" s="40">
        <v>12</v>
      </c>
      <c r="P23" s="37">
        <f t="shared" si="3"/>
        <v>0</v>
      </c>
      <c r="Q23" s="234">
        <f t="shared" si="4"/>
        <v>0</v>
      </c>
      <c r="R23" s="41">
        <v>800</v>
      </c>
      <c r="S23" s="41">
        <f t="shared" si="5"/>
        <v>0</v>
      </c>
      <c r="T23" s="41">
        <v>0</v>
      </c>
      <c r="U23" s="213">
        <f t="shared" si="6"/>
        <v>0</v>
      </c>
      <c r="V23" s="213">
        <f t="shared" si="7"/>
        <v>0</v>
      </c>
      <c r="W23" s="214" t="str">
        <f t="shared" si="8"/>
        <v>-</v>
      </c>
      <c r="X23" s="94"/>
      <c r="Y23" s="224">
        <f t="shared" si="9"/>
        <v>0</v>
      </c>
      <c r="Z23" s="224">
        <f t="shared" si="10"/>
        <v>0</v>
      </c>
      <c r="AA23" s="225" t="str">
        <f t="shared" si="11"/>
        <v>-</v>
      </c>
    </row>
    <row r="24" spans="1:29" s="3" customFormat="1" x14ac:dyDescent="0.2">
      <c r="A24" s="3" t="s">
        <v>100</v>
      </c>
      <c r="B24" s="196" t="s">
        <v>147</v>
      </c>
      <c r="C24" s="98" t="s">
        <v>115</v>
      </c>
      <c r="D24" s="99" t="s">
        <v>118</v>
      </c>
      <c r="E24" s="35">
        <v>9</v>
      </c>
      <c r="F24" s="38">
        <v>13</v>
      </c>
      <c r="G24" s="37" t="s">
        <v>148</v>
      </c>
      <c r="H24" s="38">
        <v>181.5</v>
      </c>
      <c r="I24" s="38">
        <f t="shared" si="12"/>
        <v>2359.5</v>
      </c>
      <c r="J24" s="39">
        <v>55</v>
      </c>
      <c r="K24" s="39">
        <f t="shared" si="0"/>
        <v>9982.5</v>
      </c>
      <c r="L24" s="43">
        <f t="shared" si="1"/>
        <v>17.823553791607669</v>
      </c>
      <c r="M24" s="39">
        <f t="shared" si="2"/>
        <v>5.9449131088133198</v>
      </c>
      <c r="N24" s="44">
        <f t="shared" si="13"/>
        <v>5668.5232575735909</v>
      </c>
      <c r="O24" s="40">
        <v>10</v>
      </c>
      <c r="P24" s="37">
        <f t="shared" si="3"/>
        <v>18734.482872213724</v>
      </c>
      <c r="Q24" s="234">
        <f t="shared" si="4"/>
        <v>6801.737562848014</v>
      </c>
      <c r="R24" s="41">
        <v>20</v>
      </c>
      <c r="S24" s="41">
        <f t="shared" si="5"/>
        <v>3630</v>
      </c>
      <c r="T24" s="41">
        <v>0</v>
      </c>
      <c r="U24" s="213">
        <f t="shared" si="6"/>
        <v>0.19376035222108418</v>
      </c>
      <c r="V24" s="213">
        <f t="shared" si="7"/>
        <v>0.55682014998769847</v>
      </c>
      <c r="W24" s="214">
        <f t="shared" si="8"/>
        <v>1.3186073582783449</v>
      </c>
      <c r="X24" s="94"/>
      <c r="Y24" s="224">
        <f t="shared" si="9"/>
        <v>0.30257164268894393</v>
      </c>
      <c r="Z24" s="224">
        <f t="shared" si="10"/>
        <v>0.66563144045555822</v>
      </c>
      <c r="AA24" s="225">
        <f t="shared" si="11"/>
        <v>1.1899277864374007</v>
      </c>
    </row>
    <row r="25" spans="1:29" s="3" customFormat="1" hidden="1" x14ac:dyDescent="0.2">
      <c r="A25" s="3" t="s">
        <v>295</v>
      </c>
      <c r="B25" s="196" t="s">
        <v>233</v>
      </c>
      <c r="C25" s="98" t="s">
        <v>273</v>
      </c>
      <c r="D25" s="99" t="s">
        <v>274</v>
      </c>
      <c r="E25" s="35">
        <v>0</v>
      </c>
      <c r="F25" s="38">
        <v>72</v>
      </c>
      <c r="G25" s="37" t="s">
        <v>319</v>
      </c>
      <c r="H25" s="38">
        <v>0</v>
      </c>
      <c r="I25" s="38">
        <f t="shared" si="12"/>
        <v>0</v>
      </c>
      <c r="J25" s="39">
        <v>300</v>
      </c>
      <c r="K25" s="39">
        <f t="shared" si="0"/>
        <v>0</v>
      </c>
      <c r="L25" s="43">
        <f t="shared" si="1"/>
        <v>122.52990120835219</v>
      </c>
      <c r="M25" s="39">
        <f t="shared" si="2"/>
        <v>42.164185813584901</v>
      </c>
      <c r="N25" s="44">
        <f t="shared" si="13"/>
        <v>0</v>
      </c>
      <c r="O25" s="40">
        <v>15</v>
      </c>
      <c r="P25" s="37">
        <f t="shared" si="3"/>
        <v>0</v>
      </c>
      <c r="Q25" s="234">
        <f t="shared" si="4"/>
        <v>0</v>
      </c>
      <c r="R25" s="41">
        <v>100</v>
      </c>
      <c r="S25" s="41">
        <f t="shared" si="5"/>
        <v>0</v>
      </c>
      <c r="T25" s="41">
        <v>0</v>
      </c>
      <c r="U25" s="213">
        <f t="shared" si="6"/>
        <v>0</v>
      </c>
      <c r="V25" s="213">
        <f t="shared" si="7"/>
        <v>0</v>
      </c>
      <c r="W25" s="214" t="str">
        <f t="shared" si="8"/>
        <v>-</v>
      </c>
      <c r="X25" s="94"/>
      <c r="Y25" s="224">
        <f t="shared" si="9"/>
        <v>0</v>
      </c>
      <c r="Z25" s="224">
        <f t="shared" si="10"/>
        <v>0</v>
      </c>
      <c r="AA25" s="225" t="str">
        <f t="shared" si="11"/>
        <v>-</v>
      </c>
    </row>
    <row r="26" spans="1:29" s="3" customFormat="1" hidden="1" x14ac:dyDescent="0.2">
      <c r="A26" s="3" t="s">
        <v>296</v>
      </c>
      <c r="B26" s="196" t="s">
        <v>234</v>
      </c>
      <c r="C26" s="98" t="s">
        <v>273</v>
      </c>
      <c r="D26" s="99" t="s">
        <v>274</v>
      </c>
      <c r="E26" s="35">
        <v>0</v>
      </c>
      <c r="F26" s="38">
        <v>72</v>
      </c>
      <c r="G26" s="37" t="s">
        <v>319</v>
      </c>
      <c r="H26" s="38">
        <v>0</v>
      </c>
      <c r="I26" s="38">
        <f t="shared" si="12"/>
        <v>0</v>
      </c>
      <c r="J26" s="39">
        <v>300</v>
      </c>
      <c r="K26" s="39">
        <f t="shared" si="0"/>
        <v>0</v>
      </c>
      <c r="L26" s="43">
        <f t="shared" si="1"/>
        <v>122.52990120835219</v>
      </c>
      <c r="M26" s="39">
        <f t="shared" si="2"/>
        <v>42.164185813584901</v>
      </c>
      <c r="N26" s="44">
        <f t="shared" si="13"/>
        <v>0</v>
      </c>
      <c r="O26" s="40">
        <v>15</v>
      </c>
      <c r="P26" s="37">
        <f t="shared" si="3"/>
        <v>0</v>
      </c>
      <c r="Q26" s="234">
        <f t="shared" si="4"/>
        <v>0</v>
      </c>
      <c r="R26" s="41">
        <v>200</v>
      </c>
      <c r="S26" s="41">
        <f t="shared" si="5"/>
        <v>0</v>
      </c>
      <c r="T26" s="41">
        <v>0</v>
      </c>
      <c r="U26" s="213">
        <f t="shared" si="6"/>
        <v>0</v>
      </c>
      <c r="V26" s="213">
        <f t="shared" si="7"/>
        <v>0</v>
      </c>
      <c r="W26" s="214" t="str">
        <f t="shared" si="8"/>
        <v>-</v>
      </c>
      <c r="X26" s="94"/>
      <c r="Y26" s="224">
        <f t="shared" si="9"/>
        <v>0</v>
      </c>
      <c r="Z26" s="224">
        <f t="shared" si="10"/>
        <v>0</v>
      </c>
      <c r="AA26" s="225" t="str">
        <f t="shared" si="11"/>
        <v>-</v>
      </c>
    </row>
    <row r="27" spans="1:29" s="3" customFormat="1" x14ac:dyDescent="0.2">
      <c r="A27" s="3" t="s">
        <v>64</v>
      </c>
      <c r="B27" s="196" t="s">
        <v>173</v>
      </c>
      <c r="C27" s="98" t="s">
        <v>23</v>
      </c>
      <c r="D27" s="99" t="s">
        <v>31</v>
      </c>
      <c r="E27" s="35">
        <v>37</v>
      </c>
      <c r="F27" s="38">
        <v>0.79</v>
      </c>
      <c r="G27" s="37" t="s">
        <v>174</v>
      </c>
      <c r="H27" s="38">
        <v>7493.98</v>
      </c>
      <c r="I27" s="38">
        <f t="shared" si="12"/>
        <v>5920.2442000000001</v>
      </c>
      <c r="J27" s="39">
        <v>6.06</v>
      </c>
      <c r="K27" s="39">
        <f t="shared" si="0"/>
        <v>45413.518799999998</v>
      </c>
      <c r="L27" s="43">
        <f t="shared" si="1"/>
        <v>1.3444253049249757</v>
      </c>
      <c r="M27" s="39">
        <f t="shared" si="2"/>
        <v>0.46263481656572325</v>
      </c>
      <c r="N27" s="44">
        <f t="shared" si="13"/>
        <v>31871.446390751127</v>
      </c>
      <c r="O27" s="40">
        <v>15</v>
      </c>
      <c r="P27" s="37">
        <f t="shared" si="3"/>
        <v>63887.81428104885</v>
      </c>
      <c r="Q27" s="234">
        <f t="shared" si="4"/>
        <v>17066.305300433603</v>
      </c>
      <c r="R27" s="41">
        <v>2.5</v>
      </c>
      <c r="S27" s="41">
        <f t="shared" si="5"/>
        <v>18734.949999999997</v>
      </c>
      <c r="T27" s="41">
        <v>1.0000000002037268E-2</v>
      </c>
      <c r="U27" s="213">
        <f t="shared" si="6"/>
        <v>0.29324762806226379</v>
      </c>
      <c r="V27" s="213">
        <f t="shared" si="7"/>
        <v>0.56037689977841965</v>
      </c>
      <c r="W27" s="214">
        <f t="shared" si="8"/>
        <v>1.5417251229127715</v>
      </c>
      <c r="X27" s="94"/>
      <c r="Y27" s="224">
        <f t="shared" si="9"/>
        <v>0.4988658126657059</v>
      </c>
      <c r="Z27" s="224">
        <f t="shared" si="10"/>
        <v>0.76599508438186192</v>
      </c>
      <c r="AA27" s="225">
        <f t="shared" si="11"/>
        <v>1.2040148639078434</v>
      </c>
    </row>
    <row r="28" spans="1:29" s="3" customFormat="1" x14ac:dyDescent="0.2">
      <c r="A28" s="3" t="s">
        <v>155</v>
      </c>
      <c r="B28" s="197" t="s">
        <v>69</v>
      </c>
      <c r="C28" s="100" t="s">
        <v>156</v>
      </c>
      <c r="D28" s="101" t="s">
        <v>157</v>
      </c>
      <c r="E28" s="35">
        <v>1</v>
      </c>
      <c r="F28" s="38">
        <v>1806</v>
      </c>
      <c r="G28" s="37" t="s">
        <v>63</v>
      </c>
      <c r="H28" s="38">
        <v>1</v>
      </c>
      <c r="I28" s="38">
        <f t="shared" si="12"/>
        <v>1806</v>
      </c>
      <c r="J28" s="39">
        <v>6200</v>
      </c>
      <c r="K28" s="39">
        <f t="shared" si="0"/>
        <v>6200</v>
      </c>
      <c r="L28" s="43">
        <f t="shared" si="1"/>
        <v>2730.6786820231746</v>
      </c>
      <c r="M28" s="39">
        <f t="shared" si="2"/>
        <v>924.64345423312795</v>
      </c>
      <c r="N28" s="44">
        <f t="shared" si="13"/>
        <v>2544.6778637436973</v>
      </c>
      <c r="O28" s="40">
        <v>12</v>
      </c>
      <c r="P28" s="37">
        <f t="shared" si="3"/>
        <v>16534.2989829584</v>
      </c>
      <c r="Q28" s="234">
        <f t="shared" si="4"/>
        <v>5206.1614912072537</v>
      </c>
      <c r="R28" s="41">
        <v>2000</v>
      </c>
      <c r="S28" s="41">
        <f t="shared" si="5"/>
        <v>2000</v>
      </c>
      <c r="T28" s="41">
        <v>0</v>
      </c>
      <c r="U28" s="213">
        <f t="shared" si="6"/>
        <v>0.12096067707868131</v>
      </c>
      <c r="V28" s="213">
        <f t="shared" si="7"/>
        <v>0.43583108655737463</v>
      </c>
      <c r="W28" s="214">
        <f t="shared" si="8"/>
        <v>1.7789127395551056</v>
      </c>
      <c r="X28" s="94"/>
      <c r="Y28" s="224">
        <f t="shared" si="9"/>
        <v>0.15390297867278499</v>
      </c>
      <c r="Z28" s="224">
        <f t="shared" si="10"/>
        <v>0.46877338815147829</v>
      </c>
      <c r="AA28" s="225">
        <f t="shared" si="11"/>
        <v>1.7977168172930047</v>
      </c>
    </row>
    <row r="29" spans="1:29" s="3" customFormat="1" hidden="1" x14ac:dyDescent="0.2">
      <c r="A29" s="3" t="s">
        <v>297</v>
      </c>
      <c r="B29" s="196" t="s">
        <v>235</v>
      </c>
      <c r="C29" s="98" t="s">
        <v>156</v>
      </c>
      <c r="D29" s="99" t="s">
        <v>157</v>
      </c>
      <c r="E29" s="35">
        <v>0</v>
      </c>
      <c r="F29" s="38">
        <v>1806</v>
      </c>
      <c r="G29" s="37" t="s">
        <v>63</v>
      </c>
      <c r="H29" s="38">
        <v>0</v>
      </c>
      <c r="I29" s="38">
        <f t="shared" si="12"/>
        <v>0</v>
      </c>
      <c r="J29" s="39">
        <v>6200</v>
      </c>
      <c r="K29" s="39">
        <f t="shared" si="0"/>
        <v>0</v>
      </c>
      <c r="L29" s="43">
        <f t="shared" si="1"/>
        <v>2730.6786820231746</v>
      </c>
      <c r="M29" s="39">
        <f t="shared" si="2"/>
        <v>924.64345423312795</v>
      </c>
      <c r="N29" s="44">
        <f t="shared" si="13"/>
        <v>0</v>
      </c>
      <c r="O29" s="40">
        <v>12</v>
      </c>
      <c r="P29" s="37">
        <f t="shared" si="3"/>
        <v>0</v>
      </c>
      <c r="Q29" s="234">
        <f t="shared" si="4"/>
        <v>0</v>
      </c>
      <c r="R29" s="41">
        <v>2500</v>
      </c>
      <c r="S29" s="41">
        <f t="shared" si="5"/>
        <v>0</v>
      </c>
      <c r="T29" s="41">
        <v>0</v>
      </c>
      <c r="U29" s="213">
        <f t="shared" si="6"/>
        <v>0</v>
      </c>
      <c r="V29" s="213">
        <f t="shared" si="7"/>
        <v>0</v>
      </c>
      <c r="W29" s="214" t="str">
        <f t="shared" si="8"/>
        <v>-</v>
      </c>
      <c r="X29" s="94"/>
      <c r="Y29" s="224">
        <f t="shared" si="9"/>
        <v>0</v>
      </c>
      <c r="Z29" s="224">
        <f t="shared" si="10"/>
        <v>0</v>
      </c>
      <c r="AA29" s="225" t="str">
        <f t="shared" si="11"/>
        <v>-</v>
      </c>
    </row>
    <row r="30" spans="1:29" s="3" customFormat="1" hidden="1" x14ac:dyDescent="0.2">
      <c r="A30" s="3" t="s">
        <v>298</v>
      </c>
      <c r="B30" s="195" t="s">
        <v>236</v>
      </c>
      <c r="C30" s="32" t="s">
        <v>138</v>
      </c>
      <c r="D30" s="99" t="s">
        <v>139</v>
      </c>
      <c r="E30" s="35">
        <v>0</v>
      </c>
      <c r="F30" s="38">
        <v>89</v>
      </c>
      <c r="G30" s="37" t="s">
        <v>140</v>
      </c>
      <c r="H30" s="38">
        <v>0</v>
      </c>
      <c r="I30" s="38">
        <f t="shared" si="12"/>
        <v>0</v>
      </c>
      <c r="J30" s="39">
        <v>119</v>
      </c>
      <c r="K30" s="39">
        <f t="shared" si="0"/>
        <v>0</v>
      </c>
      <c r="L30" s="43">
        <f t="shared" si="1"/>
        <v>85.460663752561402</v>
      </c>
      <c r="M30" s="39">
        <f>0.1*$F30+PV($C$110,$O30,(-0.05*0.9*$F30))+PV($C$110,$O30,28)</f>
        <v>-96.643285232730591</v>
      </c>
      <c r="N30" s="44">
        <f t="shared" si="13"/>
        <v>0</v>
      </c>
      <c r="O30" s="40">
        <v>5</v>
      </c>
      <c r="P30" s="37">
        <f t="shared" si="3"/>
        <v>0</v>
      </c>
      <c r="Q30" s="234">
        <f t="shared" si="4"/>
        <v>0</v>
      </c>
      <c r="R30" s="41">
        <v>0</v>
      </c>
      <c r="S30" s="41">
        <f t="shared" ref="S30" si="14">J30*E30</f>
        <v>0</v>
      </c>
      <c r="T30" s="41">
        <v>0</v>
      </c>
      <c r="U30" s="213">
        <f t="shared" si="6"/>
        <v>0</v>
      </c>
      <c r="V30" s="213">
        <f t="shared" si="7"/>
        <v>0</v>
      </c>
      <c r="W30" s="214" t="str">
        <f t="shared" si="8"/>
        <v>-</v>
      </c>
      <c r="X30" s="94"/>
      <c r="Y30" s="224">
        <f t="shared" si="9"/>
        <v>0</v>
      </c>
      <c r="Z30" s="224">
        <f t="shared" si="10"/>
        <v>0</v>
      </c>
      <c r="AA30" s="225" t="str">
        <f t="shared" si="11"/>
        <v>-</v>
      </c>
    </row>
    <row r="31" spans="1:29" s="3" customFormat="1" x14ac:dyDescent="0.2">
      <c r="A31" s="3" t="s">
        <v>88</v>
      </c>
      <c r="B31" s="195" t="s">
        <v>144</v>
      </c>
      <c r="C31" s="32" t="s">
        <v>145</v>
      </c>
      <c r="D31" s="99" t="s">
        <v>146</v>
      </c>
      <c r="E31" s="35">
        <v>4</v>
      </c>
      <c r="F31" s="38">
        <v>28</v>
      </c>
      <c r="G31" s="37" t="s">
        <v>140</v>
      </c>
      <c r="H31" s="38">
        <v>124</v>
      </c>
      <c r="I31" s="38">
        <f>H31*F31</f>
        <v>3472</v>
      </c>
      <c r="J31" s="39">
        <v>44</v>
      </c>
      <c r="K31" s="39">
        <f>J31*H31</f>
        <v>5456</v>
      </c>
      <c r="L31" s="43">
        <f t="shared" si="1"/>
        <v>38.389192781924208</v>
      </c>
      <c r="M31" s="39">
        <f>0.1*$F31+PV($C$110,$O31,(-0.05*0.9*$F31))+PV($C$110,$O31,3.6)</f>
        <v>-15.779652435253281</v>
      </c>
      <c r="N31" s="44">
        <f>MAX(0,H31*(J31-L31-M31))</f>
        <v>2652.416997012805</v>
      </c>
      <c r="O31" s="40">
        <v>10</v>
      </c>
      <c r="P31" s="37">
        <f t="shared" si="3"/>
        <v>27567.757801367257</v>
      </c>
      <c r="Q31" s="234">
        <f t="shared" si="4"/>
        <v>10008.7445722434</v>
      </c>
      <c r="R31" s="41">
        <v>0</v>
      </c>
      <c r="S31" s="41">
        <f>J31*E31</f>
        <v>176</v>
      </c>
      <c r="T31" s="41">
        <v>0</v>
      </c>
      <c r="U31" s="213">
        <f>IF(ISERROR(S31/P31),0,S31/P31)</f>
        <v>6.3842696699573827E-3</v>
      </c>
      <c r="V31" s="213">
        <f>IF(P31=0,0,(S31+Q31)/P31)</f>
        <v>0.36944406743657171</v>
      </c>
      <c r="W31" s="214">
        <f>IF($S31=0,"-",(VLOOKUP($O31,AC,7)*$I31)/($S31+$Q31))</f>
        <v>1.9873837793795064</v>
      </c>
      <c r="X31" s="94"/>
      <c r="Y31" s="224">
        <f>IF(ISERROR(N31/P31),0,N31/P31)</f>
        <v>9.6214462421069846E-2</v>
      </c>
      <c r="Z31" s="224">
        <f>IF(P31=0,0,(N31+Q31)/P31)</f>
        <v>0.45927426018768414</v>
      </c>
      <c r="AA31" s="225">
        <f>IF($N31=0,"-",(VLOOKUP($O31,AC,5)*$I31)/(N31+Q31))</f>
        <v>1.7245759564246983</v>
      </c>
    </row>
    <row r="32" spans="1:29" s="3" customFormat="1" x14ac:dyDescent="0.2">
      <c r="A32" s="3" t="s">
        <v>149</v>
      </c>
      <c r="B32" s="195" t="s">
        <v>237</v>
      </c>
      <c r="C32" s="32" t="s">
        <v>145</v>
      </c>
      <c r="D32" s="99" t="s">
        <v>146</v>
      </c>
      <c r="E32" s="35">
        <v>13</v>
      </c>
      <c r="F32" s="38">
        <v>35</v>
      </c>
      <c r="G32" s="37" t="s">
        <v>140</v>
      </c>
      <c r="H32" s="38">
        <v>541</v>
      </c>
      <c r="I32" s="38">
        <f>H32*F32</f>
        <v>18935</v>
      </c>
      <c r="J32" s="39">
        <v>44</v>
      </c>
      <c r="K32" s="39">
        <f>J32*H32</f>
        <v>23804</v>
      </c>
      <c r="L32" s="43">
        <f t="shared" si="1"/>
        <v>47.986490977405268</v>
      </c>
      <c r="M32" s="39">
        <f>0.1*$F32+PV($C$110,$O32,(-0.05*0.9*$F32))+PV($C$110,$O32,3.6)</f>
        <v>-12.578545376661495</v>
      </c>
      <c r="N32" s="44">
        <f>MAX(0,H32*(J32-L32-M32))</f>
        <v>4648.3014299976194</v>
      </c>
      <c r="O32" s="40">
        <v>10</v>
      </c>
      <c r="P32" s="37">
        <f t="shared" si="3"/>
        <v>150344.32429979523</v>
      </c>
      <c r="Q32" s="234">
        <f t="shared" si="4"/>
        <v>54583.979975641938</v>
      </c>
      <c r="R32" s="41">
        <v>0</v>
      </c>
      <c r="S32" s="41">
        <f>J32*E32</f>
        <v>572</v>
      </c>
      <c r="T32" s="41">
        <v>0</v>
      </c>
      <c r="U32" s="213">
        <f>IF(ISERROR(S32/P32),0,S32/P32)</f>
        <v>3.8045998920411459E-3</v>
      </c>
      <c r="V32" s="213">
        <f>IF(P32=0,0,(S32+Q32)/P32)</f>
        <v>0.36686439765865547</v>
      </c>
      <c r="W32" s="214">
        <f>IF($S32=0,"-",(VLOOKUP($O32,AC,7)*$I32)/($S32+$Q32))</f>
        <v>2.0013584084400136</v>
      </c>
      <c r="X32" s="94"/>
      <c r="Y32" s="224">
        <f>IF(ISERROR(N32/P32),0,N32/P32)</f>
        <v>3.0917704753048336E-2</v>
      </c>
      <c r="Z32" s="224">
        <f>IF(P32=0,0,(N32+Q32)/P32)</f>
        <v>0.39397750251966268</v>
      </c>
      <c r="AA32" s="225">
        <f>IF($N32=0,"-",(VLOOKUP($O32,AC,5)*$I32)/(N32+Q32))</f>
        <v>2.0104024759253636</v>
      </c>
    </row>
    <row r="33" spans="1:27" s="3" customFormat="1" hidden="1" x14ac:dyDescent="0.2">
      <c r="A33" s="3" t="s">
        <v>299</v>
      </c>
      <c r="B33" s="195" t="s">
        <v>238</v>
      </c>
      <c r="C33" s="32" t="s">
        <v>25</v>
      </c>
      <c r="D33" s="99" t="s">
        <v>167</v>
      </c>
      <c r="E33" s="35">
        <v>0</v>
      </c>
      <c r="F33" s="38">
        <v>388</v>
      </c>
      <c r="G33" s="37" t="s">
        <v>168</v>
      </c>
      <c r="H33" s="38">
        <v>0</v>
      </c>
      <c r="I33" s="38">
        <f t="shared" si="12"/>
        <v>0</v>
      </c>
      <c r="J33" s="39">
        <v>1400</v>
      </c>
      <c r="K33" s="39">
        <f t="shared" si="0"/>
        <v>0</v>
      </c>
      <c r="L33" s="43">
        <f t="shared" si="1"/>
        <v>586.65743556201096</v>
      </c>
      <c r="M33" s="39">
        <f t="shared" ref="M33:M64" si="15">0.1*$F33+PV($C$110,$O33,(-0.05*0.9*$F33))</f>
        <v>198.64986724388353</v>
      </c>
      <c r="N33" s="44">
        <f t="shared" si="13"/>
        <v>0</v>
      </c>
      <c r="O33" s="40">
        <v>12</v>
      </c>
      <c r="P33" s="37">
        <f t="shared" si="3"/>
        <v>0</v>
      </c>
      <c r="Q33" s="234">
        <f t="shared" si="4"/>
        <v>0</v>
      </c>
      <c r="R33" s="41">
        <v>600</v>
      </c>
      <c r="S33" s="41">
        <f t="shared" si="5"/>
        <v>0</v>
      </c>
      <c r="T33" s="41">
        <v>0</v>
      </c>
      <c r="U33" s="213">
        <f t="shared" si="6"/>
        <v>0</v>
      </c>
      <c r="V33" s="213">
        <f t="shared" si="7"/>
        <v>0</v>
      </c>
      <c r="W33" s="214" t="str">
        <f t="shared" si="8"/>
        <v>-</v>
      </c>
      <c r="X33" s="94"/>
      <c r="Y33" s="224">
        <f t="shared" si="9"/>
        <v>0</v>
      </c>
      <c r="Z33" s="224">
        <f t="shared" si="10"/>
        <v>0</v>
      </c>
      <c r="AA33" s="225" t="str">
        <f t="shared" si="11"/>
        <v>-</v>
      </c>
    </row>
    <row r="34" spans="1:27" s="3" customFormat="1" hidden="1" x14ac:dyDescent="0.2">
      <c r="A34" s="3" t="s">
        <v>300</v>
      </c>
      <c r="B34" s="195" t="s">
        <v>239</v>
      </c>
      <c r="C34" s="32" t="s">
        <v>25</v>
      </c>
      <c r="D34" s="99" t="s">
        <v>167</v>
      </c>
      <c r="E34" s="35">
        <v>0</v>
      </c>
      <c r="F34" s="38">
        <v>388</v>
      </c>
      <c r="G34" s="37" t="s">
        <v>168</v>
      </c>
      <c r="H34" s="38">
        <v>0</v>
      </c>
      <c r="I34" s="38">
        <f t="shared" si="12"/>
        <v>0</v>
      </c>
      <c r="J34" s="39">
        <v>1400</v>
      </c>
      <c r="K34" s="39">
        <f t="shared" si="0"/>
        <v>0</v>
      </c>
      <c r="L34" s="43">
        <f t="shared" si="1"/>
        <v>586.65743556201096</v>
      </c>
      <c r="M34" s="39">
        <f t="shared" si="15"/>
        <v>198.64986724388353</v>
      </c>
      <c r="N34" s="44">
        <f t="shared" si="13"/>
        <v>0</v>
      </c>
      <c r="O34" s="40">
        <v>12</v>
      </c>
      <c r="P34" s="37">
        <f t="shared" si="3"/>
        <v>0</v>
      </c>
      <c r="Q34" s="234">
        <f t="shared" si="4"/>
        <v>0</v>
      </c>
      <c r="R34" s="41">
        <v>750</v>
      </c>
      <c r="S34" s="41">
        <f t="shared" si="5"/>
        <v>0</v>
      </c>
      <c r="T34" s="41">
        <v>0</v>
      </c>
      <c r="U34" s="213">
        <f t="shared" si="6"/>
        <v>0</v>
      </c>
      <c r="V34" s="213">
        <f t="shared" si="7"/>
        <v>0</v>
      </c>
      <c r="W34" s="214" t="str">
        <f t="shared" si="8"/>
        <v>-</v>
      </c>
      <c r="X34" s="94"/>
      <c r="Y34" s="224">
        <f t="shared" si="9"/>
        <v>0</v>
      </c>
      <c r="Z34" s="224">
        <f t="shared" si="10"/>
        <v>0</v>
      </c>
      <c r="AA34" s="225" t="str">
        <f t="shared" si="11"/>
        <v>-</v>
      </c>
    </row>
    <row r="35" spans="1:27" s="3" customFormat="1" hidden="1" x14ac:dyDescent="0.2">
      <c r="A35" s="3" t="s">
        <v>91</v>
      </c>
      <c r="B35" s="195" t="s">
        <v>240</v>
      </c>
      <c r="C35" s="32" t="s">
        <v>25</v>
      </c>
      <c r="D35" s="99" t="s">
        <v>167</v>
      </c>
      <c r="E35" s="35">
        <v>0</v>
      </c>
      <c r="F35" s="38">
        <v>231</v>
      </c>
      <c r="G35" s="37" t="s">
        <v>168</v>
      </c>
      <c r="H35" s="38">
        <v>0</v>
      </c>
      <c r="I35" s="38">
        <f t="shared" si="12"/>
        <v>0</v>
      </c>
      <c r="J35" s="39">
        <v>1400</v>
      </c>
      <c r="K35" s="39">
        <f t="shared" si="0"/>
        <v>0</v>
      </c>
      <c r="L35" s="43">
        <f t="shared" si="1"/>
        <v>349.27285467738278</v>
      </c>
      <c r="M35" s="39">
        <f t="shared" si="15"/>
        <v>118.26834879726056</v>
      </c>
      <c r="N35" s="44">
        <f t="shared" si="13"/>
        <v>0</v>
      </c>
      <c r="O35" s="40">
        <v>12</v>
      </c>
      <c r="P35" s="37">
        <f t="shared" si="3"/>
        <v>0</v>
      </c>
      <c r="Q35" s="234">
        <f t="shared" si="4"/>
        <v>0</v>
      </c>
      <c r="R35" s="41">
        <v>600</v>
      </c>
      <c r="S35" s="41">
        <f t="shared" si="5"/>
        <v>0</v>
      </c>
      <c r="T35" s="41">
        <v>0</v>
      </c>
      <c r="U35" s="213">
        <f t="shared" si="6"/>
        <v>0</v>
      </c>
      <c r="V35" s="213">
        <f t="shared" si="7"/>
        <v>0</v>
      </c>
      <c r="W35" s="214" t="str">
        <f t="shared" si="8"/>
        <v>-</v>
      </c>
      <c r="X35" s="94"/>
      <c r="Y35" s="224">
        <f t="shared" si="9"/>
        <v>0</v>
      </c>
      <c r="Z35" s="224">
        <f t="shared" si="10"/>
        <v>0</v>
      </c>
      <c r="AA35" s="225" t="str">
        <f t="shared" si="11"/>
        <v>-</v>
      </c>
    </row>
    <row r="36" spans="1:27" s="3" customFormat="1" hidden="1" x14ac:dyDescent="0.2">
      <c r="A36" s="3" t="s">
        <v>301</v>
      </c>
      <c r="B36" s="195" t="s">
        <v>241</v>
      </c>
      <c r="C36" s="33" t="s">
        <v>25</v>
      </c>
      <c r="D36" s="99" t="s">
        <v>167</v>
      </c>
      <c r="E36" s="35">
        <v>0</v>
      </c>
      <c r="F36" s="38">
        <v>231</v>
      </c>
      <c r="G36" s="37" t="s">
        <v>168</v>
      </c>
      <c r="H36" s="38">
        <v>0</v>
      </c>
      <c r="I36" s="38">
        <f t="shared" si="12"/>
        <v>0</v>
      </c>
      <c r="J36" s="39">
        <v>1400</v>
      </c>
      <c r="K36" s="39">
        <f t="shared" si="0"/>
        <v>0</v>
      </c>
      <c r="L36" s="43">
        <f t="shared" si="1"/>
        <v>349.27285467738278</v>
      </c>
      <c r="M36" s="39">
        <f t="shared" si="15"/>
        <v>118.26834879726056</v>
      </c>
      <c r="N36" s="44">
        <f t="shared" si="13"/>
        <v>0</v>
      </c>
      <c r="O36" s="40">
        <v>12</v>
      </c>
      <c r="P36" s="37">
        <f t="shared" si="3"/>
        <v>0</v>
      </c>
      <c r="Q36" s="234">
        <f t="shared" si="4"/>
        <v>0</v>
      </c>
      <c r="R36" s="41">
        <v>750</v>
      </c>
      <c r="S36" s="41">
        <f t="shared" si="5"/>
        <v>0</v>
      </c>
      <c r="T36" s="41">
        <v>0</v>
      </c>
      <c r="U36" s="213">
        <f t="shared" si="6"/>
        <v>0</v>
      </c>
      <c r="V36" s="213">
        <f t="shared" si="7"/>
        <v>0</v>
      </c>
      <c r="W36" s="214" t="str">
        <f t="shared" si="8"/>
        <v>-</v>
      </c>
      <c r="X36" s="94"/>
      <c r="Y36" s="224">
        <f t="shared" si="9"/>
        <v>0</v>
      </c>
      <c r="Z36" s="224">
        <f t="shared" si="10"/>
        <v>0</v>
      </c>
      <c r="AA36" s="225" t="str">
        <f t="shared" si="11"/>
        <v>-</v>
      </c>
    </row>
    <row r="37" spans="1:27" s="3" customFormat="1" x14ac:dyDescent="0.2">
      <c r="A37" s="3" t="s">
        <v>89</v>
      </c>
      <c r="B37" s="195" t="s">
        <v>166</v>
      </c>
      <c r="C37" s="33" t="s">
        <v>25</v>
      </c>
      <c r="D37" s="99" t="s">
        <v>167</v>
      </c>
      <c r="E37" s="35">
        <v>11</v>
      </c>
      <c r="F37" s="38">
        <v>685</v>
      </c>
      <c r="G37" s="37" t="s">
        <v>168</v>
      </c>
      <c r="H37" s="38">
        <v>27</v>
      </c>
      <c r="I37" s="38">
        <f t="shared" si="12"/>
        <v>18495</v>
      </c>
      <c r="J37" s="39">
        <v>1400</v>
      </c>
      <c r="K37" s="39">
        <f t="shared" si="0"/>
        <v>37800</v>
      </c>
      <c r="L37" s="43">
        <f t="shared" si="1"/>
        <v>1035.7225344329315</v>
      </c>
      <c r="M37" s="39">
        <f t="shared" si="15"/>
        <v>350.70917284036136</v>
      </c>
      <c r="N37" s="44">
        <f t="shared" si="13"/>
        <v>366.34390362109207</v>
      </c>
      <c r="O37" s="40">
        <v>12</v>
      </c>
      <c r="P37" s="37">
        <f t="shared" si="3"/>
        <v>169325.5037042168</v>
      </c>
      <c r="Q37" s="234">
        <f t="shared" si="4"/>
        <v>53315.590686532749</v>
      </c>
      <c r="R37" s="41">
        <v>600</v>
      </c>
      <c r="S37" s="41">
        <f t="shared" ref="S37:S68" si="16">H37*R37</f>
        <v>16200</v>
      </c>
      <c r="T37" s="41">
        <v>0</v>
      </c>
      <c r="U37" s="213">
        <f t="shared" ref="U37:U68" si="17">IF(ISERROR(S37/P37),0,S37/P37)</f>
        <v>9.5673715096685485E-2</v>
      </c>
      <c r="V37" s="213">
        <f t="shared" ref="V37:V68" si="18">IF(P37=0,0,(S37+Q37)/P37)</f>
        <v>0.41054412457537887</v>
      </c>
      <c r="W37" s="214">
        <f t="shared" ref="W37:W68" si="19">IF($S37=0,"-",(VLOOKUP($O37,AC,7)*$I37)/($S37+$Q37))</f>
        <v>1.8884826886097748</v>
      </c>
      <c r="X37" s="94"/>
      <c r="Y37" s="224">
        <f t="shared" ref="Y37:Y68" si="20">IF(ISERROR(N37/P37),0,N37/P37)</f>
        <v>2.1635482878056768E-3</v>
      </c>
      <c r="Z37" s="224">
        <f t="shared" ref="Z37:Z68" si="21">IF(P37=0,0,(N37+Q37)/P37)</f>
        <v>0.31703395776649901</v>
      </c>
      <c r="AA37" s="225">
        <f t="shared" ref="AA37:AA68" si="22">IF($N37=0,"-",(VLOOKUP($O37,AC,5)*$I37)/(N37+Q37))</f>
        <v>2.658143655387267</v>
      </c>
    </row>
    <row r="38" spans="1:27" s="3" customFormat="1" x14ac:dyDescent="0.2">
      <c r="A38" s="3" t="s">
        <v>171</v>
      </c>
      <c r="B38" s="195" t="s">
        <v>242</v>
      </c>
      <c r="C38" s="33" t="s">
        <v>25</v>
      </c>
      <c r="D38" s="99" t="s">
        <v>167</v>
      </c>
      <c r="E38" s="35">
        <v>7</v>
      </c>
      <c r="F38" s="38">
        <v>685</v>
      </c>
      <c r="G38" s="37" t="s">
        <v>168</v>
      </c>
      <c r="H38" s="38">
        <v>7</v>
      </c>
      <c r="I38" s="38">
        <f t="shared" si="12"/>
        <v>4795</v>
      </c>
      <c r="J38" s="39">
        <v>1400</v>
      </c>
      <c r="K38" s="39">
        <f t="shared" si="0"/>
        <v>9800</v>
      </c>
      <c r="L38" s="43">
        <f t="shared" si="1"/>
        <v>1035.7225344329315</v>
      </c>
      <c r="M38" s="39">
        <f t="shared" si="15"/>
        <v>350.70917284036136</v>
      </c>
      <c r="N38" s="44">
        <f t="shared" si="13"/>
        <v>94.978049086949795</v>
      </c>
      <c r="O38" s="40">
        <v>12</v>
      </c>
      <c r="P38" s="37">
        <f t="shared" si="3"/>
        <v>43899.204664056211</v>
      </c>
      <c r="Q38" s="234">
        <f t="shared" si="4"/>
        <v>13822.560548360343</v>
      </c>
      <c r="R38" s="41">
        <v>750</v>
      </c>
      <c r="S38" s="41">
        <f t="shared" si="16"/>
        <v>5250</v>
      </c>
      <c r="T38" s="41">
        <v>0</v>
      </c>
      <c r="U38" s="213">
        <f t="shared" si="17"/>
        <v>0.11959214387085684</v>
      </c>
      <c r="V38" s="213">
        <f t="shared" si="18"/>
        <v>0.43446255334955014</v>
      </c>
      <c r="W38" s="214">
        <f t="shared" si="19"/>
        <v>1.7845162170910502</v>
      </c>
      <c r="X38" s="94"/>
      <c r="Y38" s="224">
        <f t="shared" si="20"/>
        <v>2.1635482878056768E-3</v>
      </c>
      <c r="Z38" s="224">
        <f t="shared" si="21"/>
        <v>0.31703395776649901</v>
      </c>
      <c r="AA38" s="225">
        <f t="shared" si="22"/>
        <v>2.6581436553872666</v>
      </c>
    </row>
    <row r="39" spans="1:27" s="3" customFormat="1" hidden="1" x14ac:dyDescent="0.2">
      <c r="A39" s="3" t="s">
        <v>103</v>
      </c>
      <c r="B39" s="195" t="s">
        <v>243</v>
      </c>
      <c r="C39" s="33" t="s">
        <v>25</v>
      </c>
      <c r="D39" s="99" t="s">
        <v>167</v>
      </c>
      <c r="E39" s="35">
        <v>0</v>
      </c>
      <c r="F39" s="38">
        <v>149</v>
      </c>
      <c r="G39" s="37" t="s">
        <v>168</v>
      </c>
      <c r="H39" s="38">
        <v>0</v>
      </c>
      <c r="I39" s="38">
        <f t="shared" si="12"/>
        <v>0</v>
      </c>
      <c r="J39" s="39">
        <v>1400</v>
      </c>
      <c r="K39" s="39">
        <f t="shared" si="0"/>
        <v>0</v>
      </c>
      <c r="L39" s="43">
        <f t="shared" si="1"/>
        <v>225.28855128541142</v>
      </c>
      <c r="M39" s="39">
        <f t="shared" si="15"/>
        <v>76.285644895202708</v>
      </c>
      <c r="N39" s="44">
        <f t="shared" si="13"/>
        <v>0</v>
      </c>
      <c r="O39" s="40">
        <v>12</v>
      </c>
      <c r="P39" s="37">
        <f t="shared" si="3"/>
        <v>0</v>
      </c>
      <c r="Q39" s="234">
        <f t="shared" si="4"/>
        <v>0</v>
      </c>
      <c r="R39" s="41">
        <v>600</v>
      </c>
      <c r="S39" s="41">
        <f t="shared" si="16"/>
        <v>0</v>
      </c>
      <c r="T39" s="41">
        <v>0</v>
      </c>
      <c r="U39" s="213">
        <f t="shared" si="17"/>
        <v>0</v>
      </c>
      <c r="V39" s="213">
        <f t="shared" si="18"/>
        <v>0</v>
      </c>
      <c r="W39" s="214" t="str">
        <f t="shared" si="19"/>
        <v>-</v>
      </c>
      <c r="X39" s="94"/>
      <c r="Y39" s="224">
        <f t="shared" si="20"/>
        <v>0</v>
      </c>
      <c r="Z39" s="224">
        <f t="shared" si="21"/>
        <v>0</v>
      </c>
      <c r="AA39" s="225" t="str">
        <f t="shared" si="22"/>
        <v>-</v>
      </c>
    </row>
    <row r="40" spans="1:27" s="3" customFormat="1" hidden="1" x14ac:dyDescent="0.2">
      <c r="A40" s="3" t="s">
        <v>302</v>
      </c>
      <c r="B40" s="195" t="s">
        <v>244</v>
      </c>
      <c r="C40" s="32" t="s">
        <v>25</v>
      </c>
      <c r="D40" s="99" t="s">
        <v>167</v>
      </c>
      <c r="E40" s="35">
        <v>0</v>
      </c>
      <c r="F40" s="38">
        <v>149</v>
      </c>
      <c r="G40" s="37" t="s">
        <v>168</v>
      </c>
      <c r="H40" s="38">
        <v>0</v>
      </c>
      <c r="I40" s="38">
        <f t="shared" si="12"/>
        <v>0</v>
      </c>
      <c r="J40" s="39">
        <v>1400</v>
      </c>
      <c r="K40" s="39">
        <f t="shared" si="0"/>
        <v>0</v>
      </c>
      <c r="L40" s="43">
        <f t="shared" si="1"/>
        <v>225.28855128541142</v>
      </c>
      <c r="M40" s="39">
        <f t="shared" si="15"/>
        <v>76.285644895202708</v>
      </c>
      <c r="N40" s="44">
        <f t="shared" si="13"/>
        <v>0</v>
      </c>
      <c r="O40" s="40">
        <v>12</v>
      </c>
      <c r="P40" s="37">
        <f t="shared" si="3"/>
        <v>0</v>
      </c>
      <c r="Q40" s="234">
        <f t="shared" si="4"/>
        <v>0</v>
      </c>
      <c r="R40" s="41">
        <v>750</v>
      </c>
      <c r="S40" s="41">
        <f t="shared" si="16"/>
        <v>0</v>
      </c>
      <c r="T40" s="41">
        <v>0</v>
      </c>
      <c r="U40" s="213">
        <f t="shared" si="17"/>
        <v>0</v>
      </c>
      <c r="V40" s="213">
        <f t="shared" si="18"/>
        <v>0</v>
      </c>
      <c r="W40" s="214" t="str">
        <f t="shared" si="19"/>
        <v>-</v>
      </c>
      <c r="X40" s="94"/>
      <c r="Y40" s="224">
        <f t="shared" si="20"/>
        <v>0</v>
      </c>
      <c r="Z40" s="224">
        <f t="shared" si="21"/>
        <v>0</v>
      </c>
      <c r="AA40" s="225" t="str">
        <f t="shared" si="22"/>
        <v>-</v>
      </c>
    </row>
    <row r="41" spans="1:27" s="3" customFormat="1" x14ac:dyDescent="0.2">
      <c r="A41" s="3" t="s">
        <v>101</v>
      </c>
      <c r="B41" s="195" t="s">
        <v>116</v>
      </c>
      <c r="C41" s="33" t="s">
        <v>177</v>
      </c>
      <c r="D41" s="34" t="s">
        <v>178</v>
      </c>
      <c r="E41" s="35">
        <v>1</v>
      </c>
      <c r="F41" s="38">
        <v>77</v>
      </c>
      <c r="G41" s="37" t="s">
        <v>152</v>
      </c>
      <c r="H41" s="38">
        <v>2</v>
      </c>
      <c r="I41" s="38">
        <f t="shared" si="12"/>
        <v>154</v>
      </c>
      <c r="J41" s="39">
        <v>1800</v>
      </c>
      <c r="K41" s="39">
        <f t="shared" si="0"/>
        <v>3600</v>
      </c>
      <c r="L41" s="43">
        <f t="shared" ref="L41:L72" si="23">0.5*0.9*$F41+PV($C$110,$O41,-(0.116*$F41))</f>
        <v>135.50312853164692</v>
      </c>
      <c r="M41" s="39">
        <f t="shared" si="15"/>
        <v>46.824058482104412</v>
      </c>
      <c r="N41" s="44">
        <f t="shared" si="13"/>
        <v>3235.3456259724971</v>
      </c>
      <c r="O41" s="40">
        <v>16</v>
      </c>
      <c r="P41" s="37">
        <f t="shared" ref="P41:P72" si="24">PV($C$110,O41,-I41)</f>
        <v>1738.8470436490848</v>
      </c>
      <c r="Q41" s="234">
        <f t="shared" ref="Q41:Q72" si="25">$B$117*I41/SUM($I$9:$I$81)</f>
        <v>443.93625118821541</v>
      </c>
      <c r="R41" s="41">
        <v>600</v>
      </c>
      <c r="S41" s="41">
        <f t="shared" si="16"/>
        <v>1200</v>
      </c>
      <c r="T41" s="41">
        <v>0</v>
      </c>
      <c r="U41" s="213">
        <f t="shared" si="17"/>
        <v>0.69011245375655417</v>
      </c>
      <c r="V41" s="213">
        <f t="shared" si="18"/>
        <v>0.94541740010570874</v>
      </c>
      <c r="W41" s="214">
        <f t="shared" si="19"/>
        <v>0.94008631653628605</v>
      </c>
      <c r="X41" s="94"/>
      <c r="Y41" s="224">
        <f t="shared" si="20"/>
        <v>1.860626923908679</v>
      </c>
      <c r="Z41" s="224">
        <f t="shared" si="21"/>
        <v>2.1159318702578336</v>
      </c>
      <c r="AA41" s="225">
        <f t="shared" si="22"/>
        <v>0.44894956682245951</v>
      </c>
    </row>
    <row r="42" spans="1:27" s="3" customFormat="1" hidden="1" x14ac:dyDescent="0.2">
      <c r="A42" s="3" t="s">
        <v>303</v>
      </c>
      <c r="B42" s="195" t="s">
        <v>245</v>
      </c>
      <c r="C42" s="33" t="s">
        <v>177</v>
      </c>
      <c r="D42" s="34" t="s">
        <v>178</v>
      </c>
      <c r="E42" s="35">
        <v>0</v>
      </c>
      <c r="F42" s="38">
        <v>77</v>
      </c>
      <c r="G42" s="37" t="s">
        <v>152</v>
      </c>
      <c r="H42" s="38">
        <v>0</v>
      </c>
      <c r="I42" s="38">
        <f t="shared" si="12"/>
        <v>0</v>
      </c>
      <c r="J42" s="39">
        <v>1800</v>
      </c>
      <c r="K42" s="39">
        <f t="shared" si="0"/>
        <v>0</v>
      </c>
      <c r="L42" s="43">
        <f t="shared" si="23"/>
        <v>135.50312853164692</v>
      </c>
      <c r="M42" s="39">
        <f t="shared" si="15"/>
        <v>46.824058482104412</v>
      </c>
      <c r="N42" s="44">
        <f t="shared" si="13"/>
        <v>0</v>
      </c>
      <c r="O42" s="40">
        <v>16</v>
      </c>
      <c r="P42" s="37">
        <f t="shared" si="24"/>
        <v>0</v>
      </c>
      <c r="Q42" s="234">
        <f t="shared" si="25"/>
        <v>0</v>
      </c>
      <c r="R42" s="41">
        <v>450</v>
      </c>
      <c r="S42" s="41">
        <f t="shared" si="16"/>
        <v>0</v>
      </c>
      <c r="T42" s="41">
        <v>0</v>
      </c>
      <c r="U42" s="213">
        <f t="shared" si="17"/>
        <v>0</v>
      </c>
      <c r="V42" s="213">
        <f t="shared" si="18"/>
        <v>0</v>
      </c>
      <c r="W42" s="214" t="str">
        <f t="shared" si="19"/>
        <v>-</v>
      </c>
      <c r="X42" s="94"/>
      <c r="Y42" s="224">
        <f t="shared" si="20"/>
        <v>0</v>
      </c>
      <c r="Z42" s="224">
        <f t="shared" si="21"/>
        <v>0</v>
      </c>
      <c r="AA42" s="225" t="str">
        <f t="shared" si="22"/>
        <v>-</v>
      </c>
    </row>
    <row r="43" spans="1:27" s="3" customFormat="1" hidden="1" x14ac:dyDescent="0.2">
      <c r="A43" s="3" t="s">
        <v>304</v>
      </c>
      <c r="B43" s="195" t="s">
        <v>246</v>
      </c>
      <c r="C43" s="33" t="s">
        <v>25</v>
      </c>
      <c r="D43" s="34" t="s">
        <v>164</v>
      </c>
      <c r="E43" s="35">
        <v>0</v>
      </c>
      <c r="F43" s="38">
        <v>155</v>
      </c>
      <c r="G43" s="37" t="s">
        <v>165</v>
      </c>
      <c r="H43" s="38">
        <v>0</v>
      </c>
      <c r="I43" s="38">
        <f t="shared" si="12"/>
        <v>0</v>
      </c>
      <c r="J43" s="39">
        <v>1048</v>
      </c>
      <c r="K43" s="39">
        <f t="shared" si="0"/>
        <v>0</v>
      </c>
      <c r="L43" s="43">
        <f t="shared" si="23"/>
        <v>234.3605734848239</v>
      </c>
      <c r="M43" s="39">
        <f t="shared" si="15"/>
        <v>79.357550058767913</v>
      </c>
      <c r="N43" s="44">
        <f t="shared" si="13"/>
        <v>0</v>
      </c>
      <c r="O43" s="40">
        <v>12</v>
      </c>
      <c r="P43" s="37">
        <f t="shared" si="24"/>
        <v>0</v>
      </c>
      <c r="Q43" s="234">
        <f t="shared" si="25"/>
        <v>0</v>
      </c>
      <c r="R43" s="41">
        <v>500</v>
      </c>
      <c r="S43" s="41">
        <f t="shared" si="16"/>
        <v>0</v>
      </c>
      <c r="T43" s="41">
        <v>0</v>
      </c>
      <c r="U43" s="213">
        <f t="shared" si="17"/>
        <v>0</v>
      </c>
      <c r="V43" s="213">
        <f t="shared" si="18"/>
        <v>0</v>
      </c>
      <c r="W43" s="214" t="str">
        <f t="shared" si="19"/>
        <v>-</v>
      </c>
      <c r="X43" s="94"/>
      <c r="Y43" s="224">
        <f t="shared" si="20"/>
        <v>0</v>
      </c>
      <c r="Z43" s="224">
        <f t="shared" si="21"/>
        <v>0</v>
      </c>
      <c r="AA43" s="225" t="str">
        <f t="shared" si="22"/>
        <v>-</v>
      </c>
    </row>
    <row r="44" spans="1:27" s="3" customFormat="1" hidden="1" x14ac:dyDescent="0.2">
      <c r="A44" s="3" t="s">
        <v>305</v>
      </c>
      <c r="B44" s="195" t="s">
        <v>247</v>
      </c>
      <c r="C44" s="32" t="s">
        <v>25</v>
      </c>
      <c r="D44" s="99" t="s">
        <v>164</v>
      </c>
      <c r="E44" s="35">
        <v>0</v>
      </c>
      <c r="F44" s="38">
        <v>92</v>
      </c>
      <c r="G44" s="37" t="s">
        <v>165</v>
      </c>
      <c r="H44" s="38">
        <v>0</v>
      </c>
      <c r="I44" s="38">
        <f t="shared" si="12"/>
        <v>0</v>
      </c>
      <c r="J44" s="39">
        <v>1048</v>
      </c>
      <c r="K44" s="39">
        <f t="shared" si="0"/>
        <v>0</v>
      </c>
      <c r="L44" s="43">
        <f t="shared" si="23"/>
        <v>139.10434039099226</v>
      </c>
      <c r="M44" s="39">
        <f t="shared" si="15"/>
        <v>47.10254584133321</v>
      </c>
      <c r="N44" s="44">
        <f t="shared" si="13"/>
        <v>0</v>
      </c>
      <c r="O44" s="40">
        <v>12</v>
      </c>
      <c r="P44" s="37">
        <f t="shared" si="24"/>
        <v>0</v>
      </c>
      <c r="Q44" s="234">
        <f t="shared" si="25"/>
        <v>0</v>
      </c>
      <c r="R44" s="41">
        <v>500</v>
      </c>
      <c r="S44" s="41">
        <f t="shared" si="16"/>
        <v>0</v>
      </c>
      <c r="T44" s="41">
        <v>0</v>
      </c>
      <c r="U44" s="213">
        <f t="shared" si="17"/>
        <v>0</v>
      </c>
      <c r="V44" s="213">
        <f t="shared" si="18"/>
        <v>0</v>
      </c>
      <c r="W44" s="214" t="str">
        <f t="shared" si="19"/>
        <v>-</v>
      </c>
      <c r="X44" s="94"/>
      <c r="Y44" s="224">
        <f t="shared" si="20"/>
        <v>0</v>
      </c>
      <c r="Z44" s="224">
        <f t="shared" si="21"/>
        <v>0</v>
      </c>
      <c r="AA44" s="225" t="str">
        <f t="shared" si="22"/>
        <v>-</v>
      </c>
    </row>
    <row r="45" spans="1:27" s="3" customFormat="1" x14ac:dyDescent="0.2">
      <c r="A45" s="3" t="s">
        <v>163</v>
      </c>
      <c r="B45" s="195" t="s">
        <v>162</v>
      </c>
      <c r="C45" s="32" t="s">
        <v>25</v>
      </c>
      <c r="D45" s="99" t="s">
        <v>164</v>
      </c>
      <c r="E45" s="35">
        <v>2</v>
      </c>
      <c r="F45" s="38">
        <v>273</v>
      </c>
      <c r="G45" s="37" t="s">
        <v>165</v>
      </c>
      <c r="H45" s="38">
        <v>2</v>
      </c>
      <c r="I45" s="38">
        <f t="shared" si="12"/>
        <v>546</v>
      </c>
      <c r="J45" s="39">
        <v>1048</v>
      </c>
      <c r="K45" s="39">
        <f t="shared" si="0"/>
        <v>2096</v>
      </c>
      <c r="L45" s="43">
        <f t="shared" si="23"/>
        <v>412.77701007327056</v>
      </c>
      <c r="M45" s="39">
        <f t="shared" si="15"/>
        <v>139.77168494221704</v>
      </c>
      <c r="N45" s="44">
        <f t="shared" si="13"/>
        <v>990.90260996902498</v>
      </c>
      <c r="O45" s="40">
        <v>12</v>
      </c>
      <c r="P45" s="37">
        <f t="shared" si="24"/>
        <v>4998.7415529874224</v>
      </c>
      <c r="Q45" s="234">
        <f t="shared" si="25"/>
        <v>1573.9557996673091</v>
      </c>
      <c r="R45" s="41">
        <v>500</v>
      </c>
      <c r="S45" s="41">
        <f t="shared" si="16"/>
        <v>1000</v>
      </c>
      <c r="T45" s="41">
        <v>0</v>
      </c>
      <c r="U45" s="213">
        <f t="shared" si="17"/>
        <v>0.20005035055320375</v>
      </c>
      <c r="V45" s="213">
        <f t="shared" si="18"/>
        <v>0.51492076003189713</v>
      </c>
      <c r="W45" s="214">
        <f t="shared" si="19"/>
        <v>1.5056791886251215</v>
      </c>
      <c r="X45" s="94"/>
      <c r="Y45" s="224">
        <f t="shared" si="20"/>
        <v>0.19823041448838799</v>
      </c>
      <c r="Z45" s="224">
        <f t="shared" si="21"/>
        <v>0.51310082396708123</v>
      </c>
      <c r="AA45" s="225">
        <f t="shared" si="22"/>
        <v>1.6424097643495503</v>
      </c>
    </row>
    <row r="46" spans="1:27" s="3" customFormat="1" hidden="1" x14ac:dyDescent="0.2">
      <c r="A46" s="3" t="s">
        <v>306</v>
      </c>
      <c r="B46" s="195" t="s">
        <v>248</v>
      </c>
      <c r="C46" s="32" t="s">
        <v>25</v>
      </c>
      <c r="D46" s="99" t="s">
        <v>164</v>
      </c>
      <c r="E46" s="35">
        <v>0</v>
      </c>
      <c r="F46" s="38">
        <v>59</v>
      </c>
      <c r="G46" s="37" t="s">
        <v>165</v>
      </c>
      <c r="H46" s="38">
        <v>0</v>
      </c>
      <c r="I46" s="38">
        <f t="shared" si="12"/>
        <v>0</v>
      </c>
      <c r="J46" s="39">
        <v>1048</v>
      </c>
      <c r="K46" s="39">
        <f t="shared" si="0"/>
        <v>0</v>
      </c>
      <c r="L46" s="43">
        <f t="shared" si="23"/>
        <v>89.2082182942233</v>
      </c>
      <c r="M46" s="39">
        <f t="shared" si="15"/>
        <v>30.207067441724561</v>
      </c>
      <c r="N46" s="44">
        <f t="shared" si="13"/>
        <v>0</v>
      </c>
      <c r="O46" s="40">
        <v>12</v>
      </c>
      <c r="P46" s="37">
        <f t="shared" si="24"/>
        <v>0</v>
      </c>
      <c r="Q46" s="234">
        <f t="shared" si="25"/>
        <v>0</v>
      </c>
      <c r="R46" s="41">
        <v>500</v>
      </c>
      <c r="S46" s="41">
        <f t="shared" si="16"/>
        <v>0</v>
      </c>
      <c r="T46" s="41">
        <v>0</v>
      </c>
      <c r="U46" s="213">
        <f t="shared" si="17"/>
        <v>0</v>
      </c>
      <c r="V46" s="213">
        <f t="shared" si="18"/>
        <v>0</v>
      </c>
      <c r="W46" s="214" t="str">
        <f t="shared" si="19"/>
        <v>-</v>
      </c>
      <c r="X46" s="94"/>
      <c r="Y46" s="224">
        <f t="shared" si="20"/>
        <v>0</v>
      </c>
      <c r="Z46" s="224">
        <f t="shared" si="21"/>
        <v>0</v>
      </c>
      <c r="AA46" s="225" t="str">
        <f t="shared" si="22"/>
        <v>-</v>
      </c>
    </row>
    <row r="47" spans="1:27" s="3" customFormat="1" hidden="1" x14ac:dyDescent="0.2">
      <c r="A47" s="3" t="s">
        <v>105</v>
      </c>
      <c r="B47" s="195" t="s">
        <v>249</v>
      </c>
      <c r="C47" s="33" t="s">
        <v>275</v>
      </c>
      <c r="D47" s="99" t="s">
        <v>29</v>
      </c>
      <c r="E47" s="35">
        <v>0</v>
      </c>
      <c r="F47" s="38">
        <v>1.1000000000000001</v>
      </c>
      <c r="G47" s="37" t="s">
        <v>174</v>
      </c>
      <c r="H47" s="38">
        <v>0</v>
      </c>
      <c r="I47" s="38">
        <f t="shared" si="12"/>
        <v>0</v>
      </c>
      <c r="J47" s="39">
        <v>5.23</v>
      </c>
      <c r="K47" s="39">
        <f t="shared" si="0"/>
        <v>0</v>
      </c>
      <c r="L47" s="43">
        <f t="shared" si="23"/>
        <v>2.0553064240945305</v>
      </c>
      <c r="M47" s="39">
        <f t="shared" si="15"/>
        <v>0.71529128520908525</v>
      </c>
      <c r="N47" s="44">
        <f t="shared" si="13"/>
        <v>0</v>
      </c>
      <c r="O47" s="40">
        <v>18</v>
      </c>
      <c r="P47" s="37">
        <f t="shared" si="24"/>
        <v>0</v>
      </c>
      <c r="Q47" s="234">
        <f t="shared" si="25"/>
        <v>0</v>
      </c>
      <c r="R47" s="41">
        <v>3</v>
      </c>
      <c r="S47" s="41">
        <f t="shared" si="16"/>
        <v>0</v>
      </c>
      <c r="T47" s="41">
        <v>0</v>
      </c>
      <c r="U47" s="213">
        <f t="shared" si="17"/>
        <v>0</v>
      </c>
      <c r="V47" s="213">
        <f t="shared" si="18"/>
        <v>0</v>
      </c>
      <c r="W47" s="214" t="str">
        <f t="shared" si="19"/>
        <v>-</v>
      </c>
      <c r="X47" s="94"/>
      <c r="Y47" s="224">
        <f t="shared" si="20"/>
        <v>0</v>
      </c>
      <c r="Z47" s="224">
        <f t="shared" si="21"/>
        <v>0</v>
      </c>
      <c r="AA47" s="225" t="str">
        <f t="shared" si="22"/>
        <v>-</v>
      </c>
    </row>
    <row r="48" spans="1:27" s="3" customFormat="1" hidden="1" x14ac:dyDescent="0.2">
      <c r="A48" s="3" t="s">
        <v>307</v>
      </c>
      <c r="B48" s="195" t="s">
        <v>250</v>
      </c>
      <c r="C48" s="33" t="s">
        <v>275</v>
      </c>
      <c r="D48" s="99" t="s">
        <v>29</v>
      </c>
      <c r="E48" s="35">
        <v>0</v>
      </c>
      <c r="F48" s="38">
        <v>1.1000000000000001</v>
      </c>
      <c r="G48" s="37" t="s">
        <v>174</v>
      </c>
      <c r="H48" s="38">
        <v>0</v>
      </c>
      <c r="I48" s="38">
        <f t="shared" si="12"/>
        <v>0</v>
      </c>
      <c r="J48" s="39">
        <v>5.23</v>
      </c>
      <c r="K48" s="39">
        <f t="shared" si="0"/>
        <v>0</v>
      </c>
      <c r="L48" s="43">
        <f t="shared" si="23"/>
        <v>2.0553064240945305</v>
      </c>
      <c r="M48" s="39">
        <f t="shared" si="15"/>
        <v>0.71529128520908525</v>
      </c>
      <c r="N48" s="44">
        <f t="shared" si="13"/>
        <v>0</v>
      </c>
      <c r="O48" s="40">
        <v>18</v>
      </c>
      <c r="P48" s="37">
        <f t="shared" si="24"/>
        <v>0</v>
      </c>
      <c r="Q48" s="234">
        <f t="shared" si="25"/>
        <v>0</v>
      </c>
      <c r="R48" s="41">
        <v>5</v>
      </c>
      <c r="S48" s="41">
        <f t="shared" si="16"/>
        <v>0</v>
      </c>
      <c r="T48" s="41">
        <v>0</v>
      </c>
      <c r="U48" s="213">
        <f t="shared" si="17"/>
        <v>0</v>
      </c>
      <c r="V48" s="213">
        <f t="shared" si="18"/>
        <v>0</v>
      </c>
      <c r="W48" s="214" t="str">
        <f t="shared" si="19"/>
        <v>-</v>
      </c>
      <c r="X48" s="94"/>
      <c r="Y48" s="224">
        <f t="shared" si="20"/>
        <v>0</v>
      </c>
      <c r="Z48" s="224">
        <f t="shared" si="21"/>
        <v>0</v>
      </c>
      <c r="AA48" s="225" t="str">
        <f t="shared" si="22"/>
        <v>-</v>
      </c>
    </row>
    <row r="49" spans="1:28" s="3" customFormat="1" hidden="1" x14ac:dyDescent="0.2">
      <c r="A49" s="3" t="s">
        <v>106</v>
      </c>
      <c r="B49" s="195" t="s">
        <v>251</v>
      </c>
      <c r="C49" s="33" t="s">
        <v>276</v>
      </c>
      <c r="D49" s="99" t="s">
        <v>28</v>
      </c>
      <c r="E49" s="35">
        <v>0</v>
      </c>
      <c r="F49" s="38">
        <v>0.61</v>
      </c>
      <c r="G49" s="37" t="s">
        <v>174</v>
      </c>
      <c r="H49" s="38">
        <v>0</v>
      </c>
      <c r="I49" s="38">
        <f t="shared" si="12"/>
        <v>0</v>
      </c>
      <c r="J49" s="39">
        <v>3.26</v>
      </c>
      <c r="K49" s="39">
        <f t="shared" si="0"/>
        <v>0</v>
      </c>
      <c r="L49" s="43">
        <f t="shared" si="23"/>
        <v>1.1397608351796942</v>
      </c>
      <c r="M49" s="39">
        <f t="shared" si="15"/>
        <v>0.39666153088867445</v>
      </c>
      <c r="N49" s="44">
        <f t="shared" si="13"/>
        <v>0</v>
      </c>
      <c r="O49" s="40">
        <v>18</v>
      </c>
      <c r="P49" s="37">
        <f t="shared" si="24"/>
        <v>0</v>
      </c>
      <c r="Q49" s="234">
        <f t="shared" si="25"/>
        <v>0</v>
      </c>
      <c r="R49" s="41">
        <v>1.5</v>
      </c>
      <c r="S49" s="41">
        <f t="shared" si="16"/>
        <v>0</v>
      </c>
      <c r="T49" s="41">
        <v>0</v>
      </c>
      <c r="U49" s="213">
        <f t="shared" si="17"/>
        <v>0</v>
      </c>
      <c r="V49" s="213">
        <f t="shared" si="18"/>
        <v>0</v>
      </c>
      <c r="W49" s="214" t="str">
        <f t="shared" si="19"/>
        <v>-</v>
      </c>
      <c r="X49" s="94"/>
      <c r="Y49" s="224">
        <f t="shared" si="20"/>
        <v>0</v>
      </c>
      <c r="Z49" s="224">
        <f t="shared" si="21"/>
        <v>0</v>
      </c>
      <c r="AA49" s="225" t="str">
        <f t="shared" si="22"/>
        <v>-</v>
      </c>
    </row>
    <row r="50" spans="1:28" s="3" customFormat="1" x14ac:dyDescent="0.2">
      <c r="A50" s="3" t="s">
        <v>107</v>
      </c>
      <c r="B50" s="195" t="s">
        <v>198</v>
      </c>
      <c r="C50" s="32" t="s">
        <v>108</v>
      </c>
      <c r="D50" s="34" t="s">
        <v>199</v>
      </c>
      <c r="E50" s="35">
        <v>2</v>
      </c>
      <c r="F50" s="38">
        <v>0.31</v>
      </c>
      <c r="G50" s="37" t="s">
        <v>200</v>
      </c>
      <c r="H50" s="38">
        <v>6263</v>
      </c>
      <c r="I50" s="38">
        <f t="shared" si="12"/>
        <v>1941.53</v>
      </c>
      <c r="J50" s="39">
        <v>1.35</v>
      </c>
      <c r="K50" s="39">
        <f t="shared" si="0"/>
        <v>8455.0500000000011</v>
      </c>
      <c r="L50" s="43">
        <f t="shared" si="23"/>
        <v>0.73010308227083498</v>
      </c>
      <c r="M50" s="39">
        <f t="shared" si="15"/>
        <v>0.26011326467403084</v>
      </c>
      <c r="N50" s="44">
        <f t="shared" si="13"/>
        <v>2253.3250190843059</v>
      </c>
      <c r="O50" s="40">
        <v>30</v>
      </c>
      <c r="P50" s="37">
        <f t="shared" si="24"/>
        <v>31887.475036743443</v>
      </c>
      <c r="Q50" s="234">
        <f t="shared" si="25"/>
        <v>5596.8542192821797</v>
      </c>
      <c r="R50" s="41">
        <v>1.1000000000000001</v>
      </c>
      <c r="S50" s="41">
        <f t="shared" si="16"/>
        <v>6889.3</v>
      </c>
      <c r="T50" s="41">
        <v>0</v>
      </c>
      <c r="U50" s="213">
        <f t="shared" si="17"/>
        <v>0.21605034553728594</v>
      </c>
      <c r="V50" s="213">
        <f t="shared" si="18"/>
        <v>0.39156923540965782</v>
      </c>
      <c r="W50" s="214">
        <f t="shared" si="19"/>
        <v>3.4301299461109225</v>
      </c>
      <c r="X50" s="94"/>
      <c r="Y50" s="224">
        <f t="shared" si="20"/>
        <v>7.0664893237480694E-2</v>
      </c>
      <c r="Z50" s="224">
        <f t="shared" si="21"/>
        <v>0.24618378310985256</v>
      </c>
      <c r="AA50" s="225">
        <f t="shared" si="22"/>
        <v>5.7160310117010846</v>
      </c>
    </row>
    <row r="51" spans="1:28" s="3" customFormat="1" x14ac:dyDescent="0.2">
      <c r="A51" s="3" t="s">
        <v>215</v>
      </c>
      <c r="B51" s="195" t="s">
        <v>252</v>
      </c>
      <c r="C51" s="33" t="s">
        <v>108</v>
      </c>
      <c r="D51" s="34" t="s">
        <v>199</v>
      </c>
      <c r="E51" s="35">
        <v>8</v>
      </c>
      <c r="F51" s="38">
        <v>0.31</v>
      </c>
      <c r="G51" s="37" t="s">
        <v>200</v>
      </c>
      <c r="H51" s="38">
        <v>32952</v>
      </c>
      <c r="I51" s="38">
        <f t="shared" si="12"/>
        <v>10215.120000000001</v>
      </c>
      <c r="J51" s="39">
        <v>1.35</v>
      </c>
      <c r="K51" s="39">
        <f t="shared" si="0"/>
        <v>44485.200000000004</v>
      </c>
      <c r="L51" s="43">
        <f t="shared" si="23"/>
        <v>0.73010308227083498</v>
      </c>
      <c r="M51" s="39">
        <f t="shared" si="15"/>
        <v>0.26011326467403084</v>
      </c>
      <c r="N51" s="44">
        <f t="shared" si="13"/>
        <v>11855.590935472785</v>
      </c>
      <c r="O51" s="40">
        <v>30</v>
      </c>
      <c r="P51" s="37">
        <f t="shared" si="24"/>
        <v>167772.00661197031</v>
      </c>
      <c r="Q51" s="234">
        <f t="shared" si="25"/>
        <v>29447.156352193262</v>
      </c>
      <c r="R51" s="41">
        <v>2</v>
      </c>
      <c r="S51" s="41">
        <f t="shared" si="16"/>
        <v>65904</v>
      </c>
      <c r="T51" s="41">
        <v>-2775.4100000000035</v>
      </c>
      <c r="U51" s="213">
        <f t="shared" si="17"/>
        <v>0.39281881006779257</v>
      </c>
      <c r="V51" s="213">
        <f t="shared" si="18"/>
        <v>0.56833769994016448</v>
      </c>
      <c r="W51" s="214">
        <f t="shared" si="19"/>
        <v>2.3632663476236613</v>
      </c>
      <c r="X51" s="94"/>
      <c r="Y51" s="224">
        <f t="shared" si="20"/>
        <v>7.066489323748068E-2</v>
      </c>
      <c r="Z51" s="224">
        <f t="shared" si="21"/>
        <v>0.24618378310985256</v>
      </c>
      <c r="AA51" s="225">
        <f t="shared" si="22"/>
        <v>5.7160310117010846</v>
      </c>
    </row>
    <row r="52" spans="1:28" s="3" customFormat="1" hidden="1" x14ac:dyDescent="0.2">
      <c r="A52" s="3" t="s">
        <v>96</v>
      </c>
      <c r="B52" s="195" t="s">
        <v>212</v>
      </c>
      <c r="C52" s="33" t="s">
        <v>108</v>
      </c>
      <c r="D52" s="34" t="s">
        <v>214</v>
      </c>
      <c r="E52" s="35">
        <v>0</v>
      </c>
      <c r="F52" s="38">
        <v>0.32</v>
      </c>
      <c r="G52" s="37" t="s">
        <v>200</v>
      </c>
      <c r="H52" s="38">
        <v>0</v>
      </c>
      <c r="I52" s="38">
        <f t="shared" si="12"/>
        <v>0</v>
      </c>
      <c r="J52" s="39">
        <v>1.63</v>
      </c>
      <c r="K52" s="39">
        <f t="shared" si="0"/>
        <v>0</v>
      </c>
      <c r="L52" s="43">
        <f t="shared" si="23"/>
        <v>0.75365479460215234</v>
      </c>
      <c r="M52" s="39">
        <f t="shared" si="15"/>
        <v>0.26850401514738664</v>
      </c>
      <c r="N52" s="44">
        <f t="shared" si="13"/>
        <v>0</v>
      </c>
      <c r="O52" s="40">
        <v>30</v>
      </c>
      <c r="P52" s="37">
        <f t="shared" si="24"/>
        <v>0</v>
      </c>
      <c r="Q52" s="234">
        <f t="shared" si="25"/>
        <v>0</v>
      </c>
      <c r="R52" s="41">
        <v>1.25</v>
      </c>
      <c r="S52" s="41">
        <f t="shared" si="16"/>
        <v>0</v>
      </c>
      <c r="T52" s="41">
        <v>0</v>
      </c>
      <c r="U52" s="213">
        <f t="shared" si="17"/>
        <v>0</v>
      </c>
      <c r="V52" s="213">
        <f t="shared" si="18"/>
        <v>0</v>
      </c>
      <c r="W52" s="214" t="str">
        <f t="shared" si="19"/>
        <v>-</v>
      </c>
      <c r="X52" s="94"/>
      <c r="Y52" s="224">
        <f t="shared" si="20"/>
        <v>0</v>
      </c>
      <c r="Z52" s="224">
        <f t="shared" si="21"/>
        <v>0</v>
      </c>
      <c r="AA52" s="225" t="str">
        <f t="shared" si="22"/>
        <v>-</v>
      </c>
      <c r="AB52" s="102"/>
    </row>
    <row r="53" spans="1:28" s="3" customFormat="1" x14ac:dyDescent="0.2">
      <c r="A53" s="3" t="s">
        <v>213</v>
      </c>
      <c r="B53" s="195" t="s">
        <v>253</v>
      </c>
      <c r="C53" s="33" t="s">
        <v>108</v>
      </c>
      <c r="D53" s="34" t="s">
        <v>214</v>
      </c>
      <c r="E53" s="35">
        <v>1</v>
      </c>
      <c r="F53" s="38">
        <v>0.32</v>
      </c>
      <c r="G53" s="37" t="s">
        <v>200</v>
      </c>
      <c r="H53" s="38">
        <v>1500</v>
      </c>
      <c r="I53" s="38">
        <f t="shared" si="12"/>
        <v>480</v>
      </c>
      <c r="J53" s="39">
        <v>1.63</v>
      </c>
      <c r="K53" s="39">
        <f t="shared" si="0"/>
        <v>2445</v>
      </c>
      <c r="L53" s="43">
        <f t="shared" si="23"/>
        <v>0.75365479460215234</v>
      </c>
      <c r="M53" s="39">
        <f t="shared" si="15"/>
        <v>0.26850401514738664</v>
      </c>
      <c r="N53" s="44">
        <f t="shared" si="13"/>
        <v>911.76178537569137</v>
      </c>
      <c r="O53" s="40">
        <v>30</v>
      </c>
      <c r="P53" s="37">
        <f t="shared" si="24"/>
        <v>7883.4671715795548</v>
      </c>
      <c r="Q53" s="234">
        <f t="shared" si="25"/>
        <v>1383.6974063009311</v>
      </c>
      <c r="R53" s="41">
        <v>2.5</v>
      </c>
      <c r="S53" s="41">
        <f t="shared" si="16"/>
        <v>3750</v>
      </c>
      <c r="T53" s="41">
        <v>-750</v>
      </c>
      <c r="U53" s="213">
        <f t="shared" si="17"/>
        <v>0.47567902781646759</v>
      </c>
      <c r="V53" s="213">
        <f t="shared" si="18"/>
        <v>0.6511979176888395</v>
      </c>
      <c r="W53" s="214">
        <f t="shared" si="19"/>
        <v>2.0625578243882088</v>
      </c>
      <c r="X53" s="94"/>
      <c r="Y53" s="224">
        <f t="shared" si="20"/>
        <v>0.1156549225780575</v>
      </c>
      <c r="Z53" s="224">
        <f t="shared" si="21"/>
        <v>0.29117381245042945</v>
      </c>
      <c r="AA53" s="225">
        <f t="shared" si="22"/>
        <v>4.8328320702720378</v>
      </c>
    </row>
    <row r="54" spans="1:28" s="3" customFormat="1" hidden="1" x14ac:dyDescent="0.2">
      <c r="A54" s="3" t="s">
        <v>308</v>
      </c>
      <c r="B54" s="195" t="s">
        <v>254</v>
      </c>
      <c r="C54" s="33" t="s">
        <v>277</v>
      </c>
      <c r="D54" s="34" t="s">
        <v>278</v>
      </c>
      <c r="E54" s="35">
        <v>0</v>
      </c>
      <c r="F54" s="38">
        <v>5.6000000000000001E-2</v>
      </c>
      <c r="G54" s="37" t="s">
        <v>209</v>
      </c>
      <c r="H54" s="38">
        <v>0</v>
      </c>
      <c r="I54" s="38">
        <f t="shared" si="12"/>
        <v>0</v>
      </c>
      <c r="J54" s="31"/>
      <c r="K54" s="39">
        <f t="shared" si="0"/>
        <v>0</v>
      </c>
      <c r="L54" s="43">
        <f t="shared" si="23"/>
        <v>0.15098663027497494</v>
      </c>
      <c r="M54" s="39">
        <f t="shared" si="15"/>
        <v>5.4396537606671319E-2</v>
      </c>
      <c r="N54" s="44">
        <f t="shared" si="13"/>
        <v>0</v>
      </c>
      <c r="O54" s="40">
        <v>45</v>
      </c>
      <c r="P54" s="37">
        <f t="shared" si="24"/>
        <v>0</v>
      </c>
      <c r="Q54" s="234">
        <f t="shared" si="25"/>
        <v>0</v>
      </c>
      <c r="R54" s="41">
        <v>0.75</v>
      </c>
      <c r="S54" s="41">
        <f t="shared" si="16"/>
        <v>0</v>
      </c>
      <c r="T54" s="41">
        <v>0</v>
      </c>
      <c r="U54" s="213">
        <f t="shared" si="17"/>
        <v>0</v>
      </c>
      <c r="V54" s="213">
        <f t="shared" si="18"/>
        <v>0</v>
      </c>
      <c r="W54" s="214" t="str">
        <f t="shared" si="19"/>
        <v>-</v>
      </c>
      <c r="X54" s="94"/>
      <c r="Y54" s="224">
        <f t="shared" si="20"/>
        <v>0</v>
      </c>
      <c r="Z54" s="224">
        <f t="shared" si="21"/>
        <v>0</v>
      </c>
      <c r="AA54" s="225" t="str">
        <f t="shared" si="22"/>
        <v>-</v>
      </c>
    </row>
    <row r="55" spans="1:28" s="3" customFormat="1" hidden="1" x14ac:dyDescent="0.2">
      <c r="A55" s="3" t="s">
        <v>309</v>
      </c>
      <c r="B55" s="195" t="s">
        <v>255</v>
      </c>
      <c r="C55" s="33" t="s">
        <v>279</v>
      </c>
      <c r="D55" s="34" t="s">
        <v>280</v>
      </c>
      <c r="E55" s="35">
        <v>0</v>
      </c>
      <c r="F55" s="38">
        <v>6</v>
      </c>
      <c r="G55" s="37" t="s">
        <v>320</v>
      </c>
      <c r="H55" s="38">
        <v>0</v>
      </c>
      <c r="I55" s="38">
        <f t="shared" si="12"/>
        <v>0</v>
      </c>
      <c r="J55" s="39">
        <v>8</v>
      </c>
      <c r="K55" s="39">
        <f t="shared" si="0"/>
        <v>0</v>
      </c>
      <c r="L55" s="43">
        <f t="shared" si="23"/>
        <v>11.808689510532215</v>
      </c>
      <c r="M55" s="39">
        <f t="shared" si="15"/>
        <v>4.1335433446030141</v>
      </c>
      <c r="N55" s="44">
        <f t="shared" si="13"/>
        <v>0</v>
      </c>
      <c r="O55" s="40">
        <v>20</v>
      </c>
      <c r="P55" s="37">
        <f t="shared" si="24"/>
        <v>0</v>
      </c>
      <c r="Q55" s="234">
        <f t="shared" si="25"/>
        <v>0</v>
      </c>
      <c r="R55" s="41">
        <v>4.5</v>
      </c>
      <c r="S55" s="41">
        <f t="shared" si="16"/>
        <v>0</v>
      </c>
      <c r="T55" s="41">
        <v>0</v>
      </c>
      <c r="U55" s="213">
        <f t="shared" si="17"/>
        <v>0</v>
      </c>
      <c r="V55" s="213">
        <f t="shared" si="18"/>
        <v>0</v>
      </c>
      <c r="W55" s="214" t="str">
        <f t="shared" si="19"/>
        <v>-</v>
      </c>
      <c r="X55" s="94"/>
      <c r="Y55" s="224">
        <f t="shared" si="20"/>
        <v>0</v>
      </c>
      <c r="Z55" s="224">
        <f t="shared" si="21"/>
        <v>0</v>
      </c>
      <c r="AA55" s="225" t="str">
        <f t="shared" si="22"/>
        <v>-</v>
      </c>
    </row>
    <row r="56" spans="1:28" s="3" customFormat="1" hidden="1" x14ac:dyDescent="0.2">
      <c r="A56" s="3" t="s">
        <v>310</v>
      </c>
      <c r="B56" s="195" t="s">
        <v>256</v>
      </c>
      <c r="C56" s="33" t="s">
        <v>279</v>
      </c>
      <c r="D56" s="34" t="s">
        <v>280</v>
      </c>
      <c r="E56" s="35">
        <v>0</v>
      </c>
      <c r="F56" s="38">
        <v>6</v>
      </c>
      <c r="G56" s="37" t="s">
        <v>320</v>
      </c>
      <c r="H56" s="38">
        <v>0</v>
      </c>
      <c r="I56" s="38">
        <f t="shared" si="12"/>
        <v>0</v>
      </c>
      <c r="J56" s="39">
        <v>8</v>
      </c>
      <c r="K56" s="39">
        <f t="shared" si="0"/>
        <v>0</v>
      </c>
      <c r="L56" s="43">
        <f t="shared" si="23"/>
        <v>11.808689510532215</v>
      </c>
      <c r="M56" s="39">
        <f t="shared" si="15"/>
        <v>4.1335433446030141</v>
      </c>
      <c r="N56" s="44">
        <f t="shared" si="13"/>
        <v>0</v>
      </c>
      <c r="O56" s="40">
        <v>20</v>
      </c>
      <c r="P56" s="37">
        <f t="shared" si="24"/>
        <v>0</v>
      </c>
      <c r="Q56" s="234">
        <f t="shared" si="25"/>
        <v>0</v>
      </c>
      <c r="R56" s="41">
        <v>15</v>
      </c>
      <c r="S56" s="41">
        <f t="shared" si="16"/>
        <v>0</v>
      </c>
      <c r="T56" s="41">
        <v>0</v>
      </c>
      <c r="U56" s="213">
        <f t="shared" si="17"/>
        <v>0</v>
      </c>
      <c r="V56" s="213">
        <f t="shared" si="18"/>
        <v>0</v>
      </c>
      <c r="W56" s="214" t="str">
        <f t="shared" si="19"/>
        <v>-</v>
      </c>
      <c r="X56" s="94"/>
      <c r="Y56" s="224">
        <f t="shared" si="20"/>
        <v>0</v>
      </c>
      <c r="Z56" s="224">
        <f t="shared" si="21"/>
        <v>0</v>
      </c>
      <c r="AA56" s="225" t="str">
        <f t="shared" si="22"/>
        <v>-</v>
      </c>
    </row>
    <row r="57" spans="1:28" s="3" customFormat="1" hidden="1" x14ac:dyDescent="0.2">
      <c r="A57" s="3" t="s">
        <v>311</v>
      </c>
      <c r="B57" s="195" t="s">
        <v>257</v>
      </c>
      <c r="C57" s="33" t="s">
        <v>281</v>
      </c>
      <c r="D57" s="34" t="s">
        <v>282</v>
      </c>
      <c r="E57" s="35">
        <v>0</v>
      </c>
      <c r="F57" s="38">
        <v>12</v>
      </c>
      <c r="G57" s="37" t="s">
        <v>320</v>
      </c>
      <c r="H57" s="38">
        <v>0</v>
      </c>
      <c r="I57" s="38">
        <f t="shared" si="12"/>
        <v>0</v>
      </c>
      <c r="J57" s="39">
        <v>18</v>
      </c>
      <c r="K57" s="39">
        <f t="shared" si="0"/>
        <v>0</v>
      </c>
      <c r="L57" s="43">
        <f t="shared" si="23"/>
        <v>23.61737902106443</v>
      </c>
      <c r="M57" s="39">
        <f t="shared" si="15"/>
        <v>8.2670866892060282</v>
      </c>
      <c r="N57" s="44">
        <f t="shared" si="13"/>
        <v>0</v>
      </c>
      <c r="O57" s="40">
        <v>20</v>
      </c>
      <c r="P57" s="37">
        <f t="shared" si="24"/>
        <v>0</v>
      </c>
      <c r="Q57" s="234">
        <f t="shared" si="25"/>
        <v>0</v>
      </c>
      <c r="R57" s="41">
        <v>9</v>
      </c>
      <c r="S57" s="41">
        <f t="shared" si="16"/>
        <v>0</v>
      </c>
      <c r="T57" s="41">
        <v>0</v>
      </c>
      <c r="U57" s="213">
        <f t="shared" si="17"/>
        <v>0</v>
      </c>
      <c r="V57" s="213">
        <f t="shared" si="18"/>
        <v>0</v>
      </c>
      <c r="W57" s="214" t="str">
        <f t="shared" si="19"/>
        <v>-</v>
      </c>
      <c r="X57" s="94"/>
      <c r="Y57" s="224">
        <f t="shared" si="20"/>
        <v>0</v>
      </c>
      <c r="Z57" s="224">
        <f t="shared" si="21"/>
        <v>0</v>
      </c>
      <c r="AA57" s="225" t="str">
        <f t="shared" si="22"/>
        <v>-</v>
      </c>
    </row>
    <row r="58" spans="1:28" s="3" customFormat="1" hidden="1" x14ac:dyDescent="0.2">
      <c r="A58" s="3" t="s">
        <v>312</v>
      </c>
      <c r="B58" s="195" t="s">
        <v>258</v>
      </c>
      <c r="C58" s="33" t="s">
        <v>281</v>
      </c>
      <c r="D58" s="34" t="s">
        <v>282</v>
      </c>
      <c r="E58" s="35">
        <v>0</v>
      </c>
      <c r="F58" s="38">
        <v>12</v>
      </c>
      <c r="G58" s="37" t="s">
        <v>320</v>
      </c>
      <c r="H58" s="38">
        <v>0</v>
      </c>
      <c r="I58" s="38">
        <f t="shared" si="12"/>
        <v>0</v>
      </c>
      <c r="J58" s="39">
        <v>18</v>
      </c>
      <c r="K58" s="39">
        <f t="shared" si="0"/>
        <v>0</v>
      </c>
      <c r="L58" s="43">
        <f t="shared" si="23"/>
        <v>23.61737902106443</v>
      </c>
      <c r="M58" s="39">
        <f t="shared" si="15"/>
        <v>8.2670866892060282</v>
      </c>
      <c r="N58" s="44">
        <f t="shared" si="13"/>
        <v>0</v>
      </c>
      <c r="O58" s="40">
        <v>20</v>
      </c>
      <c r="P58" s="37">
        <f t="shared" si="24"/>
        <v>0</v>
      </c>
      <c r="Q58" s="234">
        <f t="shared" si="25"/>
        <v>0</v>
      </c>
      <c r="R58" s="41">
        <v>25</v>
      </c>
      <c r="S58" s="41">
        <f t="shared" si="16"/>
        <v>0</v>
      </c>
      <c r="T58" s="41">
        <v>0</v>
      </c>
      <c r="U58" s="213">
        <f t="shared" si="17"/>
        <v>0</v>
      </c>
      <c r="V58" s="213">
        <f t="shared" si="18"/>
        <v>0</v>
      </c>
      <c r="W58" s="214" t="str">
        <f t="shared" si="19"/>
        <v>-</v>
      </c>
      <c r="X58" s="94"/>
      <c r="Y58" s="224">
        <f t="shared" si="20"/>
        <v>0</v>
      </c>
      <c r="Z58" s="224">
        <f t="shared" si="21"/>
        <v>0</v>
      </c>
      <c r="AA58" s="225" t="str">
        <f t="shared" si="22"/>
        <v>-</v>
      </c>
    </row>
    <row r="59" spans="1:28" s="3" customFormat="1" x14ac:dyDescent="0.2">
      <c r="A59" s="3" t="s">
        <v>109</v>
      </c>
      <c r="B59" s="195" t="s">
        <v>210</v>
      </c>
      <c r="C59" s="33" t="s">
        <v>205</v>
      </c>
      <c r="D59" s="34" t="s">
        <v>211</v>
      </c>
      <c r="E59" s="35">
        <v>1</v>
      </c>
      <c r="F59" s="38">
        <v>0.35</v>
      </c>
      <c r="G59" s="37" t="s">
        <v>200</v>
      </c>
      <c r="H59" s="38">
        <v>1450</v>
      </c>
      <c r="I59" s="38">
        <f t="shared" si="12"/>
        <v>507.49999999999994</v>
      </c>
      <c r="J59" s="39">
        <v>1.83</v>
      </c>
      <c r="K59" s="39">
        <f t="shared" si="0"/>
        <v>2653.5</v>
      </c>
      <c r="L59" s="43">
        <f t="shared" si="23"/>
        <v>0.82430993159610388</v>
      </c>
      <c r="M59" s="39">
        <f t="shared" si="15"/>
        <v>0.29367626656745416</v>
      </c>
      <c r="N59" s="44">
        <f t="shared" si="13"/>
        <v>1032.4200126628411</v>
      </c>
      <c r="O59" s="40">
        <v>30</v>
      </c>
      <c r="P59" s="37">
        <f t="shared" si="24"/>
        <v>8335.1241449513</v>
      </c>
      <c r="Q59" s="234">
        <f t="shared" si="25"/>
        <v>1462.971736870255</v>
      </c>
      <c r="R59" s="41">
        <v>1.35</v>
      </c>
      <c r="S59" s="41">
        <f t="shared" si="16"/>
        <v>1957.5000000000002</v>
      </c>
      <c r="T59" s="41">
        <v>0</v>
      </c>
      <c r="U59" s="213">
        <f t="shared" si="17"/>
        <v>0.23484953144767318</v>
      </c>
      <c r="V59" s="213">
        <f t="shared" si="18"/>
        <v>0.41036842132004503</v>
      </c>
      <c r="W59" s="214">
        <f t="shared" si="19"/>
        <v>3.272993950250668</v>
      </c>
      <c r="X59" s="94"/>
      <c r="Y59" s="224">
        <f t="shared" si="20"/>
        <v>0.12386378351523321</v>
      </c>
      <c r="Z59" s="224">
        <f t="shared" si="21"/>
        <v>0.2993826733876051</v>
      </c>
      <c r="AA59" s="225">
        <f t="shared" si="22"/>
        <v>4.7003192366177551</v>
      </c>
    </row>
    <row r="60" spans="1:28" s="3" customFormat="1" hidden="1" x14ac:dyDescent="0.2">
      <c r="A60" s="3" t="s">
        <v>313</v>
      </c>
      <c r="B60" s="195" t="s">
        <v>259</v>
      </c>
      <c r="C60" s="33" t="s">
        <v>205</v>
      </c>
      <c r="D60" s="34" t="s">
        <v>211</v>
      </c>
      <c r="E60" s="35">
        <v>0</v>
      </c>
      <c r="F60" s="38">
        <v>0.35</v>
      </c>
      <c r="G60" s="37" t="s">
        <v>200</v>
      </c>
      <c r="H60" s="38">
        <v>0</v>
      </c>
      <c r="I60" s="38">
        <f t="shared" si="12"/>
        <v>0</v>
      </c>
      <c r="J60" s="39">
        <v>1.83</v>
      </c>
      <c r="K60" s="39">
        <f t="shared" si="0"/>
        <v>0</v>
      </c>
      <c r="L60" s="43">
        <f t="shared" si="23"/>
        <v>0.82430993159610388</v>
      </c>
      <c r="M60" s="39">
        <f t="shared" si="15"/>
        <v>0.29367626656745416</v>
      </c>
      <c r="N60" s="44">
        <f t="shared" si="13"/>
        <v>0</v>
      </c>
      <c r="O60" s="40">
        <v>30</v>
      </c>
      <c r="P60" s="37">
        <f t="shared" si="24"/>
        <v>0</v>
      </c>
      <c r="Q60" s="234">
        <f t="shared" si="25"/>
        <v>0</v>
      </c>
      <c r="R60" s="41">
        <v>2</v>
      </c>
      <c r="S60" s="41">
        <f t="shared" si="16"/>
        <v>0</v>
      </c>
      <c r="T60" s="41">
        <v>0</v>
      </c>
      <c r="U60" s="213">
        <f t="shared" si="17"/>
        <v>0</v>
      </c>
      <c r="V60" s="213">
        <f t="shared" si="18"/>
        <v>0</v>
      </c>
      <c r="W60" s="214" t="str">
        <f t="shared" si="19"/>
        <v>-</v>
      </c>
      <c r="X60" s="94"/>
      <c r="Y60" s="224">
        <f t="shared" si="20"/>
        <v>0</v>
      </c>
      <c r="Z60" s="224">
        <f t="shared" si="21"/>
        <v>0</v>
      </c>
      <c r="AA60" s="225" t="str">
        <f t="shared" si="22"/>
        <v>-</v>
      </c>
    </row>
    <row r="61" spans="1:28" s="3" customFormat="1" x14ac:dyDescent="0.2">
      <c r="A61" s="3" t="s">
        <v>93</v>
      </c>
      <c r="B61" s="195" t="s">
        <v>204</v>
      </c>
      <c r="C61" s="33" t="s">
        <v>205</v>
      </c>
      <c r="D61" s="34" t="s">
        <v>206</v>
      </c>
      <c r="E61" s="35">
        <v>2</v>
      </c>
      <c r="F61" s="38">
        <v>0.36</v>
      </c>
      <c r="G61" s="37" t="s">
        <v>200</v>
      </c>
      <c r="H61" s="38">
        <v>9432</v>
      </c>
      <c r="I61" s="38">
        <f t="shared" si="12"/>
        <v>3395.52</v>
      </c>
      <c r="J61" s="39">
        <v>2.15</v>
      </c>
      <c r="K61" s="39">
        <f t="shared" si="0"/>
        <v>20278.8</v>
      </c>
      <c r="L61" s="43">
        <f t="shared" si="23"/>
        <v>0.84786164392742136</v>
      </c>
      <c r="M61" s="39">
        <f t="shared" si="15"/>
        <v>0.30206701704081002</v>
      </c>
      <c r="N61" s="44">
        <f t="shared" si="13"/>
        <v>9432.672869747641</v>
      </c>
      <c r="O61" s="40">
        <v>30</v>
      </c>
      <c r="P61" s="37">
        <f t="shared" si="24"/>
        <v>55767.646771753767</v>
      </c>
      <c r="Q61" s="234">
        <f t="shared" si="25"/>
        <v>9788.2754521727875</v>
      </c>
      <c r="R61" s="41">
        <v>1.6</v>
      </c>
      <c r="S61" s="41">
        <f t="shared" si="16"/>
        <v>15091.2</v>
      </c>
      <c r="T61" s="41">
        <v>0</v>
      </c>
      <c r="U61" s="213">
        <f t="shared" si="17"/>
        <v>0.27060851360225713</v>
      </c>
      <c r="V61" s="213">
        <f t="shared" si="18"/>
        <v>0.44612740347462909</v>
      </c>
      <c r="W61" s="214">
        <f t="shared" si="19"/>
        <v>3.0106497603454385</v>
      </c>
      <c r="X61" s="94"/>
      <c r="Y61" s="224">
        <f t="shared" si="20"/>
        <v>0.16914238659475364</v>
      </c>
      <c r="Z61" s="224">
        <f t="shared" si="21"/>
        <v>0.34466127646712552</v>
      </c>
      <c r="AA61" s="225">
        <f t="shared" si="22"/>
        <v>4.0828321453977772</v>
      </c>
    </row>
    <row r="62" spans="1:28" s="3" customFormat="1" x14ac:dyDescent="0.2">
      <c r="A62" s="3" t="s">
        <v>216</v>
      </c>
      <c r="B62" s="195" t="s">
        <v>260</v>
      </c>
      <c r="C62" s="33" t="s">
        <v>205</v>
      </c>
      <c r="D62" s="34" t="s">
        <v>206</v>
      </c>
      <c r="E62" s="35">
        <v>4</v>
      </c>
      <c r="F62" s="38">
        <v>0.36</v>
      </c>
      <c r="G62" s="37" t="s">
        <v>200</v>
      </c>
      <c r="H62" s="38">
        <v>85547</v>
      </c>
      <c r="I62" s="38">
        <f t="shared" si="12"/>
        <v>30796.92</v>
      </c>
      <c r="J62" s="39">
        <v>2.15</v>
      </c>
      <c r="K62" s="39">
        <f t="shared" si="0"/>
        <v>183926.05</v>
      </c>
      <c r="L62" s="43">
        <f t="shared" si="23"/>
        <v>0.84786164392742136</v>
      </c>
      <c r="M62" s="39">
        <f t="shared" si="15"/>
        <v>0.30206701704081002</v>
      </c>
      <c r="N62" s="44">
        <f t="shared" si="13"/>
        <v>85553.102840150706</v>
      </c>
      <c r="O62" s="40">
        <v>30</v>
      </c>
      <c r="P62" s="37">
        <f t="shared" si="24"/>
        <v>505805.22459533712</v>
      </c>
      <c r="Q62" s="234">
        <f t="shared" si="25"/>
        <v>88778.371512619298</v>
      </c>
      <c r="R62" s="41">
        <v>2.5</v>
      </c>
      <c r="S62" s="41">
        <f t="shared" si="16"/>
        <v>213867.5</v>
      </c>
      <c r="T62" s="41">
        <v>0</v>
      </c>
      <c r="U62" s="213">
        <f t="shared" si="17"/>
        <v>0.42282580250352675</v>
      </c>
      <c r="V62" s="213">
        <f t="shared" si="18"/>
        <v>0.5983446923758986</v>
      </c>
      <c r="W62" s="214">
        <f t="shared" si="19"/>
        <v>2.2447485161456515</v>
      </c>
      <c r="X62" s="94"/>
      <c r="Y62" s="224">
        <f t="shared" si="20"/>
        <v>0.16914238659475364</v>
      </c>
      <c r="Z62" s="224">
        <f t="shared" si="21"/>
        <v>0.34466127646712558</v>
      </c>
      <c r="AA62" s="225">
        <f t="shared" si="22"/>
        <v>4.0828321453977772</v>
      </c>
    </row>
    <row r="63" spans="1:28" s="3" customFormat="1" x14ac:dyDescent="0.2">
      <c r="A63" s="3" t="s">
        <v>110</v>
      </c>
      <c r="B63" s="195" t="s">
        <v>201</v>
      </c>
      <c r="C63" s="33" t="s">
        <v>202</v>
      </c>
      <c r="D63" s="34" t="s">
        <v>203</v>
      </c>
      <c r="E63" s="35">
        <v>1</v>
      </c>
      <c r="F63" s="38">
        <v>0.16</v>
      </c>
      <c r="G63" s="37" t="s">
        <v>200</v>
      </c>
      <c r="H63" s="38">
        <v>1280</v>
      </c>
      <c r="I63" s="38">
        <f t="shared" si="12"/>
        <v>204.8</v>
      </c>
      <c r="J63" s="39">
        <v>1.5</v>
      </c>
      <c r="K63" s="39">
        <f t="shared" si="0"/>
        <v>1920</v>
      </c>
      <c r="L63" s="43">
        <f t="shared" si="23"/>
        <v>0.37682739730107617</v>
      </c>
      <c r="M63" s="39">
        <f t="shared" si="15"/>
        <v>0.13425200757369332</v>
      </c>
      <c r="N63" s="44">
        <f t="shared" si="13"/>
        <v>1265.8183617602954</v>
      </c>
      <c r="O63" s="40">
        <v>30</v>
      </c>
      <c r="P63" s="37">
        <f t="shared" si="24"/>
        <v>3363.6126598739434</v>
      </c>
      <c r="Q63" s="234">
        <f t="shared" si="25"/>
        <v>590.37756002173057</v>
      </c>
      <c r="R63" s="41">
        <v>1.1000000000000001</v>
      </c>
      <c r="S63" s="41">
        <f t="shared" si="16"/>
        <v>1408</v>
      </c>
      <c r="T63" s="41">
        <v>0</v>
      </c>
      <c r="U63" s="213">
        <f t="shared" si="17"/>
        <v>0.41859754447849146</v>
      </c>
      <c r="V63" s="213">
        <f t="shared" si="18"/>
        <v>0.59411643435086336</v>
      </c>
      <c r="W63" s="214">
        <f t="shared" si="19"/>
        <v>2.2607241319993845</v>
      </c>
      <c r="X63" s="94"/>
      <c r="Y63" s="224">
        <f t="shared" si="20"/>
        <v>0.37632702982148186</v>
      </c>
      <c r="Z63" s="224">
        <f t="shared" si="21"/>
        <v>0.55184591969385366</v>
      </c>
      <c r="AA63" s="225">
        <f t="shared" si="22"/>
        <v>2.5499765217335968</v>
      </c>
    </row>
    <row r="64" spans="1:28" s="3" customFormat="1" x14ac:dyDescent="0.2">
      <c r="A64" s="3" t="s">
        <v>217</v>
      </c>
      <c r="B64" s="195" t="s">
        <v>261</v>
      </c>
      <c r="C64" s="33" t="s">
        <v>202</v>
      </c>
      <c r="D64" s="34" t="s">
        <v>203</v>
      </c>
      <c r="E64" s="35">
        <v>2</v>
      </c>
      <c r="F64" s="38">
        <v>0.16</v>
      </c>
      <c r="G64" s="37" t="s">
        <v>200</v>
      </c>
      <c r="H64" s="38">
        <v>3219</v>
      </c>
      <c r="I64" s="38">
        <f t="shared" si="12"/>
        <v>515.04</v>
      </c>
      <c r="J64" s="39">
        <v>1.5</v>
      </c>
      <c r="K64" s="39">
        <f t="shared" si="0"/>
        <v>4828.5</v>
      </c>
      <c r="L64" s="43">
        <f t="shared" si="23"/>
        <v>0.37682739730107617</v>
      </c>
      <c r="M64" s="39">
        <f t="shared" si="15"/>
        <v>0.13425200757369332</v>
      </c>
      <c r="N64" s="44">
        <f t="shared" si="13"/>
        <v>3183.3353957081176</v>
      </c>
      <c r="O64" s="40">
        <v>30</v>
      </c>
      <c r="P64" s="37">
        <f t="shared" si="24"/>
        <v>8458.9602751048606</v>
      </c>
      <c r="Q64" s="234">
        <f t="shared" si="25"/>
        <v>1484.7073169608987</v>
      </c>
      <c r="R64" s="41">
        <v>1.25</v>
      </c>
      <c r="S64" s="41">
        <f t="shared" si="16"/>
        <v>4023.75</v>
      </c>
      <c r="T64" s="41">
        <v>0</v>
      </c>
      <c r="U64" s="213">
        <f t="shared" si="17"/>
        <v>0.47567902781646765</v>
      </c>
      <c r="V64" s="213">
        <f t="shared" si="18"/>
        <v>0.6511979176888395</v>
      </c>
      <c r="W64" s="214">
        <f t="shared" si="19"/>
        <v>2.0625578243882092</v>
      </c>
      <c r="X64" s="94"/>
      <c r="Y64" s="224">
        <f t="shared" si="20"/>
        <v>0.37632702982148192</v>
      </c>
      <c r="Z64" s="224">
        <f t="shared" si="21"/>
        <v>0.55184591969385377</v>
      </c>
      <c r="AA64" s="225">
        <f t="shared" si="22"/>
        <v>2.5499765217335963</v>
      </c>
    </row>
    <row r="65" spans="1:27" s="3" customFormat="1" x14ac:dyDescent="0.2">
      <c r="A65" s="3" t="s">
        <v>95</v>
      </c>
      <c r="B65" s="195" t="s">
        <v>207</v>
      </c>
      <c r="C65" s="33" t="s">
        <v>202</v>
      </c>
      <c r="D65" s="34" t="s">
        <v>208</v>
      </c>
      <c r="E65" s="35">
        <v>1</v>
      </c>
      <c r="F65" s="38">
        <v>0.19</v>
      </c>
      <c r="G65" s="37" t="s">
        <v>209</v>
      </c>
      <c r="H65" s="38">
        <v>540</v>
      </c>
      <c r="I65" s="38">
        <f t="shared" si="12"/>
        <v>102.6</v>
      </c>
      <c r="J65" s="39">
        <v>1.7</v>
      </c>
      <c r="K65" s="39">
        <f t="shared" si="0"/>
        <v>918</v>
      </c>
      <c r="L65" s="43">
        <f t="shared" si="23"/>
        <v>0.44748253429502793</v>
      </c>
      <c r="M65" s="39">
        <f t="shared" ref="M65:M81" si="26">0.1*$F65+PV($C$110,$O65,(-0.05*0.9*$F65))</f>
        <v>0.15942425899376084</v>
      </c>
      <c r="N65" s="44">
        <f t="shared" si="13"/>
        <v>590.27033162405405</v>
      </c>
      <c r="O65" s="40">
        <v>30</v>
      </c>
      <c r="P65" s="37">
        <f t="shared" si="24"/>
        <v>1685.0911079251298</v>
      </c>
      <c r="Q65" s="234">
        <f t="shared" si="25"/>
        <v>295.76532059682398</v>
      </c>
      <c r="R65" s="41">
        <v>1.25</v>
      </c>
      <c r="S65" s="41">
        <f t="shared" si="16"/>
        <v>675</v>
      </c>
      <c r="T65" s="41">
        <v>0</v>
      </c>
      <c r="U65" s="213">
        <f t="shared" si="17"/>
        <v>0.40057181289807797</v>
      </c>
      <c r="V65" s="213">
        <f t="shared" si="18"/>
        <v>0.57609070277044994</v>
      </c>
      <c r="W65" s="214">
        <f t="shared" si="19"/>
        <v>2.331461615150578</v>
      </c>
      <c r="X65" s="94"/>
      <c r="Y65" s="224">
        <f t="shared" si="20"/>
        <v>0.35028986198310669</v>
      </c>
      <c r="Z65" s="224">
        <f t="shared" si="21"/>
        <v>0.5258087518554786</v>
      </c>
      <c r="AA65" s="225">
        <f t="shared" si="22"/>
        <v>2.6762470838838102</v>
      </c>
    </row>
    <row r="66" spans="1:27" s="3" customFormat="1" x14ac:dyDescent="0.2">
      <c r="A66" s="3" t="s">
        <v>218</v>
      </c>
      <c r="B66" s="195" t="s">
        <v>262</v>
      </c>
      <c r="C66" s="33" t="s">
        <v>202</v>
      </c>
      <c r="D66" s="34" t="s">
        <v>208</v>
      </c>
      <c r="E66" s="35">
        <v>4</v>
      </c>
      <c r="F66" s="38">
        <v>0.19</v>
      </c>
      <c r="G66" s="37" t="s">
        <v>209</v>
      </c>
      <c r="H66" s="38">
        <v>27381</v>
      </c>
      <c r="I66" s="38">
        <f t="shared" si="12"/>
        <v>5202.3900000000003</v>
      </c>
      <c r="J66" s="39">
        <v>1.7</v>
      </c>
      <c r="K66" s="39">
        <f t="shared" si="0"/>
        <v>46547.7</v>
      </c>
      <c r="L66" s="43">
        <f t="shared" si="23"/>
        <v>0.44748253429502793</v>
      </c>
      <c r="M66" s="39">
        <f t="shared" si="26"/>
        <v>0.15942425899376084</v>
      </c>
      <c r="N66" s="44">
        <f t="shared" si="13"/>
        <v>29929.985092959672</v>
      </c>
      <c r="O66" s="40">
        <v>30</v>
      </c>
      <c r="P66" s="37">
        <f t="shared" si="24"/>
        <v>85443.480789070352</v>
      </c>
      <c r="Q66" s="234">
        <f t="shared" si="25"/>
        <v>14996.94489492896</v>
      </c>
      <c r="R66" s="41">
        <v>1.5</v>
      </c>
      <c r="S66" s="41">
        <f t="shared" si="16"/>
        <v>41071.5</v>
      </c>
      <c r="T66" s="41">
        <v>-5315</v>
      </c>
      <c r="U66" s="213">
        <f t="shared" si="17"/>
        <v>0.48068617547769343</v>
      </c>
      <c r="V66" s="213">
        <f t="shared" si="18"/>
        <v>0.65620506535006529</v>
      </c>
      <c r="W66" s="214">
        <f t="shared" si="19"/>
        <v>2.0468195557708841</v>
      </c>
      <c r="X66" s="94"/>
      <c r="Y66" s="224">
        <f t="shared" si="20"/>
        <v>0.35028986198310658</v>
      </c>
      <c r="Z66" s="224">
        <f t="shared" si="21"/>
        <v>0.52580875185547837</v>
      </c>
      <c r="AA66" s="225">
        <f t="shared" si="22"/>
        <v>2.6762470838838111</v>
      </c>
    </row>
    <row r="67" spans="1:27" s="3" customFormat="1" x14ac:dyDescent="0.2">
      <c r="A67" s="3" t="s">
        <v>102</v>
      </c>
      <c r="B67" s="195" t="s">
        <v>153</v>
      </c>
      <c r="C67" s="33" t="s">
        <v>25</v>
      </c>
      <c r="D67" s="34" t="s">
        <v>154</v>
      </c>
      <c r="E67" s="35">
        <v>7</v>
      </c>
      <c r="F67" s="38">
        <v>448</v>
      </c>
      <c r="G67" s="37" t="s">
        <v>63</v>
      </c>
      <c r="H67" s="38">
        <v>8</v>
      </c>
      <c r="I67" s="38">
        <f t="shared" si="12"/>
        <v>3584</v>
      </c>
      <c r="J67" s="39">
        <v>1800</v>
      </c>
      <c r="K67" s="39">
        <f t="shared" si="0"/>
        <v>14400</v>
      </c>
      <c r="L67" s="43">
        <f t="shared" si="23"/>
        <v>677.37765755613623</v>
      </c>
      <c r="M67" s="39">
        <f t="shared" si="26"/>
        <v>229.36891887953564</v>
      </c>
      <c r="N67" s="44">
        <f t="shared" si="13"/>
        <v>7146.0273885146253</v>
      </c>
      <c r="O67" s="40">
        <v>12</v>
      </c>
      <c r="P67" s="37">
        <f t="shared" si="24"/>
        <v>32812.252245250776</v>
      </c>
      <c r="Q67" s="234">
        <f t="shared" si="25"/>
        <v>10331.607300380285</v>
      </c>
      <c r="R67" s="41">
        <v>800</v>
      </c>
      <c r="S67" s="41">
        <f t="shared" si="16"/>
        <v>6400</v>
      </c>
      <c r="T67" s="41">
        <v>0</v>
      </c>
      <c r="U67" s="213">
        <f t="shared" si="17"/>
        <v>0.19504909178937363</v>
      </c>
      <c r="V67" s="213">
        <f t="shared" si="18"/>
        <v>0.50991950126806695</v>
      </c>
      <c r="W67" s="214">
        <f t="shared" si="19"/>
        <v>1.520446796490484</v>
      </c>
      <c r="X67" s="94"/>
      <c r="Y67" s="224">
        <f t="shared" si="20"/>
        <v>0.21778533625496363</v>
      </c>
      <c r="Z67" s="224">
        <f t="shared" si="21"/>
        <v>0.53265574573365693</v>
      </c>
      <c r="AA67" s="225">
        <f t="shared" si="22"/>
        <v>1.5821134196508204</v>
      </c>
    </row>
    <row r="68" spans="1:27" s="3" customFormat="1" hidden="1" x14ac:dyDescent="0.2">
      <c r="A68" s="3" t="s">
        <v>314</v>
      </c>
      <c r="B68" s="195" t="s">
        <v>263</v>
      </c>
      <c r="C68" s="33" t="s">
        <v>25</v>
      </c>
      <c r="D68" s="34" t="s">
        <v>283</v>
      </c>
      <c r="E68" s="35">
        <v>0</v>
      </c>
      <c r="F68" s="38">
        <v>645</v>
      </c>
      <c r="G68" s="37" t="s">
        <v>63</v>
      </c>
      <c r="H68" s="38">
        <v>0</v>
      </c>
      <c r="I68" s="38">
        <f t="shared" si="12"/>
        <v>0</v>
      </c>
      <c r="J68" s="39">
        <v>4000</v>
      </c>
      <c r="K68" s="39">
        <f t="shared" si="0"/>
        <v>0</v>
      </c>
      <c r="L68" s="43">
        <f t="shared" si="23"/>
        <v>1269.434122382213</v>
      </c>
      <c r="M68" s="39">
        <f t="shared" si="26"/>
        <v>444.35590954482404</v>
      </c>
      <c r="N68" s="44">
        <f t="shared" si="13"/>
        <v>0</v>
      </c>
      <c r="O68" s="40">
        <v>20</v>
      </c>
      <c r="P68" s="37">
        <f t="shared" si="24"/>
        <v>0</v>
      </c>
      <c r="Q68" s="234">
        <f t="shared" si="25"/>
        <v>0</v>
      </c>
      <c r="R68" s="41">
        <v>2000</v>
      </c>
      <c r="S68" s="41">
        <f t="shared" si="16"/>
        <v>0</v>
      </c>
      <c r="T68" s="41">
        <v>0</v>
      </c>
      <c r="U68" s="213">
        <f t="shared" si="17"/>
        <v>0</v>
      </c>
      <c r="V68" s="213">
        <f t="shared" si="18"/>
        <v>0</v>
      </c>
      <c r="W68" s="214" t="str">
        <f t="shared" si="19"/>
        <v>-</v>
      </c>
      <c r="X68" s="94"/>
      <c r="Y68" s="224">
        <f t="shared" si="20"/>
        <v>0</v>
      </c>
      <c r="Z68" s="224">
        <f t="shared" si="21"/>
        <v>0</v>
      </c>
      <c r="AA68" s="225" t="str">
        <f t="shared" si="22"/>
        <v>-</v>
      </c>
    </row>
    <row r="69" spans="1:27" s="3" customFormat="1" hidden="1" x14ac:dyDescent="0.2">
      <c r="A69" s="3" t="s">
        <v>315</v>
      </c>
      <c r="B69" s="195" t="s">
        <v>264</v>
      </c>
      <c r="C69" s="33" t="s">
        <v>25</v>
      </c>
      <c r="D69" s="34" t="s">
        <v>283</v>
      </c>
      <c r="E69" s="35">
        <v>0</v>
      </c>
      <c r="F69" s="38">
        <v>645</v>
      </c>
      <c r="G69" s="37" t="s">
        <v>63</v>
      </c>
      <c r="H69" s="38">
        <v>0</v>
      </c>
      <c r="I69" s="38">
        <f t="shared" si="12"/>
        <v>0</v>
      </c>
      <c r="J69" s="39">
        <v>4000</v>
      </c>
      <c r="K69" s="39">
        <f t="shared" ref="K69:K80" si="27">J69*H69</f>
        <v>0</v>
      </c>
      <c r="L69" s="43">
        <f t="shared" si="23"/>
        <v>1269.434122382213</v>
      </c>
      <c r="M69" s="39">
        <f t="shared" si="26"/>
        <v>444.35590954482404</v>
      </c>
      <c r="N69" s="44">
        <f t="shared" si="13"/>
        <v>0</v>
      </c>
      <c r="O69" s="40">
        <v>20</v>
      </c>
      <c r="P69" s="37">
        <f t="shared" si="24"/>
        <v>0</v>
      </c>
      <c r="Q69" s="234">
        <f t="shared" si="25"/>
        <v>0</v>
      </c>
      <c r="R69" s="41">
        <v>2500</v>
      </c>
      <c r="S69" s="41">
        <f t="shared" ref="S69:S81" si="28">H69*R69</f>
        <v>0</v>
      </c>
      <c r="T69" s="41">
        <v>0</v>
      </c>
      <c r="U69" s="213">
        <f t="shared" ref="U69:U81" si="29">IF(ISERROR(S69/P69),0,S69/P69)</f>
        <v>0</v>
      </c>
      <c r="V69" s="213">
        <f t="shared" ref="V69:V81" si="30">IF(P69=0,0,(S69+Q69)/P69)</f>
        <v>0</v>
      </c>
      <c r="W69" s="214" t="str">
        <f t="shared" ref="W69:W81" si="31">IF($S69=0,"-",(VLOOKUP($O69,AC,7)*$I69)/($S69+$Q69))</f>
        <v>-</v>
      </c>
      <c r="X69" s="94"/>
      <c r="Y69" s="224">
        <f t="shared" ref="Y69:Y81" si="32">IF(ISERROR(N69/P69),0,N69/P69)</f>
        <v>0</v>
      </c>
      <c r="Z69" s="224">
        <f t="shared" ref="Z69:Z81" si="33">IF(P69=0,0,(N69+Q69)/P69)</f>
        <v>0</v>
      </c>
      <c r="AA69" s="225" t="str">
        <f t="shared" ref="AA69:AA81" si="34">IF($N69=0,"-",(VLOOKUP($O69,AC,5)*$I69)/(N69+Q69))</f>
        <v>-</v>
      </c>
    </row>
    <row r="70" spans="1:27" s="3" customFormat="1" x14ac:dyDescent="0.2">
      <c r="A70" s="3" t="s">
        <v>85</v>
      </c>
      <c r="B70" s="195" t="s">
        <v>141</v>
      </c>
      <c r="C70" s="33" t="s">
        <v>142</v>
      </c>
      <c r="D70" s="34" t="s">
        <v>86</v>
      </c>
      <c r="E70" s="35">
        <v>3</v>
      </c>
      <c r="F70" s="38">
        <v>136</v>
      </c>
      <c r="G70" s="37" t="s">
        <v>143</v>
      </c>
      <c r="H70" s="38">
        <v>116</v>
      </c>
      <c r="I70" s="38">
        <f t="shared" ref="I70:I81" si="35">H70*F70</f>
        <v>15776</v>
      </c>
      <c r="J70" s="39">
        <v>315</v>
      </c>
      <c r="K70" s="39">
        <f t="shared" si="27"/>
        <v>36540</v>
      </c>
      <c r="L70" s="43">
        <f t="shared" si="23"/>
        <v>130.59157607132977</v>
      </c>
      <c r="M70" s="39">
        <f t="shared" si="26"/>
        <v>40.519145889740003</v>
      </c>
      <c r="N70" s="44">
        <f t="shared" ref="N70:N81" si="36">MAX(0,H70*(J70-L70-M70))</f>
        <v>16691.156252515906</v>
      </c>
      <c r="O70" s="40">
        <v>5</v>
      </c>
      <c r="P70" s="37">
        <f t="shared" si="24"/>
        <v>69391.576071329779</v>
      </c>
      <c r="Q70" s="234">
        <f t="shared" si="25"/>
        <v>45477.521420423931</v>
      </c>
      <c r="R70" s="41">
        <v>105</v>
      </c>
      <c r="S70" s="41">
        <f t="shared" si="28"/>
        <v>12180</v>
      </c>
      <c r="T70" s="41">
        <v>0</v>
      </c>
      <c r="U70" s="213">
        <f t="shared" si="29"/>
        <v>0.17552562846360192</v>
      </c>
      <c r="V70" s="213">
        <f t="shared" si="30"/>
        <v>0.83090087709142035</v>
      </c>
      <c r="W70" s="214">
        <f t="shared" si="31"/>
        <v>0.75878475456807681</v>
      </c>
      <c r="X70" s="94"/>
      <c r="Y70" s="224">
        <f t="shared" si="32"/>
        <v>0.24053577101863982</v>
      </c>
      <c r="Z70" s="224">
        <f t="shared" si="33"/>
        <v>0.89591101964645836</v>
      </c>
      <c r="AA70" s="225">
        <f t="shared" si="34"/>
        <v>0.73221924426082519</v>
      </c>
    </row>
    <row r="71" spans="1:27" s="3" customFormat="1" hidden="1" x14ac:dyDescent="0.2">
      <c r="A71" s="3" t="s">
        <v>316</v>
      </c>
      <c r="B71" s="195" t="s">
        <v>265</v>
      </c>
      <c r="C71" s="33" t="s">
        <v>284</v>
      </c>
      <c r="D71" s="34" t="s">
        <v>285</v>
      </c>
      <c r="E71" s="35">
        <v>0</v>
      </c>
      <c r="F71" s="38">
        <v>1049</v>
      </c>
      <c r="G71" s="37" t="s">
        <v>321</v>
      </c>
      <c r="H71" s="38">
        <v>0</v>
      </c>
      <c r="I71" s="38">
        <f t="shared" si="35"/>
        <v>0</v>
      </c>
      <c r="J71" s="39">
        <v>8283</v>
      </c>
      <c r="K71" s="39">
        <f t="shared" si="27"/>
        <v>0</v>
      </c>
      <c r="L71" s="43">
        <f t="shared" si="23"/>
        <v>1438.2236867228034</v>
      </c>
      <c r="M71" s="39">
        <f t="shared" si="26"/>
        <v>479.70875778039795</v>
      </c>
      <c r="N71" s="44">
        <f t="shared" si="36"/>
        <v>0</v>
      </c>
      <c r="O71" s="40">
        <v>10</v>
      </c>
      <c r="P71" s="37">
        <f t="shared" si="24"/>
        <v>0</v>
      </c>
      <c r="Q71" s="234">
        <f t="shared" si="25"/>
        <v>0</v>
      </c>
      <c r="R71" s="41">
        <v>2500</v>
      </c>
      <c r="S71" s="41">
        <f t="shared" si="28"/>
        <v>0</v>
      </c>
      <c r="T71" s="41">
        <v>0</v>
      </c>
      <c r="U71" s="213">
        <f t="shared" si="29"/>
        <v>0</v>
      </c>
      <c r="V71" s="213">
        <f t="shared" si="30"/>
        <v>0</v>
      </c>
      <c r="W71" s="214" t="str">
        <f t="shared" si="31"/>
        <v>-</v>
      </c>
      <c r="X71" s="94"/>
      <c r="Y71" s="224">
        <f t="shared" si="32"/>
        <v>0</v>
      </c>
      <c r="Z71" s="224">
        <f t="shared" si="33"/>
        <v>0</v>
      </c>
      <c r="AA71" s="225" t="str">
        <f t="shared" si="34"/>
        <v>-</v>
      </c>
    </row>
    <row r="72" spans="1:27" s="3" customFormat="1" x14ac:dyDescent="0.2">
      <c r="A72" s="3" t="s">
        <v>111</v>
      </c>
      <c r="B72" s="195" t="s">
        <v>20</v>
      </c>
      <c r="C72" s="33" t="s">
        <v>185</v>
      </c>
      <c r="D72" s="34" t="s">
        <v>30</v>
      </c>
      <c r="E72" s="35">
        <v>3</v>
      </c>
      <c r="F72" s="38">
        <v>4.33</v>
      </c>
      <c r="G72" s="37" t="s">
        <v>174</v>
      </c>
      <c r="H72" s="38">
        <v>225</v>
      </c>
      <c r="I72" s="38">
        <f t="shared" si="35"/>
        <v>974.25</v>
      </c>
      <c r="J72" s="39">
        <v>21</v>
      </c>
      <c r="K72" s="39">
        <f t="shared" si="27"/>
        <v>4725</v>
      </c>
      <c r="L72" s="43">
        <f t="shared" si="23"/>
        <v>8.0904334693902875</v>
      </c>
      <c r="M72" s="39">
        <f t="shared" si="26"/>
        <v>2.8156466045048534</v>
      </c>
      <c r="N72" s="44">
        <f t="shared" si="36"/>
        <v>2271.1319833735934</v>
      </c>
      <c r="O72" s="40">
        <v>18</v>
      </c>
      <c r="P72" s="37">
        <f t="shared" si="24"/>
        <v>11913.233022524266</v>
      </c>
      <c r="Q72" s="234">
        <f t="shared" si="25"/>
        <v>2808.4733293514209</v>
      </c>
      <c r="R72" s="41">
        <v>10</v>
      </c>
      <c r="S72" s="41">
        <f t="shared" si="28"/>
        <v>2250</v>
      </c>
      <c r="T72" s="41">
        <v>0</v>
      </c>
      <c r="U72" s="213">
        <f t="shared" si="29"/>
        <v>0.18886560816412645</v>
      </c>
      <c r="V72" s="213">
        <f t="shared" si="30"/>
        <v>0.42460961854665319</v>
      </c>
      <c r="W72" s="214">
        <f t="shared" si="31"/>
        <v>2.2192881034107153</v>
      </c>
      <c r="X72" s="94"/>
      <c r="Y72" s="224">
        <f t="shared" si="32"/>
        <v>0.19063943256037888</v>
      </c>
      <c r="Z72" s="224">
        <f t="shared" si="33"/>
        <v>0.42638344294290559</v>
      </c>
      <c r="AA72" s="225">
        <f t="shared" si="34"/>
        <v>2.3611262129944226</v>
      </c>
    </row>
    <row r="73" spans="1:27" s="3" customFormat="1" x14ac:dyDescent="0.2">
      <c r="A73" s="3" t="s">
        <v>187</v>
      </c>
      <c r="B73" s="195" t="s">
        <v>117</v>
      </c>
      <c r="C73" s="33" t="s">
        <v>185</v>
      </c>
      <c r="D73" s="34" t="s">
        <v>30</v>
      </c>
      <c r="E73" s="35">
        <v>7</v>
      </c>
      <c r="F73" s="38">
        <v>4.33</v>
      </c>
      <c r="G73" s="37" t="s">
        <v>174</v>
      </c>
      <c r="H73" s="38">
        <v>500</v>
      </c>
      <c r="I73" s="38">
        <f t="shared" si="35"/>
        <v>2165</v>
      </c>
      <c r="J73" s="39">
        <v>21</v>
      </c>
      <c r="K73" s="39">
        <f t="shared" si="27"/>
        <v>10500</v>
      </c>
      <c r="L73" s="43">
        <f t="shared" ref="L73:L85" si="37">0.5*0.9*$F73+PV($C$110,$O73,-(0.116*$F73))</f>
        <v>8.0904334693902875</v>
      </c>
      <c r="M73" s="39">
        <f t="shared" si="26"/>
        <v>2.8156466045048534</v>
      </c>
      <c r="N73" s="44">
        <f t="shared" si="36"/>
        <v>5046.9599630524299</v>
      </c>
      <c r="O73" s="40">
        <v>18</v>
      </c>
      <c r="P73" s="37">
        <f t="shared" ref="P73:P85" si="38">PV($C$110,O73,-I73)</f>
        <v>26473.851161165032</v>
      </c>
      <c r="Q73" s="234">
        <f t="shared" ref="Q73:Q85" si="39">$B$117*I73/SUM($I$9:$I$81)</f>
        <v>6241.051843003157</v>
      </c>
      <c r="R73" s="41">
        <v>15</v>
      </c>
      <c r="S73" s="41">
        <f t="shared" si="28"/>
        <v>7500</v>
      </c>
      <c r="T73" s="41">
        <v>-2408</v>
      </c>
      <c r="U73" s="213">
        <f t="shared" si="29"/>
        <v>0.28329841224618973</v>
      </c>
      <c r="V73" s="213">
        <f t="shared" si="30"/>
        <v>0.51904242262871647</v>
      </c>
      <c r="W73" s="214">
        <f t="shared" si="31"/>
        <v>1.8155184122751782</v>
      </c>
      <c r="X73" s="94"/>
      <c r="Y73" s="224">
        <f t="shared" si="32"/>
        <v>0.19063943256037891</v>
      </c>
      <c r="Z73" s="224">
        <f t="shared" si="33"/>
        <v>0.42638344294290564</v>
      </c>
      <c r="AA73" s="225">
        <f t="shared" si="34"/>
        <v>2.3611262129944226</v>
      </c>
    </row>
    <row r="74" spans="1:27" s="3" customFormat="1" x14ac:dyDescent="0.2">
      <c r="A74" s="3" t="s">
        <v>170</v>
      </c>
      <c r="B74" s="195" t="s">
        <v>169</v>
      </c>
      <c r="C74" s="33" t="s">
        <v>160</v>
      </c>
      <c r="D74" s="34" t="s">
        <v>161</v>
      </c>
      <c r="E74" s="35">
        <v>1</v>
      </c>
      <c r="F74" s="38">
        <v>535</v>
      </c>
      <c r="G74" s="37" t="s">
        <v>63</v>
      </c>
      <c r="H74" s="38">
        <v>1</v>
      </c>
      <c r="I74" s="38">
        <f t="shared" si="35"/>
        <v>535</v>
      </c>
      <c r="J74" s="39">
        <v>2600</v>
      </c>
      <c r="K74" s="39">
        <f t="shared" si="27"/>
        <v>2600</v>
      </c>
      <c r="L74" s="43">
        <f t="shared" si="37"/>
        <v>808.92197944761801</v>
      </c>
      <c r="M74" s="39">
        <f t="shared" si="26"/>
        <v>273.91154375123119</v>
      </c>
      <c r="N74" s="44">
        <f t="shared" si="36"/>
        <v>1517.1664768011508</v>
      </c>
      <c r="O74" s="40">
        <v>12</v>
      </c>
      <c r="P74" s="37">
        <f t="shared" si="38"/>
        <v>4898.0343055829144</v>
      </c>
      <c r="Q74" s="234">
        <f t="shared" si="39"/>
        <v>1542.2460674395793</v>
      </c>
      <c r="R74" s="41">
        <v>850</v>
      </c>
      <c r="S74" s="41">
        <f t="shared" si="28"/>
        <v>850</v>
      </c>
      <c r="T74" s="41">
        <v>0</v>
      </c>
      <c r="U74" s="213">
        <f t="shared" si="29"/>
        <v>0.17353900503129319</v>
      </c>
      <c r="V74" s="213">
        <f t="shared" si="30"/>
        <v>0.48840941450998643</v>
      </c>
      <c r="W74" s="214">
        <f t="shared" si="31"/>
        <v>1.5874089424523268</v>
      </c>
      <c r="X74" s="94"/>
      <c r="Y74" s="224">
        <f t="shared" si="32"/>
        <v>0.30975007158929913</v>
      </c>
      <c r="Z74" s="224">
        <f t="shared" si="33"/>
        <v>0.62462048106799239</v>
      </c>
      <c r="AA74" s="225">
        <f t="shared" si="34"/>
        <v>1.3491741448157868</v>
      </c>
    </row>
    <row r="75" spans="1:27" s="3" customFormat="1" x14ac:dyDescent="0.2">
      <c r="A75" s="3" t="s">
        <v>159</v>
      </c>
      <c r="B75" s="195" t="s">
        <v>158</v>
      </c>
      <c r="C75" s="33" t="s">
        <v>160</v>
      </c>
      <c r="D75" s="34" t="s">
        <v>161</v>
      </c>
      <c r="E75" s="35">
        <v>2</v>
      </c>
      <c r="F75" s="38">
        <v>912</v>
      </c>
      <c r="G75" s="37" t="s">
        <v>63</v>
      </c>
      <c r="H75" s="38">
        <v>2</v>
      </c>
      <c r="I75" s="38">
        <f t="shared" si="35"/>
        <v>1824</v>
      </c>
      <c r="J75" s="39">
        <v>3200</v>
      </c>
      <c r="K75" s="39">
        <f t="shared" si="27"/>
        <v>6400</v>
      </c>
      <c r="L75" s="43">
        <f t="shared" si="37"/>
        <v>1378.947374310706</v>
      </c>
      <c r="M75" s="39">
        <f t="shared" si="26"/>
        <v>466.92958486191185</v>
      </c>
      <c r="N75" s="44">
        <f t="shared" si="36"/>
        <v>2708.2460816547646</v>
      </c>
      <c r="O75" s="40">
        <v>12</v>
      </c>
      <c r="P75" s="37">
        <f t="shared" si="38"/>
        <v>16699.092660529412</v>
      </c>
      <c r="Q75" s="234">
        <f t="shared" si="39"/>
        <v>5258.0501439435384</v>
      </c>
      <c r="R75" s="41">
        <v>1200</v>
      </c>
      <c r="S75" s="41">
        <f t="shared" si="28"/>
        <v>2400</v>
      </c>
      <c r="T75" s="41">
        <v>0</v>
      </c>
      <c r="U75" s="213">
        <f t="shared" si="29"/>
        <v>0.14372038342374902</v>
      </c>
      <c r="V75" s="213">
        <f t="shared" si="30"/>
        <v>0.45859079290244237</v>
      </c>
      <c r="W75" s="214">
        <f t="shared" si="31"/>
        <v>1.6906259004113746</v>
      </c>
      <c r="X75" s="94"/>
      <c r="Y75" s="224">
        <f t="shared" si="32"/>
        <v>0.16217923552553692</v>
      </c>
      <c r="Z75" s="224">
        <f t="shared" si="33"/>
        <v>0.47704964500423025</v>
      </c>
      <c r="AA75" s="225">
        <f t="shared" si="34"/>
        <v>1.7665285200492313</v>
      </c>
    </row>
    <row r="76" spans="1:27" s="3" customFormat="1" x14ac:dyDescent="0.2">
      <c r="A76" s="3" t="s">
        <v>68</v>
      </c>
      <c r="B76" s="195" t="s">
        <v>179</v>
      </c>
      <c r="C76" s="33" t="s">
        <v>25</v>
      </c>
      <c r="D76" s="34" t="s">
        <v>180</v>
      </c>
      <c r="E76" s="35">
        <v>17</v>
      </c>
      <c r="F76" s="38">
        <v>35</v>
      </c>
      <c r="G76" s="37" t="s">
        <v>181</v>
      </c>
      <c r="H76" s="38">
        <v>137.19999999999996</v>
      </c>
      <c r="I76" s="38">
        <f t="shared" si="35"/>
        <v>4801.9999999999982</v>
      </c>
      <c r="J76" s="39">
        <v>137.9</v>
      </c>
      <c r="K76" s="39">
        <f t="shared" si="27"/>
        <v>18919.879999999994</v>
      </c>
      <c r="L76" s="43">
        <f t="shared" si="37"/>
        <v>65.396113493916886</v>
      </c>
      <c r="M76" s="39">
        <f t="shared" si="26"/>
        <v>22.75926816574362</v>
      </c>
      <c r="N76" s="44">
        <f t="shared" si="36"/>
        <v>6824.9616362945771</v>
      </c>
      <c r="O76" s="40">
        <v>18</v>
      </c>
      <c r="P76" s="37">
        <f t="shared" si="38"/>
        <v>58719.368718667174</v>
      </c>
      <c r="Q76" s="234">
        <f t="shared" si="39"/>
        <v>13842.739468868893</v>
      </c>
      <c r="R76" s="41">
        <v>60</v>
      </c>
      <c r="S76" s="41">
        <f t="shared" si="28"/>
        <v>8231.9999999999982</v>
      </c>
      <c r="T76" s="41">
        <v>0</v>
      </c>
      <c r="U76" s="213">
        <f t="shared" si="29"/>
        <v>0.1401922428601145</v>
      </c>
      <c r="V76" s="213">
        <f t="shared" si="30"/>
        <v>0.37593625324264129</v>
      </c>
      <c r="W76" s="214">
        <f t="shared" si="31"/>
        <v>2.5066246389015818</v>
      </c>
      <c r="X76" s="94"/>
      <c r="Y76" s="224">
        <f t="shared" si="32"/>
        <v>0.11623016025587633</v>
      </c>
      <c r="Z76" s="224">
        <f t="shared" si="33"/>
        <v>0.35197417063840308</v>
      </c>
      <c r="AA76" s="225">
        <f t="shared" si="34"/>
        <v>2.8602812589721962</v>
      </c>
    </row>
    <row r="77" spans="1:27" s="3" customFormat="1" x14ac:dyDescent="0.2">
      <c r="A77" s="3" t="s">
        <v>188</v>
      </c>
      <c r="B77" s="195" t="s">
        <v>266</v>
      </c>
      <c r="C77" s="33" t="s">
        <v>25</v>
      </c>
      <c r="D77" s="34" t="s">
        <v>189</v>
      </c>
      <c r="E77" s="35">
        <v>1</v>
      </c>
      <c r="F77" s="38">
        <v>22</v>
      </c>
      <c r="G77" s="37" t="s">
        <v>181</v>
      </c>
      <c r="H77" s="38">
        <v>40.1</v>
      </c>
      <c r="I77" s="38">
        <f t="shared" si="35"/>
        <v>882.2</v>
      </c>
      <c r="J77" s="39">
        <v>137.9</v>
      </c>
      <c r="K77" s="39">
        <f t="shared" si="27"/>
        <v>5529.7900000000009</v>
      </c>
      <c r="L77" s="43">
        <f t="shared" si="37"/>
        <v>41.106128481890607</v>
      </c>
      <c r="M77" s="39">
        <f t="shared" si="26"/>
        <v>14.305825704181704</v>
      </c>
      <c r="N77" s="44">
        <f t="shared" si="36"/>
        <v>3307.7706371385007</v>
      </c>
      <c r="O77" s="40">
        <v>18</v>
      </c>
      <c r="P77" s="37">
        <f t="shared" si="38"/>
        <v>10787.635794170805</v>
      </c>
      <c r="Q77" s="234">
        <f t="shared" si="39"/>
        <v>2543.1205246639197</v>
      </c>
      <c r="R77" s="41">
        <v>120</v>
      </c>
      <c r="S77" s="41">
        <f t="shared" si="28"/>
        <v>4812</v>
      </c>
      <c r="T77" s="41">
        <v>0</v>
      </c>
      <c r="U77" s="213">
        <f t="shared" si="29"/>
        <v>0.44606622728218237</v>
      </c>
      <c r="V77" s="213">
        <f t="shared" si="30"/>
        <v>0.68181023766470916</v>
      </c>
      <c r="W77" s="214">
        <f t="shared" si="31"/>
        <v>1.3821016801712434</v>
      </c>
      <c r="X77" s="94"/>
      <c r="Y77" s="224">
        <f t="shared" si="32"/>
        <v>0.30662609493415455</v>
      </c>
      <c r="Z77" s="224">
        <f t="shared" si="33"/>
        <v>0.54237010531668128</v>
      </c>
      <c r="AA77" s="225">
        <f t="shared" si="34"/>
        <v>1.8561958228348221</v>
      </c>
    </row>
    <row r="78" spans="1:27" s="3" customFormat="1" x14ac:dyDescent="0.2">
      <c r="A78" s="3" t="s">
        <v>194</v>
      </c>
      <c r="B78" s="195" t="s">
        <v>267</v>
      </c>
      <c r="C78" s="33" t="s">
        <v>25</v>
      </c>
      <c r="D78" s="34" t="s">
        <v>195</v>
      </c>
      <c r="E78" s="35">
        <v>5</v>
      </c>
      <c r="F78" s="38">
        <v>38</v>
      </c>
      <c r="G78" s="37" t="s">
        <v>181</v>
      </c>
      <c r="H78" s="38">
        <v>67.8</v>
      </c>
      <c r="I78" s="38">
        <f t="shared" si="35"/>
        <v>2576.4</v>
      </c>
      <c r="J78" s="39">
        <v>52.8</v>
      </c>
      <c r="K78" s="39">
        <f t="shared" si="27"/>
        <v>3579.8399999999997</v>
      </c>
      <c r="L78" s="43">
        <f t="shared" si="37"/>
        <v>74.78836690003736</v>
      </c>
      <c r="M78" s="39">
        <f t="shared" si="26"/>
        <v>26.179107849152427</v>
      </c>
      <c r="N78" s="44">
        <f t="shared" si="36"/>
        <v>0</v>
      </c>
      <c r="O78" s="40">
        <v>20</v>
      </c>
      <c r="P78" s="37">
        <f t="shared" si="38"/>
        <v>33717.855826056315</v>
      </c>
      <c r="Q78" s="234">
        <f t="shared" si="39"/>
        <v>7426.9958283202477</v>
      </c>
      <c r="R78" s="41">
        <v>150</v>
      </c>
      <c r="S78" s="41">
        <f t="shared" si="28"/>
        <v>10170</v>
      </c>
      <c r="T78" s="41">
        <v>0</v>
      </c>
      <c r="U78" s="213">
        <f t="shared" si="29"/>
        <v>0.30162060281842945</v>
      </c>
      <c r="V78" s="213">
        <f t="shared" si="30"/>
        <v>0.52188952699423219</v>
      </c>
      <c r="W78" s="214">
        <f t="shared" si="31"/>
        <v>1.9094822484371448</v>
      </c>
      <c r="X78" s="94"/>
      <c r="Y78" s="224">
        <f t="shared" si="32"/>
        <v>0</v>
      </c>
      <c r="Z78" s="224">
        <f t="shared" si="33"/>
        <v>0.22026892417580277</v>
      </c>
      <c r="AA78" s="225" t="str">
        <f t="shared" si="34"/>
        <v>-</v>
      </c>
    </row>
    <row r="79" spans="1:27" s="3" customFormat="1" x14ac:dyDescent="0.2">
      <c r="A79" s="3" t="s">
        <v>65</v>
      </c>
      <c r="B79" s="195" t="s">
        <v>182</v>
      </c>
      <c r="C79" s="33" t="s">
        <v>183</v>
      </c>
      <c r="D79" s="34" t="s">
        <v>184</v>
      </c>
      <c r="E79" s="35">
        <v>24</v>
      </c>
      <c r="F79" s="38">
        <v>1.1000000000000001</v>
      </c>
      <c r="G79" s="37" t="s">
        <v>174</v>
      </c>
      <c r="H79" s="38">
        <v>2278</v>
      </c>
      <c r="I79" s="38">
        <f t="shared" si="35"/>
        <v>2505.8000000000002</v>
      </c>
      <c r="J79" s="39">
        <v>6.72</v>
      </c>
      <c r="K79" s="39">
        <f t="shared" si="27"/>
        <v>15308.16</v>
      </c>
      <c r="L79" s="43">
        <f t="shared" si="37"/>
        <v>2.0553064240945305</v>
      </c>
      <c r="M79" s="39">
        <f t="shared" si="26"/>
        <v>0.71529128520908525</v>
      </c>
      <c r="N79" s="44">
        <f t="shared" si="36"/>
        <v>8996.7384182063615</v>
      </c>
      <c r="O79" s="40">
        <v>18</v>
      </c>
      <c r="P79" s="37">
        <f t="shared" si="38"/>
        <v>30641.189949028798</v>
      </c>
      <c r="Q79" s="234">
        <f t="shared" si="39"/>
        <v>7223.4770014768192</v>
      </c>
      <c r="R79" s="41">
        <v>3</v>
      </c>
      <c r="S79" s="41">
        <f t="shared" si="28"/>
        <v>6834</v>
      </c>
      <c r="T79" s="41">
        <v>0</v>
      </c>
      <c r="U79" s="213">
        <f t="shared" si="29"/>
        <v>0.22303311364109116</v>
      </c>
      <c r="V79" s="213">
        <f t="shared" si="30"/>
        <v>0.45877712402361787</v>
      </c>
      <c r="W79" s="214">
        <f t="shared" si="31"/>
        <v>2.0540062389550138</v>
      </c>
      <c r="X79" s="94"/>
      <c r="Y79" s="224">
        <f t="shared" si="32"/>
        <v>0.29361582997175739</v>
      </c>
      <c r="Z79" s="224">
        <f t="shared" si="33"/>
        <v>0.52935984035428407</v>
      </c>
      <c r="AA79" s="225">
        <f t="shared" si="34"/>
        <v>1.9018162073751628</v>
      </c>
    </row>
    <row r="80" spans="1:27" s="3" customFormat="1" x14ac:dyDescent="0.2">
      <c r="A80" s="3" t="s">
        <v>186</v>
      </c>
      <c r="B80" s="195" t="s">
        <v>268</v>
      </c>
      <c r="C80" s="33" t="s">
        <v>183</v>
      </c>
      <c r="D80" s="34" t="s">
        <v>184</v>
      </c>
      <c r="E80" s="35">
        <v>30</v>
      </c>
      <c r="F80" s="38">
        <v>1.1000000000000001</v>
      </c>
      <c r="G80" s="37" t="s">
        <v>174</v>
      </c>
      <c r="H80" s="38">
        <v>2761</v>
      </c>
      <c r="I80" s="38">
        <f t="shared" si="35"/>
        <v>3037.1000000000004</v>
      </c>
      <c r="J80" s="39">
        <v>6.72</v>
      </c>
      <c r="K80" s="39">
        <f t="shared" si="27"/>
        <v>18553.919999999998</v>
      </c>
      <c r="L80" s="43">
        <f t="shared" si="37"/>
        <v>2.0553064240945305</v>
      </c>
      <c r="M80" s="39">
        <f t="shared" si="26"/>
        <v>0.71529128520908525</v>
      </c>
      <c r="N80" s="44">
        <f t="shared" si="36"/>
        <v>10904.299724612714</v>
      </c>
      <c r="O80" s="40">
        <v>18</v>
      </c>
      <c r="P80" s="37">
        <f t="shared" si="38"/>
        <v>37137.983076939643</v>
      </c>
      <c r="Q80" s="234">
        <f t="shared" si="39"/>
        <v>8755.057068076163</v>
      </c>
      <c r="R80" s="41">
        <v>5</v>
      </c>
      <c r="S80" s="41">
        <f t="shared" si="28"/>
        <v>13805</v>
      </c>
      <c r="T80" s="41">
        <v>0</v>
      </c>
      <c r="U80" s="213">
        <f t="shared" si="29"/>
        <v>0.37172185606848529</v>
      </c>
      <c r="V80" s="213">
        <f t="shared" si="30"/>
        <v>0.60746586645101208</v>
      </c>
      <c r="W80" s="214">
        <f t="shared" si="31"/>
        <v>1.5512494233457343</v>
      </c>
      <c r="X80" s="94"/>
      <c r="Y80" s="224">
        <f t="shared" si="32"/>
        <v>0.29361582997175739</v>
      </c>
      <c r="Z80" s="224">
        <f t="shared" si="33"/>
        <v>0.52935984035428418</v>
      </c>
      <c r="AA80" s="225">
        <f t="shared" si="34"/>
        <v>1.9018162073751625</v>
      </c>
    </row>
    <row r="81" spans="1:29" s="3" customFormat="1" x14ac:dyDescent="0.2">
      <c r="A81" s="3" t="s">
        <v>219</v>
      </c>
      <c r="B81" s="195" t="s">
        <v>269</v>
      </c>
      <c r="C81" s="33" t="s">
        <v>220</v>
      </c>
      <c r="D81" s="34" t="s">
        <v>221</v>
      </c>
      <c r="E81" s="35">
        <v>7</v>
      </c>
      <c r="F81" s="38">
        <v>1.1000000000000001</v>
      </c>
      <c r="G81" s="37" t="s">
        <v>209</v>
      </c>
      <c r="H81" s="38">
        <v>309</v>
      </c>
      <c r="I81" s="38">
        <f t="shared" si="35"/>
        <v>339.90000000000003</v>
      </c>
      <c r="J81" s="39">
        <v>24.31</v>
      </c>
      <c r="K81" s="39">
        <f>J81*H81</f>
        <v>7511.79</v>
      </c>
      <c r="L81" s="43">
        <f t="shared" si="37"/>
        <v>2.9658088089727221</v>
      </c>
      <c r="M81" s="39">
        <f t="shared" si="26"/>
        <v>1.068503417273901</v>
      </c>
      <c r="N81" s="44">
        <f t="shared" si="36"/>
        <v>6265.1875220897928</v>
      </c>
      <c r="O81" s="40">
        <v>45</v>
      </c>
      <c r="P81" s="37">
        <f t="shared" si="38"/>
        <v>6581.7234652807856</v>
      </c>
      <c r="Q81" s="234">
        <f t="shared" si="39"/>
        <v>979.83072583684691</v>
      </c>
      <c r="R81" s="41">
        <v>5</v>
      </c>
      <c r="S81" s="41">
        <f t="shared" si="28"/>
        <v>1545</v>
      </c>
      <c r="T81" s="41">
        <v>0</v>
      </c>
      <c r="U81" s="213">
        <f t="shared" si="29"/>
        <v>0.23474094713186011</v>
      </c>
      <c r="V81" s="213">
        <f t="shared" si="30"/>
        <v>0.38361239866055874</v>
      </c>
      <c r="W81" s="214">
        <f t="shared" si="31"/>
        <v>2.9697101279518261</v>
      </c>
      <c r="X81" s="94"/>
      <c r="Y81" s="224">
        <f t="shared" si="32"/>
        <v>0.95190683035214863</v>
      </c>
      <c r="Z81" s="224">
        <f t="shared" si="33"/>
        <v>1.1007782818808474</v>
      </c>
      <c r="AA81" s="225">
        <f t="shared" si="34"/>
        <v>1.0842806927371009</v>
      </c>
    </row>
    <row r="82" spans="1:29" s="3" customFormat="1" x14ac:dyDescent="0.2">
      <c r="A82" s="3" t="s">
        <v>87</v>
      </c>
      <c r="B82" s="195" t="s">
        <v>137</v>
      </c>
      <c r="C82" s="32" t="s">
        <v>138</v>
      </c>
      <c r="D82" s="99" t="s">
        <v>139</v>
      </c>
      <c r="E82" s="35">
        <v>2</v>
      </c>
      <c r="F82" s="38">
        <v>109</v>
      </c>
      <c r="G82" s="37" t="s">
        <v>140</v>
      </c>
      <c r="H82" s="38">
        <v>2</v>
      </c>
      <c r="I82" s="38">
        <f>H82*F82</f>
        <v>218</v>
      </c>
      <c r="J82" s="39">
        <v>119</v>
      </c>
      <c r="K82" s="39">
        <f>J82*H82</f>
        <v>238</v>
      </c>
      <c r="L82" s="43">
        <f t="shared" si="37"/>
        <v>104.66530729246284</v>
      </c>
      <c r="M82" s="39">
        <f>0.1*$F82+PV($C$110,$O82,(-0.05*0.9*$F82))+PV($C$110,$O82,28)</f>
        <v>-90.684587307768837</v>
      </c>
      <c r="N82" s="44">
        <f>MAX(0,H82*(J82-L82-M82))</f>
        <v>210.03856003061199</v>
      </c>
      <c r="O82" s="40">
        <v>5</v>
      </c>
      <c r="P82" s="37">
        <f t="shared" si="38"/>
        <v>958.88460849073863</v>
      </c>
      <c r="Q82" s="234">
        <f t="shared" si="39"/>
        <v>628.42923869500612</v>
      </c>
      <c r="R82" s="41">
        <v>0</v>
      </c>
      <c r="S82" s="41">
        <f>J82*E82</f>
        <v>238</v>
      </c>
      <c r="T82" s="41">
        <v>0</v>
      </c>
      <c r="U82" s="213">
        <f>IF(ISERROR(S82/P82),0,S82/P82)</f>
        <v>0.24820504771122179</v>
      </c>
      <c r="V82" s="213">
        <f>IF(P82=0,0,(S82+Q82)/P82)</f>
        <v>0.90358029633904013</v>
      </c>
      <c r="W82" s="214">
        <f>IF($S82=0,"-",(VLOOKUP($O82,AC,7)*$I82)/($S82+$Q82))</f>
        <v>0.69775195480540564</v>
      </c>
      <c r="X82" s="94"/>
      <c r="Y82" s="224">
        <f>IF(ISERROR(N82/P82),0,N82/P82)</f>
        <v>0.21904466728400995</v>
      </c>
      <c r="Z82" s="224">
        <f>IF(P82=0,0,(N82+Q82)/P82)</f>
        <v>0.87441991591182833</v>
      </c>
      <c r="AA82" s="225">
        <f>IF($N82=0,"-",(VLOOKUP($O82,AC,5)*$I82)/(N82+Q82))</f>
        <v>0.75021540314118684</v>
      </c>
    </row>
    <row r="83" spans="1:29" x14ac:dyDescent="0.2">
      <c r="A83" s="1" t="s">
        <v>114</v>
      </c>
      <c r="B83" s="195" t="s">
        <v>126</v>
      </c>
      <c r="C83" s="33" t="s">
        <v>127</v>
      </c>
      <c r="D83" s="34" t="s">
        <v>128</v>
      </c>
      <c r="E83" s="35">
        <v>7</v>
      </c>
      <c r="F83" s="38">
        <v>0</v>
      </c>
      <c r="G83" s="37" t="s">
        <v>63</v>
      </c>
      <c r="H83" s="38">
        <v>7</v>
      </c>
      <c r="I83" s="38">
        <f>H83*F83</f>
        <v>0</v>
      </c>
      <c r="J83" s="39"/>
      <c r="K83" s="39">
        <f>J83*H83</f>
        <v>0</v>
      </c>
      <c r="L83" s="43">
        <f t="shared" si="37"/>
        <v>0</v>
      </c>
      <c r="M83" s="39">
        <f>0.1*$F83+PV($C$110,$O83,(-0.05*0.9*$F83))</f>
        <v>0</v>
      </c>
      <c r="N83" s="44">
        <f>MAX(0,H83*(J83-L83-M83))</f>
        <v>0</v>
      </c>
      <c r="O83" s="40">
        <v>0</v>
      </c>
      <c r="P83" s="37">
        <f t="shared" si="38"/>
        <v>0</v>
      </c>
      <c r="Q83" s="234">
        <f t="shared" si="39"/>
        <v>0</v>
      </c>
      <c r="R83" s="41">
        <v>500</v>
      </c>
      <c r="S83" s="41">
        <f>H83*R83</f>
        <v>3500</v>
      </c>
      <c r="T83" s="41">
        <v>0</v>
      </c>
      <c r="U83" s="213">
        <f>IF(ISERROR(S83/P83),0,S83/P83)</f>
        <v>0</v>
      </c>
      <c r="V83" s="213">
        <f>IF(P83=0,0,(S83+Q83)/P83)</f>
        <v>0</v>
      </c>
      <c r="W83" s="214" t="e">
        <f>IF($S83=0,"-",(VLOOKUP($O83,AC,7)*$I83)/($S83+$Q83))</f>
        <v>#N/A</v>
      </c>
      <c r="X83" s="94"/>
      <c r="Y83" s="224">
        <f>IF(ISERROR(N83/P83),0,N83/P83)</f>
        <v>0</v>
      </c>
      <c r="Z83" s="224">
        <f>IF(P83=0,0,(N83+Q83)/P83)</f>
        <v>0</v>
      </c>
      <c r="AA83" s="225" t="str">
        <f>IF($N83=0,"-",(VLOOKUP($O83,AC,5)*$I83)/(N83+Q83))</f>
        <v>-</v>
      </c>
    </row>
    <row r="84" spans="1:29" x14ac:dyDescent="0.2">
      <c r="A84" s="1" t="s">
        <v>112</v>
      </c>
      <c r="B84" s="195" t="s">
        <v>132</v>
      </c>
      <c r="C84" s="33" t="s">
        <v>133</v>
      </c>
      <c r="D84" s="34" t="s">
        <v>134</v>
      </c>
      <c r="E84" s="35">
        <v>3</v>
      </c>
      <c r="F84" s="38">
        <v>0</v>
      </c>
      <c r="G84" s="37" t="s">
        <v>63</v>
      </c>
      <c r="H84" s="38">
        <v>3</v>
      </c>
      <c r="I84" s="38">
        <f>H84*F84</f>
        <v>0</v>
      </c>
      <c r="J84" s="39"/>
      <c r="K84" s="39">
        <f>J84*H84</f>
        <v>0</v>
      </c>
      <c r="L84" s="43">
        <f t="shared" si="37"/>
        <v>0</v>
      </c>
      <c r="M84" s="39">
        <f>0.1*$F84+PV($C$110,$O84,(-0.05*0.9*$F84))</f>
        <v>0</v>
      </c>
      <c r="N84" s="44">
        <f>MAX(0,H84*(J84-L84-M84))</f>
        <v>0</v>
      </c>
      <c r="O84" s="40">
        <v>0</v>
      </c>
      <c r="P84" s="37">
        <f t="shared" si="38"/>
        <v>0</v>
      </c>
      <c r="Q84" s="234">
        <f t="shared" si="39"/>
        <v>0</v>
      </c>
      <c r="R84" s="41">
        <v>150</v>
      </c>
      <c r="S84" s="41">
        <f>H84*R84</f>
        <v>450</v>
      </c>
      <c r="T84" s="41">
        <v>0</v>
      </c>
      <c r="U84" s="213">
        <f>IF(ISERROR(S84/P84),0,S84/P84)</f>
        <v>0</v>
      </c>
      <c r="V84" s="213">
        <f>IF(P84=0,0,(S84+Q84)/P84)</f>
        <v>0</v>
      </c>
      <c r="W84" s="214" t="e">
        <f>IF($S84=0,"-",(VLOOKUP($O84,AC,7)*$I84)/($S84+$Q84))</f>
        <v>#N/A</v>
      </c>
      <c r="X84" s="94"/>
      <c r="Y84" s="224">
        <f>IF(ISERROR(N84/P84),0,N84/P84)</f>
        <v>0</v>
      </c>
      <c r="Z84" s="224">
        <f>IF(P84=0,0,(N84+Q84)/P84)</f>
        <v>0</v>
      </c>
      <c r="AA84" s="225" t="str">
        <f>IF($N84=0,"-",(VLOOKUP($O84,AC,5)*$I84)/(N84+Q84))</f>
        <v>-</v>
      </c>
    </row>
    <row r="85" spans="1:29" x14ac:dyDescent="0.2">
      <c r="A85" s="1" t="s">
        <v>113</v>
      </c>
      <c r="B85" s="195" t="s">
        <v>129</v>
      </c>
      <c r="C85" s="33" t="s">
        <v>130</v>
      </c>
      <c r="D85" s="34" t="s">
        <v>131</v>
      </c>
      <c r="E85" s="35">
        <v>4</v>
      </c>
      <c r="F85" s="38">
        <v>0</v>
      </c>
      <c r="G85" s="37" t="s">
        <v>63</v>
      </c>
      <c r="H85" s="38">
        <v>4</v>
      </c>
      <c r="I85" s="38">
        <f>H85*F85</f>
        <v>0</v>
      </c>
      <c r="J85" s="39"/>
      <c r="K85" s="39">
        <f>J85*H85</f>
        <v>0</v>
      </c>
      <c r="L85" s="43">
        <f t="shared" si="37"/>
        <v>0</v>
      </c>
      <c r="M85" s="39">
        <f>0.1*$F85+PV($C$110,$O85,(-0.05*0.9*$F85))</f>
        <v>0</v>
      </c>
      <c r="N85" s="44">
        <f>MAX(0,H85*(J85-L85-M85))</f>
        <v>0</v>
      </c>
      <c r="O85" s="40">
        <v>0</v>
      </c>
      <c r="P85" s="37">
        <f t="shared" si="38"/>
        <v>0</v>
      </c>
      <c r="Q85" s="234">
        <f t="shared" si="39"/>
        <v>0</v>
      </c>
      <c r="R85" s="41">
        <v>300</v>
      </c>
      <c r="S85" s="41">
        <f>H85*R85</f>
        <v>1200</v>
      </c>
      <c r="T85" s="41">
        <v>0</v>
      </c>
      <c r="U85" s="213">
        <f>IF(ISERROR(S85/P85),0,S85/P85)</f>
        <v>0</v>
      </c>
      <c r="V85" s="213">
        <f>IF(P85=0,0,(S85+Q85)/P85)</f>
        <v>0</v>
      </c>
      <c r="W85" s="214" t="e">
        <f>IF($S85=0,"-",(VLOOKUP($O85,AC,7)*$I85)/($S85+$Q85))</f>
        <v>#N/A</v>
      </c>
      <c r="X85" s="94"/>
      <c r="Y85" s="224">
        <f>IF(ISERROR(N85/P85),0,N85/P85)</f>
        <v>0</v>
      </c>
      <c r="Z85" s="224">
        <f>IF(P85=0,0,(N85+Q85)/P85)</f>
        <v>0</v>
      </c>
      <c r="AA85" s="225" t="str">
        <f>IF($N85=0,"-",(VLOOKUP($O85,AC,5)*$I85)/(N85+Q85))</f>
        <v>-</v>
      </c>
      <c r="AC85" s="95"/>
    </row>
    <row r="86" spans="1:29" s="3" customFormat="1" x14ac:dyDescent="0.2">
      <c r="A86" s="42"/>
      <c r="B86" s="195"/>
      <c r="C86" s="32"/>
      <c r="D86" s="99"/>
      <c r="E86" s="35"/>
      <c r="F86" s="36"/>
      <c r="G86" s="40"/>
      <c r="H86" s="38"/>
      <c r="I86" s="38"/>
      <c r="J86" s="39"/>
      <c r="K86" s="39"/>
      <c r="L86" s="43"/>
      <c r="M86" s="39"/>
      <c r="N86" s="44"/>
      <c r="O86" s="40"/>
      <c r="P86" s="40"/>
      <c r="Q86" s="234"/>
      <c r="R86" s="41"/>
      <c r="S86" s="38"/>
      <c r="T86" s="38"/>
      <c r="U86" s="213"/>
      <c r="V86" s="213"/>
      <c r="W86" s="214"/>
      <c r="X86" s="94"/>
      <c r="Y86" s="224"/>
      <c r="Z86" s="224"/>
      <c r="AA86" s="225"/>
    </row>
    <row r="87" spans="1:29" s="3" customFormat="1" ht="14.25" customHeight="1" x14ac:dyDescent="0.2">
      <c r="A87" s="42"/>
      <c r="B87" s="198" t="s">
        <v>84</v>
      </c>
      <c r="C87" s="103"/>
      <c r="D87" s="104"/>
      <c r="E87" s="105"/>
      <c r="F87" s="106"/>
      <c r="G87" s="107"/>
      <c r="H87" s="108"/>
      <c r="I87" s="109"/>
      <c r="J87" s="43"/>
      <c r="K87" s="39"/>
      <c r="L87" s="43"/>
      <c r="M87" s="43"/>
      <c r="N87" s="110"/>
      <c r="O87" s="111"/>
      <c r="P87" s="107"/>
      <c r="Q87" s="235"/>
      <c r="R87" s="112"/>
      <c r="S87" s="109"/>
      <c r="T87" s="109"/>
      <c r="U87" s="215"/>
      <c r="V87" s="215"/>
      <c r="W87" s="216"/>
      <c r="X87" s="94"/>
      <c r="Y87" s="224"/>
      <c r="Z87" s="224"/>
      <c r="AA87" s="225"/>
    </row>
    <row r="88" spans="1:29" s="3" customFormat="1" x14ac:dyDescent="0.2">
      <c r="B88" s="195" t="s">
        <v>332</v>
      </c>
      <c r="C88" s="114" t="s">
        <v>192</v>
      </c>
      <c r="D88" s="115" t="s">
        <v>192</v>
      </c>
      <c r="E88" s="35">
        <v>1</v>
      </c>
      <c r="F88" s="38">
        <v>2800</v>
      </c>
      <c r="G88" s="37" t="s">
        <v>63</v>
      </c>
      <c r="H88" s="38">
        <v>1</v>
      </c>
      <c r="I88" s="38">
        <f t="shared" ref="I88:I99" si="40">H88*F88</f>
        <v>2800</v>
      </c>
      <c r="J88" s="39">
        <v>24000</v>
      </c>
      <c r="K88" s="39">
        <f t="shared" ref="K88:K90" si="41">J88*E88</f>
        <v>24000</v>
      </c>
      <c r="L88" s="43">
        <f t="shared" ref="L88:L99" si="42">0.5*0.9*$F88+PV($C$110,$O88,-(0.116*$F88))</f>
        <v>5510.7217715816996</v>
      </c>
      <c r="M88" s="39">
        <f t="shared" ref="M88:M99" si="43">0.1*$F88+PV($C$110,$O88,(-0.05*0.9*$F88))</f>
        <v>1928.9868941480734</v>
      </c>
      <c r="N88" s="117">
        <f t="shared" ref="N88:N99" si="44">MAX(0,H88*(J88-L88-M88))</f>
        <v>16560.291334270227</v>
      </c>
      <c r="O88" s="37">
        <v>20</v>
      </c>
      <c r="P88" s="37">
        <f t="shared" ref="P88:P99" si="45">PV($C$110,O88,-I88)</f>
        <v>36644.153203290516</v>
      </c>
      <c r="Q88" s="234">
        <f t="shared" ref="Q88:Q99" si="46">$B$115*I88/SUM($I$88:$I$105)</f>
        <v>8089.664917164896</v>
      </c>
      <c r="R88" s="41">
        <v>4000</v>
      </c>
      <c r="S88" s="41">
        <f t="shared" ref="S88:S99" si="47">R88*H88</f>
        <v>4000</v>
      </c>
      <c r="T88" s="38"/>
      <c r="U88" s="213">
        <f t="shared" ref="U88:U99" si="48">IF(ISERROR(S88/P88),0,S88/P88)</f>
        <v>0.10915793244857447</v>
      </c>
      <c r="V88" s="213">
        <f t="shared" ref="V88:V99" si="49">IF(P88=0,0,(S88+Q88)/P88)</f>
        <v>0.32992070658844663</v>
      </c>
      <c r="W88" s="214">
        <f t="shared" ref="W88:W99" si="50">IF($S88=0,"-",(VLOOKUP($O88,AC,7)*$I88)/($S88+$Q88))</f>
        <v>3.0205402920764772</v>
      </c>
      <c r="X88" s="94"/>
      <c r="Y88" s="224">
        <f t="shared" ref="Y88:Y99" si="51">IF(ISERROR((N88)/P88),0,(N88)/P88)</f>
        <v>0.45192179069874566</v>
      </c>
      <c r="Z88" s="224">
        <f t="shared" ref="Z88:Z99" si="52">IF(P88=0,0,((N88)+Q88)/P88)</f>
        <v>0.67268456483861783</v>
      </c>
      <c r="AA88" s="225">
        <f t="shared" ref="AA88:AA99" si="53">(VLOOKUP($O88,AC,5)*$I88)/($N88+$Q88)</f>
        <v>1.5833959087943437</v>
      </c>
    </row>
    <row r="89" spans="1:29" s="3" customFormat="1" x14ac:dyDescent="0.2">
      <c r="B89" s="195" t="s">
        <v>332</v>
      </c>
      <c r="C89" s="114" t="s">
        <v>192</v>
      </c>
      <c r="D89" s="115" t="s">
        <v>192</v>
      </c>
      <c r="E89" s="35">
        <v>1</v>
      </c>
      <c r="F89" s="38">
        <v>2800</v>
      </c>
      <c r="G89" s="37" t="s">
        <v>63</v>
      </c>
      <c r="H89" s="38">
        <v>1</v>
      </c>
      <c r="I89" s="38">
        <f t="shared" si="40"/>
        <v>2800</v>
      </c>
      <c r="J89" s="39">
        <v>24000</v>
      </c>
      <c r="K89" s="39">
        <f t="shared" si="41"/>
        <v>24000</v>
      </c>
      <c r="L89" s="43">
        <f t="shared" si="42"/>
        <v>5510.7217715816996</v>
      </c>
      <c r="M89" s="39">
        <f t="shared" si="43"/>
        <v>1928.9868941480734</v>
      </c>
      <c r="N89" s="117">
        <f t="shared" si="44"/>
        <v>16560.291334270227</v>
      </c>
      <c r="O89" s="37">
        <v>20</v>
      </c>
      <c r="P89" s="37">
        <f t="shared" si="45"/>
        <v>36644.153203290516</v>
      </c>
      <c r="Q89" s="234">
        <f t="shared" si="46"/>
        <v>8089.664917164896</v>
      </c>
      <c r="R89" s="41">
        <v>4000</v>
      </c>
      <c r="S89" s="41">
        <f t="shared" si="47"/>
        <v>4000</v>
      </c>
      <c r="T89" s="38"/>
      <c r="U89" s="213">
        <f t="shared" si="48"/>
        <v>0.10915793244857447</v>
      </c>
      <c r="V89" s="213">
        <f t="shared" si="49"/>
        <v>0.32992070658844663</v>
      </c>
      <c r="W89" s="214">
        <f t="shared" si="50"/>
        <v>3.0205402920764772</v>
      </c>
      <c r="X89" s="94"/>
      <c r="Y89" s="224">
        <f t="shared" si="51"/>
        <v>0.45192179069874566</v>
      </c>
      <c r="Z89" s="224">
        <f t="shared" si="52"/>
        <v>0.67268456483861783</v>
      </c>
      <c r="AA89" s="225">
        <f t="shared" si="53"/>
        <v>1.5833959087943437</v>
      </c>
    </row>
    <row r="90" spans="1:29" s="3" customFormat="1" x14ac:dyDescent="0.2">
      <c r="B90" s="195" t="s">
        <v>332</v>
      </c>
      <c r="C90" s="114" t="s">
        <v>192</v>
      </c>
      <c r="D90" s="115" t="s">
        <v>192</v>
      </c>
      <c r="E90" s="35">
        <v>1</v>
      </c>
      <c r="F90" s="38">
        <v>2800</v>
      </c>
      <c r="G90" s="37" t="s">
        <v>63</v>
      </c>
      <c r="H90" s="38">
        <v>1</v>
      </c>
      <c r="I90" s="38">
        <f t="shared" si="40"/>
        <v>2800</v>
      </c>
      <c r="J90" s="39">
        <v>24000</v>
      </c>
      <c r="K90" s="39">
        <f t="shared" si="41"/>
        <v>24000</v>
      </c>
      <c r="L90" s="43">
        <f t="shared" si="42"/>
        <v>5510.7217715816996</v>
      </c>
      <c r="M90" s="39">
        <f t="shared" si="43"/>
        <v>1928.9868941480734</v>
      </c>
      <c r="N90" s="117">
        <f t="shared" si="44"/>
        <v>16560.291334270227</v>
      </c>
      <c r="O90" s="37">
        <v>20</v>
      </c>
      <c r="P90" s="37">
        <f t="shared" si="45"/>
        <v>36644.153203290516</v>
      </c>
      <c r="Q90" s="234">
        <f t="shared" si="46"/>
        <v>8089.664917164896</v>
      </c>
      <c r="R90" s="41">
        <v>4000</v>
      </c>
      <c r="S90" s="41">
        <f t="shared" si="47"/>
        <v>4000</v>
      </c>
      <c r="T90" s="38"/>
      <c r="U90" s="213">
        <f t="shared" si="48"/>
        <v>0.10915793244857447</v>
      </c>
      <c r="V90" s="213">
        <f t="shared" si="49"/>
        <v>0.32992070658844663</v>
      </c>
      <c r="W90" s="214">
        <f t="shared" si="50"/>
        <v>3.0205402920764772</v>
      </c>
      <c r="X90" s="94"/>
      <c r="Y90" s="224">
        <f t="shared" si="51"/>
        <v>0.45192179069874566</v>
      </c>
      <c r="Z90" s="224">
        <f t="shared" si="52"/>
        <v>0.67268456483861783</v>
      </c>
      <c r="AA90" s="225">
        <f t="shared" si="53"/>
        <v>1.5833959087943437</v>
      </c>
    </row>
    <row r="91" spans="1:29" s="3" customFormat="1" x14ac:dyDescent="0.2">
      <c r="B91" s="195" t="s">
        <v>333</v>
      </c>
      <c r="C91" s="114" t="s">
        <v>192</v>
      </c>
      <c r="D91" s="115" t="s">
        <v>192</v>
      </c>
      <c r="E91" s="35">
        <v>1</v>
      </c>
      <c r="F91" s="38">
        <v>2800</v>
      </c>
      <c r="G91" s="37" t="s">
        <v>63</v>
      </c>
      <c r="H91" s="38">
        <v>1</v>
      </c>
      <c r="I91" s="38">
        <f t="shared" si="40"/>
        <v>2800</v>
      </c>
      <c r="J91" s="39">
        <v>16000</v>
      </c>
      <c r="K91" s="39">
        <f t="shared" ref="K91:K99" si="54">J91*E91</f>
        <v>16000</v>
      </c>
      <c r="L91" s="43">
        <f t="shared" si="42"/>
        <v>5510.7217715816996</v>
      </c>
      <c r="M91" s="39">
        <f t="shared" si="43"/>
        <v>1928.9868941480734</v>
      </c>
      <c r="N91" s="117">
        <f t="shared" si="44"/>
        <v>8560.2913342702286</v>
      </c>
      <c r="O91" s="37">
        <v>20</v>
      </c>
      <c r="P91" s="37">
        <f t="shared" si="45"/>
        <v>36644.153203290516</v>
      </c>
      <c r="Q91" s="234">
        <f t="shared" si="46"/>
        <v>8089.664917164896</v>
      </c>
      <c r="R91" s="41">
        <v>4000</v>
      </c>
      <c r="S91" s="41">
        <f t="shared" si="47"/>
        <v>4000</v>
      </c>
      <c r="T91" s="38"/>
      <c r="U91" s="213">
        <f t="shared" si="48"/>
        <v>0.10915793244857447</v>
      </c>
      <c r="V91" s="213">
        <f t="shared" si="49"/>
        <v>0.32992070658844663</v>
      </c>
      <c r="W91" s="214">
        <f t="shared" si="50"/>
        <v>3.0205402920764772</v>
      </c>
      <c r="X91" s="94"/>
      <c r="Y91" s="224">
        <f t="shared" si="51"/>
        <v>0.23360592580159675</v>
      </c>
      <c r="Z91" s="224">
        <f t="shared" si="52"/>
        <v>0.45436869994146889</v>
      </c>
      <c r="AA91" s="225">
        <f t="shared" si="53"/>
        <v>2.3441887348573505</v>
      </c>
    </row>
    <row r="92" spans="1:29" s="3" customFormat="1" x14ac:dyDescent="0.2">
      <c r="B92" s="195" t="s">
        <v>333</v>
      </c>
      <c r="C92" s="114" t="s">
        <v>192</v>
      </c>
      <c r="D92" s="115" t="s">
        <v>192</v>
      </c>
      <c r="E92" s="35">
        <v>1</v>
      </c>
      <c r="F92" s="38">
        <v>2800</v>
      </c>
      <c r="G92" s="37" t="s">
        <v>63</v>
      </c>
      <c r="H92" s="38">
        <v>1</v>
      </c>
      <c r="I92" s="38">
        <f t="shared" si="40"/>
        <v>2800</v>
      </c>
      <c r="J92" s="39">
        <v>16000</v>
      </c>
      <c r="K92" s="39">
        <f t="shared" si="54"/>
        <v>16000</v>
      </c>
      <c r="L92" s="43">
        <f t="shared" si="42"/>
        <v>5510.7217715816996</v>
      </c>
      <c r="M92" s="39">
        <f t="shared" si="43"/>
        <v>1928.9868941480734</v>
      </c>
      <c r="N92" s="117">
        <f t="shared" si="44"/>
        <v>8560.2913342702286</v>
      </c>
      <c r="O92" s="37">
        <v>20</v>
      </c>
      <c r="P92" s="37">
        <f t="shared" si="45"/>
        <v>36644.153203290516</v>
      </c>
      <c r="Q92" s="234">
        <f t="shared" si="46"/>
        <v>8089.664917164896</v>
      </c>
      <c r="R92" s="41">
        <v>4000</v>
      </c>
      <c r="S92" s="41">
        <f t="shared" si="47"/>
        <v>4000</v>
      </c>
      <c r="T92" s="38"/>
      <c r="U92" s="213">
        <f t="shared" si="48"/>
        <v>0.10915793244857447</v>
      </c>
      <c r="V92" s="213">
        <f t="shared" si="49"/>
        <v>0.32992070658844663</v>
      </c>
      <c r="W92" s="214">
        <f t="shared" si="50"/>
        <v>3.0205402920764772</v>
      </c>
      <c r="X92" s="94"/>
      <c r="Y92" s="224">
        <f t="shared" si="51"/>
        <v>0.23360592580159675</v>
      </c>
      <c r="Z92" s="224">
        <f t="shared" si="52"/>
        <v>0.45436869994146889</v>
      </c>
      <c r="AA92" s="225">
        <f t="shared" si="53"/>
        <v>2.3441887348573505</v>
      </c>
    </row>
    <row r="93" spans="1:29" s="3" customFormat="1" x14ac:dyDescent="0.2">
      <c r="B93" s="195" t="s">
        <v>327</v>
      </c>
      <c r="C93" s="114" t="s">
        <v>192</v>
      </c>
      <c r="D93" s="115" t="s">
        <v>322</v>
      </c>
      <c r="E93" s="35">
        <v>1</v>
      </c>
      <c r="F93" s="38">
        <v>91980</v>
      </c>
      <c r="G93" s="37" t="s">
        <v>63</v>
      </c>
      <c r="H93" s="38">
        <v>1</v>
      </c>
      <c r="I93" s="38">
        <f t="shared" si="40"/>
        <v>91980</v>
      </c>
      <c r="J93" s="39">
        <v>94900</v>
      </c>
      <c r="K93" s="39">
        <f t="shared" si="54"/>
        <v>94900</v>
      </c>
      <c r="L93" s="43">
        <f t="shared" si="42"/>
        <v>181027.21019645885</v>
      </c>
      <c r="M93" s="39">
        <f t="shared" si="43"/>
        <v>63367.219472764213</v>
      </c>
      <c r="N93" s="231">
        <f t="shared" si="44"/>
        <v>0</v>
      </c>
      <c r="O93" s="37">
        <v>20</v>
      </c>
      <c r="P93" s="37">
        <f t="shared" si="45"/>
        <v>1203760.4327280934</v>
      </c>
      <c r="Q93" s="234">
        <f t="shared" si="46"/>
        <v>265745.4925288668</v>
      </c>
      <c r="R93" s="41">
        <v>94900</v>
      </c>
      <c r="S93" s="41">
        <f t="shared" si="47"/>
        <v>94900</v>
      </c>
      <c r="T93" s="38"/>
      <c r="U93" s="213">
        <f t="shared" si="48"/>
        <v>7.8836284546192681E-2</v>
      </c>
      <c r="V93" s="213">
        <f t="shared" si="49"/>
        <v>0.29959905868606479</v>
      </c>
      <c r="W93" s="214">
        <f t="shared" si="50"/>
        <v>3.3262413834382865</v>
      </c>
      <c r="X93" s="94"/>
      <c r="Y93" s="224">
        <f t="shared" si="51"/>
        <v>0</v>
      </c>
      <c r="Z93" s="224">
        <f t="shared" si="52"/>
        <v>0.22076277413987211</v>
      </c>
      <c r="AA93" s="225">
        <f t="shared" si="53"/>
        <v>4.8247535936458315</v>
      </c>
    </row>
    <row r="94" spans="1:29" s="3" customFormat="1" x14ac:dyDescent="0.2">
      <c r="B94" s="195" t="s">
        <v>331</v>
      </c>
      <c r="C94" s="114" t="s">
        <v>192</v>
      </c>
      <c r="D94" s="115" t="s">
        <v>99</v>
      </c>
      <c r="E94" s="35">
        <v>1</v>
      </c>
      <c r="F94" s="38">
        <v>9600</v>
      </c>
      <c r="G94" s="37" t="s">
        <v>63</v>
      </c>
      <c r="H94" s="38">
        <v>1</v>
      </c>
      <c r="I94" s="38">
        <f t="shared" si="40"/>
        <v>9600</v>
      </c>
      <c r="J94" s="39">
        <v>24000</v>
      </c>
      <c r="K94" s="39">
        <f t="shared" si="54"/>
        <v>24000</v>
      </c>
      <c r="L94" s="43">
        <f t="shared" si="42"/>
        <v>18893.90321685154</v>
      </c>
      <c r="M94" s="39">
        <f t="shared" si="43"/>
        <v>6613.6693513648233</v>
      </c>
      <c r="N94" s="117">
        <f t="shared" si="44"/>
        <v>0</v>
      </c>
      <c r="O94" s="37">
        <v>20</v>
      </c>
      <c r="P94" s="37">
        <f t="shared" si="45"/>
        <v>125637.09669699604</v>
      </c>
      <c r="Q94" s="234">
        <f t="shared" si="46"/>
        <v>27735.994001708212</v>
      </c>
      <c r="R94" s="41">
        <v>24000</v>
      </c>
      <c r="S94" s="41">
        <f t="shared" si="47"/>
        <v>24000</v>
      </c>
      <c r="T94" s="38"/>
      <c r="U94" s="213">
        <f t="shared" si="48"/>
        <v>0.19102638178500533</v>
      </c>
      <c r="V94" s="213">
        <f t="shared" si="49"/>
        <v>0.41178915592487747</v>
      </c>
      <c r="W94" s="214">
        <f t="shared" si="50"/>
        <v>2.4200219289469165</v>
      </c>
      <c r="X94" s="94"/>
      <c r="Y94" s="224">
        <f t="shared" si="51"/>
        <v>0</v>
      </c>
      <c r="Z94" s="224">
        <f t="shared" si="52"/>
        <v>0.22076277413987214</v>
      </c>
      <c r="AA94" s="225">
        <f t="shared" si="53"/>
        <v>4.8247535936458315</v>
      </c>
    </row>
    <row r="95" spans="1:29" s="3" customFormat="1" x14ac:dyDescent="0.2">
      <c r="B95" s="195" t="s">
        <v>328</v>
      </c>
      <c r="C95" s="114" t="s">
        <v>135</v>
      </c>
      <c r="D95" s="115" t="s">
        <v>90</v>
      </c>
      <c r="E95" s="35">
        <v>1</v>
      </c>
      <c r="F95" s="38">
        <v>1024</v>
      </c>
      <c r="G95" s="37" t="s">
        <v>63</v>
      </c>
      <c r="H95" s="38">
        <v>1</v>
      </c>
      <c r="I95" s="38">
        <f t="shared" si="40"/>
        <v>1024</v>
      </c>
      <c r="J95" s="39">
        <v>2460</v>
      </c>
      <c r="K95" s="39">
        <f t="shared" si="54"/>
        <v>2460</v>
      </c>
      <c r="L95" s="43">
        <f t="shared" si="42"/>
        <v>1913.3034347934538</v>
      </c>
      <c r="M95" s="39">
        <f t="shared" si="43"/>
        <v>665.87116004918471</v>
      </c>
      <c r="N95" s="117">
        <f t="shared" si="44"/>
        <v>0</v>
      </c>
      <c r="O95" s="37">
        <v>18</v>
      </c>
      <c r="P95" s="37">
        <f t="shared" si="45"/>
        <v>12521.581334426326</v>
      </c>
      <c r="Q95" s="234">
        <f t="shared" si="46"/>
        <v>2958.506026848876</v>
      </c>
      <c r="R95" s="41">
        <v>738</v>
      </c>
      <c r="S95" s="41">
        <f t="shared" si="47"/>
        <v>738</v>
      </c>
      <c r="T95" s="38"/>
      <c r="U95" s="213">
        <f t="shared" si="48"/>
        <v>5.893824272585866E-2</v>
      </c>
      <c r="V95" s="213">
        <f t="shared" si="49"/>
        <v>0.29521079871005212</v>
      </c>
      <c r="W95" s="214">
        <f t="shared" si="50"/>
        <v>3.1920616696677167</v>
      </c>
      <c r="X95" s="94"/>
      <c r="Y95" s="224">
        <f t="shared" si="51"/>
        <v>0</v>
      </c>
      <c r="Z95" s="224">
        <f t="shared" si="52"/>
        <v>0.23627255598419347</v>
      </c>
      <c r="AA95" s="225">
        <f t="shared" si="53"/>
        <v>4.2609482075720084</v>
      </c>
    </row>
    <row r="96" spans="1:29" s="3" customFormat="1" x14ac:dyDescent="0.2">
      <c r="B96" s="195" t="s">
        <v>330</v>
      </c>
      <c r="C96" s="114" t="s">
        <v>175</v>
      </c>
      <c r="D96" s="115" t="s">
        <v>176</v>
      </c>
      <c r="E96" s="35">
        <v>1</v>
      </c>
      <c r="F96" s="38">
        <v>16114</v>
      </c>
      <c r="G96" s="37" t="s">
        <v>63</v>
      </c>
      <c r="H96" s="38">
        <v>1</v>
      </c>
      <c r="I96" s="38">
        <f t="shared" si="40"/>
        <v>16114</v>
      </c>
      <c r="J96" s="39">
        <v>171885</v>
      </c>
      <c r="K96" s="39">
        <f t="shared" si="54"/>
        <v>171885</v>
      </c>
      <c r="L96" s="43">
        <f t="shared" si="42"/>
        <v>27422.872612102601</v>
      </c>
      <c r="M96" s="39">
        <f t="shared" si="43"/>
        <v>9436.5790305570445</v>
      </c>
      <c r="N96" s="117">
        <f t="shared" si="44"/>
        <v>135025.54835734036</v>
      </c>
      <c r="O96" s="37">
        <v>15</v>
      </c>
      <c r="P96" s="37">
        <f t="shared" si="45"/>
        <v>173892.86734571206</v>
      </c>
      <c r="Q96" s="234">
        <f t="shared" si="46"/>
        <v>46556.021598283973</v>
      </c>
      <c r="R96" s="41">
        <v>36998</v>
      </c>
      <c r="S96" s="41">
        <f t="shared" si="47"/>
        <v>36998</v>
      </c>
      <c r="T96" s="38"/>
      <c r="U96" s="213">
        <f t="shared" si="48"/>
        <v>0.21276318324457325</v>
      </c>
      <c r="V96" s="213">
        <f t="shared" si="49"/>
        <v>0.48049136732084768</v>
      </c>
      <c r="W96" s="214">
        <f t="shared" si="50"/>
        <v>1.7980492542573858</v>
      </c>
      <c r="X96" s="94"/>
      <c r="Y96" s="224">
        <f t="shared" si="51"/>
        <v>0.77648698545466754</v>
      </c>
      <c r="Z96" s="224">
        <f t="shared" si="52"/>
        <v>1.0442151695309421</v>
      </c>
      <c r="AA96" s="225">
        <f t="shared" si="53"/>
        <v>0.88321784071609</v>
      </c>
    </row>
    <row r="97" spans="2:27" s="3" customFormat="1" x14ac:dyDescent="0.2">
      <c r="B97" s="195" t="s">
        <v>334</v>
      </c>
      <c r="C97" s="114" t="s">
        <v>136</v>
      </c>
      <c r="D97" s="115" t="s">
        <v>90</v>
      </c>
      <c r="E97" s="35">
        <v>1</v>
      </c>
      <c r="F97" s="38">
        <v>2200</v>
      </c>
      <c r="G97" s="37" t="s">
        <v>63</v>
      </c>
      <c r="H97" s="38">
        <v>1</v>
      </c>
      <c r="I97" s="38">
        <f t="shared" si="40"/>
        <v>2200</v>
      </c>
      <c r="J97" s="39">
        <v>10045</v>
      </c>
      <c r="K97" s="39">
        <f t="shared" si="54"/>
        <v>10045</v>
      </c>
      <c r="L97" s="43">
        <f t="shared" si="42"/>
        <v>3326.4081397845976</v>
      </c>
      <c r="M97" s="39">
        <f t="shared" si="43"/>
        <v>1126.3652266405766</v>
      </c>
      <c r="N97" s="117">
        <f t="shared" si="44"/>
        <v>5592.2266335748263</v>
      </c>
      <c r="O97" s="37">
        <v>12</v>
      </c>
      <c r="P97" s="37">
        <f t="shared" si="45"/>
        <v>20141.449480901701</v>
      </c>
      <c r="Q97" s="234">
        <f t="shared" si="46"/>
        <v>6356.1652920581319</v>
      </c>
      <c r="R97" s="41">
        <v>3014</v>
      </c>
      <c r="S97" s="41">
        <f t="shared" si="47"/>
        <v>3014</v>
      </c>
      <c r="T97" s="38"/>
      <c r="U97" s="213">
        <f t="shared" si="48"/>
        <v>0.14964166322080746</v>
      </c>
      <c r="V97" s="213">
        <f t="shared" si="49"/>
        <v>0.46521802221548181</v>
      </c>
      <c r="W97" s="214">
        <f t="shared" si="50"/>
        <v>1.6665422127863059</v>
      </c>
      <c r="X97" s="94"/>
      <c r="Y97" s="224">
        <f t="shared" si="51"/>
        <v>0.27764767569868415</v>
      </c>
      <c r="Z97" s="224">
        <f t="shared" si="52"/>
        <v>0.59322403469335849</v>
      </c>
      <c r="AA97" s="225">
        <f t="shared" si="53"/>
        <v>1.4205793327556977</v>
      </c>
    </row>
    <row r="98" spans="2:27" s="3" customFormat="1" x14ac:dyDescent="0.2">
      <c r="B98" s="195" t="s">
        <v>329</v>
      </c>
      <c r="C98" s="114" t="s">
        <v>136</v>
      </c>
      <c r="D98" s="115" t="s">
        <v>172</v>
      </c>
      <c r="E98" s="35">
        <v>1</v>
      </c>
      <c r="F98" s="38">
        <v>14040</v>
      </c>
      <c r="G98" s="37" t="s">
        <v>63</v>
      </c>
      <c r="H98" s="38">
        <v>1</v>
      </c>
      <c r="I98" s="38">
        <f t="shared" si="40"/>
        <v>14040</v>
      </c>
      <c r="J98" s="39">
        <v>97208</v>
      </c>
      <c r="K98" s="39">
        <f t="shared" si="54"/>
        <v>97208</v>
      </c>
      <c r="L98" s="43">
        <f t="shared" si="42"/>
        <v>21228.531946625342</v>
      </c>
      <c r="M98" s="39">
        <f t="shared" si="43"/>
        <v>7188.2580827425891</v>
      </c>
      <c r="N98" s="117">
        <f t="shared" si="44"/>
        <v>68791.209970632073</v>
      </c>
      <c r="O98" s="37">
        <v>12</v>
      </c>
      <c r="P98" s="37">
        <f t="shared" si="45"/>
        <v>128539.06850539087</v>
      </c>
      <c r="Q98" s="234">
        <f t="shared" si="46"/>
        <v>40563.891227498265</v>
      </c>
      <c r="R98" s="41">
        <v>17971</v>
      </c>
      <c r="S98" s="41">
        <f t="shared" si="47"/>
        <v>17971</v>
      </c>
      <c r="T98" s="38"/>
      <c r="U98" s="213">
        <f t="shared" si="48"/>
        <v>0.13980963304745206</v>
      </c>
      <c r="V98" s="213">
        <f t="shared" si="49"/>
        <v>0.45538599204212638</v>
      </c>
      <c r="W98" s="214">
        <f t="shared" si="50"/>
        <v>1.7025237616429285</v>
      </c>
      <c r="X98" s="94"/>
      <c r="Y98" s="224">
        <f t="shared" si="51"/>
        <v>0.53517744270682188</v>
      </c>
      <c r="Z98" s="224">
        <f t="shared" si="52"/>
        <v>0.85075380170149628</v>
      </c>
      <c r="AA98" s="225">
        <f t="shared" si="53"/>
        <v>0.99055896276208411</v>
      </c>
    </row>
    <row r="99" spans="2:27" s="3" customFormat="1" x14ac:dyDescent="0.2">
      <c r="B99" s="195" t="s">
        <v>330</v>
      </c>
      <c r="C99" s="114" t="s">
        <v>136</v>
      </c>
      <c r="D99" s="115" t="s">
        <v>193</v>
      </c>
      <c r="E99" s="35">
        <v>1</v>
      </c>
      <c r="F99" s="38">
        <v>4419</v>
      </c>
      <c r="G99" s="37" t="s">
        <v>63</v>
      </c>
      <c r="H99" s="38">
        <v>1</v>
      </c>
      <c r="I99" s="38">
        <f t="shared" si="40"/>
        <v>4419</v>
      </c>
      <c r="J99" s="39">
        <v>127128</v>
      </c>
      <c r="K99" s="39">
        <f t="shared" si="54"/>
        <v>127128</v>
      </c>
      <c r="L99" s="43">
        <f t="shared" si="42"/>
        <v>8697.099824506975</v>
      </c>
      <c r="M99" s="39">
        <f t="shared" si="43"/>
        <v>3044.3546733001203</v>
      </c>
      <c r="N99" s="117">
        <f t="shared" si="44"/>
        <v>115386.54550219289</v>
      </c>
      <c r="O99" s="37">
        <v>20</v>
      </c>
      <c r="P99" s="37">
        <f t="shared" si="45"/>
        <v>57832.326073335993</v>
      </c>
      <c r="Q99" s="234">
        <f t="shared" si="46"/>
        <v>12767.224738911311</v>
      </c>
      <c r="R99" s="41">
        <v>16898</v>
      </c>
      <c r="S99" s="41">
        <f t="shared" si="47"/>
        <v>16898</v>
      </c>
      <c r="T99" s="38"/>
      <c r="U99" s="213">
        <f t="shared" si="48"/>
        <v>0.29218952698827971</v>
      </c>
      <c r="V99" s="213">
        <f t="shared" si="49"/>
        <v>0.51295230112815182</v>
      </c>
      <c r="W99" s="214">
        <f t="shared" si="50"/>
        <v>1.9427513732739397</v>
      </c>
      <c r="X99" s="94"/>
      <c r="Y99" s="224">
        <f t="shared" si="51"/>
        <v>1.995191155823018</v>
      </c>
      <c r="Z99" s="224">
        <f t="shared" si="52"/>
        <v>2.2159539299628901</v>
      </c>
      <c r="AA99" s="225">
        <f t="shared" si="53"/>
        <v>0.48066251444695346</v>
      </c>
    </row>
    <row r="100" spans="2:27" s="3" customFormat="1" x14ac:dyDescent="0.2">
      <c r="B100" s="199"/>
      <c r="C100" s="119"/>
      <c r="D100" s="120"/>
      <c r="E100" s="123"/>
      <c r="F100" s="121"/>
      <c r="G100" s="116"/>
      <c r="H100" s="126"/>
      <c r="I100" s="124"/>
      <c r="J100" s="122"/>
      <c r="K100" s="39"/>
      <c r="L100" s="110"/>
      <c r="M100" s="122"/>
      <c r="N100" s="125"/>
      <c r="O100" s="107"/>
      <c r="P100" s="107"/>
      <c r="Q100" s="235"/>
      <c r="R100" s="112"/>
      <c r="S100" s="109"/>
      <c r="T100" s="109"/>
      <c r="U100" s="215"/>
      <c r="V100" s="215"/>
      <c r="W100" s="216"/>
      <c r="X100" s="113"/>
      <c r="Y100" s="226"/>
      <c r="Z100" s="226"/>
      <c r="AA100" s="227"/>
    </row>
    <row r="101" spans="2:27" s="3" customFormat="1" x14ac:dyDescent="0.2">
      <c r="B101" s="199"/>
      <c r="C101" s="119"/>
      <c r="D101" s="120"/>
      <c r="E101" s="123"/>
      <c r="F101" s="121"/>
      <c r="G101" s="127"/>
      <c r="H101" s="126"/>
      <c r="J101" s="122"/>
      <c r="K101" s="39"/>
      <c r="L101" s="110"/>
      <c r="M101" s="122"/>
      <c r="N101" s="125"/>
      <c r="O101" s="107"/>
      <c r="P101" s="107"/>
      <c r="Q101" s="235"/>
      <c r="R101" s="112"/>
      <c r="S101" s="109"/>
      <c r="T101" s="109"/>
      <c r="U101" s="215"/>
      <c r="V101" s="215"/>
      <c r="W101" s="216"/>
      <c r="X101" s="113"/>
      <c r="Y101" s="226"/>
      <c r="Z101" s="226"/>
      <c r="AA101" s="227"/>
    </row>
    <row r="102" spans="2:27" s="3" customFormat="1" x14ac:dyDescent="0.2">
      <c r="B102" s="199"/>
      <c r="C102" s="119"/>
      <c r="D102" s="120"/>
      <c r="E102" s="123"/>
      <c r="F102" s="121"/>
      <c r="G102" s="127"/>
      <c r="H102" s="126"/>
      <c r="J102" s="122"/>
      <c r="K102" s="39"/>
      <c r="L102" s="110"/>
      <c r="M102" s="122"/>
      <c r="N102" s="125"/>
      <c r="O102" s="107"/>
      <c r="P102" s="107"/>
      <c r="Q102" s="235"/>
      <c r="R102" s="112"/>
      <c r="S102" s="109"/>
      <c r="T102" s="109"/>
      <c r="U102" s="215"/>
      <c r="V102" s="215"/>
      <c r="W102" s="216"/>
      <c r="X102" s="113"/>
      <c r="Y102" s="226"/>
      <c r="Z102" s="226"/>
      <c r="AA102" s="227"/>
    </row>
    <row r="103" spans="2:27" s="3" customFormat="1" x14ac:dyDescent="0.2">
      <c r="B103" s="199"/>
      <c r="C103" s="119"/>
      <c r="D103" s="120"/>
      <c r="E103" s="123"/>
      <c r="F103" s="121"/>
      <c r="G103" s="127"/>
      <c r="H103" s="126"/>
      <c r="I103" s="124"/>
      <c r="J103" s="122"/>
      <c r="K103" s="39"/>
      <c r="L103" s="110"/>
      <c r="M103" s="122"/>
      <c r="N103" s="125"/>
      <c r="O103" s="107"/>
      <c r="P103" s="107"/>
      <c r="Q103" s="235"/>
      <c r="R103" s="112"/>
      <c r="S103" s="109"/>
      <c r="T103" s="109"/>
      <c r="U103" s="215"/>
      <c r="V103" s="215"/>
      <c r="W103" s="216"/>
      <c r="X103" s="113"/>
      <c r="Y103" s="226"/>
      <c r="Z103" s="226"/>
      <c r="AA103" s="227"/>
    </row>
    <row r="104" spans="2:27" s="3" customFormat="1" x14ac:dyDescent="0.2">
      <c r="B104" s="199"/>
      <c r="C104" s="119"/>
      <c r="D104" s="120"/>
      <c r="E104" s="123"/>
      <c r="F104" s="121"/>
      <c r="G104" s="127"/>
      <c r="H104" s="126"/>
      <c r="I104" s="124"/>
      <c r="J104" s="122"/>
      <c r="K104" s="39"/>
      <c r="L104" s="110"/>
      <c r="M104" s="122"/>
      <c r="N104" s="125"/>
      <c r="O104" s="107"/>
      <c r="P104" s="107"/>
      <c r="Q104" s="235"/>
      <c r="R104" s="112"/>
      <c r="S104" s="204"/>
      <c r="T104" s="205"/>
      <c r="U104" s="217"/>
      <c r="V104" s="215"/>
      <c r="W104" s="216"/>
      <c r="X104" s="113"/>
      <c r="Y104" s="226"/>
      <c r="Z104" s="226"/>
      <c r="AA104" s="227"/>
    </row>
    <row r="105" spans="2:27" s="3" customFormat="1" ht="13.5" thickBot="1" x14ac:dyDescent="0.25">
      <c r="B105" s="200"/>
      <c r="C105" s="118"/>
      <c r="D105" s="128"/>
      <c r="E105" s="129"/>
      <c r="F105" s="130"/>
      <c r="G105" s="131"/>
      <c r="H105" s="132"/>
      <c r="I105" s="133"/>
      <c r="J105" s="39"/>
      <c r="K105" s="39"/>
      <c r="L105" s="39"/>
      <c r="M105" s="39"/>
      <c r="N105" s="201"/>
      <c r="O105" s="134"/>
      <c r="P105" s="202"/>
      <c r="Q105" s="234"/>
      <c r="R105" s="41"/>
      <c r="S105" s="38"/>
      <c r="T105" s="206"/>
      <c r="U105" s="218"/>
      <c r="V105" s="213"/>
      <c r="W105" s="214"/>
      <c r="X105" s="94"/>
      <c r="Y105" s="224"/>
      <c r="Z105" s="224"/>
      <c r="AA105" s="225"/>
    </row>
    <row r="106" spans="2:27" ht="13.5" thickBot="1" x14ac:dyDescent="0.25">
      <c r="B106" s="135" t="s">
        <v>2</v>
      </c>
      <c r="C106" s="136"/>
      <c r="D106" s="136"/>
      <c r="E106" s="137">
        <f>SUM(E8:E82)+SUM(E88:E99)</f>
        <v>272</v>
      </c>
      <c r="F106" s="138"/>
      <c r="G106" s="139"/>
      <c r="H106" s="140"/>
      <c r="I106" s="141">
        <f>SUM(I9:I105)</f>
        <v>384176.31420000002</v>
      </c>
      <c r="J106" s="142"/>
      <c r="K106" s="232">
        <f>SUM(K9:K105)</f>
        <v>1715568.4487999999</v>
      </c>
      <c r="L106" s="142"/>
      <c r="M106" s="142"/>
      <c r="N106" s="143">
        <f>SUM(N9:N105)</f>
        <v>924568.58133749431</v>
      </c>
      <c r="O106" s="144">
        <f>SUMPRODUCT(I9:I105,O9:O105)/SUM(I9:I105)</f>
        <v>18.750534056219543</v>
      </c>
      <c r="P106" s="233">
        <f>SUM(P9:P105)</f>
        <v>4684296.2433929723</v>
      </c>
      <c r="Q106" s="145">
        <f>SUM(Q8:Q105)</f>
        <v>1108457.479238695</v>
      </c>
      <c r="R106" s="145"/>
      <c r="S106" s="146">
        <f>SUM(S9:S105)</f>
        <v>951485.7</v>
      </c>
      <c r="T106" s="203">
        <f>S106+SUM(T9:T105)</f>
        <v>940237.29999999993</v>
      </c>
      <c r="U106" s="219">
        <f>S106/P106</f>
        <v>0.20312244370582572</v>
      </c>
      <c r="V106" s="220">
        <f>(S106+Q106)/P106</f>
        <v>0.43975510347881375</v>
      </c>
      <c r="W106" s="221">
        <f>IF($S106=0,"-",(VLOOKUP($O106,AC,7)*$I106)/($S106+$Q106))</f>
        <v>2.1490082347509634</v>
      </c>
      <c r="X106" s="147"/>
      <c r="Y106" s="228">
        <f>(N106)/P106</f>
        <v>0.19737619768210951</v>
      </c>
      <c r="Z106" s="229">
        <f>(N106+Q106)/P106</f>
        <v>0.43400885745509754</v>
      </c>
      <c r="AA106" s="230">
        <f>IF($N106=0,"-",(VLOOKUP($O106,AC,5)*$I106)/($N106+Q106))</f>
        <v>2.3263036220041982</v>
      </c>
    </row>
    <row r="107" spans="2:27" ht="13.5" thickBot="1" x14ac:dyDescent="0.25">
      <c r="B107" s="3"/>
      <c r="C107" s="96"/>
      <c r="D107" s="96"/>
      <c r="E107" s="148"/>
      <c r="F107" s="55"/>
      <c r="G107" s="55"/>
      <c r="H107" s="75"/>
      <c r="I107" s="73"/>
      <c r="J107" s="55"/>
      <c r="K107" s="55"/>
      <c r="L107" s="55"/>
      <c r="M107" s="55"/>
      <c r="N107" s="149"/>
      <c r="O107" s="150"/>
      <c r="P107" s="151"/>
      <c r="Q107" s="55"/>
      <c r="R107" s="152"/>
      <c r="S107" s="153"/>
      <c r="T107" s="153"/>
      <c r="U107" s="154"/>
      <c r="V107" s="55"/>
      <c r="W107" s="155"/>
      <c r="X107" s="55"/>
      <c r="Y107" s="156"/>
      <c r="Z107" s="156"/>
      <c r="AA107" s="3"/>
    </row>
    <row r="108" spans="2:27" x14ac:dyDescent="0.2">
      <c r="B108" s="157" t="s">
        <v>17</v>
      </c>
      <c r="C108" s="236">
        <v>4.4299999999999999E-2</v>
      </c>
      <c r="D108" s="158"/>
      <c r="E108" s="159"/>
      <c r="F108" s="160"/>
      <c r="G108" s="161"/>
      <c r="H108" s="162"/>
      <c r="I108" s="73"/>
      <c r="J108" s="162"/>
      <c r="K108" s="124"/>
      <c r="L108" s="162"/>
      <c r="M108" s="162"/>
      <c r="N108" s="163"/>
      <c r="O108" s="73"/>
      <c r="P108" s="164"/>
      <c r="Q108" s="164"/>
      <c r="R108" s="164"/>
      <c r="S108" s="165"/>
      <c r="T108" s="165"/>
      <c r="U108" s="166"/>
      <c r="V108" s="167"/>
      <c r="W108" s="168"/>
      <c r="X108" s="162"/>
      <c r="Y108" s="160"/>
      <c r="Z108" s="160"/>
      <c r="AA108" s="160"/>
    </row>
    <row r="109" spans="2:27" x14ac:dyDescent="0.2">
      <c r="B109" s="169" t="s">
        <v>18</v>
      </c>
      <c r="C109" s="237">
        <v>0.02</v>
      </c>
      <c r="D109" s="158"/>
      <c r="E109" s="170"/>
      <c r="F109" s="1"/>
      <c r="G109" s="160"/>
      <c r="H109" s="45"/>
      <c r="I109" s="171"/>
      <c r="J109" s="3"/>
      <c r="K109" s="124"/>
      <c r="L109" s="3"/>
      <c r="M109" s="3"/>
      <c r="N109" s="3"/>
      <c r="O109" s="3"/>
      <c r="P109" s="172"/>
      <c r="Q109" s="55"/>
      <c r="R109" s="207"/>
      <c r="S109" s="208"/>
      <c r="T109" s="153"/>
    </row>
    <row r="110" spans="2:27" ht="13.5" thickBot="1" x14ac:dyDescent="0.25">
      <c r="B110" s="173" t="s">
        <v>19</v>
      </c>
      <c r="C110" s="238">
        <v>4.4299999999999999E-2</v>
      </c>
      <c r="D110" s="158"/>
      <c r="E110" s="159"/>
      <c r="F110" s="1"/>
      <c r="G110" s="160"/>
      <c r="H110" s="45"/>
      <c r="I110" s="45"/>
      <c r="R110" s="209"/>
    </row>
    <row r="111" spans="2:27" x14ac:dyDescent="0.2">
      <c r="C111" s="174"/>
      <c r="I111" s="45"/>
    </row>
    <row r="112" spans="2:27" s="52" customFormat="1" ht="12.75" customHeight="1" x14ac:dyDescent="0.2">
      <c r="B112" s="48" t="s">
        <v>318</v>
      </c>
      <c r="C112" s="174"/>
      <c r="E112" s="53"/>
      <c r="G112" s="2"/>
      <c r="H112" s="48"/>
      <c r="I112" s="175"/>
      <c r="S112" s="176"/>
      <c r="T112" s="176"/>
    </row>
    <row r="113" spans="2:28" s="52" customFormat="1" x14ac:dyDescent="0.2">
      <c r="B113" s="239">
        <v>1107829.05</v>
      </c>
      <c r="E113" s="53"/>
      <c r="G113" s="177"/>
      <c r="H113" s="48"/>
      <c r="I113" s="175"/>
      <c r="S113" s="176"/>
      <c r="T113" s="176"/>
    </row>
    <row r="114" spans="2:28" s="52" customFormat="1" ht="16.899999999999999" customHeight="1" x14ac:dyDescent="0.2">
      <c r="B114" s="48" t="s">
        <v>97</v>
      </c>
      <c r="E114" s="53"/>
      <c r="G114" s="2"/>
      <c r="H114" s="48"/>
      <c r="I114" s="175"/>
      <c r="S114" s="176"/>
      <c r="T114" s="176"/>
    </row>
    <row r="115" spans="2:28" s="52" customFormat="1" ht="14.45" customHeight="1" x14ac:dyDescent="0.2">
      <c r="B115" s="240">
        <f>B113*0.4</f>
        <v>443131.62000000005</v>
      </c>
      <c r="E115" s="53"/>
      <c r="G115" s="178"/>
      <c r="H115" s="48"/>
      <c r="I115" s="176"/>
      <c r="S115" s="176"/>
      <c r="T115" s="176"/>
    </row>
    <row r="116" spans="2:28" s="52" customFormat="1" ht="16.899999999999999" customHeight="1" x14ac:dyDescent="0.2">
      <c r="B116" s="48" t="s">
        <v>98</v>
      </c>
      <c r="E116" s="53"/>
      <c r="G116" s="2"/>
      <c r="H116" s="48"/>
      <c r="I116" s="175"/>
      <c r="S116" s="176"/>
      <c r="T116" s="176"/>
    </row>
    <row r="117" spans="2:28" s="52" customFormat="1" ht="14.45" customHeight="1" x14ac:dyDescent="0.2">
      <c r="B117" s="240">
        <f>B113*0.6</f>
        <v>664697.43000000005</v>
      </c>
      <c r="E117" s="53"/>
      <c r="G117" s="178"/>
      <c r="H117" s="48"/>
      <c r="I117" s="175"/>
      <c r="S117" s="176"/>
      <c r="T117" s="176"/>
    </row>
    <row r="118" spans="2:28" s="52" customFormat="1" x14ac:dyDescent="0.2">
      <c r="E118" s="53"/>
      <c r="G118" s="2"/>
      <c r="H118" s="48"/>
      <c r="I118" s="175"/>
      <c r="S118" s="176"/>
      <c r="T118" s="176"/>
    </row>
    <row r="119" spans="2:28" s="52" customFormat="1" ht="18" customHeight="1" x14ac:dyDescent="0.2">
      <c r="B119" s="179"/>
      <c r="C119" s="177"/>
      <c r="E119" s="53"/>
      <c r="G119" s="2"/>
      <c r="H119" s="48"/>
      <c r="I119" s="175"/>
      <c r="S119" s="176"/>
      <c r="T119" s="176"/>
      <c r="U119" s="180"/>
    </row>
    <row r="120" spans="2:28" x14ac:dyDescent="0.2">
      <c r="B120" s="52"/>
      <c r="C120" s="181"/>
      <c r="I120" s="182"/>
    </row>
    <row r="121" spans="2:28" x14ac:dyDescent="0.2">
      <c r="B121" s="52"/>
      <c r="C121" s="178"/>
      <c r="I121" s="182"/>
    </row>
    <row r="122" spans="2:28" x14ac:dyDescent="0.2">
      <c r="B122" s="183"/>
      <c r="I122" s="182"/>
    </row>
    <row r="123" spans="2:28" x14ac:dyDescent="0.2">
      <c r="I123" s="182"/>
    </row>
    <row r="124" spans="2:28" x14ac:dyDescent="0.2">
      <c r="I124" s="182"/>
    </row>
    <row r="125" spans="2:28" x14ac:dyDescent="0.2">
      <c r="I125" s="182"/>
      <c r="AA125" s="3"/>
      <c r="AB125" s="3"/>
    </row>
    <row r="126" spans="2:28" s="3" customFormat="1" x14ac:dyDescent="0.2">
      <c r="B126" s="1"/>
      <c r="C126" s="52"/>
      <c r="D126" s="52"/>
      <c r="E126" s="53"/>
      <c r="F126" s="2"/>
      <c r="G126" s="2"/>
      <c r="H126" s="50"/>
      <c r="I126" s="50"/>
      <c r="J126" s="1"/>
      <c r="K126" s="1"/>
      <c r="L126" s="1"/>
      <c r="M126" s="1"/>
      <c r="N126" s="1"/>
      <c r="O126" s="1"/>
      <c r="P126" s="1"/>
      <c r="Q126" s="2"/>
      <c r="R126" s="2"/>
      <c r="S126" s="54"/>
      <c r="T126" s="54"/>
      <c r="U126" s="2"/>
      <c r="V126" s="2"/>
      <c r="W126" s="2"/>
      <c r="X126" s="2"/>
      <c r="Y126" s="2"/>
      <c r="Z126" s="2"/>
      <c r="AA126" s="1"/>
    </row>
  </sheetData>
  <mergeCells count="2">
    <mergeCell ref="C2:AA2"/>
    <mergeCell ref="C1:AA1"/>
  </mergeCells>
  <phoneticPr fontId="0" type="noConversion"/>
  <printOptions horizontalCentered="1" verticalCentered="1"/>
  <pageMargins left="0.25" right="0.02" top="0.73" bottom="0.72" header="0.5" footer="0.5"/>
  <pageSetup paperSize="5" scale="39" orientation="landscape" horizontalDpi="1200" verticalDpi="1200" r:id="rId1"/>
  <headerFooter alignWithMargins="0">
    <oddHeader>&amp;C&amp;c</oddHeader>
    <oddFooter>&amp;C&amp;14Appendix A&amp;R&amp;14Page 3 of 4</oddFooter>
  </headerFooter>
  <ignoredErrors>
    <ignoredError sqref="S8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59"/>
  <sheetViews>
    <sheetView zoomScale="80" zoomScaleNormal="80" workbookViewId="0">
      <selection activeCell="G45" sqref="G45"/>
    </sheetView>
  </sheetViews>
  <sheetFormatPr defaultColWidth="10.6640625" defaultRowHeight="12.75" x14ac:dyDescent="0.2"/>
  <cols>
    <col min="1" max="1" width="7.33203125" style="8" bestFit="1" customWidth="1"/>
    <col min="2" max="2" width="7.6640625" style="8" bestFit="1" customWidth="1"/>
    <col min="3" max="3" width="18" style="8" customWidth="1"/>
    <col min="4" max="4" width="12.33203125" style="8" bestFit="1" customWidth="1"/>
    <col min="5" max="5" width="13.5" style="8" bestFit="1" customWidth="1"/>
    <col min="6" max="6" width="20.33203125" style="8" bestFit="1" customWidth="1"/>
    <col min="7" max="7" width="20.33203125" style="8" customWidth="1"/>
    <col min="8" max="8" width="21.83203125" style="8" bestFit="1" customWidth="1"/>
    <col min="9" max="9" width="19.33203125" style="8" bestFit="1" customWidth="1"/>
    <col min="10" max="16384" width="10.6640625" style="8"/>
  </cols>
  <sheetData>
    <row r="1" spans="1:11" s="6" customFormat="1" x14ac:dyDescent="0.2">
      <c r="A1" s="242" t="s">
        <v>3</v>
      </c>
      <c r="B1" s="242"/>
      <c r="C1" s="242"/>
      <c r="D1" s="242"/>
      <c r="E1" s="242"/>
      <c r="F1" s="242"/>
      <c r="G1" s="242"/>
      <c r="H1" s="242"/>
      <c r="I1" s="242"/>
      <c r="J1" s="5"/>
      <c r="K1" s="5"/>
    </row>
    <row r="2" spans="1:11" s="6" customFormat="1" x14ac:dyDescent="0.2">
      <c r="A2" s="242" t="s">
        <v>119</v>
      </c>
      <c r="B2" s="242"/>
      <c r="C2" s="242"/>
      <c r="D2" s="242"/>
      <c r="E2" s="242"/>
      <c r="F2" s="242"/>
      <c r="G2" s="242"/>
      <c r="H2" s="242"/>
      <c r="I2" s="242"/>
      <c r="J2" s="5"/>
      <c r="K2" s="5"/>
    </row>
    <row r="3" spans="1:11" s="6" customFormat="1" x14ac:dyDescent="0.2">
      <c r="A3" s="242" t="s">
        <v>73</v>
      </c>
      <c r="B3" s="242"/>
      <c r="C3" s="242"/>
      <c r="D3" s="242"/>
      <c r="E3" s="242"/>
      <c r="F3" s="242"/>
      <c r="G3" s="242"/>
      <c r="H3" s="242"/>
      <c r="I3" s="242"/>
      <c r="J3" s="5"/>
      <c r="K3" s="5"/>
    </row>
    <row r="4" spans="1:11" s="6" customFormat="1" x14ac:dyDescent="0.2">
      <c r="A4" s="242" t="s">
        <v>38</v>
      </c>
      <c r="B4" s="242"/>
      <c r="C4" s="242"/>
      <c r="D4" s="242"/>
      <c r="E4" s="242"/>
      <c r="F4" s="242"/>
      <c r="G4" s="242"/>
      <c r="H4" s="242"/>
      <c r="I4" s="242"/>
      <c r="J4" s="5"/>
      <c r="K4" s="5"/>
    </row>
    <row r="5" spans="1:1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1" customFormat="1" x14ac:dyDescent="0.2">
      <c r="A6" s="9"/>
      <c r="B6" s="9"/>
      <c r="C6" s="9" t="s">
        <v>39</v>
      </c>
      <c r="D6" s="9"/>
      <c r="E6" s="9" t="s">
        <v>10</v>
      </c>
      <c r="F6" s="9" t="s">
        <v>40</v>
      </c>
      <c r="G6" s="10" t="s">
        <v>71</v>
      </c>
      <c r="H6" s="9" t="s">
        <v>41</v>
      </c>
      <c r="I6" s="9"/>
      <c r="J6" s="9"/>
      <c r="K6" s="9"/>
    </row>
    <row r="7" spans="1:11" s="11" customFormat="1" x14ac:dyDescent="0.2">
      <c r="A7" s="9"/>
      <c r="B7" s="9"/>
      <c r="C7" s="9" t="s">
        <v>42</v>
      </c>
      <c r="D7" s="9" t="s">
        <v>43</v>
      </c>
      <c r="E7" s="9" t="s">
        <v>42</v>
      </c>
      <c r="F7" s="9" t="s">
        <v>10</v>
      </c>
      <c r="G7" s="10" t="s">
        <v>72</v>
      </c>
      <c r="H7" s="9" t="s">
        <v>74</v>
      </c>
      <c r="I7" s="9" t="s">
        <v>44</v>
      </c>
      <c r="J7" s="9"/>
      <c r="K7" s="9"/>
    </row>
    <row r="8" spans="1:11" s="11" customFormat="1" x14ac:dyDescent="0.2">
      <c r="A8" s="9"/>
      <c r="B8" s="9"/>
      <c r="C8" s="9" t="s">
        <v>45</v>
      </c>
      <c r="D8" s="9" t="s">
        <v>45</v>
      </c>
      <c r="E8" s="9" t="s">
        <v>46</v>
      </c>
      <c r="F8" s="9" t="s">
        <v>42</v>
      </c>
      <c r="G8" s="10" t="s">
        <v>0</v>
      </c>
      <c r="H8" s="9" t="s">
        <v>47</v>
      </c>
      <c r="I8" s="9" t="s">
        <v>48</v>
      </c>
      <c r="J8" s="9"/>
      <c r="K8" s="9"/>
    </row>
    <row r="9" spans="1:11" s="11" customFormat="1" x14ac:dyDescent="0.2">
      <c r="A9" s="14"/>
      <c r="B9" s="12" t="s">
        <v>49</v>
      </c>
      <c r="C9" s="12" t="s">
        <v>50</v>
      </c>
      <c r="D9" s="12" t="s">
        <v>9</v>
      </c>
      <c r="E9" s="12" t="s">
        <v>51</v>
      </c>
      <c r="F9" s="12" t="s">
        <v>52</v>
      </c>
      <c r="G9" s="13"/>
      <c r="H9" s="12" t="s">
        <v>53</v>
      </c>
      <c r="I9" s="12" t="s">
        <v>54</v>
      </c>
      <c r="J9" s="9"/>
      <c r="K9" s="9"/>
    </row>
    <row r="10" spans="1:11" x14ac:dyDescent="0.2">
      <c r="A10" s="14">
        <v>2019</v>
      </c>
      <c r="B10" s="14">
        <v>1</v>
      </c>
      <c r="C10" s="15">
        <v>0.31556297476325346</v>
      </c>
      <c r="D10" s="16">
        <v>0.31556297476325346</v>
      </c>
      <c r="E10" s="17"/>
      <c r="F10" s="18">
        <v>0.52449999999999997</v>
      </c>
      <c r="G10" s="19" t="s">
        <v>120</v>
      </c>
      <c r="H10" s="4">
        <v>0.55072500000000002</v>
      </c>
      <c r="I10" s="187">
        <v>0.57512211749999986</v>
      </c>
      <c r="J10" s="20"/>
      <c r="K10" s="7"/>
    </row>
    <row r="11" spans="1:11" x14ac:dyDescent="0.2">
      <c r="A11" s="14">
        <f>A10+1</f>
        <v>2020</v>
      </c>
      <c r="B11" s="14">
        <v>2</v>
      </c>
      <c r="C11" s="15">
        <v>0.50433702880809039</v>
      </c>
      <c r="D11" s="16">
        <v>0.52667915918428876</v>
      </c>
      <c r="E11" s="21"/>
      <c r="F11" s="18">
        <v>1.0511791591842887</v>
      </c>
      <c r="G11" s="19" t="s">
        <v>120</v>
      </c>
      <c r="H11" s="4">
        <v>1.0942050000000001</v>
      </c>
      <c r="I11" s="187">
        <v>0.58372006524015552</v>
      </c>
      <c r="J11" s="22"/>
      <c r="K11" s="7"/>
    </row>
    <row r="12" spans="1:11" x14ac:dyDescent="0.2">
      <c r="A12" s="14">
        <f t="shared" ref="A12:A39" si="0">A11+1</f>
        <v>2021</v>
      </c>
      <c r="B12" s="14">
        <v>3</v>
      </c>
      <c r="C12" s="15">
        <v>0.49228077956990179</v>
      </c>
      <c r="D12" s="16">
        <v>0.53686295274689322</v>
      </c>
      <c r="E12" s="21"/>
      <c r="F12" s="18">
        <v>1.5880421119311818</v>
      </c>
      <c r="G12" s="19" t="s">
        <v>120</v>
      </c>
      <c r="H12" s="4">
        <v>1.6325400000000001</v>
      </c>
      <c r="I12" s="187">
        <v>0.59309077590114934</v>
      </c>
      <c r="J12" s="22"/>
      <c r="K12" s="7"/>
    </row>
    <row r="13" spans="1:11" x14ac:dyDescent="0.2">
      <c r="A13" s="14">
        <f t="shared" si="0"/>
        <v>2022</v>
      </c>
      <c r="B13" s="14">
        <v>4</v>
      </c>
      <c r="C13" s="15">
        <v>0.56317576185891938</v>
      </c>
      <c r="D13" s="16">
        <v>0.64138646255992071</v>
      </c>
      <c r="E13" s="21"/>
      <c r="F13" s="18">
        <v>2.2294285744911027</v>
      </c>
      <c r="G13" s="19" t="s">
        <v>120</v>
      </c>
      <c r="H13" s="4">
        <v>2.1652049999999998</v>
      </c>
      <c r="I13" s="187">
        <v>0.60254897347797243</v>
      </c>
      <c r="J13" s="22"/>
      <c r="K13" s="7"/>
    </row>
    <row r="14" spans="1:11" x14ac:dyDescent="0.2">
      <c r="A14" s="14">
        <f t="shared" si="0"/>
        <v>2023</v>
      </c>
      <c r="B14" s="14">
        <v>5</v>
      </c>
      <c r="C14" s="15">
        <v>0.55160362014714803</v>
      </c>
      <c r="D14" s="16">
        <v>0.65603682753570047</v>
      </c>
      <c r="E14" s="21"/>
      <c r="F14" s="18">
        <v>2.8854654020268029</v>
      </c>
      <c r="G14" s="23" t="s">
        <v>121</v>
      </c>
      <c r="H14" s="4">
        <v>2.7731775000000001</v>
      </c>
      <c r="I14" s="187">
        <v>0.63047491809421263</v>
      </c>
      <c r="J14" s="22"/>
      <c r="K14" s="7"/>
    </row>
    <row r="15" spans="1:11" x14ac:dyDescent="0.2">
      <c r="A15" s="14">
        <f t="shared" si="0"/>
        <v>2024</v>
      </c>
      <c r="B15" s="14">
        <v>6</v>
      </c>
      <c r="C15" s="15">
        <v>0.54311984730374618</v>
      </c>
      <c r="D15" s="16">
        <v>0.6745622968070849</v>
      </c>
      <c r="E15" s="21"/>
      <c r="F15" s="18">
        <v>3.5600276988338879</v>
      </c>
      <c r="G15" s="23" t="s">
        <v>121</v>
      </c>
      <c r="H15" s="4">
        <v>3.3507750000000001</v>
      </c>
      <c r="I15" s="187">
        <v>0.64817631140853049</v>
      </c>
      <c r="J15" s="22"/>
      <c r="K15" s="7"/>
    </row>
    <row r="16" spans="1:11" x14ac:dyDescent="0.2">
      <c r="A16" s="14">
        <f t="shared" si="0"/>
        <v>2025</v>
      </c>
      <c r="B16" s="14">
        <v>7</v>
      </c>
      <c r="C16" s="15">
        <v>0.5176150545297471</v>
      </c>
      <c r="D16" s="16">
        <v>0.67136479975404451</v>
      </c>
      <c r="E16" s="21"/>
      <c r="F16" s="18">
        <v>4.2313924985879323</v>
      </c>
      <c r="G16" s="23" t="s">
        <v>121</v>
      </c>
      <c r="H16" s="4">
        <v>3.9210625000000001</v>
      </c>
      <c r="I16" s="187">
        <v>0.66370651597160302</v>
      </c>
      <c r="J16" s="22"/>
      <c r="K16" s="7"/>
    </row>
    <row r="17" spans="1:11" x14ac:dyDescent="0.2">
      <c r="A17" s="14">
        <f t="shared" si="0"/>
        <v>2026</v>
      </c>
      <c r="B17" s="14">
        <v>8</v>
      </c>
      <c r="C17" s="15">
        <v>0.50785774243059956</v>
      </c>
      <c r="D17" s="16">
        <v>0.6878900439355039</v>
      </c>
      <c r="E17" s="21"/>
      <c r="F17" s="18">
        <v>4.9192825425234359</v>
      </c>
      <c r="G17" s="23" t="s">
        <v>121</v>
      </c>
      <c r="H17" s="4">
        <v>4.5102700000000002</v>
      </c>
      <c r="I17" s="187">
        <v>0.6818462241914951</v>
      </c>
      <c r="J17" s="22"/>
      <c r="K17" s="7"/>
    </row>
    <row r="18" spans="1:11" x14ac:dyDescent="0.2">
      <c r="A18" s="14">
        <f t="shared" si="0"/>
        <v>2027</v>
      </c>
      <c r="B18" s="14">
        <v>9</v>
      </c>
      <c r="C18" s="15">
        <v>0.47789440756542234</v>
      </c>
      <c r="D18" s="16">
        <v>0.67598050673779686</v>
      </c>
      <c r="E18" s="21"/>
      <c r="F18" s="18">
        <v>5.5952630492612325</v>
      </c>
      <c r="G18" s="23" t="s">
        <v>121</v>
      </c>
      <c r="H18" s="4">
        <v>5.1028099999999998</v>
      </c>
      <c r="I18" s="187">
        <v>0.69980446701720522</v>
      </c>
      <c r="J18" s="22"/>
      <c r="K18" s="7"/>
    </row>
    <row r="19" spans="1:11" x14ac:dyDescent="0.2">
      <c r="A19" s="14">
        <f t="shared" si="0"/>
        <v>2028</v>
      </c>
      <c r="B19" s="14">
        <v>10</v>
      </c>
      <c r="C19" s="15">
        <v>0.46958916400847045</v>
      </c>
      <c r="D19" s="16">
        <v>0.6936582706545652</v>
      </c>
      <c r="E19" s="21"/>
      <c r="F19" s="18">
        <v>6.2889213199157981</v>
      </c>
      <c r="G19" s="19" t="s">
        <v>122</v>
      </c>
      <c r="H19" s="4">
        <v>5.8297800000000004</v>
      </c>
      <c r="I19" s="187">
        <v>0.73422714701143033</v>
      </c>
      <c r="J19" s="22"/>
      <c r="K19" s="7"/>
    </row>
    <row r="20" spans="1:11" x14ac:dyDescent="0.2">
      <c r="A20" s="14">
        <f t="shared" si="0"/>
        <v>2029</v>
      </c>
      <c r="B20" s="14">
        <v>11</v>
      </c>
      <c r="C20" s="15">
        <v>0.45766623322992833</v>
      </c>
      <c r="D20" s="16">
        <v>0.70599504219039466</v>
      </c>
      <c r="E20" s="21"/>
      <c r="F20" s="18">
        <v>6.9949163621061929</v>
      </c>
      <c r="G20" s="19" t="s">
        <v>122</v>
      </c>
      <c r="H20" s="4">
        <v>6.4518300000000002</v>
      </c>
      <c r="I20" s="187">
        <v>0.75364979653731545</v>
      </c>
      <c r="J20" s="22"/>
      <c r="K20" s="7"/>
    </row>
    <row r="21" spans="1:11" x14ac:dyDescent="0.2">
      <c r="A21" s="14">
        <f t="shared" si="0"/>
        <v>2030</v>
      </c>
      <c r="B21" s="14">
        <v>12</v>
      </c>
      <c r="C21" s="15">
        <v>0.44717748162136667</v>
      </c>
      <c r="D21" s="16">
        <v>0.72037392390254917</v>
      </c>
      <c r="E21" s="21"/>
      <c r="F21" s="18">
        <v>7.7152902860087424</v>
      </c>
      <c r="G21" s="19" t="s">
        <v>122</v>
      </c>
      <c r="H21" s="4">
        <v>7.0980800000000004</v>
      </c>
      <c r="I21" s="187">
        <v>0.77530547217105694</v>
      </c>
      <c r="J21" s="22"/>
      <c r="K21" s="7"/>
    </row>
    <row r="22" spans="1:11" x14ac:dyDescent="0.2">
      <c r="A22" s="14">
        <f t="shared" si="0"/>
        <v>2031</v>
      </c>
      <c r="B22" s="14">
        <v>13</v>
      </c>
      <c r="C22" s="15">
        <v>0.43436293236281071</v>
      </c>
      <c r="D22" s="16">
        <v>0.73072857791838797</v>
      </c>
      <c r="E22" s="21"/>
      <c r="F22" s="18">
        <v>8.4460188639271312</v>
      </c>
      <c r="G22" s="19" t="s">
        <v>122</v>
      </c>
      <c r="H22" s="4">
        <v>7.7465299999999999</v>
      </c>
      <c r="I22" s="187">
        <v>0.79660645246020456</v>
      </c>
      <c r="J22" s="22"/>
      <c r="K22" s="7"/>
    </row>
    <row r="23" spans="1:11" x14ac:dyDescent="0.2">
      <c r="A23" s="14">
        <f t="shared" si="0"/>
        <v>2032</v>
      </c>
      <c r="B23" s="14">
        <v>14</v>
      </c>
      <c r="C23" s="15">
        <v>0.42442899674443824</v>
      </c>
      <c r="D23" s="16">
        <v>0.74564766301153262</v>
      </c>
      <c r="E23" s="21"/>
      <c r="F23" s="18">
        <v>9.191666526938663</v>
      </c>
      <c r="G23" s="19" t="s">
        <v>122</v>
      </c>
      <c r="H23" s="4">
        <v>8.4206099999999999</v>
      </c>
      <c r="I23" s="187">
        <v>0.81996498730114231</v>
      </c>
      <c r="J23" s="22"/>
      <c r="K23" s="7"/>
    </row>
    <row r="24" spans="1:11" x14ac:dyDescent="0.2">
      <c r="A24" s="14">
        <f t="shared" si="0"/>
        <v>2033</v>
      </c>
      <c r="B24" s="14">
        <v>15</v>
      </c>
      <c r="C24" s="15">
        <v>0.41475224885854761</v>
      </c>
      <c r="D24" s="16">
        <v>0.76092638171493987</v>
      </c>
      <c r="E24" s="21"/>
      <c r="F24" s="18">
        <v>9.9525929086536031</v>
      </c>
      <c r="G24" s="23" t="s">
        <v>123</v>
      </c>
      <c r="H24" s="4">
        <v>9.3232125000000003</v>
      </c>
      <c r="I24" s="187">
        <v>0.86394714468836109</v>
      </c>
      <c r="J24" s="22"/>
      <c r="K24" s="7"/>
    </row>
    <row r="25" spans="1:11" x14ac:dyDescent="0.2">
      <c r="A25" s="14">
        <f t="shared" si="0"/>
        <v>2034</v>
      </c>
      <c r="B25" s="14">
        <v>16</v>
      </c>
      <c r="C25" s="15">
        <v>0.40369945905691779</v>
      </c>
      <c r="D25" s="16">
        <v>0.77345907166475891</v>
      </c>
      <c r="E25" s="21"/>
      <c r="F25" s="18">
        <v>10.726051980318362</v>
      </c>
      <c r="G25" s="23" t="s">
        <v>123</v>
      </c>
      <c r="H25" s="4">
        <v>10.035337500000001</v>
      </c>
      <c r="I25" s="187">
        <v>0.88877396125468733</v>
      </c>
      <c r="J25" s="22"/>
      <c r="K25" s="7"/>
    </row>
    <row r="26" spans="1:11" x14ac:dyDescent="0.2">
      <c r="A26" s="14">
        <f t="shared" si="0"/>
        <v>2035</v>
      </c>
      <c r="B26" s="14">
        <v>17</v>
      </c>
      <c r="C26" s="15">
        <v>0.39196314917160363</v>
      </c>
      <c r="D26" s="16">
        <v>0.78424125812319956</v>
      </c>
      <c r="E26" s="21"/>
      <c r="F26" s="18">
        <v>11.510293238441561</v>
      </c>
      <c r="G26" s="23" t="s">
        <v>123</v>
      </c>
      <c r="H26" s="4">
        <v>10.778287499999999</v>
      </c>
      <c r="I26" s="187">
        <v>0.91575698828830043</v>
      </c>
      <c r="J26" s="22"/>
      <c r="K26" s="7"/>
    </row>
    <row r="27" spans="1:11" x14ac:dyDescent="0.2">
      <c r="A27" s="14">
        <f t="shared" si="0"/>
        <v>2036</v>
      </c>
      <c r="B27" s="14">
        <v>18</v>
      </c>
      <c r="C27" s="15">
        <v>0.38301839622149897</v>
      </c>
      <c r="D27" s="16">
        <v>0.8002936289341267</v>
      </c>
      <c r="E27" s="21"/>
      <c r="F27" s="18">
        <v>12.310586867375687</v>
      </c>
      <c r="G27" s="23" t="s">
        <v>123</v>
      </c>
      <c r="H27" s="4">
        <v>11.522925000000001</v>
      </c>
      <c r="I27" s="187">
        <v>0.94233107503434843</v>
      </c>
      <c r="J27" s="22"/>
      <c r="K27" s="7"/>
    </row>
    <row r="28" spans="1:11" x14ac:dyDescent="0.2">
      <c r="A28" s="14">
        <f t="shared" si="0"/>
        <v>2037</v>
      </c>
      <c r="B28" s="14">
        <v>19</v>
      </c>
      <c r="C28" s="15">
        <v>0.37016343023976706</v>
      </c>
      <c r="D28" s="16">
        <v>0.80769708427216569</v>
      </c>
      <c r="E28" s="21"/>
      <c r="F28" s="18">
        <v>13.118283951647852</v>
      </c>
      <c r="G28" s="23" t="s">
        <v>123</v>
      </c>
      <c r="H28" s="4">
        <v>12.27735</v>
      </c>
      <c r="I28" s="187">
        <v>0.96924199555411861</v>
      </c>
      <c r="J28" s="22"/>
      <c r="K28" s="7"/>
    </row>
    <row r="29" spans="1:11" x14ac:dyDescent="0.2">
      <c r="A29" s="14">
        <f t="shared" si="0"/>
        <v>2038</v>
      </c>
      <c r="B29" s="14">
        <v>20</v>
      </c>
      <c r="C29" s="15">
        <v>0.3603999134660974</v>
      </c>
      <c r="D29" s="16">
        <v>0.82123029138140868</v>
      </c>
      <c r="E29" s="21"/>
      <c r="F29" s="18">
        <v>13.939514243029262</v>
      </c>
      <c r="G29" s="23" t="s">
        <v>123</v>
      </c>
      <c r="H29" s="4">
        <v>13.0419</v>
      </c>
      <c r="I29" s="187">
        <v>0.99653878744074376</v>
      </c>
      <c r="J29" s="22"/>
      <c r="K29" s="7"/>
    </row>
    <row r="30" spans="1:11" x14ac:dyDescent="0.2">
      <c r="A30" s="14">
        <f t="shared" si="0"/>
        <v>2039</v>
      </c>
      <c r="B30" s="14">
        <v>21</v>
      </c>
      <c r="C30" s="15">
        <v>0.35201370462072151</v>
      </c>
      <c r="D30" s="16">
        <v>0.83765489720903685</v>
      </c>
      <c r="E30" s="21"/>
      <c r="F30" s="18">
        <v>14.777169140238298</v>
      </c>
      <c r="G30" s="19" t="s">
        <v>124</v>
      </c>
      <c r="H30" s="4">
        <v>14.1210754</v>
      </c>
      <c r="I30" s="187">
        <v>1.0468114019284211</v>
      </c>
      <c r="J30" s="22"/>
      <c r="K30" s="7"/>
    </row>
    <row r="31" spans="1:11" x14ac:dyDescent="0.2">
      <c r="A31" s="14">
        <f t="shared" si="0"/>
        <v>2040</v>
      </c>
      <c r="B31" s="14">
        <v>22</v>
      </c>
      <c r="C31" s="15">
        <v>0.34382263594095175</v>
      </c>
      <c r="D31" s="16">
        <v>0.85440799515321764</v>
      </c>
      <c r="E31" s="21"/>
      <c r="F31" s="18">
        <v>15.631577135391515</v>
      </c>
      <c r="G31" s="19" t="s">
        <v>124</v>
      </c>
      <c r="H31" s="4">
        <v>14.918324353999999</v>
      </c>
      <c r="I31" s="187">
        <v>1.0751985965739619</v>
      </c>
      <c r="J31" s="22"/>
      <c r="K31" s="7"/>
    </row>
    <row r="32" spans="1:11" x14ac:dyDescent="0.2">
      <c r="A32" s="14">
        <f t="shared" si="0"/>
        <v>2041</v>
      </c>
      <c r="B32" s="14">
        <v>23</v>
      </c>
      <c r="C32" s="15">
        <v>0.33582216667602299</v>
      </c>
      <c r="D32" s="16">
        <v>0.87149615505628197</v>
      </c>
      <c r="E32" s="21"/>
      <c r="F32" s="18">
        <v>16.503073290447798</v>
      </c>
      <c r="G32" s="19" t="s">
        <v>124</v>
      </c>
      <c r="H32" s="4">
        <v>15.72354579754</v>
      </c>
      <c r="I32" s="187">
        <v>1.1038760704592747</v>
      </c>
      <c r="J32" s="22"/>
      <c r="K32" s="7"/>
    </row>
    <row r="33" spans="1:11" x14ac:dyDescent="0.2">
      <c r="A33" s="14">
        <f t="shared" si="0"/>
        <v>2042</v>
      </c>
      <c r="B33" s="14">
        <v>24</v>
      </c>
      <c r="C33" s="15">
        <v>0.32800786173469643</v>
      </c>
      <c r="D33" s="16">
        <v>0.88892607815740765</v>
      </c>
      <c r="E33" s="21"/>
      <c r="F33" s="18">
        <v>17.391999368605205</v>
      </c>
      <c r="G33" s="19" t="s">
        <v>124</v>
      </c>
      <c r="H33" s="4">
        <v>16.536819455515399</v>
      </c>
      <c r="I33" s="187">
        <v>1.1328697988333412</v>
      </c>
      <c r="J33" s="22"/>
      <c r="K33" s="7"/>
    </row>
    <row r="34" spans="1:11" x14ac:dyDescent="0.2">
      <c r="A34" s="14">
        <f t="shared" si="0"/>
        <v>2043</v>
      </c>
      <c r="B34" s="14">
        <v>25</v>
      </c>
      <c r="C34" s="15">
        <v>0.32037538922664982</v>
      </c>
      <c r="D34" s="16">
        <v>0.90670459972055584</v>
      </c>
      <c r="E34" s="21"/>
      <c r="F34" s="18">
        <v>18.298703968325761</v>
      </c>
      <c r="G34" s="19" t="s">
        <v>124</v>
      </c>
      <c r="H34" s="4">
        <v>17.3582258500706</v>
      </c>
      <c r="I34" s="187">
        <v>1.1622022179676732</v>
      </c>
      <c r="J34" s="22"/>
      <c r="K34" s="7"/>
    </row>
    <row r="35" spans="1:11" x14ac:dyDescent="0.2">
      <c r="A35" s="14">
        <f t="shared" si="0"/>
        <v>2044</v>
      </c>
      <c r="B35" s="14">
        <v>26</v>
      </c>
      <c r="C35" s="15">
        <v>0.31292051806107712</v>
      </c>
      <c r="D35" s="16">
        <v>0.92483869171496702</v>
      </c>
      <c r="E35" s="21"/>
      <c r="F35" s="18">
        <v>19.223542660040728</v>
      </c>
      <c r="G35" s="23" t="s">
        <v>125</v>
      </c>
      <c r="H35" s="4">
        <v>18.5832342718011</v>
      </c>
      <c r="I35" s="187">
        <v>1.2178036163920174</v>
      </c>
      <c r="J35" s="22"/>
      <c r="K35" s="7"/>
    </row>
    <row r="36" spans="1:11" x14ac:dyDescent="0.2">
      <c r="A36" s="14">
        <f t="shared" si="0"/>
        <v>2045</v>
      </c>
      <c r="B36" s="14">
        <v>27</v>
      </c>
      <c r="C36" s="15">
        <v>0.30563911560116697</v>
      </c>
      <c r="D36" s="16">
        <v>0.94333546554926639</v>
      </c>
      <c r="E36" s="21"/>
      <c r="F36" s="18">
        <v>20.166878125589996</v>
      </c>
      <c r="G36" s="23" t="s">
        <v>125</v>
      </c>
      <c r="H36" s="4">
        <v>19.439366514519101</v>
      </c>
      <c r="I36" s="187">
        <v>1.2485234126430311</v>
      </c>
      <c r="J36" s="22"/>
      <c r="K36" s="7"/>
    </row>
    <row r="37" spans="1:11" x14ac:dyDescent="0.2">
      <c r="A37" s="14">
        <f t="shared" si="0"/>
        <v>2046</v>
      </c>
      <c r="B37" s="14">
        <v>28</v>
      </c>
      <c r="C37" s="15">
        <v>0.29852714537315933</v>
      </c>
      <c r="D37" s="16">
        <v>0.96220217486025172</v>
      </c>
      <c r="E37" s="21"/>
      <c r="F37" s="18">
        <v>21.129080300450248</v>
      </c>
      <c r="G37" s="23" t="s">
        <v>125</v>
      </c>
      <c r="H37" s="4">
        <v>20.3040600796643</v>
      </c>
      <c r="I37" s="187">
        <v>1.2796425181816</v>
      </c>
      <c r="J37" s="22"/>
      <c r="K37" s="7"/>
    </row>
    <row r="38" spans="1:11" x14ac:dyDescent="0.2">
      <c r="A38" s="14">
        <f t="shared" si="0"/>
        <v>2047</v>
      </c>
      <c r="B38" s="14">
        <v>29</v>
      </c>
      <c r="C38" s="15">
        <v>0.2915806648287107</v>
      </c>
      <c r="D38" s="16">
        <v>0.98144621835745682</v>
      </c>
      <c r="E38" s="21"/>
      <c r="F38" s="18">
        <v>22.110526518807706</v>
      </c>
      <c r="G38" s="23" t="s">
        <v>125</v>
      </c>
      <c r="H38" s="4">
        <v>21.177400580460901</v>
      </c>
      <c r="I38" s="187">
        <v>1.3111749490993359</v>
      </c>
      <c r="J38" s="22"/>
      <c r="K38" s="7"/>
    </row>
    <row r="39" spans="1:11" x14ac:dyDescent="0.2">
      <c r="A39" s="14">
        <f t="shared" si="0"/>
        <v>2048</v>
      </c>
      <c r="B39" s="14">
        <v>30</v>
      </c>
      <c r="C39" s="15">
        <v>0.28479582315932678</v>
      </c>
      <c r="D39" s="16">
        <v>1.0010751427246061</v>
      </c>
      <c r="E39" s="21"/>
      <c r="F39" s="18">
        <v>23.111601661532312</v>
      </c>
      <c r="G39" s="23" t="s">
        <v>125</v>
      </c>
      <c r="H39" s="4">
        <v>22.059474486265501</v>
      </c>
      <c r="I39" s="187">
        <v>1.343133360354424</v>
      </c>
      <c r="J39" s="22"/>
      <c r="K39" s="7"/>
    </row>
    <row r="40" spans="1:11" x14ac:dyDescent="0.2">
      <c r="A40" s="14"/>
      <c r="B40" s="14"/>
      <c r="C40" s="15"/>
      <c r="D40" s="16"/>
      <c r="E40" s="21"/>
      <c r="F40" s="18"/>
      <c r="G40" s="19"/>
      <c r="H40" s="4"/>
      <c r="I40" s="24"/>
      <c r="J40" s="22"/>
      <c r="K40" s="7"/>
    </row>
    <row r="41" spans="1:11" x14ac:dyDescent="0.2">
      <c r="A41" s="14"/>
      <c r="B41" s="14"/>
      <c r="C41" s="15"/>
      <c r="D41" s="16"/>
      <c r="E41" s="21"/>
      <c r="F41" s="18"/>
      <c r="G41" s="19"/>
      <c r="H41" s="4"/>
      <c r="I41" s="24"/>
      <c r="J41" s="22"/>
      <c r="K41" s="7"/>
    </row>
    <row r="42" spans="1:11" x14ac:dyDescent="0.2">
      <c r="A42" s="14"/>
      <c r="B42" s="14"/>
      <c r="C42" s="15"/>
      <c r="D42" s="16"/>
      <c r="E42" s="21"/>
      <c r="F42" s="18"/>
      <c r="G42" s="19"/>
      <c r="H42" s="4"/>
      <c r="I42" s="24"/>
      <c r="J42" s="22"/>
      <c r="K42" s="7"/>
    </row>
    <row r="43" spans="1:11" x14ac:dyDescent="0.2">
      <c r="A43" s="14"/>
      <c r="B43" s="14"/>
      <c r="C43" s="15"/>
      <c r="D43" s="16"/>
      <c r="E43" s="21"/>
      <c r="F43" s="18"/>
      <c r="G43" s="19"/>
      <c r="H43" s="4"/>
      <c r="I43" s="24"/>
      <c r="J43" s="22"/>
      <c r="K43" s="7"/>
    </row>
    <row r="44" spans="1:11" x14ac:dyDescent="0.2">
      <c r="A44" s="14"/>
      <c r="B44" s="14"/>
      <c r="C44" s="15"/>
      <c r="D44" s="16"/>
      <c r="E44" s="21"/>
      <c r="F44" s="18"/>
      <c r="G44" s="19"/>
      <c r="H44" s="4"/>
      <c r="I44" s="17"/>
      <c r="J44" s="22"/>
      <c r="K44" s="7"/>
    </row>
    <row r="45" spans="1:11" x14ac:dyDescent="0.2">
      <c r="A45" s="14"/>
      <c r="B45" s="14"/>
      <c r="C45" s="15"/>
      <c r="D45" s="16"/>
      <c r="E45" s="21"/>
      <c r="F45" s="18"/>
      <c r="G45" s="19"/>
      <c r="H45" s="4"/>
      <c r="I45" s="24"/>
      <c r="J45" s="22"/>
      <c r="K45" s="7"/>
    </row>
    <row r="46" spans="1:11" x14ac:dyDescent="0.2">
      <c r="A46" s="14"/>
      <c r="B46" s="14"/>
      <c r="C46" s="15"/>
      <c r="D46" s="16"/>
      <c r="E46" s="21"/>
      <c r="F46" s="18"/>
      <c r="G46" s="19"/>
      <c r="H46" s="4"/>
      <c r="I46" s="24"/>
      <c r="J46" s="22"/>
      <c r="K46" s="7"/>
    </row>
    <row r="47" spans="1:11" x14ac:dyDescent="0.2">
      <c r="A47" s="14"/>
      <c r="B47" s="14"/>
      <c r="C47" s="15"/>
      <c r="D47" s="16"/>
      <c r="E47" s="21"/>
      <c r="F47" s="18"/>
      <c r="G47" s="19"/>
      <c r="H47" s="4"/>
      <c r="I47" s="24"/>
      <c r="J47" s="22"/>
      <c r="K47" s="7"/>
    </row>
    <row r="48" spans="1:11" x14ac:dyDescent="0.2">
      <c r="A48" s="14"/>
      <c r="B48" s="14"/>
      <c r="C48" s="15"/>
      <c r="D48" s="16"/>
      <c r="E48" s="21"/>
      <c r="F48" s="18"/>
      <c r="G48" s="19"/>
      <c r="H48" s="4"/>
      <c r="I48" s="24"/>
      <c r="J48" s="22"/>
      <c r="K48" s="7"/>
    </row>
    <row r="49" spans="1:11" x14ac:dyDescent="0.2">
      <c r="A49" s="14"/>
      <c r="B49" s="14"/>
      <c r="C49" s="15"/>
      <c r="D49" s="16"/>
      <c r="E49" s="21"/>
      <c r="F49" s="18"/>
      <c r="G49" s="19"/>
      <c r="H49" s="4"/>
      <c r="I49" s="17"/>
      <c r="J49" s="22"/>
      <c r="K49" s="7"/>
    </row>
    <row r="50" spans="1:11" x14ac:dyDescent="0.2">
      <c r="A50" s="14"/>
      <c r="B50" s="14"/>
      <c r="C50" s="15"/>
      <c r="D50" s="16"/>
      <c r="E50" s="21"/>
      <c r="F50" s="18"/>
      <c r="G50" s="19"/>
      <c r="H50" s="4"/>
      <c r="I50" s="24"/>
      <c r="J50" s="22"/>
      <c r="K50" s="7"/>
    </row>
    <row r="51" spans="1:11" x14ac:dyDescent="0.2">
      <c r="A51" s="14"/>
      <c r="B51" s="14"/>
      <c r="C51" s="15"/>
      <c r="D51" s="16"/>
      <c r="E51" s="21"/>
      <c r="F51" s="18"/>
      <c r="G51" s="19"/>
      <c r="H51" s="4"/>
      <c r="I51" s="24"/>
      <c r="J51" s="22"/>
      <c r="K51" s="7"/>
    </row>
    <row r="52" spans="1:11" x14ac:dyDescent="0.2">
      <c r="A52" s="14"/>
      <c r="B52" s="14"/>
      <c r="C52" s="15"/>
      <c r="D52" s="16"/>
      <c r="E52" s="21"/>
      <c r="F52" s="18"/>
      <c r="G52" s="19"/>
      <c r="H52" s="4"/>
      <c r="I52" s="24"/>
      <c r="J52" s="22"/>
      <c r="K52" s="7"/>
    </row>
    <row r="53" spans="1:11" x14ac:dyDescent="0.2">
      <c r="A53" s="14"/>
      <c r="B53" s="14"/>
      <c r="C53" s="15"/>
      <c r="D53" s="16"/>
      <c r="E53" s="21"/>
      <c r="F53" s="18"/>
      <c r="G53" s="19"/>
      <c r="H53" s="4"/>
      <c r="I53" s="24"/>
      <c r="J53" s="22"/>
      <c r="K53" s="7"/>
    </row>
    <row r="54" spans="1:11" x14ac:dyDescent="0.2">
      <c r="A54" s="14"/>
      <c r="B54" s="14"/>
      <c r="C54" s="15"/>
      <c r="D54" s="16"/>
      <c r="E54" s="21"/>
      <c r="F54" s="18"/>
      <c r="G54" s="19"/>
      <c r="H54" s="4"/>
      <c r="I54" s="17"/>
      <c r="J54" s="22"/>
      <c r="K54" s="7"/>
    </row>
    <row r="55" spans="1:1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25" t="s">
        <v>55</v>
      </c>
      <c r="B56" s="7"/>
      <c r="C56" s="7"/>
      <c r="D56" s="7"/>
      <c r="E56" s="26">
        <v>4.4299999999999999E-2</v>
      </c>
      <c r="F56" s="26"/>
      <c r="G56" s="26"/>
      <c r="H56" s="26"/>
      <c r="I56" s="7"/>
      <c r="J56" s="7"/>
      <c r="K56" s="7"/>
    </row>
    <row r="57" spans="1:11" x14ac:dyDescent="0.2">
      <c r="C57" s="8" t="s">
        <v>56</v>
      </c>
      <c r="E57" s="27">
        <v>4.4299999999999999E-2</v>
      </c>
    </row>
    <row r="58" spans="1:11" x14ac:dyDescent="0.2">
      <c r="C58" s="8" t="s">
        <v>57</v>
      </c>
      <c r="E58" s="28">
        <v>0</v>
      </c>
    </row>
    <row r="59" spans="1:11" x14ac:dyDescent="0.2">
      <c r="C59" s="8" t="s">
        <v>58</v>
      </c>
      <c r="E59" s="29">
        <v>0.02</v>
      </c>
      <c r="F59" s="30" t="s">
        <v>59</v>
      </c>
      <c r="G59" s="30"/>
      <c r="H59" s="30"/>
    </row>
  </sheetData>
  <mergeCells count="4">
    <mergeCell ref="A1:I1"/>
    <mergeCell ref="A2:I2"/>
    <mergeCell ref="A3:I3"/>
    <mergeCell ref="A4:I4"/>
  </mergeCells>
  <phoneticPr fontId="6" type="noConversion"/>
  <pageMargins left="0.75" right="0.75" top="1" bottom="1" header="0.5" footer="0.5"/>
  <pageSetup scale="86" orientation="portrait" r:id="rId1"/>
  <headerFooter alignWithMargins="0"/>
  <ignoredErrors>
    <ignoredError sqref="G10:G3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F7096B5E224447A49FE94E6D9CB9D5" ma:contentTypeVersion="68" ma:contentTypeDescription="" ma:contentTypeScope="" ma:versionID="d7e6ad40940673596a1c6e48c0c3b4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2018-11-30T08:00:00+00:00</OpenedDate>
    <SignificantOrder xmlns="dc463f71-b30c-4ab2-9473-d307f9d35888">false</SignificantOrder>
    <Date1 xmlns="dc463f71-b30c-4ab2-9473-d307f9d35888">2020-05-29T07:00:00+00:00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180990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BC615EC-1CC2-4793-9D66-7966754A0269}"/>
</file>

<file path=customXml/itemProps2.xml><?xml version="1.0" encoding="utf-8"?>
<ds:datastoreItem xmlns:ds="http://schemas.openxmlformats.org/officeDocument/2006/customXml" ds:itemID="{B1D3A833-1712-4D24-9594-2308D2AA4712}"/>
</file>

<file path=customXml/itemProps3.xml><?xml version="1.0" encoding="utf-8"?>
<ds:datastoreItem xmlns:ds="http://schemas.openxmlformats.org/officeDocument/2006/customXml" ds:itemID="{58CB8493-B0E0-4802-BC86-D439C71546D9}"/>
</file>

<file path=customXml/itemProps4.xml><?xml version="1.0" encoding="utf-8"?>
<ds:datastoreItem xmlns:ds="http://schemas.openxmlformats.org/officeDocument/2006/customXml" ds:itemID="{BACA4D4F-0532-472A-99A9-3387B3333A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TOTAL FIRST YEAR</vt:lpstr>
      <vt:lpstr>APP 2885</vt:lpstr>
      <vt:lpstr>AC</vt:lpstr>
      <vt:lpstr>'TOTAL FIRST YEAR'!OffsetAnchor</vt:lpstr>
      <vt:lpstr>'TOTAL FIRST YEAR'!Print_Area</vt:lpstr>
    </vt:vector>
  </TitlesOfParts>
  <Company>An MDU Resources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keywords>Unrestricted</cp:keywords>
  <cp:lastModifiedBy>Hensyel, Phillip</cp:lastModifiedBy>
  <cp:lastPrinted>2017-01-26T18:03:28Z</cp:lastPrinted>
  <dcterms:created xsi:type="dcterms:W3CDTF">2009-05-07T23:09:45Z</dcterms:created>
  <dcterms:modified xsi:type="dcterms:W3CDTF">2020-05-26T19:41:01Z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ID">
    <vt:lpwstr>0</vt:lpwstr>
  </property>
  <property fmtid="{D5CDD505-2E9C-101B-9397-08002B2CF9AE}" pid="3" name="checkedProgramsCount">
    <vt:i4>0</vt:i4>
  </property>
  <property fmtid="{D5CDD505-2E9C-101B-9397-08002B2CF9AE}" pid="4" name="LM SIP Document Sensitivity">
    <vt:lpwstr/>
  </property>
  <property fmtid="{D5CDD505-2E9C-101B-9397-08002B2CF9AE}" pid="5" name="Document Author">
    <vt:lpwstr>ACCT04\e320856</vt:lpwstr>
  </property>
  <property fmtid="{D5CDD505-2E9C-101B-9397-08002B2CF9AE}" pid="6" name="Document Sensitivity">
    <vt:lpwstr>1</vt:lpwstr>
  </property>
  <property fmtid="{D5CDD505-2E9C-101B-9397-08002B2CF9AE}" pid="7" name="ThirdParty">
    <vt:lpwstr/>
  </property>
  <property fmtid="{D5CDD505-2E9C-101B-9397-08002B2CF9AE}" pid="8" name="OCI Restriction">
    <vt:bool>false</vt:bool>
  </property>
  <property fmtid="{D5CDD505-2E9C-101B-9397-08002B2CF9AE}" pid="9" name="OCI Additional Info">
    <vt:lpwstr/>
  </property>
  <property fmtid="{D5CDD505-2E9C-101B-9397-08002B2CF9AE}" pid="10" name="Allow Header Overwrite">
    <vt:bool>false</vt:bool>
  </property>
  <property fmtid="{D5CDD505-2E9C-101B-9397-08002B2CF9AE}" pid="11" name="Allow Footer Overwrite">
    <vt:bool>false</vt:bool>
  </property>
  <property fmtid="{D5CDD505-2E9C-101B-9397-08002B2CF9AE}" pid="12" name="Multiple Selected">
    <vt:lpwstr>-1</vt:lpwstr>
  </property>
  <property fmtid="{D5CDD505-2E9C-101B-9397-08002B2CF9AE}" pid="13" name="SIPLongWording">
    <vt:lpwstr>_x000d_
_x000d_
</vt:lpwstr>
  </property>
  <property fmtid="{D5CDD505-2E9C-101B-9397-08002B2CF9AE}" pid="14" name="ExpCountry">
    <vt:lpwstr/>
  </property>
  <property fmtid="{D5CDD505-2E9C-101B-9397-08002B2CF9AE}" pid="15" name="ContentTypeId">
    <vt:lpwstr>0x0101006E56B4D1795A2E4DB2F0B01679ED314A0099F7096B5E224447A49FE94E6D9CB9D5</vt:lpwstr>
  </property>
  <property fmtid="{D5CDD505-2E9C-101B-9397-08002B2CF9AE}" pid="16" name="_docset_NoMedatataSyncRequired">
    <vt:lpwstr>False</vt:lpwstr>
  </property>
  <property fmtid="{D5CDD505-2E9C-101B-9397-08002B2CF9AE}" pid="17" name="IsEFSEC">
    <vt:bool>false</vt:bool>
  </property>
</Properties>
</file>