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1H\Desktop\"/>
    </mc:Choice>
  </mc:AlternateContent>
  <bookViews>
    <workbookView xWindow="0" yWindow="0" windowWidth="23040" windowHeight="9348" activeTab="1"/>
  </bookViews>
  <sheets>
    <sheet name="Sch 10-Updated Rate" sheetId="3" r:id="rId1"/>
    <sheet name="Meter COS" sheetId="4" r:id="rId2"/>
    <sheet name="Meter Cost" sheetId="5" r:id="rId3"/>
    <sheet name="AAMR COS " sheetId="12" r:id="rId4"/>
    <sheet name="AAMR Cost" sheetId="6" r:id="rId5"/>
  </sheets>
  <definedNames>
    <definedName name="_xlnm.Print_Area" localSheetId="3">'AAMR COS '!$I$3:$N$20</definedName>
    <definedName name="_xlnm.Print_Area" localSheetId="1">'Meter COS'!$I$3:$N$20</definedName>
  </definedNames>
  <calcPr calcId="152511"/>
</workbook>
</file>

<file path=xl/calcChain.xml><?xml version="1.0" encoding="utf-8"?>
<calcChain xmlns="http://schemas.openxmlformats.org/spreadsheetml/2006/main">
  <c r="F23" i="4" l="1"/>
  <c r="B18" i="6" l="1"/>
  <c r="J8" i="12" l="1"/>
  <c r="F23" i="12" s="1"/>
  <c r="E85" i="12"/>
  <c r="E86" i="12" s="1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E29" i="12"/>
  <c r="F29" i="12" s="1"/>
  <c r="G29" i="12" s="1"/>
  <c r="H29" i="12" s="1"/>
  <c r="I29" i="12" s="1"/>
  <c r="J29" i="12" s="1"/>
  <c r="K29" i="12" s="1"/>
  <c r="L29" i="12" s="1"/>
  <c r="M29" i="12" s="1"/>
  <c r="N29" i="12" s="1"/>
  <c r="O29" i="12" s="1"/>
  <c r="P29" i="12" s="1"/>
  <c r="Q29" i="12" s="1"/>
  <c r="R29" i="12" s="1"/>
  <c r="S29" i="12" s="1"/>
  <c r="A29" i="12"/>
  <c r="A30" i="12" s="1"/>
  <c r="A33" i="12" s="1"/>
  <c r="A34" i="12" s="1"/>
  <c r="A35" i="12" s="1"/>
  <c r="A38" i="12" s="1"/>
  <c r="A39" i="12" s="1"/>
  <c r="A40" i="12" s="1"/>
  <c r="A41" i="12" s="1"/>
  <c r="A43" i="12" s="1"/>
  <c r="A44" i="12" s="1"/>
  <c r="A46" i="12" s="1"/>
  <c r="A53" i="12" s="1"/>
  <c r="F11" i="12"/>
  <c r="D12" i="12"/>
  <c r="L6" i="12"/>
  <c r="L5" i="12"/>
  <c r="B14" i="5"/>
  <c r="B13" i="5"/>
  <c r="B12" i="5"/>
  <c r="B11" i="5"/>
  <c r="B10" i="5"/>
  <c r="B9" i="5"/>
  <c r="B8" i="5"/>
  <c r="B7" i="5"/>
  <c r="F12" i="12" l="1"/>
  <c r="H68" i="12"/>
  <c r="H28" i="12"/>
  <c r="E28" i="12"/>
  <c r="I28" i="12"/>
  <c r="M28" i="12"/>
  <c r="Q28" i="12"/>
  <c r="L28" i="12"/>
  <c r="F28" i="12"/>
  <c r="J28" i="12"/>
  <c r="N28" i="12"/>
  <c r="R28" i="12"/>
  <c r="Q68" i="12"/>
  <c r="M68" i="12"/>
  <c r="I68" i="12"/>
  <c r="E68" i="12"/>
  <c r="R68" i="12"/>
  <c r="L68" i="12"/>
  <c r="G68" i="12"/>
  <c r="P68" i="12"/>
  <c r="K68" i="12"/>
  <c r="F68" i="12"/>
  <c r="O68" i="12"/>
  <c r="J68" i="12"/>
  <c r="P28" i="12"/>
  <c r="S68" i="12"/>
  <c r="G28" i="12"/>
  <c r="K28" i="12"/>
  <c r="O28" i="12"/>
  <c r="S28" i="12"/>
  <c r="N68" i="12"/>
  <c r="B4" i="5"/>
  <c r="I67" i="12" l="1"/>
  <c r="I69" i="12" s="1"/>
  <c r="I70" i="12" s="1"/>
  <c r="S67" i="12"/>
  <c r="S69" i="12" s="1"/>
  <c r="S70" i="12" s="1"/>
  <c r="R67" i="12"/>
  <c r="R69" i="12" s="1"/>
  <c r="R70" i="12" s="1"/>
  <c r="E67" i="12"/>
  <c r="E69" i="12" s="1"/>
  <c r="E70" i="12" s="1"/>
  <c r="T28" i="12"/>
  <c r="G67" i="12"/>
  <c r="G69" i="12" s="1"/>
  <c r="G70" i="12" s="1"/>
  <c r="F67" i="12"/>
  <c r="F69" i="12" s="1"/>
  <c r="F70" i="12" s="1"/>
  <c r="O67" i="12"/>
  <c r="O69" i="12" s="1"/>
  <c r="O70" i="12" s="1"/>
  <c r="N67" i="12"/>
  <c r="L67" i="12"/>
  <c r="L69" i="12" s="1"/>
  <c r="L70" i="12" s="1"/>
  <c r="Q67" i="12"/>
  <c r="Q69" i="12" s="1"/>
  <c r="Q70" i="12" s="1"/>
  <c r="H67" i="12"/>
  <c r="H69" i="12" s="1"/>
  <c r="H70" i="12" s="1"/>
  <c r="N69" i="12"/>
  <c r="N70" i="12" s="1"/>
  <c r="K67" i="12"/>
  <c r="K69" i="12" s="1"/>
  <c r="K70" i="12" s="1"/>
  <c r="P67" i="12"/>
  <c r="P69" i="12" s="1"/>
  <c r="P70" i="12" s="1"/>
  <c r="J67" i="12"/>
  <c r="J69" i="12" s="1"/>
  <c r="J70" i="12" s="1"/>
  <c r="M67" i="12"/>
  <c r="M69" i="12" s="1"/>
  <c r="M70" i="12" s="1"/>
  <c r="G23" i="3"/>
  <c r="G24" i="3"/>
  <c r="G25" i="3"/>
  <c r="G26" i="3"/>
  <c r="G27" i="3"/>
  <c r="G28" i="3"/>
  <c r="G29" i="3"/>
  <c r="G22" i="3"/>
  <c r="E16" i="3"/>
  <c r="E17" i="3"/>
  <c r="M9" i="4"/>
  <c r="M10" i="4"/>
  <c r="M11" i="4"/>
  <c r="M12" i="4"/>
  <c r="M13" i="4"/>
  <c r="M14" i="4"/>
  <c r="M15" i="4"/>
  <c r="M16" i="4"/>
  <c r="M17" i="4"/>
  <c r="M18" i="4"/>
  <c r="T70" i="12" l="1"/>
  <c r="E57" i="12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E85" i="4"/>
  <c r="E76" i="12" l="1"/>
  <c r="E40" i="12"/>
  <c r="E38" i="12"/>
  <c r="F57" i="12"/>
  <c r="E39" i="12"/>
  <c r="F17" i="4"/>
  <c r="E41" i="12" l="1"/>
  <c r="F39" i="12"/>
  <c r="G57" i="12"/>
  <c r="F38" i="12"/>
  <c r="F40" i="12"/>
  <c r="E60" i="12"/>
  <c r="F76" i="12"/>
  <c r="E30" i="12"/>
  <c r="J18" i="4"/>
  <c r="J17" i="4"/>
  <c r="J16" i="4"/>
  <c r="J15" i="4"/>
  <c r="J14" i="4"/>
  <c r="J13" i="4"/>
  <c r="J12" i="4"/>
  <c r="J11" i="4"/>
  <c r="B6" i="5"/>
  <c r="J10" i="4" s="1"/>
  <c r="B5" i="5"/>
  <c r="J9" i="4" s="1"/>
  <c r="J8" i="4"/>
  <c r="F60" i="12" l="1"/>
  <c r="F61" i="12" s="1"/>
  <c r="F33" i="12" s="1"/>
  <c r="F41" i="12"/>
  <c r="G76" i="12"/>
  <c r="F30" i="12"/>
  <c r="E61" i="12"/>
  <c r="E33" i="12" s="1"/>
  <c r="H57" i="12"/>
  <c r="G39" i="12"/>
  <c r="G38" i="12"/>
  <c r="G40" i="12"/>
  <c r="B10" i="6"/>
  <c r="B17" i="6" s="1"/>
  <c r="I36" i="3" s="1"/>
  <c r="I57" i="12" l="1"/>
  <c r="H40" i="12"/>
  <c r="H39" i="12"/>
  <c r="H38" i="12"/>
  <c r="E62" i="12"/>
  <c r="E63" i="12" s="1"/>
  <c r="E34" i="12" s="1"/>
  <c r="E35" i="12" s="1"/>
  <c r="E43" i="12" s="1"/>
  <c r="G60" i="12"/>
  <c r="F62" i="12"/>
  <c r="F63" i="12" s="1"/>
  <c r="G41" i="12"/>
  <c r="E64" i="12"/>
  <c r="E78" i="12" s="1"/>
  <c r="H76" i="12"/>
  <c r="G30" i="12"/>
  <c r="H60" i="12" l="1"/>
  <c r="H61" i="12" s="1"/>
  <c r="H33" i="12" s="1"/>
  <c r="E44" i="12"/>
  <c r="E46" i="12" s="1"/>
  <c r="F34" i="12"/>
  <c r="F35" i="12" s="1"/>
  <c r="F43" i="12" s="1"/>
  <c r="F64" i="12"/>
  <c r="F78" i="12" s="1"/>
  <c r="J57" i="12"/>
  <c r="I40" i="12"/>
  <c r="I38" i="12"/>
  <c r="I39" i="12"/>
  <c r="I76" i="12"/>
  <c r="H30" i="12"/>
  <c r="H41" i="12"/>
  <c r="G61" i="12"/>
  <c r="G33" i="12" s="1"/>
  <c r="I60" i="12" l="1"/>
  <c r="I41" i="12"/>
  <c r="E53" i="12"/>
  <c r="J39" i="12"/>
  <c r="K57" i="12"/>
  <c r="J40" i="12"/>
  <c r="J38" i="12"/>
  <c r="F44" i="12"/>
  <c r="F46" i="12" s="1"/>
  <c r="I61" i="12"/>
  <c r="I33" i="12" s="1"/>
  <c r="J76" i="12"/>
  <c r="I30" i="12"/>
  <c r="G62" i="12"/>
  <c r="G63" i="12" s="1"/>
  <c r="H62" i="12"/>
  <c r="H63" i="12" s="1"/>
  <c r="J41" i="12" l="1"/>
  <c r="J60" i="12"/>
  <c r="F53" i="12"/>
  <c r="J30" i="12"/>
  <c r="K76" i="12"/>
  <c r="H34" i="12"/>
  <c r="H35" i="12" s="1"/>
  <c r="H43" i="12" s="1"/>
  <c r="H64" i="12"/>
  <c r="H78" i="12" s="1"/>
  <c r="L57" i="12"/>
  <c r="K39" i="12"/>
  <c r="K38" i="12"/>
  <c r="K40" i="12"/>
  <c r="I62" i="12"/>
  <c r="I63" i="12" s="1"/>
  <c r="I34" i="12" s="1"/>
  <c r="I35" i="12" s="1"/>
  <c r="I43" i="12" s="1"/>
  <c r="G34" i="12"/>
  <c r="G35" i="12" s="1"/>
  <c r="G43" i="12" s="1"/>
  <c r="G64" i="12"/>
  <c r="G78" i="12" s="1"/>
  <c r="I64" i="12" l="1"/>
  <c r="I78" i="12" s="1"/>
  <c r="J61" i="12"/>
  <c r="J33" i="12" s="1"/>
  <c r="I44" i="12"/>
  <c r="I46" i="12" s="1"/>
  <c r="I53" i="12" s="1"/>
  <c r="L76" i="12"/>
  <c r="K30" i="12"/>
  <c r="K60" i="12"/>
  <c r="L40" i="12"/>
  <c r="L38" i="12"/>
  <c r="M57" i="12"/>
  <c r="L39" i="12"/>
  <c r="G44" i="12"/>
  <c r="G46" i="12" s="1"/>
  <c r="K41" i="12"/>
  <c r="H44" i="12"/>
  <c r="H46" i="12" s="1"/>
  <c r="H53" i="12" s="1"/>
  <c r="L6" i="4"/>
  <c r="L5" i="4"/>
  <c r="J62" i="12" l="1"/>
  <c r="J63" i="12" s="1"/>
  <c r="J34" i="12" s="1"/>
  <c r="J35" i="12" s="1"/>
  <c r="J43" i="12" s="1"/>
  <c r="J44" i="12" s="1"/>
  <c r="J46" i="12" s="1"/>
  <c r="L60" i="12"/>
  <c r="G53" i="12"/>
  <c r="M76" i="12"/>
  <c r="L30" i="12"/>
  <c r="M40" i="12"/>
  <c r="M38" i="12"/>
  <c r="N57" i="12"/>
  <c r="M39" i="12"/>
  <c r="K61" i="12"/>
  <c r="K33" i="12" s="1"/>
  <c r="L41" i="12"/>
  <c r="E86" i="4"/>
  <c r="E29" i="4"/>
  <c r="F29" i="4" s="1"/>
  <c r="G29" i="4" s="1"/>
  <c r="H29" i="4" s="1"/>
  <c r="I29" i="4" s="1"/>
  <c r="J29" i="4" s="1"/>
  <c r="K29" i="4" s="1"/>
  <c r="L29" i="4" s="1"/>
  <c r="M29" i="4" s="1"/>
  <c r="N29" i="4" s="1"/>
  <c r="O29" i="4" s="1"/>
  <c r="P29" i="4" s="1"/>
  <c r="Q29" i="4" s="1"/>
  <c r="R29" i="4" s="1"/>
  <c r="S29" i="4" s="1"/>
  <c r="T29" i="4" s="1"/>
  <c r="U29" i="4" s="1"/>
  <c r="V29" i="4" s="1"/>
  <c r="W29" i="4" s="1"/>
  <c r="X29" i="4" s="1"/>
  <c r="Y29" i="4" s="1"/>
  <c r="A29" i="4"/>
  <c r="A30" i="4" s="1"/>
  <c r="A33" i="4" s="1"/>
  <c r="A34" i="4" s="1"/>
  <c r="A35" i="4" s="1"/>
  <c r="A38" i="4" s="1"/>
  <c r="A39" i="4" s="1"/>
  <c r="A40" i="4" s="1"/>
  <c r="A41" i="4" s="1"/>
  <c r="A43" i="4" s="1"/>
  <c r="A44" i="4" s="1"/>
  <c r="A46" i="4" s="1"/>
  <c r="A53" i="4" s="1"/>
  <c r="F11" i="4"/>
  <c r="D12" i="4"/>
  <c r="J64" i="12" l="1"/>
  <c r="J78" i="12" s="1"/>
  <c r="L61" i="12"/>
  <c r="L33" i="12" s="1"/>
  <c r="M60" i="12"/>
  <c r="M61" i="12" s="1"/>
  <c r="M33" i="12" s="1"/>
  <c r="J53" i="12"/>
  <c r="O57" i="12"/>
  <c r="N39" i="12"/>
  <c r="N38" i="12"/>
  <c r="N40" i="12"/>
  <c r="N76" i="12"/>
  <c r="M30" i="12"/>
  <c r="K62" i="12"/>
  <c r="K63" i="12" s="1"/>
  <c r="M41" i="12"/>
  <c r="I28" i="4"/>
  <c r="I67" i="4" s="1"/>
  <c r="N28" i="4"/>
  <c r="N67" i="4" s="1"/>
  <c r="S28" i="4"/>
  <c r="S67" i="4" s="1"/>
  <c r="Y28" i="4"/>
  <c r="Y67" i="4" s="1"/>
  <c r="E28" i="4"/>
  <c r="J28" i="4"/>
  <c r="J67" i="4" s="1"/>
  <c r="O28" i="4"/>
  <c r="O67" i="4" s="1"/>
  <c r="U28" i="4"/>
  <c r="U67" i="4" s="1"/>
  <c r="F28" i="4"/>
  <c r="F67" i="4" s="1"/>
  <c r="K28" i="4"/>
  <c r="K67" i="4" s="1"/>
  <c r="Q28" i="4"/>
  <c r="Q67" i="4" s="1"/>
  <c r="V28" i="4"/>
  <c r="V67" i="4" s="1"/>
  <c r="W68" i="4"/>
  <c r="G28" i="4"/>
  <c r="G67" i="4" s="1"/>
  <c r="M28" i="4"/>
  <c r="M67" i="4" s="1"/>
  <c r="R28" i="4"/>
  <c r="R67" i="4" s="1"/>
  <c r="W28" i="4"/>
  <c r="W67" i="4" s="1"/>
  <c r="F12" i="4"/>
  <c r="V68" i="4"/>
  <c r="R68" i="4"/>
  <c r="N68" i="4"/>
  <c r="J68" i="4"/>
  <c r="F68" i="4"/>
  <c r="U68" i="4"/>
  <c r="P68" i="4"/>
  <c r="K68" i="4"/>
  <c r="E68" i="4"/>
  <c r="Y68" i="4"/>
  <c r="S68" i="4"/>
  <c r="L68" i="4"/>
  <c r="X68" i="4"/>
  <c r="Q68" i="4"/>
  <c r="I68" i="4"/>
  <c r="T68" i="4"/>
  <c r="G68" i="4"/>
  <c r="M68" i="4"/>
  <c r="H28" i="4"/>
  <c r="L28" i="4"/>
  <c r="P28" i="4"/>
  <c r="T28" i="4"/>
  <c r="X28" i="4"/>
  <c r="H68" i="4"/>
  <c r="O68" i="4"/>
  <c r="N41" i="12" l="1"/>
  <c r="L62" i="12"/>
  <c r="L63" i="12" s="1"/>
  <c r="L34" i="12" s="1"/>
  <c r="L35" i="12" s="1"/>
  <c r="L43" i="12" s="1"/>
  <c r="K34" i="12"/>
  <c r="K35" i="12" s="1"/>
  <c r="K43" i="12" s="1"/>
  <c r="K64" i="12"/>
  <c r="K78" i="12" s="1"/>
  <c r="M62" i="12"/>
  <c r="M63" i="12" s="1"/>
  <c r="M34" i="12" s="1"/>
  <c r="M35" i="12" s="1"/>
  <c r="M43" i="12" s="1"/>
  <c r="O76" i="12"/>
  <c r="N30" i="12"/>
  <c r="P57" i="12"/>
  <c r="O39" i="12"/>
  <c r="O38" i="12"/>
  <c r="O40" i="12"/>
  <c r="N60" i="12"/>
  <c r="M64" i="12"/>
  <c r="M78" i="12" s="1"/>
  <c r="W69" i="4"/>
  <c r="W70" i="4" s="1"/>
  <c r="E67" i="4"/>
  <c r="E69" i="4" s="1"/>
  <c r="E70" i="4" s="1"/>
  <c r="Z28" i="4"/>
  <c r="G69" i="4"/>
  <c r="G70" i="4" s="1"/>
  <c r="U69" i="4"/>
  <c r="U70" i="4" s="1"/>
  <c r="I69" i="4"/>
  <c r="I70" i="4" s="1"/>
  <c r="R69" i="4"/>
  <c r="R70" i="4" s="1"/>
  <c r="V69" i="4"/>
  <c r="V70" i="4" s="1"/>
  <c r="Q69" i="4"/>
  <c r="Q70" i="4" s="1"/>
  <c r="F69" i="4"/>
  <c r="F70" i="4" s="1"/>
  <c r="M69" i="4"/>
  <c r="M70" i="4" s="1"/>
  <c r="J69" i="4"/>
  <c r="J70" i="4" s="1"/>
  <c r="Y69" i="4"/>
  <c r="Y70" i="4" s="1"/>
  <c r="N69" i="4"/>
  <c r="N70" i="4" s="1"/>
  <c r="T67" i="4"/>
  <c r="T69" i="4" s="1"/>
  <c r="T70" i="4" s="1"/>
  <c r="P67" i="4"/>
  <c r="P69" i="4" s="1"/>
  <c r="P70" i="4" s="1"/>
  <c r="S69" i="4"/>
  <c r="S70" i="4" s="1"/>
  <c r="L67" i="4"/>
  <c r="L69" i="4" s="1"/>
  <c r="L70" i="4" s="1"/>
  <c r="K69" i="4"/>
  <c r="K70" i="4" s="1"/>
  <c r="O69" i="4"/>
  <c r="O70" i="4" s="1"/>
  <c r="X67" i="4"/>
  <c r="X69" i="4" s="1"/>
  <c r="X70" i="4" s="1"/>
  <c r="H67" i="4"/>
  <c r="H69" i="4" s="1"/>
  <c r="H70" i="4" s="1"/>
  <c r="L44" i="12" l="1"/>
  <c r="L46" i="12" s="1"/>
  <c r="L53" i="12" s="1"/>
  <c r="L64" i="12"/>
  <c r="L78" i="12" s="1"/>
  <c r="M44" i="12"/>
  <c r="M46" i="12" s="1"/>
  <c r="M53" i="12" s="1"/>
  <c r="O60" i="12"/>
  <c r="N61" i="12"/>
  <c r="N33" i="12" s="1"/>
  <c r="P40" i="12"/>
  <c r="P38" i="12"/>
  <c r="P39" i="12"/>
  <c r="Q57" i="12"/>
  <c r="O41" i="12"/>
  <c r="P76" i="12"/>
  <c r="O30" i="12"/>
  <c r="K44" i="12"/>
  <c r="K46" i="12" s="1"/>
  <c r="K53" i="12" s="1"/>
  <c r="E57" i="4"/>
  <c r="E39" i="4" s="1"/>
  <c r="Z70" i="4"/>
  <c r="N62" i="12" l="1"/>
  <c r="N63" i="12" s="1"/>
  <c r="N34" i="12" s="1"/>
  <c r="Q40" i="12"/>
  <c r="Q38" i="12"/>
  <c r="R57" i="12"/>
  <c r="Q39" i="12"/>
  <c r="Q76" i="12"/>
  <c r="P30" i="12"/>
  <c r="P41" i="12"/>
  <c r="N35" i="12"/>
  <c r="N43" i="12" s="1"/>
  <c r="O61" i="12"/>
  <c r="O33" i="12" s="1"/>
  <c r="P60" i="12"/>
  <c r="E40" i="4"/>
  <c r="E60" i="4" s="1"/>
  <c r="E61" i="4" s="1"/>
  <c r="E33" i="4" s="1"/>
  <c r="E76" i="4"/>
  <c r="F57" i="4"/>
  <c r="F38" i="4" s="1"/>
  <c r="E38" i="4"/>
  <c r="N64" i="12" l="1"/>
  <c r="N78" i="12" s="1"/>
  <c r="P61" i="12"/>
  <c r="P33" i="12" s="1"/>
  <c r="S57" i="12"/>
  <c r="R39" i="12"/>
  <c r="R40" i="12"/>
  <c r="R38" i="12"/>
  <c r="R76" i="12"/>
  <c r="Q30" i="12"/>
  <c r="Q41" i="12"/>
  <c r="O62" i="12"/>
  <c r="O63" i="12" s="1"/>
  <c r="O34" i="12" s="1"/>
  <c r="O35" i="12" s="1"/>
  <c r="O43" i="12" s="1"/>
  <c r="N44" i="12"/>
  <c r="N46" i="12" s="1"/>
  <c r="N53" i="12" s="1"/>
  <c r="Q60" i="12"/>
  <c r="F39" i="4"/>
  <c r="F40" i="4"/>
  <c r="E41" i="4"/>
  <c r="G57" i="4"/>
  <c r="F76" i="4"/>
  <c r="E30" i="4"/>
  <c r="E62" i="4"/>
  <c r="E63" i="4" s="1"/>
  <c r="E34" i="4" s="1"/>
  <c r="E35" i="4" s="1"/>
  <c r="R60" i="12" l="1"/>
  <c r="O64" i="12"/>
  <c r="O78" i="12" s="1"/>
  <c r="R41" i="12"/>
  <c r="O44" i="12"/>
  <c r="O46" i="12" s="1"/>
  <c r="O53" i="12" s="1"/>
  <c r="R61" i="12"/>
  <c r="R33" i="12" s="1"/>
  <c r="Q61" i="12"/>
  <c r="Q33" i="12" s="1"/>
  <c r="S76" i="12"/>
  <c r="R30" i="12"/>
  <c r="P62" i="12"/>
  <c r="P63" i="12" s="1"/>
  <c r="S39" i="12"/>
  <c r="S40" i="12"/>
  <c r="S38" i="12"/>
  <c r="F60" i="4"/>
  <c r="F61" i="4" s="1"/>
  <c r="F33" i="4" s="1"/>
  <c r="F41" i="4"/>
  <c r="G38" i="4"/>
  <c r="G39" i="4"/>
  <c r="G40" i="4"/>
  <c r="H57" i="4"/>
  <c r="H40" i="4" s="1"/>
  <c r="G76" i="4"/>
  <c r="F30" i="4"/>
  <c r="E43" i="4"/>
  <c r="E44" i="4" s="1"/>
  <c r="E46" i="4" s="1"/>
  <c r="E64" i="4"/>
  <c r="E78" i="4" s="1"/>
  <c r="R62" i="12" l="1"/>
  <c r="R63" i="12" s="1"/>
  <c r="R34" i="12" s="1"/>
  <c r="R35" i="12" s="1"/>
  <c r="R43" i="12" s="1"/>
  <c r="Q62" i="12"/>
  <c r="Q63" i="12" s="1"/>
  <c r="Q34" i="12" s="1"/>
  <c r="Q35" i="12" s="1"/>
  <c r="Q43" i="12" s="1"/>
  <c r="S41" i="12"/>
  <c r="S30" i="12"/>
  <c r="S60" i="12"/>
  <c r="P34" i="12"/>
  <c r="P35" i="12" s="1"/>
  <c r="P43" i="12" s="1"/>
  <c r="P64" i="12"/>
  <c r="P78" i="12" s="1"/>
  <c r="E53" i="4"/>
  <c r="F62" i="4"/>
  <c r="F63" i="4" s="1"/>
  <c r="F34" i="4" s="1"/>
  <c r="F35" i="4" s="1"/>
  <c r="F43" i="4" s="1"/>
  <c r="F44" i="4" s="1"/>
  <c r="F46" i="4" s="1"/>
  <c r="G41" i="4"/>
  <c r="I57" i="4"/>
  <c r="H39" i="4"/>
  <c r="H60" i="4" s="1"/>
  <c r="H61" i="4" s="1"/>
  <c r="H33" i="4" s="1"/>
  <c r="H38" i="4"/>
  <c r="G60" i="4"/>
  <c r="G61" i="4" s="1"/>
  <c r="G33" i="4" s="1"/>
  <c r="H76" i="4"/>
  <c r="G30" i="4"/>
  <c r="R64" i="12" l="1"/>
  <c r="R78" i="12" s="1"/>
  <c r="Q64" i="12"/>
  <c r="Q78" i="12" s="1"/>
  <c r="S61" i="12"/>
  <c r="S33" i="12" s="1"/>
  <c r="Q44" i="12"/>
  <c r="Q46" i="12" s="1"/>
  <c r="Q53" i="12" s="1"/>
  <c r="R44" i="12"/>
  <c r="R46" i="12" s="1"/>
  <c r="R53" i="12" s="1"/>
  <c r="P44" i="12"/>
  <c r="P46" i="12" s="1"/>
  <c r="P53" i="12" s="1"/>
  <c r="F64" i="4"/>
  <c r="F78" i="4" s="1"/>
  <c r="H41" i="4"/>
  <c r="G62" i="4"/>
  <c r="G63" i="4" s="1"/>
  <c r="G34" i="4" s="1"/>
  <c r="G35" i="4" s="1"/>
  <c r="G43" i="4" s="1"/>
  <c r="G44" i="4" s="1"/>
  <c r="G46" i="4" s="1"/>
  <c r="I38" i="4"/>
  <c r="J57" i="4"/>
  <c r="I39" i="4"/>
  <c r="I40" i="4"/>
  <c r="I76" i="4"/>
  <c r="H30" i="4"/>
  <c r="H62" i="4"/>
  <c r="H63" i="4" s="1"/>
  <c r="H34" i="4" s="1"/>
  <c r="H35" i="4" s="1"/>
  <c r="F53" i="4"/>
  <c r="S62" i="12" l="1"/>
  <c r="S63" i="12" s="1"/>
  <c r="S34" i="12" s="1"/>
  <c r="S35" i="12" s="1"/>
  <c r="S43" i="12" s="1"/>
  <c r="I60" i="4"/>
  <c r="I61" i="4" s="1"/>
  <c r="I33" i="4" s="1"/>
  <c r="I41" i="4"/>
  <c r="H43" i="4"/>
  <c r="H44" i="4" s="1"/>
  <c r="H46" i="4" s="1"/>
  <c r="G64" i="4"/>
  <c r="G78" i="4" s="1"/>
  <c r="J39" i="4"/>
  <c r="J38" i="4"/>
  <c r="K57" i="4"/>
  <c r="J40" i="4"/>
  <c r="J76" i="4"/>
  <c r="I30" i="4"/>
  <c r="H64" i="4"/>
  <c r="H78" i="4" s="1"/>
  <c r="G53" i="4"/>
  <c r="S64" i="12" l="1"/>
  <c r="S78" i="12" s="1"/>
  <c r="S44" i="12"/>
  <c r="S46" i="12" s="1"/>
  <c r="I62" i="4"/>
  <c r="I63" i="4" s="1"/>
  <c r="I34" i="4" s="1"/>
  <c r="I35" i="4" s="1"/>
  <c r="I43" i="4" s="1"/>
  <c r="I44" i="4" s="1"/>
  <c r="I46" i="4" s="1"/>
  <c r="I53" i="4" s="1"/>
  <c r="J41" i="4"/>
  <c r="K39" i="4"/>
  <c r="K40" i="4"/>
  <c r="L57" i="4"/>
  <c r="K38" i="4"/>
  <c r="J60" i="4"/>
  <c r="K76" i="4"/>
  <c r="J30" i="4"/>
  <c r="H53" i="4"/>
  <c r="S53" i="12" l="1"/>
  <c r="D47" i="12"/>
  <c r="D48" i="12" s="1"/>
  <c r="I64" i="4"/>
  <c r="I78" i="4" s="1"/>
  <c r="K60" i="4"/>
  <c r="K61" i="4" s="1"/>
  <c r="K33" i="4" s="1"/>
  <c r="M57" i="4"/>
  <c r="L40" i="4"/>
  <c r="L38" i="4"/>
  <c r="L39" i="4"/>
  <c r="J61" i="4"/>
  <c r="J33" i="4" s="1"/>
  <c r="K41" i="4"/>
  <c r="K30" i="4"/>
  <c r="L76" i="4"/>
  <c r="K62" i="4" l="1"/>
  <c r="K63" i="4" s="1"/>
  <c r="K34" i="4" s="1"/>
  <c r="K35" i="4" s="1"/>
  <c r="K43" i="4" s="1"/>
  <c r="K44" i="4" s="1"/>
  <c r="K46" i="4" s="1"/>
  <c r="K53" i="4" s="1"/>
  <c r="J62" i="4"/>
  <c r="J63" i="4" s="1"/>
  <c r="J34" i="4" s="1"/>
  <c r="J35" i="4" s="1"/>
  <c r="J43" i="4" s="1"/>
  <c r="J44" i="4" s="1"/>
  <c r="J46" i="4" s="1"/>
  <c r="J53" i="4" s="1"/>
  <c r="L60" i="4"/>
  <c r="L61" i="4" s="1"/>
  <c r="L33" i="4" s="1"/>
  <c r="N57" i="4"/>
  <c r="M39" i="4"/>
  <c r="M40" i="4"/>
  <c r="M38" i="4"/>
  <c r="L41" i="4"/>
  <c r="M76" i="4"/>
  <c r="L30" i="4"/>
  <c r="K64" i="4" l="1"/>
  <c r="K78" i="4" s="1"/>
  <c r="L62" i="4"/>
  <c r="L63" i="4" s="1"/>
  <c r="L34" i="4" s="1"/>
  <c r="L35" i="4" s="1"/>
  <c r="L43" i="4" s="1"/>
  <c r="L44" i="4" s="1"/>
  <c r="L46" i="4" s="1"/>
  <c r="L53" i="4" s="1"/>
  <c r="J64" i="4"/>
  <c r="J78" i="4" s="1"/>
  <c r="M41" i="4"/>
  <c r="M60" i="4"/>
  <c r="O57" i="4"/>
  <c r="N38" i="4"/>
  <c r="N39" i="4"/>
  <c r="N40" i="4"/>
  <c r="N76" i="4"/>
  <c r="M30" i="4"/>
  <c r="L64" i="4" l="1"/>
  <c r="L78" i="4" s="1"/>
  <c r="N41" i="4"/>
  <c r="O39" i="4"/>
  <c r="O38" i="4"/>
  <c r="P57" i="4"/>
  <c r="O40" i="4"/>
  <c r="N60" i="4"/>
  <c r="M61" i="4"/>
  <c r="M62" i="4" s="1"/>
  <c r="M63" i="4" s="1"/>
  <c r="M34" i="4" s="1"/>
  <c r="O76" i="4"/>
  <c r="N30" i="4"/>
  <c r="N61" i="4" l="1"/>
  <c r="N33" i="4" s="1"/>
  <c r="O60" i="4"/>
  <c r="P39" i="4"/>
  <c r="Q57" i="4"/>
  <c r="P40" i="4"/>
  <c r="P38" i="4"/>
  <c r="M33" i="4"/>
  <c r="M35" i="4" s="1"/>
  <c r="M43" i="4" s="1"/>
  <c r="M44" i="4" s="1"/>
  <c r="M46" i="4" s="1"/>
  <c r="M53" i="4" s="1"/>
  <c r="M64" i="4"/>
  <c r="M78" i="4" s="1"/>
  <c r="O41" i="4"/>
  <c r="P76" i="4"/>
  <c r="O30" i="4"/>
  <c r="D49" i="12" l="1"/>
  <c r="N62" i="4"/>
  <c r="N63" i="4" s="1"/>
  <c r="N34" i="4" s="1"/>
  <c r="N35" i="4" s="1"/>
  <c r="N43" i="4" s="1"/>
  <c r="N44" i="4" s="1"/>
  <c r="N46" i="4" s="1"/>
  <c r="P41" i="4"/>
  <c r="P60" i="4"/>
  <c r="P61" i="4" s="1"/>
  <c r="P33" i="4" s="1"/>
  <c r="Q38" i="4"/>
  <c r="R57" i="4"/>
  <c r="Q39" i="4"/>
  <c r="Q40" i="4"/>
  <c r="O61" i="4"/>
  <c r="O62" i="4" s="1"/>
  <c r="O63" i="4" s="1"/>
  <c r="O34" i="4" s="1"/>
  <c r="Q76" i="4"/>
  <c r="P30" i="4"/>
  <c r="K8" i="12" l="1"/>
  <c r="K36" i="3" s="1"/>
  <c r="N53" i="4"/>
  <c r="N64" i="4"/>
  <c r="N78" i="4" s="1"/>
  <c r="P62" i="4"/>
  <c r="P63" i="4" s="1"/>
  <c r="P34" i="4" s="1"/>
  <c r="P35" i="4" s="1"/>
  <c r="P43" i="4" s="1"/>
  <c r="P44" i="4" s="1"/>
  <c r="P46" i="4" s="1"/>
  <c r="P53" i="4" s="1"/>
  <c r="R39" i="4"/>
  <c r="S57" i="4"/>
  <c r="R40" i="4"/>
  <c r="R38" i="4"/>
  <c r="O33" i="4"/>
  <c r="O35" i="4" s="1"/>
  <c r="O43" i="4" s="1"/>
  <c r="O44" i="4" s="1"/>
  <c r="O46" i="4" s="1"/>
  <c r="O53" i="4" s="1"/>
  <c r="O64" i="4"/>
  <c r="O78" i="4" s="1"/>
  <c r="Q41" i="4"/>
  <c r="Q60" i="4"/>
  <c r="R76" i="4"/>
  <c r="Q30" i="4"/>
  <c r="R41" i="4" l="1"/>
  <c r="R60" i="4"/>
  <c r="Q61" i="4"/>
  <c r="Q33" i="4" s="1"/>
  <c r="S39" i="4"/>
  <c r="T57" i="4"/>
  <c r="S40" i="4"/>
  <c r="S38" i="4"/>
  <c r="P64" i="4"/>
  <c r="P78" i="4" s="1"/>
  <c r="S76" i="4"/>
  <c r="R30" i="4"/>
  <c r="S60" i="4" l="1"/>
  <c r="S61" i="4" s="1"/>
  <c r="S33" i="4" s="1"/>
  <c r="S41" i="4"/>
  <c r="R61" i="4"/>
  <c r="R33" i="4" s="1"/>
  <c r="T38" i="4"/>
  <c r="T39" i="4"/>
  <c r="U57" i="4"/>
  <c r="T40" i="4"/>
  <c r="Q62" i="4"/>
  <c r="Q63" i="4" s="1"/>
  <c r="Q34" i="4" s="1"/>
  <c r="Q35" i="4" s="1"/>
  <c r="Q43" i="4" s="1"/>
  <c r="Q44" i="4" s="1"/>
  <c r="Q46" i="4" s="1"/>
  <c r="Q53" i="4" s="1"/>
  <c r="T76" i="4"/>
  <c r="S30" i="4"/>
  <c r="S62" i="4" l="1"/>
  <c r="S63" i="4" s="1"/>
  <c r="S34" i="4" s="1"/>
  <c r="S35" i="4" s="1"/>
  <c r="S43" i="4" s="1"/>
  <c r="S44" i="4" s="1"/>
  <c r="S46" i="4" s="1"/>
  <c r="S53" i="4" s="1"/>
  <c r="Q64" i="4"/>
  <c r="Q78" i="4" s="1"/>
  <c r="T41" i="4"/>
  <c r="R62" i="4"/>
  <c r="R63" i="4" s="1"/>
  <c r="R34" i="4" s="1"/>
  <c r="R35" i="4" s="1"/>
  <c r="R43" i="4" s="1"/>
  <c r="R44" i="4" s="1"/>
  <c r="R46" i="4" s="1"/>
  <c r="R53" i="4" s="1"/>
  <c r="T60" i="4"/>
  <c r="T61" i="4" s="1"/>
  <c r="T33" i="4" s="1"/>
  <c r="U40" i="4"/>
  <c r="V57" i="4"/>
  <c r="U39" i="4"/>
  <c r="U38" i="4"/>
  <c r="U76" i="4"/>
  <c r="T30" i="4"/>
  <c r="S64" i="4" l="1"/>
  <c r="S78" i="4" s="1"/>
  <c r="R64" i="4"/>
  <c r="R78" i="4" s="1"/>
  <c r="U60" i="4"/>
  <c r="U61" i="4" s="1"/>
  <c r="U33" i="4" s="1"/>
  <c r="T62" i="4"/>
  <c r="T63" i="4" s="1"/>
  <c r="T34" i="4" s="1"/>
  <c r="T35" i="4" s="1"/>
  <c r="T43" i="4" s="1"/>
  <c r="T44" i="4" s="1"/>
  <c r="T46" i="4" s="1"/>
  <c r="T53" i="4" s="1"/>
  <c r="U41" i="4"/>
  <c r="V39" i="4"/>
  <c r="W57" i="4"/>
  <c r="V40" i="4"/>
  <c r="V38" i="4"/>
  <c r="V76" i="4"/>
  <c r="U30" i="4"/>
  <c r="V60" i="4" l="1"/>
  <c r="V61" i="4" s="1"/>
  <c r="V33" i="4" s="1"/>
  <c r="U62" i="4"/>
  <c r="U63" i="4" s="1"/>
  <c r="U34" i="4" s="1"/>
  <c r="U35" i="4" s="1"/>
  <c r="U43" i="4" s="1"/>
  <c r="V41" i="4"/>
  <c r="W38" i="4"/>
  <c r="W40" i="4"/>
  <c r="W39" i="4"/>
  <c r="X57" i="4"/>
  <c r="T64" i="4"/>
  <c r="T78" i="4" s="1"/>
  <c r="W76" i="4"/>
  <c r="V30" i="4"/>
  <c r="V62" i="4" l="1"/>
  <c r="V63" i="4" s="1"/>
  <c r="V34" i="4" s="1"/>
  <c r="V35" i="4" s="1"/>
  <c r="V43" i="4" s="1"/>
  <c r="V44" i="4" s="1"/>
  <c r="V46" i="4" s="1"/>
  <c r="V53" i="4" s="1"/>
  <c r="U64" i="4"/>
  <c r="U78" i="4" s="1"/>
  <c r="W60" i="4"/>
  <c r="W61" i="4" s="1"/>
  <c r="W33" i="4" s="1"/>
  <c r="W41" i="4"/>
  <c r="X38" i="4"/>
  <c r="Y57" i="4"/>
  <c r="X40" i="4"/>
  <c r="X39" i="4"/>
  <c r="W30" i="4"/>
  <c r="X76" i="4"/>
  <c r="U44" i="4"/>
  <c r="U46" i="4" s="1"/>
  <c r="U53" i="4" s="1"/>
  <c r="V64" i="4" l="1"/>
  <c r="V78" i="4" s="1"/>
  <c r="X41" i="4"/>
  <c r="W62" i="4"/>
  <c r="W63" i="4" s="1"/>
  <c r="W34" i="4" s="1"/>
  <c r="W35" i="4" s="1"/>
  <c r="W43" i="4" s="1"/>
  <c r="W44" i="4" s="1"/>
  <c r="W46" i="4" s="1"/>
  <c r="W53" i="4" s="1"/>
  <c r="X60" i="4"/>
  <c r="X61" i="4" s="1"/>
  <c r="X33" i="4" s="1"/>
  <c r="Y38" i="4"/>
  <c r="Y39" i="4"/>
  <c r="Y40" i="4"/>
  <c r="Y76" i="4"/>
  <c r="X30" i="4"/>
  <c r="X62" i="4" l="1"/>
  <c r="X63" i="4" s="1"/>
  <c r="X34" i="4" s="1"/>
  <c r="X35" i="4" s="1"/>
  <c r="X43" i="4" s="1"/>
  <c r="X44" i="4" s="1"/>
  <c r="X46" i="4" s="1"/>
  <c r="X53" i="4" s="1"/>
  <c r="W64" i="4"/>
  <c r="W78" i="4" s="1"/>
  <c r="Y41" i="4"/>
  <c r="Y60" i="4"/>
  <c r="Y61" i="4" s="1"/>
  <c r="Y33" i="4" s="1"/>
  <c r="Y30" i="4"/>
  <c r="X64" i="4" l="1"/>
  <c r="X78" i="4" s="1"/>
  <c r="Y62" i="4"/>
  <c r="Y63" i="4" s="1"/>
  <c r="Y34" i="4" s="1"/>
  <c r="Y35" i="4" s="1"/>
  <c r="Y43" i="4" s="1"/>
  <c r="Y44" i="4" s="1"/>
  <c r="Y46" i="4" s="1"/>
  <c r="Y53" i="4" l="1"/>
  <c r="D47" i="4"/>
  <c r="D48" i="4" s="1"/>
  <c r="Y64" i="4"/>
  <c r="Y78" i="4" s="1"/>
  <c r="D49" i="4" l="1"/>
  <c r="K8" i="4" l="1"/>
  <c r="E15" i="3" s="1"/>
  <c r="M8" i="4" l="1"/>
</calcChain>
</file>

<file path=xl/comments1.xml><?xml version="1.0" encoding="utf-8"?>
<comments xmlns="http://schemas.openxmlformats.org/spreadsheetml/2006/main">
  <authors>
    <author>Speer, Andrew J.</author>
  </authors>
  <commentList>
    <comment ref="I36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Charge does not account for the site specific engineering consultation drawings fee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AAMR cost of service plus cell charge ($18).
</t>
        </r>
      </text>
    </comment>
  </commentList>
</comments>
</file>

<file path=xl/comments2.xml><?xml version="1.0" encoding="utf-8"?>
<comments xmlns="http://schemas.openxmlformats.org/spreadsheetml/2006/main">
  <authors>
    <author>Speer, Andrew J.</author>
  </authors>
  <commentList>
    <comment ref="K4" authorId="0" shapeId="0">
      <text>
        <r>
          <rPr>
            <b/>
            <sz val="8"/>
            <color indexed="81"/>
            <rFont val="Tahoma"/>
            <family val="2"/>
          </rPr>
          <t>Speer, Andrew J.:</t>
        </r>
        <r>
          <rPr>
            <sz val="8"/>
            <color indexed="81"/>
            <rFont val="Tahoma"/>
            <family val="2"/>
          </rPr>
          <t xml:space="preserve">
Assumes 43 year rental period for COS calc. 43 years is the depreciation life that is used by accounting.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Effective starting 1/1/2018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21 year depreciation rate, per accounting depreciation for meter sets.</t>
        </r>
      </text>
    </comment>
  </commentList>
</comments>
</file>

<file path=xl/comments3.xml><?xml version="1.0" encoding="utf-8"?>
<comments xmlns="http://schemas.openxmlformats.org/spreadsheetml/2006/main">
  <authors>
    <author>Speer, Andrew J.</author>
  </authors>
  <commentList>
    <comment ref="K4" authorId="0" shapeId="0">
      <text>
        <r>
          <rPr>
            <b/>
            <sz val="8"/>
            <color indexed="81"/>
            <rFont val="Tahoma"/>
            <family val="2"/>
          </rPr>
          <t>Speer, Andrew J.:</t>
        </r>
        <r>
          <rPr>
            <sz val="8"/>
            <color indexed="81"/>
            <rFont val="Tahoma"/>
            <family val="2"/>
          </rPr>
          <t xml:space="preserve">
Assumes 43 year rental period for COS calc. 43 years is the depreciation life that is used by accounting.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Effective starting 1/1/2018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Speer, Andrew J.:</t>
        </r>
        <r>
          <rPr>
            <sz val="9"/>
            <color indexed="81"/>
            <rFont val="Tahoma"/>
            <family val="2"/>
          </rPr>
          <t xml:space="preserve">
15 year depreciation rate, per accounting depreciation for telemetering other.</t>
        </r>
      </text>
    </comment>
  </commentList>
</comments>
</file>

<file path=xl/comments4.xml><?xml version="1.0" encoding="utf-8"?>
<comments xmlns="http://schemas.openxmlformats.org/spreadsheetml/2006/main">
  <authors>
    <author>Taylor, Staci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Taylor, Staci:</t>
        </r>
        <r>
          <rPr>
            <sz val="9"/>
            <color indexed="81"/>
            <rFont val="Tahoma"/>
            <family val="2"/>
          </rPr>
          <t xml:space="preserve">
2 cable lengths.  Average Cost for for cable based on a 70/30 estimated split respectively.  50m $355 (70%)  100m$783 (30%)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Taylor, Staci:</t>
        </r>
        <r>
          <rPr>
            <sz val="9"/>
            <color indexed="81"/>
            <rFont val="Tahoma"/>
            <family val="2"/>
          </rPr>
          <t xml:space="preserve">
Avg Sys Ops time 2.25hours</t>
        </r>
      </text>
    </comment>
  </commentList>
</comments>
</file>

<file path=xl/sharedStrings.xml><?xml version="1.0" encoding="utf-8"?>
<sst xmlns="http://schemas.openxmlformats.org/spreadsheetml/2006/main" count="405" uniqueCount="203">
  <si>
    <t>Cellular</t>
  </si>
  <si>
    <t xml:space="preserve"> </t>
  </si>
  <si>
    <t>VA</t>
  </si>
  <si>
    <t>VC</t>
  </si>
  <si>
    <t>Device Cost</t>
  </si>
  <si>
    <t>Cell modem</t>
  </si>
  <si>
    <t>Power box</t>
  </si>
  <si>
    <t>Conduit, wire and misc</t>
  </si>
  <si>
    <t>Communication (monthly fee)</t>
  </si>
  <si>
    <t>Install Labor - Sys Ops  ($115/hr for 5 hrs which includes truck @ $50/hr and travel time)</t>
  </si>
  <si>
    <t>Install Labor - Electrician ($130/hr for 4 hrs which includes truck @ $50/hr and travel time)</t>
  </si>
  <si>
    <t>Telecom Labor - communications planning with customer, run wire and conduit, install remote antenna, etc. ($130/hr for 4 hrs which includes truck @ $50/hr and travel time)</t>
  </si>
  <si>
    <t>I. Telemetry Equipment Charge:</t>
  </si>
  <si>
    <t>Monthly Charge per affected service meter:</t>
  </si>
  <si>
    <t>II. Monthly Meter Rental Rates and Special Metering Equipment (Optional):</t>
  </si>
  <si>
    <t>Diaphragm Meters</t>
  </si>
  <si>
    <t>New Service Offers</t>
  </si>
  <si>
    <t>Meter Size</t>
  </si>
  <si>
    <t>Monthly Charge</t>
  </si>
  <si>
    <t>(Cubic Feet/hour)</t>
  </si>
  <si>
    <t>Rotary Meters</t>
  </si>
  <si>
    <t>8C175</t>
  </si>
  <si>
    <t>1.5M175/15C175</t>
  </si>
  <si>
    <t>3M175</t>
  </si>
  <si>
    <t>5M175</t>
  </si>
  <si>
    <t>7M175</t>
  </si>
  <si>
    <t>11M175</t>
  </si>
  <si>
    <t>16M175</t>
  </si>
  <si>
    <t>23M175</t>
  </si>
  <si>
    <t>38M175</t>
  </si>
  <si>
    <t>Metering Services and Charges</t>
  </si>
  <si>
    <t>Rental Read</t>
  </si>
  <si>
    <t>Remote Index</t>
  </si>
  <si>
    <t>Pulse Output</t>
  </si>
  <si>
    <t>Company provided Telephone service to AMR</t>
  </si>
  <si>
    <t>One Time Charge</t>
  </si>
  <si>
    <t>Installation Charge</t>
  </si>
  <si>
    <t xml:space="preserve">Current Effective Rates </t>
  </si>
  <si>
    <t>Meter Capacity</t>
  </si>
  <si>
    <t>NW Natural</t>
  </si>
  <si>
    <t>Determination of Cost of Service</t>
  </si>
  <si>
    <t>Input Capital Costs and Rates</t>
  </si>
  <si>
    <t>Meter</t>
  </si>
  <si>
    <t xml:space="preserve">Weighted </t>
  </si>
  <si>
    <t>Cost of Capital</t>
  </si>
  <si>
    <t>% of Capital</t>
  </si>
  <si>
    <t>Cost</t>
  </si>
  <si>
    <t>Debt</t>
  </si>
  <si>
    <t>Preferred Equity</t>
  </si>
  <si>
    <t>Common Equity</t>
  </si>
  <si>
    <t>State Tax Rate</t>
  </si>
  <si>
    <t>Federal Tax Rate</t>
  </si>
  <si>
    <t xml:space="preserve">Revenue Sensitive Rate (held to franchise rate/reg com fee) </t>
  </si>
  <si>
    <t>Depreciation Rate</t>
  </si>
  <si>
    <t>Property Tax Rate</t>
  </si>
  <si>
    <t>Incremental O&amp;M</t>
  </si>
  <si>
    <t>Inflation Rate</t>
  </si>
  <si>
    <t>Bonus Tax Depreciation toggled  (1 = yes, 2 = no)</t>
  </si>
  <si>
    <t>Investment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</si>
  <si>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</si>
  <si>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</si>
  <si>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</si>
  <si>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</si>
  <si>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</si>
  <si>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</si>
  <si>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</si>
  <si>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</si>
  <si>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</si>
  <si>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</si>
  <si>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</si>
  <si>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</si>
  <si>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</si>
  <si>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</si>
  <si>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</si>
  <si>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</si>
  <si>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</si>
  <si>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</si>
  <si>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</si>
  <si>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</si>
  <si>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</si>
  <si>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Depreciation</t>
  </si>
  <si>
    <t>O&amp;M</t>
  </si>
  <si>
    <t>Property Taxes</t>
  </si>
  <si>
    <t>Taxes on Equity Return</t>
  </si>
  <si>
    <t>State</t>
  </si>
  <si>
    <t>Federal</t>
  </si>
  <si>
    <t xml:space="preserve">      Total Taxes</t>
  </si>
  <si>
    <t>Return on Rate Base</t>
  </si>
  <si>
    <t xml:space="preserve">      Total Return</t>
  </si>
  <si>
    <t>Subtotal Cost of Service</t>
  </si>
  <si>
    <t>Revenue Sensitive Items</t>
  </si>
  <si>
    <t>Total Cost of Service</t>
  </si>
  <si>
    <t>Total COS NPV</t>
  </si>
  <si>
    <t>Annual Payment (Rental)</t>
  </si>
  <si>
    <t>Monthly Payment (Rental Rate)</t>
  </si>
  <si>
    <t>Annual Cost of Service as % of Investment</t>
  </si>
  <si>
    <t>Rate Base - net of deprec. &amp; def. tax</t>
  </si>
  <si>
    <t>Income Taxes</t>
  </si>
  <si>
    <t>Gross up of Equity Return</t>
  </si>
  <si>
    <t>Less:  State tax</t>
  </si>
  <si>
    <t>Federal Taxable Income</t>
  </si>
  <si>
    <t>Less:  Federal Tax</t>
  </si>
  <si>
    <t>Return</t>
  </si>
  <si>
    <t>Deferred Taxes</t>
  </si>
  <si>
    <t>Book Depreciation</t>
  </si>
  <si>
    <t>Tax Depreciation</t>
  </si>
  <si>
    <t>Book-Tax Difference</t>
  </si>
  <si>
    <t>Tax Effect</t>
  </si>
  <si>
    <t>MACRS Depreciation - 15</t>
  </si>
  <si>
    <t>Property Tax Base</t>
  </si>
  <si>
    <t>Tax Calculation Check</t>
  </si>
  <si>
    <t>MACRS Depreciation - 15 - Bonus</t>
  </si>
  <si>
    <t>Meter Set Costs</t>
  </si>
  <si>
    <t>15C175</t>
  </si>
  <si>
    <t>Schedule 15 Rates</t>
  </si>
  <si>
    <t>Technical Assistance (Rotary meters only)</t>
  </si>
  <si>
    <t>Administrative Set-Up/Consultation Fee (all meters)</t>
  </si>
  <si>
    <t>Updated Rate (43 yr)</t>
  </si>
  <si>
    <t>Current Rates</t>
  </si>
  <si>
    <t>% Rate Increase (43 yr)</t>
  </si>
  <si>
    <t>Presidio Labor Modem Config</t>
  </si>
  <si>
    <t>Mini Locks</t>
  </si>
  <si>
    <t>Closure Enhancement</t>
  </si>
  <si>
    <t>Todd Brunells Team (Avg 1hr/$115 hr)</t>
  </si>
  <si>
    <t>Eagle Labor Retrofit</t>
  </si>
  <si>
    <t>Cost Estimating Guide, Fixed Construction Costs</t>
  </si>
  <si>
    <t>Effective Date: 02/10/2017</t>
  </si>
  <si>
    <t>Table 2: Costs for Residential, Commercial, and 2 psig Delivery Meter Sets</t>
  </si>
  <si>
    <t>Drawing Number</t>
  </si>
  <si>
    <t>Nominal Meter Size</t>
  </si>
  <si>
    <t>Main Pressure</t>
  </si>
  <si>
    <t>Delivery Pressure (psig)</t>
  </si>
  <si>
    <t>Capacity (SCFH)</t>
  </si>
  <si>
    <t>Capacity (Therms)</t>
  </si>
  <si>
    <t>Assembly Cost (WO/COH ($)*</t>
  </si>
  <si>
    <t>250 METER SETS</t>
  </si>
  <si>
    <t>B</t>
  </si>
  <si>
    <t>STANDARD</t>
  </si>
  <si>
    <t>250-RESIDENTIAL</t>
  </si>
  <si>
    <t>250-COMMERCIAL</t>
  </si>
  <si>
    <t>STANDARD &amp; 2</t>
  </si>
  <si>
    <t>250 ADD SET</t>
  </si>
  <si>
    <t>630 METER SETS</t>
  </si>
  <si>
    <t>630-RESIDENTIAL</t>
  </si>
  <si>
    <t>630-COMMERCIAL</t>
  </si>
  <si>
    <t>1000 METER SETS</t>
  </si>
  <si>
    <t>1000-RESIDENTIAL</t>
  </si>
  <si>
    <t>1000-COMMERCIAL</t>
  </si>
  <si>
    <t>ROTARY METER SETS</t>
  </si>
  <si>
    <t>15C175TQM</t>
  </si>
  <si>
    <t>3M175TQM</t>
  </si>
  <si>
    <t>5M175TQM</t>
  </si>
  <si>
    <t>7M175TQM</t>
  </si>
  <si>
    <t>11M175TQM</t>
  </si>
  <si>
    <t>SPECIALTY ASSEMBLIES</t>
  </si>
  <si>
    <t>Table 4: Costs for 5 psig (or Greater) Delivery Meter Sets</t>
  </si>
  <si>
    <t>Meter Set Assembly Costs</t>
  </si>
  <si>
    <t>Model</t>
  </si>
  <si>
    <t>Rate</t>
  </si>
  <si>
    <t>Current Rate</t>
  </si>
  <si>
    <t>Proposed Rate Increase</t>
  </si>
  <si>
    <t>D-03-46-A-1-15</t>
  </si>
  <si>
    <t>D-03-46-A-2-17</t>
  </si>
  <si>
    <t>D-05-35-A-1-13</t>
  </si>
  <si>
    <t>D-05-38-A-8</t>
  </si>
  <si>
    <t>D-05-37-A-7</t>
  </si>
  <si>
    <t>D-05-39-A-7</t>
  </si>
  <si>
    <t>D-05-47-A-9</t>
  </si>
  <si>
    <t>D-05-46-A-13</t>
  </si>
  <si>
    <t>D-05-54-B-9</t>
  </si>
  <si>
    <t>D-05-53-B-9</t>
  </si>
  <si>
    <t>D-05-48-B-8</t>
  </si>
  <si>
    <t>D-05-50-B-6</t>
  </si>
  <si>
    <t>D-05-49-B-8</t>
  </si>
  <si>
    <t>D-05-51-B-6</t>
  </si>
  <si>
    <t>D-05-61-B-6</t>
  </si>
  <si>
    <t>D-05-62-B-7</t>
  </si>
  <si>
    <t>D-05-40-A-8</t>
  </si>
  <si>
    <t>D-05-41-A-9</t>
  </si>
  <si>
    <t>D-07-68-B-22</t>
  </si>
  <si>
    <t>23M232</t>
  </si>
  <si>
    <t>D-07-69-B-20</t>
  </si>
  <si>
    <t>D-07-72-B-19</t>
  </si>
  <si>
    <t>D-07-73-B-18</t>
  </si>
  <si>
    <t>D-07-77-B-14</t>
  </si>
  <si>
    <t>D-07-80-B-13</t>
  </si>
  <si>
    <t>D-07-81-B-13</t>
  </si>
  <si>
    <t>D-07-82-B-13</t>
  </si>
  <si>
    <t>D-07-83-B-19</t>
  </si>
  <si>
    <t>D-07-84-B-19</t>
  </si>
  <si>
    <t>D-07-86-B-10</t>
  </si>
  <si>
    <t>D-07-87-B-2</t>
  </si>
  <si>
    <t>23M175 (FILTER)</t>
  </si>
  <si>
    <t>FLOATING @ 40</t>
  </si>
  <si>
    <t>Install Costs (Labor and Disposables)</t>
  </si>
  <si>
    <t>Capital Cost (Device, modem and pwr box)</t>
  </si>
  <si>
    <t>AAMR Capital</t>
  </si>
  <si>
    <r>
      <t>No New Service after March</t>
    </r>
    <r>
      <rPr>
        <sz val="11"/>
        <color rgb="FFFF0000"/>
        <rFont val="Calibri"/>
        <family val="2"/>
      </rPr>
      <t xml:space="preserve"> 29, 2018</t>
    </r>
    <r>
      <rPr>
        <sz val="11"/>
        <color rgb="FFFF0000"/>
        <rFont val="Calibri"/>
        <family val="2"/>
        <scheme val="minor"/>
      </rPr>
      <t xml:space="preserve">. These charges are for service agreements initiated prior to </t>
    </r>
    <r>
      <rPr>
        <sz val="11"/>
        <color rgb="FFFF0000"/>
        <rFont val="Calibri"/>
        <family val="2"/>
      </rPr>
      <t>March 29, 2018</t>
    </r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</si>
  <si>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rgb="FFFF0000"/>
        <rFont val="Calibri"/>
        <family val="2"/>
        <scheme val="minor"/>
      </rPr>
      <t>Site specific engeering design costs for AAMR will be added to the installation charge (if needed)</t>
    </r>
  </si>
  <si>
    <r>
      <rPr>
        <sz val="11"/>
        <color rgb="FFFF0000"/>
        <rFont val="Calibri"/>
        <family val="2"/>
        <scheme val="minor"/>
      </rPr>
      <t xml:space="preserve">Advanced </t>
    </r>
    <r>
      <rPr>
        <sz val="11"/>
        <color theme="1"/>
        <rFont val="Calibri"/>
        <family val="2"/>
        <scheme val="minor"/>
      </rPr>
      <t>Automated Meter Reading (</t>
    </r>
    <r>
      <rPr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AMR) Device</t>
    </r>
    <r>
      <rPr>
        <vertAlign val="superscript"/>
        <sz val="11"/>
        <color rgb="FFFF0000"/>
        <rFont val="Calibri"/>
        <family val="2"/>
        <scheme val="minor"/>
      </rPr>
      <t>1</t>
    </r>
  </si>
  <si>
    <t>Long-Term Debt</t>
  </si>
  <si>
    <t>Short-Term Debt</t>
  </si>
  <si>
    <r>
      <t xml:space="preserve">(Effective </t>
    </r>
    <r>
      <rPr>
        <strike/>
        <sz val="11"/>
        <color rgb="FFFF0000"/>
        <rFont val="Calibri"/>
        <family val="2"/>
        <scheme val="minor"/>
      </rPr>
      <t>November 1, 2012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</si>
</sst>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"/>
    <numFmt numFmtId="165" formatCode="_(&quot;$&quot;* #,##0_);_(&quot;$&quot;* \(#,##0\);_(&quot;$&quot;* &quot;-&quot;??_);_(@_)"/>
    <numFmt numFmtId="166" formatCode="#,##0.0000"/>
    <numFmt numFmtId="167" formatCode="#,##0.00000"/>
    <numFmt numFmtId="168" formatCode="&quot;$&quot;#,##0.00"/>
    <numFmt numFmtId="169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>
      <alignment vertical="top"/>
    </xf>
    <xf numFmtId="3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10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0" fillId="6" borderId="0" applyNumberFormat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44" fontId="1" fillId="0" borderId="0" xfId="1" applyFont="1"/>
    <xf numFmtId="0" fontId="0" fillId="0" borderId="2" xfId="0" applyBorder="1"/>
    <xf numFmtId="0" fontId="2" fillId="0" borderId="0" xfId="0" applyFont="1" applyAlignment="1">
      <alignment wrapText="1"/>
    </xf>
    <xf numFmtId="44" fontId="2" fillId="0" borderId="0" xfId="1" applyFont="1"/>
    <xf numFmtId="0" fontId="0" fillId="3" borderId="1" xfId="0" applyFill="1" applyBorder="1"/>
    <xf numFmtId="0" fontId="5" fillId="0" borderId="0" xfId="3" applyFont="1" applyFill="1" applyAlignment="1" applyProtection="1">
      <alignment horizontal="left"/>
    </xf>
    <xf numFmtId="0" fontId="5" fillId="0" borderId="0" xfId="4" applyFont="1">
      <alignment vertical="top"/>
    </xf>
    <xf numFmtId="0" fontId="0" fillId="0" borderId="0" xfId="4" applyFont="1">
      <alignment vertical="top"/>
    </xf>
    <xf numFmtId="0" fontId="1" fillId="0" borderId="0" xfId="4">
      <alignment vertical="top"/>
    </xf>
    <xf numFmtId="3" fontId="1" fillId="0" borderId="0" xfId="5" applyFont="1">
      <alignment vertical="top"/>
    </xf>
    <xf numFmtId="0" fontId="5" fillId="0" borderId="3" xfId="4" quotePrefix="1" applyFont="1" applyBorder="1" applyAlignment="1">
      <alignment horizontal="left" vertical="top"/>
    </xf>
    <xf numFmtId="0" fontId="5" fillId="0" borderId="4" xfId="4" applyFont="1" applyBorder="1">
      <alignment vertical="top"/>
    </xf>
    <xf numFmtId="0" fontId="0" fillId="0" borderId="4" xfId="4" applyFont="1" applyBorder="1">
      <alignment vertical="top"/>
    </xf>
    <xf numFmtId="3" fontId="1" fillId="0" borderId="5" xfId="5" applyFont="1" applyBorder="1">
      <alignment vertical="top"/>
    </xf>
    <xf numFmtId="3" fontId="1" fillId="0" borderId="0" xfId="5" applyFont="1" applyBorder="1">
      <alignment vertical="top"/>
    </xf>
    <xf numFmtId="0" fontId="2" fillId="4" borderId="1" xfId="4" applyFont="1" applyFill="1" applyBorder="1">
      <alignment vertical="top"/>
    </xf>
    <xf numFmtId="0" fontId="5" fillId="0" borderId="6" xfId="4" applyFont="1" applyBorder="1">
      <alignment vertical="top"/>
    </xf>
    <xf numFmtId="0" fontId="5" fillId="0" borderId="0" xfId="4" applyFont="1" applyBorder="1">
      <alignment vertical="top"/>
    </xf>
    <xf numFmtId="0" fontId="0" fillId="0" borderId="0" xfId="4" applyFont="1" applyBorder="1">
      <alignment vertical="top"/>
    </xf>
    <xf numFmtId="3" fontId="1" fillId="0" borderId="7" xfId="5" applyFont="1" applyBorder="1">
      <alignment vertical="top"/>
    </xf>
    <xf numFmtId="0" fontId="1" fillId="0" borderId="1" xfId="4" applyFill="1" applyBorder="1" applyAlignment="1"/>
    <xf numFmtId="0" fontId="5" fillId="0" borderId="0" xfId="4" applyFont="1" applyBorder="1" applyAlignment="1">
      <alignment horizontal="center" vertical="top"/>
    </xf>
    <xf numFmtId="0" fontId="5" fillId="0" borderId="7" xfId="4" applyFont="1" applyBorder="1" applyAlignment="1">
      <alignment horizontal="center" vertical="top"/>
    </xf>
    <xf numFmtId="0" fontId="5" fillId="0" borderId="2" xfId="4" applyFont="1" applyBorder="1" applyAlignment="1">
      <alignment horizontal="center" vertical="top"/>
    </xf>
    <xf numFmtId="0" fontId="5" fillId="0" borderId="8" xfId="4" applyFont="1" applyBorder="1" applyAlignment="1">
      <alignment horizontal="center" vertical="top"/>
    </xf>
    <xf numFmtId="0" fontId="1" fillId="0" borderId="0" xfId="4" applyBorder="1">
      <alignment vertical="top"/>
    </xf>
    <xf numFmtId="0" fontId="1" fillId="0" borderId="7" xfId="4" applyBorder="1">
      <alignment vertical="top"/>
    </xf>
    <xf numFmtId="10" fontId="1" fillId="0" borderId="0" xfId="4" applyNumberFormat="1" applyBorder="1">
      <alignment vertical="top"/>
    </xf>
    <xf numFmtId="10" fontId="1" fillId="0" borderId="7" xfId="4" applyNumberFormat="1" applyBorder="1">
      <alignment vertical="top"/>
    </xf>
    <xf numFmtId="10" fontId="1" fillId="0" borderId="2" xfId="4" applyNumberFormat="1" applyBorder="1">
      <alignment vertical="top"/>
    </xf>
    <xf numFmtId="10" fontId="1" fillId="0" borderId="8" xfId="4" applyNumberFormat="1" applyBorder="1">
      <alignment vertical="top"/>
    </xf>
    <xf numFmtId="10" fontId="1" fillId="0" borderId="9" xfId="4" applyNumberFormat="1" applyBorder="1">
      <alignment vertical="top"/>
    </xf>
    <xf numFmtId="10" fontId="1" fillId="0" borderId="10" xfId="4" applyNumberFormat="1" applyBorder="1">
      <alignment vertical="top"/>
    </xf>
    <xf numFmtId="10" fontId="1" fillId="0" borderId="7" xfId="7" applyFont="1" applyBorder="1">
      <alignment vertical="top"/>
    </xf>
    <xf numFmtId="10" fontId="1" fillId="0" borderId="0" xfId="7" applyFont="1" applyBorder="1">
      <alignment vertical="top"/>
    </xf>
    <xf numFmtId="3" fontId="1" fillId="0" borderId="0" xfId="6" applyNumberFormat="1" applyFont="1">
      <alignment vertical="top"/>
    </xf>
    <xf numFmtId="164" fontId="1" fillId="0" borderId="7" xfId="6" applyNumberFormat="1" applyFont="1" applyBorder="1">
      <alignment vertical="top"/>
    </xf>
    <xf numFmtId="3" fontId="1" fillId="0" borderId="7" xfId="6" applyNumberFormat="1" applyFont="1" applyBorder="1">
      <alignment vertical="top"/>
    </xf>
    <xf numFmtId="0" fontId="5" fillId="0" borderId="11" xfId="4" applyFont="1" applyBorder="1">
      <alignment vertical="top"/>
    </xf>
    <xf numFmtId="0" fontId="5" fillId="0" borderId="12" xfId="4" applyFont="1" applyBorder="1">
      <alignment vertical="top"/>
    </xf>
    <xf numFmtId="164" fontId="1" fillId="0" borderId="0" xfId="6" applyNumberFormat="1" applyFont="1" applyAlignment="1">
      <alignment horizontal="center" vertical="top"/>
    </xf>
    <xf numFmtId="10" fontId="1" fillId="0" borderId="0" xfId="7" applyFont="1">
      <alignment vertical="top"/>
    </xf>
    <xf numFmtId="3" fontId="1" fillId="0" borderId="0" xfId="5" applyFont="1" applyProtection="1">
      <alignment vertical="top"/>
      <protection hidden="1"/>
    </xf>
    <xf numFmtId="3" fontId="5" fillId="0" borderId="2" xfId="5" applyFont="1" applyBorder="1" applyAlignment="1">
      <alignment horizontal="center" vertical="top"/>
    </xf>
    <xf numFmtId="3" fontId="5" fillId="0" borderId="2" xfId="5" quotePrefix="1" applyFont="1" applyBorder="1" applyAlignment="1">
      <alignment horizontal="center" vertical="top"/>
    </xf>
    <xf numFmtId="0" fontId="5" fillId="0" borderId="0" xfId="4" applyFont="1" applyAlignment="1">
      <alignment horizontal="center" vertical="top"/>
    </xf>
    <xf numFmtId="37" fontId="1" fillId="0" borderId="0" xfId="5" applyNumberFormat="1" applyFont="1">
      <alignment vertical="top"/>
    </xf>
    <xf numFmtId="37" fontId="1" fillId="0" borderId="2" xfId="5" applyNumberFormat="1" applyFont="1" applyBorder="1">
      <alignment vertical="top"/>
    </xf>
    <xf numFmtId="37" fontId="1" fillId="0" borderId="0" xfId="5" applyNumberFormat="1" applyFont="1" applyBorder="1">
      <alignment vertical="top"/>
    </xf>
    <xf numFmtId="5" fontId="1" fillId="0" borderId="9" xfId="8" applyFont="1" applyFill="1" applyBorder="1">
      <alignment vertical="top"/>
    </xf>
    <xf numFmtId="8" fontId="0" fillId="0" borderId="0" xfId="4" applyNumberFormat="1" applyFont="1">
      <alignment vertical="top"/>
    </xf>
    <xf numFmtId="5" fontId="1" fillId="0" borderId="0" xfId="8" applyFont="1" applyFill="1" applyBorder="1">
      <alignment vertical="top"/>
    </xf>
    <xf numFmtId="8" fontId="1" fillId="0" borderId="0" xfId="4" applyNumberFormat="1">
      <alignment vertical="top"/>
    </xf>
    <xf numFmtId="5" fontId="1" fillId="0" borderId="0" xfId="8" applyFont="1" applyFill="1">
      <alignment vertical="top"/>
    </xf>
    <xf numFmtId="0" fontId="5" fillId="0" borderId="0" xfId="4" quotePrefix="1" applyFont="1" applyAlignment="1">
      <alignment horizontal="left" vertical="top"/>
    </xf>
    <xf numFmtId="5" fontId="1" fillId="0" borderId="0" xfId="8" applyFont="1">
      <alignment vertical="top"/>
    </xf>
    <xf numFmtId="166" fontId="1" fillId="0" borderId="0" xfId="6" applyNumberFormat="1" applyFont="1">
      <alignment vertical="top"/>
    </xf>
    <xf numFmtId="37" fontId="1" fillId="0" borderId="0" xfId="4" applyNumberFormat="1">
      <alignment vertical="top"/>
    </xf>
    <xf numFmtId="0" fontId="4" fillId="0" borderId="0" xfId="4" applyFont="1">
      <alignment vertical="top"/>
    </xf>
    <xf numFmtId="10" fontId="4" fillId="0" borderId="0" xfId="7" applyNumberFormat="1" applyFont="1" applyFill="1" applyProtection="1">
      <alignment vertical="top"/>
    </xf>
    <xf numFmtId="37" fontId="1" fillId="0" borderId="0" xfId="6" applyNumberFormat="1" applyFont="1">
      <alignment vertical="top"/>
    </xf>
    <xf numFmtId="0" fontId="8" fillId="0" borderId="0" xfId="4" applyFont="1">
      <alignment vertical="top"/>
    </xf>
    <xf numFmtId="0" fontId="2" fillId="0" borderId="0" xfId="4" applyFont="1">
      <alignment vertical="top"/>
    </xf>
    <xf numFmtId="0" fontId="1" fillId="0" borderId="1" xfId="4" applyFill="1" applyBorder="1" applyAlignment="1">
      <alignment horizontal="left"/>
    </xf>
    <xf numFmtId="0" fontId="0" fillId="0" borderId="0" xfId="0" applyFont="1"/>
    <xf numFmtId="0" fontId="3" fillId="0" borderId="0" xfId="0" applyFont="1"/>
    <xf numFmtId="0" fontId="0" fillId="0" borderId="0" xfId="0" applyFill="1"/>
    <xf numFmtId="44" fontId="2" fillId="0" borderId="0" xfId="1" applyNumberFormat="1" applyFont="1" applyBorder="1" applyAlignment="1">
      <alignment vertical="top"/>
    </xf>
    <xf numFmtId="9" fontId="2" fillId="0" borderId="0" xfId="2" applyFont="1"/>
    <xf numFmtId="44" fontId="1" fillId="0" borderId="1" xfId="1" applyBorder="1" applyAlignment="1">
      <alignment vertical="top"/>
    </xf>
    <xf numFmtId="0" fontId="2" fillId="4" borderId="1" xfId="4" applyFont="1" applyFill="1" applyBorder="1" applyAlignment="1">
      <alignment vertical="top" wrapText="1"/>
    </xf>
    <xf numFmtId="9" fontId="1" fillId="0" borderId="1" xfId="2" applyBorder="1" applyAlignment="1">
      <alignment vertical="top"/>
    </xf>
    <xf numFmtId="167" fontId="1" fillId="0" borderId="0" xfId="6" applyNumberFormat="1" applyFont="1">
      <alignment vertical="top"/>
    </xf>
    <xf numFmtId="0" fontId="2" fillId="0" borderId="0" xfId="0" applyFont="1" applyAlignment="1">
      <alignment horizontal="center" vertical="center"/>
    </xf>
    <xf numFmtId="3" fontId="0" fillId="7" borderId="1" xfId="0" applyNumberFormat="1" applyFill="1" applyBorder="1" applyAlignment="1">
      <alignment vertical="top"/>
    </xf>
    <xf numFmtId="3" fontId="0" fillId="7" borderId="1" xfId="0" applyNumberFormat="1" applyFill="1" applyBorder="1"/>
    <xf numFmtId="3" fontId="10" fillId="7" borderId="1" xfId="11" applyNumberFormat="1" applyFill="1" applyBorder="1" applyAlignment="1">
      <alignment vertical="top"/>
    </xf>
    <xf numFmtId="168" fontId="10" fillId="7" borderId="1" xfId="11" applyNumberFormat="1" applyFill="1" applyBorder="1"/>
    <xf numFmtId="168" fontId="0" fillId="7" borderId="1" xfId="0" applyNumberFormat="1" applyFill="1" applyBorder="1"/>
    <xf numFmtId="3" fontId="3" fillId="7" borderId="1" xfId="0" applyNumberFormat="1" applyFont="1" applyFill="1" applyBorder="1" applyAlignment="1">
      <alignment vertical="top"/>
    </xf>
    <xf numFmtId="0" fontId="5" fillId="0" borderId="0" xfId="4" applyFont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3" fillId="0" borderId="0" xfId="0" applyFont="1"/>
    <xf numFmtId="0" fontId="9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0" fontId="1" fillId="8" borderId="7" xfId="4" applyNumberFormat="1" applyFill="1" applyBorder="1">
      <alignment vertical="top"/>
    </xf>
    <xf numFmtId="10" fontId="1" fillId="8" borderId="7" xfId="7" applyFont="1" applyFill="1" applyBorder="1">
      <alignment vertical="top"/>
    </xf>
    <xf numFmtId="169" fontId="1" fillId="0" borderId="0" xfId="4" applyNumberFormat="1">
      <alignment vertical="top"/>
    </xf>
    <xf numFmtId="9" fontId="1" fillId="0" borderId="0" xfId="2" applyAlignment="1">
      <alignment vertical="top"/>
    </xf>
    <xf numFmtId="0" fontId="1" fillId="0" borderId="0" xfId="4" applyFill="1" applyBorder="1" applyAlignment="1">
      <alignment horizontal="left"/>
    </xf>
    <xf numFmtId="165" fontId="0" fillId="0" borderId="0" xfId="1" applyNumberFormat="1" applyFont="1" applyFill="1" applyBorder="1" applyAlignment="1">
      <alignment vertical="top"/>
    </xf>
    <xf numFmtId="0" fontId="1" fillId="0" borderId="14" xfId="4" applyFill="1" applyBorder="1" applyAlignment="1"/>
    <xf numFmtId="44" fontId="1" fillId="0" borderId="14" xfId="1" applyBorder="1" applyAlignment="1">
      <alignment vertical="top"/>
    </xf>
    <xf numFmtId="9" fontId="1" fillId="0" borderId="14" xfId="2" applyBorder="1" applyAlignment="1">
      <alignment vertical="top"/>
    </xf>
    <xf numFmtId="44" fontId="1" fillId="0" borderId="0" xfId="1" applyFill="1" applyBorder="1" applyAlignment="1">
      <alignment vertical="top"/>
    </xf>
    <xf numFmtId="44" fontId="1" fillId="0" borderId="0" xfId="1" applyFont="1" applyFill="1" applyBorder="1" applyAlignment="1">
      <alignment vertical="top"/>
    </xf>
    <xf numFmtId="0" fontId="1" fillId="0" borderId="0" xfId="4" applyFill="1" applyBorder="1">
      <alignment vertical="top"/>
    </xf>
    <xf numFmtId="3" fontId="1" fillId="0" borderId="0" xfId="6" applyNumberFormat="1" applyFont="1" applyFill="1" applyBorder="1">
      <alignment vertical="top"/>
    </xf>
    <xf numFmtId="165" fontId="1" fillId="0" borderId="0" xfId="4" applyNumberFormat="1">
      <alignment vertical="top"/>
    </xf>
    <xf numFmtId="0" fontId="1" fillId="0" borderId="0" xfId="4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 vertical="top"/>
    </xf>
    <xf numFmtId="9" fontId="2" fillId="0" borderId="0" xfId="2" applyFont="1" applyFill="1" applyBorder="1" applyAlignment="1">
      <alignment horizontal="center" vertical="top"/>
    </xf>
    <xf numFmtId="0" fontId="2" fillId="0" borderId="0" xfId="4" applyFont="1" applyAlignment="1">
      <alignment horizontal="center" vertical="top"/>
    </xf>
    <xf numFmtId="165" fontId="1" fillId="0" borderId="0" xfId="1" applyNumberFormat="1" applyFill="1" applyBorder="1" applyAlignment="1">
      <alignment vertical="top"/>
    </xf>
    <xf numFmtId="44" fontId="2" fillId="5" borderId="0" xfId="1" applyFont="1" applyFill="1" applyBorder="1" applyAlignment="1">
      <alignment vertical="top"/>
    </xf>
    <xf numFmtId="0" fontId="1" fillId="0" borderId="12" xfId="4" applyFill="1" applyBorder="1">
      <alignment vertical="top"/>
    </xf>
    <xf numFmtId="165" fontId="2" fillId="2" borderId="13" xfId="1" applyNumberFormat="1" applyFont="1" applyFill="1" applyBorder="1" applyAlignment="1">
      <alignment vertical="top"/>
    </xf>
    <xf numFmtId="0" fontId="0" fillId="0" borderId="0" xfId="0" applyFill="1" applyAlignment="1">
      <alignment horizontal="right"/>
    </xf>
    <xf numFmtId="44" fontId="0" fillId="0" borderId="0" xfId="1" applyFont="1" applyAlignment="1">
      <alignment horizontal="center"/>
    </xf>
    <xf numFmtId="44" fontId="1" fillId="0" borderId="0" xfId="1" applyAlignment="1">
      <alignment vertical="top"/>
    </xf>
    <xf numFmtId="0" fontId="1" fillId="0" borderId="0" xfId="4" applyAlignment="1">
      <alignment horizontal="center" vertical="top"/>
    </xf>
    <xf numFmtId="0" fontId="0" fillId="0" borderId="1" xfId="4" applyFont="1" applyFill="1" applyBorder="1" applyAlignment="1">
      <alignment horizontal="left"/>
    </xf>
    <xf numFmtId="165" fontId="0" fillId="9" borderId="1" xfId="1" applyNumberFormat="1" applyFont="1" applyFill="1" applyBorder="1" applyAlignment="1">
      <alignment vertical="top"/>
    </xf>
    <xf numFmtId="44" fontId="2" fillId="0" borderId="0" xfId="1" applyFont="1" applyFill="1" applyBorder="1" applyAlignment="1">
      <alignment vertical="top"/>
    </xf>
    <xf numFmtId="0" fontId="10" fillId="9" borderId="1" xfId="1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4" applyFont="1" applyFill="1" applyBorder="1" applyAlignment="1">
      <alignment horizontal="center"/>
    </xf>
    <xf numFmtId="0" fontId="0" fillId="0" borderId="0" xfId="0" applyFill="1" applyBorder="1"/>
    <xf numFmtId="0" fontId="10" fillId="0" borderId="0" xfId="11" applyFill="1" applyBorder="1" applyAlignment="1">
      <alignment wrapText="1"/>
    </xf>
    <xf numFmtId="3" fontId="10" fillId="0" borderId="0" xfId="11" applyNumberFormat="1" applyFill="1" applyBorder="1" applyAlignment="1">
      <alignment vertical="top"/>
    </xf>
    <xf numFmtId="0" fontId="0" fillId="0" borderId="0" xfId="0" applyFill="1" applyBorder="1" applyAlignment="1">
      <alignment wrapText="1"/>
    </xf>
    <xf numFmtId="3" fontId="0" fillId="0" borderId="0" xfId="0" applyNumberFormat="1" applyFill="1" applyBorder="1" applyAlignment="1">
      <alignment vertical="top"/>
    </xf>
    <xf numFmtId="168" fontId="0" fillId="0" borderId="0" xfId="0" applyNumberFormat="1" applyFill="1" applyBorder="1" applyAlignment="1">
      <alignment vertical="top"/>
    </xf>
    <xf numFmtId="168" fontId="10" fillId="0" borderId="0" xfId="11" applyNumberFormat="1" applyFill="1" applyBorder="1" applyAlignment="1">
      <alignment vertical="top"/>
    </xf>
    <xf numFmtId="0" fontId="0" fillId="0" borderId="0" xfId="0" applyBorder="1"/>
    <xf numFmtId="3" fontId="0" fillId="0" borderId="0" xfId="0" applyNumberFormat="1" applyBorder="1" applyAlignment="1">
      <alignment vertical="top"/>
    </xf>
    <xf numFmtId="168" fontId="0" fillId="0" borderId="0" xfId="0" applyNumberFormat="1" applyFill="1" applyBorder="1"/>
    <xf numFmtId="3" fontId="0" fillId="0" borderId="0" xfId="0" applyNumberFormat="1" applyFill="1" applyBorder="1"/>
    <xf numFmtId="168" fontId="10" fillId="0" borderId="0" xfId="11" applyNumberFormat="1" applyFill="1" applyBorder="1"/>
    <xf numFmtId="0" fontId="2" fillId="7" borderId="15" xfId="0" applyFont="1" applyFill="1" applyBorder="1" applyAlignment="1">
      <alignment horizontal="center" vertical="center"/>
    </xf>
    <xf numFmtId="0" fontId="14" fillId="0" borderId="0" xfId="0" applyFont="1"/>
    <xf numFmtId="44" fontId="14" fillId="0" borderId="0" xfId="1" applyFont="1"/>
    <xf numFmtId="3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right"/>
    </xf>
    <xf numFmtId="44" fontId="3" fillId="0" borderId="0" xfId="1" applyFont="1"/>
    <xf numFmtId="0" fontId="16" fillId="0" borderId="0" xfId="0" applyFont="1"/>
    <xf numFmtId="0" fontId="2" fillId="0" borderId="0" xfId="0" applyFont="1" applyFill="1" applyBorder="1"/>
    <xf numFmtId="3" fontId="2" fillId="0" borderId="0" xfId="0" applyNumberFormat="1" applyFont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18" fillId="0" borderId="0" xfId="0" applyFont="1"/>
    <xf numFmtId="44" fontId="18" fillId="0" borderId="0" xfId="1" applyFont="1"/>
    <xf numFmtId="8" fontId="2" fillId="5" borderId="0" xfId="1" applyNumberFormat="1" applyFont="1" applyFill="1" applyBorder="1" applyAlignment="1">
      <alignment vertical="top"/>
    </xf>
    <xf numFmtId="8" fontId="2" fillId="0" borderId="0" xfId="1" applyNumberFormat="1" applyFont="1" applyFill="1" applyBorder="1" applyAlignment="1">
      <alignment vertical="top"/>
    </xf>
    <xf numFmtId="169" fontId="1" fillId="0" borderId="0" xfId="4" applyNumberFormat="1" applyBorder="1">
      <alignment vertical="top"/>
    </xf>
    <xf numFmtId="0" fontId="19" fillId="0" borderId="0" xfId="0" applyFont="1"/>
    <xf numFmtId="0" fontId="5" fillId="0" borderId="0" xfId="4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</cellXfs>
  <cellStyles count="12">
    <cellStyle name="Comma 2" xfId="6"/>
    <cellStyle name="Comma0" xfId="5"/>
    <cellStyle name="Currency" xfId="1" builtinId="4"/>
    <cellStyle name="Currency0" xfId="8"/>
    <cellStyle name="Date" xfId="9"/>
    <cellStyle name="Fixed" xfId="10"/>
    <cellStyle name="Neutral" xfId="11" builtinId="28"/>
    <cellStyle name="Normal" xfId="0" builtinId="0"/>
    <cellStyle name="Normal 2" xfId="4"/>
    <cellStyle name="Normal_Lane" xfId="3"/>
    <cellStyle name="Percent" xfId="2" builtinId="5"/>
    <cellStyle name="Percent 2" xfId="7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K52"/>
  <sheetViews>
    <sheetView topLeftCell="A25" workbookViewId="0">
      <selection activeCell="M23" sqref="M23"/>
    </sheetView>
  </sheetViews>
  <sheetFormatPr defaultRowHeight="14.4" x14ac:dyDescent="0.3"/>
  <cols>
    <col min="3" max="3" width="15" customWidth="1"/>
    <col min="5" max="5" width="14.88671875" customWidth="1"/>
    <col min="6" max="6" width="2.77734375" customWidth="1"/>
    <col min="7" max="7" width="10.21875" customWidth="1"/>
    <col min="8" max="8" width="2.77734375" customWidth="1"/>
    <col min="9" max="9" width="10.21875" customWidth="1"/>
    <col min="10" max="10" width="2.77734375" customWidth="1"/>
    <col min="11" max="11" width="10.21875" customWidth="1"/>
  </cols>
  <sheetData>
    <row r="1" spans="1:9" x14ac:dyDescent="0.3">
      <c r="A1" s="3" t="s">
        <v>37</v>
      </c>
    </row>
    <row r="2" spans="1:9" x14ac:dyDescent="0.3">
      <c r="A2" t="s">
        <v>202</v>
      </c>
    </row>
    <row r="4" spans="1:9" x14ac:dyDescent="0.3">
      <c r="A4" s="153" t="s">
        <v>12</v>
      </c>
      <c r="B4" s="139"/>
      <c r="C4" s="139"/>
      <c r="D4" s="139"/>
      <c r="E4" s="139"/>
      <c r="F4" s="139"/>
      <c r="G4" s="139"/>
    </row>
    <row r="5" spans="1:9" x14ac:dyDescent="0.3">
      <c r="A5" s="139"/>
      <c r="B5" s="139"/>
      <c r="C5" s="139"/>
      <c r="D5" s="139"/>
      <c r="E5" s="139"/>
      <c r="F5" s="139"/>
      <c r="G5" s="139"/>
    </row>
    <row r="6" spans="1:9" x14ac:dyDescent="0.3">
      <c r="A6" s="139"/>
      <c r="B6" s="148" t="s">
        <v>13</v>
      </c>
      <c r="C6" s="139"/>
      <c r="D6" s="139"/>
      <c r="E6" s="139"/>
      <c r="F6" s="139"/>
      <c r="G6" s="149">
        <v>127</v>
      </c>
    </row>
    <row r="8" spans="1:9" x14ac:dyDescent="0.3">
      <c r="A8" s="3" t="s">
        <v>14</v>
      </c>
    </row>
    <row r="10" spans="1:9" x14ac:dyDescent="0.3">
      <c r="A10" s="5" t="s">
        <v>15</v>
      </c>
      <c r="B10" s="5"/>
    </row>
    <row r="12" spans="1:9" x14ac:dyDescent="0.3">
      <c r="B12" t="s">
        <v>16</v>
      </c>
    </row>
    <row r="13" spans="1:9" x14ac:dyDescent="0.3">
      <c r="C13" t="s">
        <v>17</v>
      </c>
    </row>
    <row r="14" spans="1:9" x14ac:dyDescent="0.3">
      <c r="C14" t="s">
        <v>19</v>
      </c>
      <c r="E14" t="s">
        <v>18</v>
      </c>
    </row>
    <row r="15" spans="1:9" x14ac:dyDescent="0.3">
      <c r="C15" s="70">
        <v>250</v>
      </c>
      <c r="E15" s="140">
        <f>'Meter COS'!K8</f>
        <v>2.2045763582288074</v>
      </c>
      <c r="G15" s="71"/>
      <c r="I15" s="72"/>
    </row>
    <row r="16" spans="1:9" x14ac:dyDescent="0.3">
      <c r="C16" s="70">
        <v>630</v>
      </c>
      <c r="E16" s="140">
        <f>'Meter COS'!K9</f>
        <v>6.289843224235625</v>
      </c>
      <c r="G16" s="71"/>
      <c r="I16" s="72"/>
    </row>
    <row r="17" spans="1:11" x14ac:dyDescent="0.3">
      <c r="C17" s="70">
        <v>1000</v>
      </c>
      <c r="E17" s="140">
        <f>'Meter COS'!K10</f>
        <v>10.795606117573556</v>
      </c>
      <c r="G17" s="71"/>
      <c r="I17" s="72"/>
    </row>
    <row r="18" spans="1:11" x14ac:dyDescent="0.3">
      <c r="C18" s="70"/>
    </row>
    <row r="19" spans="1:11" x14ac:dyDescent="0.3">
      <c r="A19" s="5" t="s">
        <v>20</v>
      </c>
      <c r="B19" s="5"/>
    </row>
    <row r="20" spans="1:11" x14ac:dyDescent="0.3">
      <c r="E20" t="s">
        <v>38</v>
      </c>
    </row>
    <row r="21" spans="1:11" x14ac:dyDescent="0.3">
      <c r="C21" s="3" t="s">
        <v>17</v>
      </c>
      <c r="E21" t="s">
        <v>19</v>
      </c>
      <c r="G21" s="68" t="s">
        <v>18</v>
      </c>
      <c r="H21" s="68"/>
      <c r="I21" s="68"/>
    </row>
    <row r="22" spans="1:11" x14ac:dyDescent="0.3">
      <c r="C22" s="116" t="s">
        <v>22</v>
      </c>
      <c r="E22">
        <v>1500</v>
      </c>
      <c r="G22" s="140">
        <f>'Meter COS'!K11</f>
        <v>28.984447821221366</v>
      </c>
      <c r="I22" s="7"/>
      <c r="K22" s="72"/>
    </row>
    <row r="23" spans="1:11" x14ac:dyDescent="0.3">
      <c r="C23" s="116" t="s">
        <v>23</v>
      </c>
      <c r="E23">
        <v>3000</v>
      </c>
      <c r="G23" s="140">
        <f>'Meter COS'!K12</f>
        <v>31.287331310832958</v>
      </c>
      <c r="I23" s="7"/>
      <c r="K23" s="72"/>
    </row>
    <row r="24" spans="1:11" x14ac:dyDescent="0.3">
      <c r="C24" s="116" t="s">
        <v>24</v>
      </c>
      <c r="E24">
        <v>5000</v>
      </c>
      <c r="G24" s="140">
        <f>'Meter COS'!K13</f>
        <v>35.203460629442958</v>
      </c>
      <c r="I24" s="7"/>
      <c r="K24" s="72"/>
    </row>
    <row r="25" spans="1:11" x14ac:dyDescent="0.3">
      <c r="C25" s="116" t="s">
        <v>25</v>
      </c>
      <c r="E25">
        <v>7000</v>
      </c>
      <c r="G25" s="140">
        <f>'Meter COS'!K14</f>
        <v>36.165168913301393</v>
      </c>
      <c r="I25" s="7"/>
      <c r="K25" s="72"/>
    </row>
    <row r="26" spans="1:11" x14ac:dyDescent="0.3">
      <c r="C26" s="116" t="s">
        <v>26</v>
      </c>
      <c r="E26">
        <v>11000</v>
      </c>
      <c r="G26" s="140">
        <f>'Meter COS'!K15</f>
        <v>56.029532351593019</v>
      </c>
      <c r="I26" s="7"/>
      <c r="K26" s="72"/>
    </row>
    <row r="27" spans="1:11" x14ac:dyDescent="0.3">
      <c r="C27" s="116" t="s">
        <v>27</v>
      </c>
      <c r="E27">
        <v>16000</v>
      </c>
      <c r="G27" s="140">
        <f>'Meter COS'!K16</f>
        <v>72.611520863066744</v>
      </c>
      <c r="I27" s="7"/>
      <c r="K27" s="72"/>
    </row>
    <row r="28" spans="1:11" x14ac:dyDescent="0.3">
      <c r="C28" s="116" t="s">
        <v>28</v>
      </c>
      <c r="E28">
        <v>23000</v>
      </c>
      <c r="G28" s="140">
        <f>'Meter COS'!K17</f>
        <v>98.208103626892125</v>
      </c>
      <c r="I28" s="7"/>
      <c r="K28" s="72"/>
    </row>
    <row r="29" spans="1:11" x14ac:dyDescent="0.3">
      <c r="C29" s="116" t="s">
        <v>29</v>
      </c>
      <c r="E29">
        <v>38000</v>
      </c>
      <c r="G29" s="140">
        <f>'Meter COS'!K18</f>
        <v>267.20571039214457</v>
      </c>
      <c r="I29" s="7"/>
      <c r="K29" s="72"/>
    </row>
    <row r="31" spans="1:11" x14ac:dyDescent="0.3">
      <c r="B31" s="139" t="s">
        <v>197</v>
      </c>
      <c r="C31" s="70"/>
    </row>
    <row r="32" spans="1:11" x14ac:dyDescent="0.3">
      <c r="C32" s="142" t="s">
        <v>21</v>
      </c>
      <c r="D32" s="69"/>
      <c r="E32" s="69"/>
      <c r="F32" s="69"/>
      <c r="G32" s="143">
        <v>13</v>
      </c>
    </row>
    <row r="34" spans="2:11" ht="28.8" x14ac:dyDescent="0.3">
      <c r="C34" s="3" t="s">
        <v>30</v>
      </c>
      <c r="G34" s="6" t="s">
        <v>35</v>
      </c>
      <c r="I34" s="6" t="s">
        <v>36</v>
      </c>
      <c r="K34" s="6" t="s">
        <v>18</v>
      </c>
    </row>
    <row r="35" spans="2:11" x14ac:dyDescent="0.3">
      <c r="B35" s="69" t="s">
        <v>31</v>
      </c>
      <c r="C35" s="144"/>
      <c r="D35" s="69"/>
      <c r="E35" s="69"/>
      <c r="F35" s="69"/>
      <c r="G35" s="143">
        <v>0</v>
      </c>
      <c r="H35" s="143"/>
      <c r="I35" s="143">
        <v>0</v>
      </c>
      <c r="J35" s="143"/>
      <c r="K35" s="143">
        <v>0.76</v>
      </c>
    </row>
    <row r="36" spans="2:11" ht="16.2" x14ac:dyDescent="0.3">
      <c r="B36" t="s">
        <v>199</v>
      </c>
      <c r="C36" s="3"/>
      <c r="G36" s="4">
        <v>0</v>
      </c>
      <c r="H36" s="4"/>
      <c r="I36" s="140">
        <f>'AAMR Cost'!B17</f>
        <v>2633.05</v>
      </c>
      <c r="J36" s="4"/>
      <c r="K36" s="140">
        <f>'AAMR COS '!K8+'AAMR Cost'!B20</f>
        <v>59.01436007848239</v>
      </c>
    </row>
    <row r="37" spans="2:11" x14ac:dyDescent="0.3">
      <c r="B37" t="s">
        <v>32</v>
      </c>
      <c r="C37" s="3"/>
      <c r="G37" s="4">
        <v>0</v>
      </c>
      <c r="H37" s="4"/>
      <c r="I37" s="4">
        <v>50</v>
      </c>
      <c r="J37" s="4"/>
      <c r="K37" s="4">
        <v>4</v>
      </c>
    </row>
    <row r="38" spans="2:11" x14ac:dyDescent="0.3">
      <c r="B38" t="s">
        <v>33</v>
      </c>
      <c r="C38" s="3"/>
      <c r="G38" s="4">
        <v>0</v>
      </c>
      <c r="H38" s="4"/>
      <c r="I38" s="4">
        <v>100</v>
      </c>
      <c r="J38" s="4"/>
      <c r="K38" s="4">
        <v>8</v>
      </c>
    </row>
    <row r="39" spans="2:11" x14ac:dyDescent="0.3">
      <c r="B39" t="s">
        <v>116</v>
      </c>
      <c r="C39" s="3"/>
      <c r="G39" s="4">
        <v>100</v>
      </c>
      <c r="H39" s="4"/>
      <c r="I39" s="4">
        <v>0</v>
      </c>
      <c r="J39" s="4"/>
      <c r="K39" s="4">
        <v>0</v>
      </c>
    </row>
    <row r="40" spans="2:11" x14ac:dyDescent="0.3">
      <c r="B40" t="s">
        <v>115</v>
      </c>
      <c r="C40" s="3"/>
      <c r="G40" s="4">
        <v>100</v>
      </c>
      <c r="H40" s="4"/>
      <c r="I40" s="4">
        <v>0</v>
      </c>
      <c r="J40" s="4"/>
      <c r="K40" s="4">
        <v>0</v>
      </c>
    </row>
    <row r="41" spans="2:11" x14ac:dyDescent="0.3">
      <c r="B41" s="148" t="s">
        <v>34</v>
      </c>
      <c r="C41" s="148"/>
      <c r="D41" s="148"/>
      <c r="E41" s="148"/>
      <c r="F41" s="148"/>
      <c r="G41" s="149">
        <v>0</v>
      </c>
      <c r="H41" s="149"/>
      <c r="I41" s="149">
        <v>0</v>
      </c>
      <c r="J41" s="149"/>
      <c r="K41" s="149">
        <v>127</v>
      </c>
    </row>
    <row r="43" spans="2:11" ht="16.2" x14ac:dyDescent="0.3">
      <c r="B43" s="139" t="s">
        <v>198</v>
      </c>
    </row>
    <row r="45" spans="2:11" x14ac:dyDescent="0.3">
      <c r="C45" s="3"/>
      <c r="G45" s="6"/>
      <c r="I45" s="6"/>
      <c r="K45" s="6"/>
    </row>
    <row r="46" spans="2:11" x14ac:dyDescent="0.3">
      <c r="G46" s="4"/>
      <c r="H46" s="4"/>
      <c r="I46" s="4"/>
      <c r="J46" s="4"/>
      <c r="K46" s="4"/>
    </row>
    <row r="47" spans="2:11" x14ac:dyDescent="0.3">
      <c r="G47" s="4"/>
      <c r="H47" s="4"/>
      <c r="I47" s="4"/>
      <c r="J47" s="4"/>
      <c r="K47" s="4"/>
    </row>
    <row r="48" spans="2:11" x14ac:dyDescent="0.3">
      <c r="G48" s="4"/>
      <c r="H48" s="4"/>
      <c r="I48" s="4"/>
      <c r="J48" s="4"/>
      <c r="K48" s="4"/>
    </row>
    <row r="49" spans="7:11" x14ac:dyDescent="0.3">
      <c r="G49" s="4"/>
      <c r="H49" s="4"/>
      <c r="I49" s="4"/>
      <c r="J49" s="4"/>
      <c r="K49" s="4"/>
    </row>
    <row r="50" spans="7:11" x14ac:dyDescent="0.3">
      <c r="G50" s="4"/>
      <c r="H50" s="4"/>
      <c r="I50" s="4"/>
      <c r="J50" s="4"/>
      <c r="K50" s="4"/>
    </row>
    <row r="51" spans="7:11" x14ac:dyDescent="0.3">
      <c r="G51" s="4"/>
      <c r="H51" s="4"/>
      <c r="I51" s="4"/>
      <c r="J51" s="4"/>
      <c r="K51" s="4"/>
    </row>
    <row r="52" spans="7:11" x14ac:dyDescent="0.3">
      <c r="G52" s="4"/>
      <c r="H52" s="4"/>
      <c r="I52" s="4"/>
      <c r="J52" s="4"/>
      <c r="K52" s="4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  <pageSetUpPr fitToPage="1"/>
  </sheetPr>
  <dimension ref="A1:Z86"/>
  <sheetViews>
    <sheetView tabSelected="1" topLeftCell="A7" workbookViewId="0">
      <pane xSplit="4" ySplit="20" topLeftCell="E27" activePane="bottomRight" state="frozen"/>
      <selection activeCell="A7" sqref="A7"/>
      <selection pane="topRight" activeCell="E7" sqref="E7"/>
      <selection pane="bottomLeft" activeCell="A27" sqref="A27"/>
      <selection pane="bottomRight" activeCell="E15" sqref="E15"/>
    </sheetView>
  </sheetViews>
  <sheetFormatPr defaultColWidth="10.33203125" defaultRowHeight="14.4" x14ac:dyDescent="0.3"/>
  <cols>
    <col min="1" max="2" width="5.6640625" style="10" customWidth="1"/>
    <col min="3" max="3" width="28.44140625" style="10" customWidth="1"/>
    <col min="4" max="25" width="13.6640625" style="12" customWidth="1"/>
    <col min="26" max="16384" width="10.33203125" style="12"/>
  </cols>
  <sheetData>
    <row r="1" spans="1:13" x14ac:dyDescent="0.25">
      <c r="A1" s="9" t="s">
        <v>39</v>
      </c>
      <c r="D1" s="11"/>
      <c r="E1" s="154"/>
      <c r="F1" s="154"/>
      <c r="I1" s="13"/>
    </row>
    <row r="2" spans="1:13" x14ac:dyDescent="0.3">
      <c r="A2" s="10" t="s">
        <v>40</v>
      </c>
      <c r="D2" s="11"/>
      <c r="E2" s="11"/>
      <c r="F2" s="13"/>
      <c r="G2" s="13"/>
    </row>
    <row r="3" spans="1:13" ht="15" thickBot="1" x14ac:dyDescent="0.35">
      <c r="D3" s="11"/>
      <c r="E3" s="11"/>
      <c r="F3" s="13"/>
      <c r="G3" s="13"/>
      <c r="I3" s="66" t="s">
        <v>114</v>
      </c>
    </row>
    <row r="4" spans="1:13" ht="36" customHeight="1" x14ac:dyDescent="0.3">
      <c r="A4" s="14" t="s">
        <v>41</v>
      </c>
      <c r="B4" s="15"/>
      <c r="C4" s="15"/>
      <c r="D4" s="16"/>
      <c r="E4" s="16"/>
      <c r="F4" s="17"/>
      <c r="G4" s="18"/>
      <c r="I4" s="19" t="s">
        <v>42</v>
      </c>
      <c r="J4" s="19" t="s">
        <v>118</v>
      </c>
      <c r="K4" s="74" t="s">
        <v>117</v>
      </c>
      <c r="L4" s="74" t="s">
        <v>119</v>
      </c>
    </row>
    <row r="5" spans="1:13" x14ac:dyDescent="0.3">
      <c r="A5" s="20"/>
      <c r="B5" s="21"/>
      <c r="C5" s="21"/>
      <c r="D5" s="22"/>
      <c r="E5" s="22"/>
      <c r="F5" s="23"/>
      <c r="G5" s="18"/>
      <c r="I5" s="24">
        <v>250</v>
      </c>
      <c r="J5" s="73">
        <v>1</v>
      </c>
      <c r="K5" s="73">
        <v>2.0048601954472138</v>
      </c>
      <c r="L5" s="75">
        <f t="shared" ref="L5:L6" si="0">(K5/J5)-1</f>
        <v>1.0048601954472138</v>
      </c>
    </row>
    <row r="6" spans="1:13" x14ac:dyDescent="0.3">
      <c r="A6" s="20"/>
      <c r="B6" s="21"/>
      <c r="C6" s="21"/>
      <c r="D6" s="25"/>
      <c r="E6" s="25"/>
      <c r="F6" s="26" t="s">
        <v>43</v>
      </c>
      <c r="G6" s="25"/>
      <c r="I6" s="99">
        <v>630</v>
      </c>
      <c r="J6" s="100">
        <v>3</v>
      </c>
      <c r="K6" s="100">
        <v>5.1176694462731458</v>
      </c>
      <c r="L6" s="101">
        <f t="shared" si="0"/>
        <v>0.70588981542438201</v>
      </c>
    </row>
    <row r="7" spans="1:13" x14ac:dyDescent="0.3">
      <c r="A7" s="20" t="s">
        <v>44</v>
      </c>
      <c r="B7" s="21"/>
      <c r="C7" s="21"/>
      <c r="D7" s="27" t="s">
        <v>45</v>
      </c>
      <c r="E7" s="27" t="s">
        <v>46</v>
      </c>
      <c r="F7" s="28" t="s">
        <v>46</v>
      </c>
      <c r="G7" s="25"/>
      <c r="H7" s="106"/>
      <c r="I7" s="108" t="s">
        <v>157</v>
      </c>
      <c r="J7" s="109" t="s">
        <v>46</v>
      </c>
      <c r="K7" s="109" t="s">
        <v>158</v>
      </c>
      <c r="L7" s="110" t="s">
        <v>159</v>
      </c>
      <c r="M7" s="111" t="s">
        <v>160</v>
      </c>
    </row>
    <row r="8" spans="1:13" x14ac:dyDescent="0.3">
      <c r="A8" s="20"/>
      <c r="B8" s="21"/>
      <c r="C8" s="21"/>
      <c r="D8" s="29"/>
      <c r="E8" s="29"/>
      <c r="F8" s="30"/>
      <c r="G8" s="29"/>
      <c r="I8" s="107">
        <v>250</v>
      </c>
      <c r="J8" s="112">
        <f>'Meter Cost'!B4</f>
        <v>237.09250000000003</v>
      </c>
      <c r="K8" s="113">
        <f>-D49</f>
        <v>2.2045763582288074</v>
      </c>
      <c r="L8" s="102">
        <v>1</v>
      </c>
      <c r="M8" s="56">
        <f>K8-L8</f>
        <v>1.2045763582288074</v>
      </c>
    </row>
    <row r="9" spans="1:13" x14ac:dyDescent="0.3">
      <c r="A9" s="20" t="s">
        <v>201</v>
      </c>
      <c r="B9" s="21"/>
      <c r="C9" s="21"/>
      <c r="D9" s="31"/>
      <c r="E9" s="31"/>
      <c r="F9" s="32"/>
      <c r="G9" s="31"/>
      <c r="I9" s="107">
        <v>630</v>
      </c>
      <c r="J9" s="112">
        <f>'Meter Cost'!B5</f>
        <v>676.44499999999994</v>
      </c>
      <c r="K9" s="113">
        <f t="dataTable" ref="K9:K18" dt2D="0" dtr="0" r1="F23"/>
        <v>6.289843224235625</v>
      </c>
      <c r="L9" s="102">
        <v>3</v>
      </c>
      <c r="M9" s="56">
        <f t="shared" ref="M9:M18" si="1">K9-L9</f>
        <v>3.289843224235625</v>
      </c>
    </row>
    <row r="10" spans="1:13" x14ac:dyDescent="0.3">
      <c r="A10" s="20" t="s">
        <v>200</v>
      </c>
      <c r="B10" s="21"/>
      <c r="C10" s="21"/>
      <c r="D10" s="31">
        <v>0.5</v>
      </c>
      <c r="E10" s="31">
        <v>5.5109999999999999E-2</v>
      </c>
      <c r="F10" s="32">
        <v>2.7555E-2</v>
      </c>
      <c r="G10" s="31"/>
      <c r="I10" s="107">
        <v>1000</v>
      </c>
      <c r="J10" s="112">
        <f>'Meter Cost'!B6</f>
        <v>1161.02</v>
      </c>
      <c r="K10" s="113">
        <v>10.795606117573556</v>
      </c>
      <c r="L10" s="102">
        <v>5.16</v>
      </c>
      <c r="M10" s="56">
        <f t="shared" si="1"/>
        <v>5.6356061175735555</v>
      </c>
    </row>
    <row r="11" spans="1:13" x14ac:dyDescent="0.3">
      <c r="A11" s="20" t="s">
        <v>49</v>
      </c>
      <c r="B11" s="21"/>
      <c r="C11" s="21"/>
      <c r="D11" s="33">
        <v>0.5</v>
      </c>
      <c r="E11" s="152">
        <v>0.10100000000000001</v>
      </c>
      <c r="F11" s="34">
        <f>D11*E11</f>
        <v>5.0500000000000003E-2</v>
      </c>
      <c r="G11" s="31"/>
      <c r="I11" s="107" t="s">
        <v>22</v>
      </c>
      <c r="J11" s="112">
        <f>'Meter Cost'!B7</f>
        <v>3117.1499999999996</v>
      </c>
      <c r="K11" s="113">
        <v>28.984447821221366</v>
      </c>
      <c r="L11" s="102">
        <v>15</v>
      </c>
      <c r="M11" s="56">
        <f t="shared" si="1"/>
        <v>13.984447821221366</v>
      </c>
    </row>
    <row r="12" spans="1:13" ht="15" thickBot="1" x14ac:dyDescent="0.35">
      <c r="A12" s="20"/>
      <c r="B12" s="21"/>
      <c r="C12" s="21"/>
      <c r="D12" s="35">
        <f>D9+D10+D11</f>
        <v>1</v>
      </c>
      <c r="E12" s="31"/>
      <c r="F12" s="36">
        <f>F9+F10+F11</f>
        <v>7.8054999999999999E-2</v>
      </c>
      <c r="G12" s="31"/>
      <c r="I12" s="107" t="s">
        <v>23</v>
      </c>
      <c r="J12" s="112">
        <f>'Meter Cost'!B8</f>
        <v>3364.8149999999996</v>
      </c>
      <c r="K12" s="113">
        <v>31.287331310832958</v>
      </c>
      <c r="L12" s="102">
        <v>16</v>
      </c>
      <c r="M12" s="56">
        <f t="shared" si="1"/>
        <v>15.287331310832958</v>
      </c>
    </row>
    <row r="13" spans="1:13" ht="15" thickTop="1" x14ac:dyDescent="0.3">
      <c r="A13" s="20"/>
      <c r="B13" s="21"/>
      <c r="C13" s="21"/>
      <c r="D13" s="29"/>
      <c r="E13" s="29"/>
      <c r="F13" s="30"/>
      <c r="G13" s="29"/>
      <c r="I13" s="107" t="s">
        <v>24</v>
      </c>
      <c r="J13" s="112">
        <f>'Meter Cost'!B9</f>
        <v>3785.9775</v>
      </c>
      <c r="K13" s="113">
        <v>35.203460629442958</v>
      </c>
      <c r="L13" s="102">
        <v>18</v>
      </c>
      <c r="M13" s="56">
        <f t="shared" si="1"/>
        <v>17.203460629442958</v>
      </c>
    </row>
    <row r="14" spans="1:13" x14ac:dyDescent="0.3">
      <c r="A14" s="20" t="s">
        <v>50</v>
      </c>
      <c r="B14" s="21"/>
      <c r="C14" s="21"/>
      <c r="D14" s="29"/>
      <c r="E14" s="29"/>
      <c r="F14" s="93">
        <v>0</v>
      </c>
      <c r="G14" s="31"/>
      <c r="I14" s="107" t="s">
        <v>25</v>
      </c>
      <c r="J14" s="112">
        <f>'Meter Cost'!B10</f>
        <v>3889.4049999999997</v>
      </c>
      <c r="K14" s="113">
        <v>36.165168913301393</v>
      </c>
      <c r="L14" s="102">
        <v>22</v>
      </c>
      <c r="M14" s="56">
        <f t="shared" si="1"/>
        <v>14.165168913301393</v>
      </c>
    </row>
    <row r="15" spans="1:13" x14ac:dyDescent="0.3">
      <c r="A15" s="20" t="s">
        <v>51</v>
      </c>
      <c r="B15" s="21"/>
      <c r="C15" s="21"/>
      <c r="D15" s="29"/>
      <c r="E15" s="29"/>
      <c r="F15" s="93">
        <v>0.21</v>
      </c>
      <c r="G15" s="31"/>
      <c r="I15" s="107" t="s">
        <v>26</v>
      </c>
      <c r="J15" s="112">
        <f>'Meter Cost'!B11</f>
        <v>6025.7300000000005</v>
      </c>
      <c r="K15" s="113">
        <v>56.029532351593019</v>
      </c>
      <c r="L15" s="102">
        <v>25</v>
      </c>
      <c r="M15" s="56">
        <f t="shared" si="1"/>
        <v>31.029532351593019</v>
      </c>
    </row>
    <row r="16" spans="1:13" x14ac:dyDescent="0.3">
      <c r="A16" s="20" t="s">
        <v>52</v>
      </c>
      <c r="B16" s="21"/>
      <c r="C16" s="21"/>
      <c r="D16" s="29"/>
      <c r="E16" s="29"/>
      <c r="F16" s="94">
        <v>4.3720000000000002E-2</v>
      </c>
      <c r="G16" s="38"/>
      <c r="I16" s="107" t="s">
        <v>27</v>
      </c>
      <c r="J16" s="112">
        <f>'Meter Cost'!B12</f>
        <v>7809.0499999999993</v>
      </c>
      <c r="K16" s="113">
        <v>72.611520863066744</v>
      </c>
      <c r="L16" s="102">
        <v>32</v>
      </c>
      <c r="M16" s="56">
        <f t="shared" si="1"/>
        <v>40.611520863066744</v>
      </c>
    </row>
    <row r="17" spans="1:26" x14ac:dyDescent="0.3">
      <c r="A17" s="20" t="s">
        <v>53</v>
      </c>
      <c r="B17" s="21"/>
      <c r="C17" s="21"/>
      <c r="D17" s="29"/>
      <c r="E17" s="29"/>
      <c r="F17" s="94">
        <f>1/21</f>
        <v>4.7619047619047616E-2</v>
      </c>
      <c r="G17" s="39"/>
      <c r="I17" s="107" t="s">
        <v>28</v>
      </c>
      <c r="J17" s="112">
        <f>'Meter Cost'!B13</f>
        <v>10561.85</v>
      </c>
      <c r="K17" s="113">
        <v>98.208103626892125</v>
      </c>
      <c r="L17" s="102">
        <v>48</v>
      </c>
      <c r="M17" s="56">
        <f t="shared" si="1"/>
        <v>50.208103626892125</v>
      </c>
    </row>
    <row r="18" spans="1:26" x14ac:dyDescent="0.3">
      <c r="A18" s="20" t="s">
        <v>54</v>
      </c>
      <c r="B18" s="21"/>
      <c r="C18" s="21"/>
      <c r="D18" s="29"/>
      <c r="E18" s="29"/>
      <c r="F18" s="94">
        <v>0</v>
      </c>
      <c r="G18" s="39"/>
      <c r="H18" s="39"/>
      <c r="I18" s="107" t="s">
        <v>29</v>
      </c>
      <c r="J18" s="112">
        <f>'Meter Cost'!B14</f>
        <v>28736.799999999999</v>
      </c>
      <c r="K18" s="113">
        <v>267.20571039214457</v>
      </c>
      <c r="L18" s="103">
        <v>56</v>
      </c>
      <c r="M18" s="56">
        <f t="shared" si="1"/>
        <v>211.20571039214457</v>
      </c>
    </row>
    <row r="19" spans="1:26" x14ac:dyDescent="0.3">
      <c r="A19" s="20" t="s">
        <v>55</v>
      </c>
      <c r="B19" s="21"/>
      <c r="C19" s="21"/>
      <c r="D19" s="29"/>
      <c r="E19" s="29"/>
      <c r="F19" s="40">
        <v>0</v>
      </c>
      <c r="G19" s="39"/>
      <c r="H19" s="39"/>
      <c r="I19" s="97"/>
      <c r="J19" s="104"/>
      <c r="K19" s="103"/>
      <c r="L19" s="105"/>
    </row>
    <row r="20" spans="1:26" x14ac:dyDescent="0.3">
      <c r="A20" s="20" t="s">
        <v>56</v>
      </c>
      <c r="B20" s="21"/>
      <c r="C20" s="21"/>
      <c r="D20" s="29"/>
      <c r="E20" s="29"/>
      <c r="F20" s="37">
        <v>0.01</v>
      </c>
      <c r="G20" s="39"/>
      <c r="H20" s="39"/>
      <c r="I20" s="97"/>
      <c r="J20" s="104"/>
      <c r="K20" s="103"/>
      <c r="L20" s="105"/>
    </row>
    <row r="21" spans="1:26" x14ac:dyDescent="0.3">
      <c r="A21" s="20" t="s">
        <v>57</v>
      </c>
      <c r="B21" s="21"/>
      <c r="C21" s="21"/>
      <c r="D21" s="29"/>
      <c r="E21" s="29"/>
      <c r="F21" s="41">
        <v>2</v>
      </c>
      <c r="G21" s="39"/>
      <c r="H21" s="39"/>
      <c r="I21" s="39"/>
      <c r="J21" s="39"/>
      <c r="K21" s="39"/>
      <c r="L21" s="39"/>
      <c r="M21" s="39"/>
      <c r="N21" s="39"/>
    </row>
    <row r="22" spans="1:26" x14ac:dyDescent="0.3">
      <c r="A22" s="20"/>
      <c r="B22" s="21"/>
      <c r="C22" s="21"/>
      <c r="D22" s="29"/>
      <c r="E22" s="29"/>
      <c r="F22" s="41"/>
      <c r="G22" s="39"/>
      <c r="H22" s="39"/>
      <c r="I22" s="39"/>
      <c r="J22" s="60"/>
      <c r="K22" s="76"/>
      <c r="L22" s="76"/>
      <c r="M22" s="76"/>
      <c r="N22" s="76"/>
      <c r="O22" s="76"/>
      <c r="P22" s="76"/>
    </row>
    <row r="23" spans="1:26" ht="15" thickBot="1" x14ac:dyDescent="0.35">
      <c r="A23" s="42" t="s">
        <v>58</v>
      </c>
      <c r="B23" s="43"/>
      <c r="C23" s="43"/>
      <c r="D23" s="43"/>
      <c r="E23" s="114"/>
      <c r="F23" s="115">
        <f>J8</f>
        <v>237.09250000000003</v>
      </c>
      <c r="J23" s="44"/>
    </row>
    <row r="25" spans="1:26" x14ac:dyDescent="0.3">
      <c r="B25" s="12"/>
      <c r="C25" s="12"/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6" x14ac:dyDescent="0.3">
      <c r="E26" s="47" t="s">
        <v>59</v>
      </c>
      <c r="F26" s="48" t="s">
        <v>60</v>
      </c>
      <c r="G26" s="48" t="s">
        <v>61</v>
      </c>
      <c r="H26" s="48" t="s">
        <v>62</v>
      </c>
      <c r="I26" s="48" t="s">
        <v>63</v>
      </c>
      <c r="J26" s="48" t="s">
        <v>64</v>
      </c>
      <c r="K26" s="48" t="s">
        <v>65</v>
      </c>
      <c r="L26" s="48" t="s">
        <v>66</v>
      </c>
      <c r="M26" s="48" t="s">
        <v>67</v>
      </c>
      <c r="N26" s="48" t="s">
        <v>68</v>
      </c>
      <c r="O26" s="48" t="s">
        <v>69</v>
      </c>
      <c r="P26" s="48" t="s">
        <v>70</v>
      </c>
      <c r="Q26" s="48" t="s">
        <v>71</v>
      </c>
      <c r="R26" s="48" t="s">
        <v>72</v>
      </c>
      <c r="S26" s="48" t="s">
        <v>73</v>
      </c>
      <c r="T26" s="48" t="s">
        <v>74</v>
      </c>
      <c r="U26" s="48" t="s">
        <v>75</v>
      </c>
      <c r="V26" s="48" t="s">
        <v>76</v>
      </c>
      <c r="W26" s="48" t="s">
        <v>77</v>
      </c>
      <c r="X26" s="48" t="s">
        <v>78</v>
      </c>
      <c r="Y26" s="48" t="s">
        <v>79</v>
      </c>
    </row>
    <row r="27" spans="1:26" x14ac:dyDescent="0.3">
      <c r="D27" s="11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6" x14ac:dyDescent="0.3">
      <c r="A28" s="49">
        <v>1</v>
      </c>
      <c r="B28" s="10" t="s">
        <v>80</v>
      </c>
      <c r="D28" s="11"/>
      <c r="E28" s="50">
        <f t="shared" ref="E28:Y28" si="2">$F23*$F17</f>
        <v>11.290119047619049</v>
      </c>
      <c r="F28" s="50">
        <f>$F23*$F17</f>
        <v>11.290119047619049</v>
      </c>
      <c r="G28" s="50">
        <f t="shared" si="2"/>
        <v>11.290119047619049</v>
      </c>
      <c r="H28" s="50">
        <f t="shared" si="2"/>
        <v>11.290119047619049</v>
      </c>
      <c r="I28" s="50">
        <f t="shared" si="2"/>
        <v>11.290119047619049</v>
      </c>
      <c r="J28" s="50">
        <f t="shared" si="2"/>
        <v>11.290119047619049</v>
      </c>
      <c r="K28" s="50">
        <f t="shared" si="2"/>
        <v>11.290119047619049</v>
      </c>
      <c r="L28" s="50">
        <f t="shared" si="2"/>
        <v>11.290119047619049</v>
      </c>
      <c r="M28" s="50">
        <f t="shared" si="2"/>
        <v>11.290119047619049</v>
      </c>
      <c r="N28" s="50">
        <f t="shared" si="2"/>
        <v>11.290119047619049</v>
      </c>
      <c r="O28" s="50">
        <f t="shared" si="2"/>
        <v>11.290119047619049</v>
      </c>
      <c r="P28" s="50">
        <f t="shared" si="2"/>
        <v>11.290119047619049</v>
      </c>
      <c r="Q28" s="50">
        <f t="shared" si="2"/>
        <v>11.290119047619049</v>
      </c>
      <c r="R28" s="50">
        <f t="shared" si="2"/>
        <v>11.290119047619049</v>
      </c>
      <c r="S28" s="50">
        <f t="shared" si="2"/>
        <v>11.290119047619049</v>
      </c>
      <c r="T28" s="50">
        <f t="shared" si="2"/>
        <v>11.290119047619049</v>
      </c>
      <c r="U28" s="50">
        <f t="shared" si="2"/>
        <v>11.290119047619049</v>
      </c>
      <c r="V28" s="50">
        <f t="shared" si="2"/>
        <v>11.290119047619049</v>
      </c>
      <c r="W28" s="50">
        <f t="shared" si="2"/>
        <v>11.290119047619049</v>
      </c>
      <c r="X28" s="50">
        <f t="shared" si="2"/>
        <v>11.290119047619049</v>
      </c>
      <c r="Y28" s="50">
        <f t="shared" si="2"/>
        <v>11.290119047619049</v>
      </c>
      <c r="Z28" s="61">
        <f>SUM(E28:Y28)</f>
        <v>237.09249999999994</v>
      </c>
    </row>
    <row r="29" spans="1:26" x14ac:dyDescent="0.3">
      <c r="A29" s="49">
        <f>+A28+1</f>
        <v>2</v>
      </c>
      <c r="B29" s="10" t="s">
        <v>81</v>
      </c>
      <c r="D29" s="11"/>
      <c r="E29" s="50">
        <f>+F19</f>
        <v>0</v>
      </c>
      <c r="F29" s="50">
        <f>+E29*(1+$F$20)</f>
        <v>0</v>
      </c>
      <c r="G29" s="50">
        <f t="shared" ref="G29:Y29" si="3">+F29*(1+$F$20)</f>
        <v>0</v>
      </c>
      <c r="H29" s="50">
        <f t="shared" si="3"/>
        <v>0</v>
      </c>
      <c r="I29" s="50">
        <f t="shared" si="3"/>
        <v>0</v>
      </c>
      <c r="J29" s="50">
        <f t="shared" si="3"/>
        <v>0</v>
      </c>
      <c r="K29" s="50">
        <f t="shared" si="3"/>
        <v>0</v>
      </c>
      <c r="L29" s="50">
        <f t="shared" si="3"/>
        <v>0</v>
      </c>
      <c r="M29" s="50">
        <f t="shared" si="3"/>
        <v>0</v>
      </c>
      <c r="N29" s="50">
        <f t="shared" si="3"/>
        <v>0</v>
      </c>
      <c r="O29" s="50">
        <f t="shared" si="3"/>
        <v>0</v>
      </c>
      <c r="P29" s="50">
        <f t="shared" si="3"/>
        <v>0</v>
      </c>
      <c r="Q29" s="50">
        <f t="shared" si="3"/>
        <v>0</v>
      </c>
      <c r="R29" s="50">
        <f t="shared" si="3"/>
        <v>0</v>
      </c>
      <c r="S29" s="50">
        <f t="shared" si="3"/>
        <v>0</v>
      </c>
      <c r="T29" s="50">
        <f t="shared" si="3"/>
        <v>0</v>
      </c>
      <c r="U29" s="50">
        <f t="shared" si="3"/>
        <v>0</v>
      </c>
      <c r="V29" s="50">
        <f t="shared" si="3"/>
        <v>0</v>
      </c>
      <c r="W29" s="50">
        <f t="shared" si="3"/>
        <v>0</v>
      </c>
      <c r="X29" s="50">
        <f t="shared" si="3"/>
        <v>0</v>
      </c>
      <c r="Y29" s="50">
        <f t="shared" si="3"/>
        <v>0</v>
      </c>
    </row>
    <row r="30" spans="1:26" x14ac:dyDescent="0.3">
      <c r="A30" s="49">
        <f>+A29+1</f>
        <v>3</v>
      </c>
      <c r="B30" s="10" t="s">
        <v>82</v>
      </c>
      <c r="D30" s="11"/>
      <c r="E30" s="50">
        <f>E76*$F18</f>
        <v>0</v>
      </c>
      <c r="F30" s="50">
        <f t="shared" ref="F30:Y30" si="4">F76*$F18</f>
        <v>0</v>
      </c>
      <c r="G30" s="50">
        <f t="shared" si="4"/>
        <v>0</v>
      </c>
      <c r="H30" s="50">
        <f t="shared" si="4"/>
        <v>0</v>
      </c>
      <c r="I30" s="50">
        <f t="shared" si="4"/>
        <v>0</v>
      </c>
      <c r="J30" s="50">
        <f t="shared" si="4"/>
        <v>0</v>
      </c>
      <c r="K30" s="50">
        <f t="shared" si="4"/>
        <v>0</v>
      </c>
      <c r="L30" s="50">
        <f t="shared" si="4"/>
        <v>0</v>
      </c>
      <c r="M30" s="50">
        <f t="shared" si="4"/>
        <v>0</v>
      </c>
      <c r="N30" s="50">
        <f t="shared" si="4"/>
        <v>0</v>
      </c>
      <c r="O30" s="50">
        <f t="shared" si="4"/>
        <v>0</v>
      </c>
      <c r="P30" s="50">
        <f t="shared" si="4"/>
        <v>0</v>
      </c>
      <c r="Q30" s="50">
        <f t="shared" si="4"/>
        <v>0</v>
      </c>
      <c r="R30" s="50">
        <f t="shared" si="4"/>
        <v>0</v>
      </c>
      <c r="S30" s="50">
        <f t="shared" si="4"/>
        <v>0</v>
      </c>
      <c r="T30" s="50">
        <f t="shared" si="4"/>
        <v>0</v>
      </c>
      <c r="U30" s="50">
        <f t="shared" si="4"/>
        <v>0</v>
      </c>
      <c r="V30" s="50">
        <f t="shared" si="4"/>
        <v>0</v>
      </c>
      <c r="W30" s="50">
        <f t="shared" si="4"/>
        <v>0</v>
      </c>
      <c r="X30" s="50">
        <f t="shared" si="4"/>
        <v>0</v>
      </c>
      <c r="Y30" s="50">
        <f t="shared" si="4"/>
        <v>0</v>
      </c>
    </row>
    <row r="31" spans="1:26" x14ac:dyDescent="0.3">
      <c r="D31" s="11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6" x14ac:dyDescent="0.3">
      <c r="B32" s="10" t="s">
        <v>83</v>
      </c>
      <c r="D32" s="11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25" x14ac:dyDescent="0.3">
      <c r="A33" s="49">
        <f>+A30+1</f>
        <v>4</v>
      </c>
      <c r="C33" s="10" t="s">
        <v>84</v>
      </c>
      <c r="D33" s="11"/>
      <c r="E33" s="50">
        <f>E61</f>
        <v>0</v>
      </c>
      <c r="F33" s="50">
        <f>F61</f>
        <v>0</v>
      </c>
      <c r="G33" s="50">
        <f>G61</f>
        <v>0</v>
      </c>
      <c r="H33" s="50">
        <f t="shared" ref="H33:Y33" si="5">H61</f>
        <v>0</v>
      </c>
      <c r="I33" s="50">
        <f t="shared" si="5"/>
        <v>0</v>
      </c>
      <c r="J33" s="50">
        <f t="shared" si="5"/>
        <v>0</v>
      </c>
      <c r="K33" s="50">
        <f t="shared" si="5"/>
        <v>0</v>
      </c>
      <c r="L33" s="50">
        <f t="shared" si="5"/>
        <v>0</v>
      </c>
      <c r="M33" s="50">
        <f t="shared" si="5"/>
        <v>0</v>
      </c>
      <c r="N33" s="50">
        <f t="shared" si="5"/>
        <v>0</v>
      </c>
      <c r="O33" s="50">
        <f t="shared" si="5"/>
        <v>0</v>
      </c>
      <c r="P33" s="50">
        <f t="shared" si="5"/>
        <v>0</v>
      </c>
      <c r="Q33" s="50">
        <f t="shared" si="5"/>
        <v>0</v>
      </c>
      <c r="R33" s="50">
        <f t="shared" si="5"/>
        <v>0</v>
      </c>
      <c r="S33" s="50">
        <f t="shared" si="5"/>
        <v>0</v>
      </c>
      <c r="T33" s="50">
        <f t="shared" si="5"/>
        <v>0</v>
      </c>
      <c r="U33" s="50">
        <f t="shared" si="5"/>
        <v>0</v>
      </c>
      <c r="V33" s="50">
        <f t="shared" si="5"/>
        <v>0</v>
      </c>
      <c r="W33" s="50">
        <f t="shared" si="5"/>
        <v>0</v>
      </c>
      <c r="X33" s="50">
        <f t="shared" si="5"/>
        <v>0</v>
      </c>
      <c r="Y33" s="50">
        <f t="shared" si="5"/>
        <v>0</v>
      </c>
    </row>
    <row r="34" spans="1:25" x14ac:dyDescent="0.3">
      <c r="A34" s="49">
        <f>+A33+1</f>
        <v>5</v>
      </c>
      <c r="C34" s="10" t="s">
        <v>85</v>
      </c>
      <c r="D34" s="11"/>
      <c r="E34" s="51">
        <f>E63</f>
        <v>4.8010262209435526</v>
      </c>
      <c r="F34" s="51">
        <f>F63</f>
        <v>4.5410660446527169</v>
      </c>
      <c r="G34" s="51">
        <f>G63</f>
        <v>4.2627688635186969</v>
      </c>
      <c r="H34" s="51">
        <f t="shared" ref="H34:Y34" si="6">H63</f>
        <v>3.9937693186431922</v>
      </c>
      <c r="I34" s="51">
        <f t="shared" si="6"/>
        <v>3.7331376464003529</v>
      </c>
      <c r="J34" s="51">
        <f t="shared" si="6"/>
        <v>3.4800990437686372</v>
      </c>
      <c r="K34" s="51">
        <f t="shared" si="6"/>
        <v>3.2323807552181845</v>
      </c>
      <c r="L34" s="51">
        <f t="shared" si="6"/>
        <v>2.9863670333151262</v>
      </c>
      <c r="M34" s="51">
        <f t="shared" si="6"/>
        <v>2.7403016578772985</v>
      </c>
      <c r="N34" s="51">
        <f t="shared" si="6"/>
        <v>2.4942362824394704</v>
      </c>
      <c r="O34" s="51">
        <f t="shared" si="6"/>
        <v>2.2481709070016422</v>
      </c>
      <c r="P34" s="51">
        <f t="shared" si="6"/>
        <v>2.0021055315638141</v>
      </c>
      <c r="Q34" s="51">
        <f t="shared" si="6"/>
        <v>1.7560401561259857</v>
      </c>
      <c r="R34" s="51">
        <f t="shared" si="6"/>
        <v>1.5099747806881574</v>
      </c>
      <c r="S34" s="51">
        <f t="shared" si="6"/>
        <v>1.2639094052503295</v>
      </c>
      <c r="T34" s="51">
        <f t="shared" si="6"/>
        <v>1.033081822569516</v>
      </c>
      <c r="U34" s="51">
        <f t="shared" si="6"/>
        <v>0.83278147893750154</v>
      </c>
      <c r="V34" s="51">
        <f t="shared" si="6"/>
        <v>0.64771892806250153</v>
      </c>
      <c r="W34" s="51">
        <f t="shared" si="6"/>
        <v>0.46265637718750158</v>
      </c>
      <c r="X34" s="51">
        <f t="shared" si="6"/>
        <v>0.27759382631250146</v>
      </c>
      <c r="Y34" s="51">
        <f t="shared" si="6"/>
        <v>9.2531275437501406E-2</v>
      </c>
    </row>
    <row r="35" spans="1:25" x14ac:dyDescent="0.3">
      <c r="A35" s="49">
        <f>+A34+1</f>
        <v>6</v>
      </c>
      <c r="C35" s="10" t="s">
        <v>86</v>
      </c>
      <c r="D35" s="11"/>
      <c r="E35" s="50">
        <f>E33+E34</f>
        <v>4.8010262209435526</v>
      </c>
      <c r="F35" s="50">
        <f>F33+F34</f>
        <v>4.5410660446527169</v>
      </c>
      <c r="G35" s="50">
        <f>G33+G34</f>
        <v>4.2627688635186969</v>
      </c>
      <c r="H35" s="50">
        <f t="shared" ref="H35:Y35" si="7">H33+H34</f>
        <v>3.9937693186431922</v>
      </c>
      <c r="I35" s="50">
        <f t="shared" si="7"/>
        <v>3.7331376464003529</v>
      </c>
      <c r="J35" s="50">
        <f t="shared" si="7"/>
        <v>3.4800990437686372</v>
      </c>
      <c r="K35" s="50">
        <f t="shared" si="7"/>
        <v>3.2323807552181845</v>
      </c>
      <c r="L35" s="50">
        <f t="shared" si="7"/>
        <v>2.9863670333151262</v>
      </c>
      <c r="M35" s="50">
        <f t="shared" si="7"/>
        <v>2.7403016578772985</v>
      </c>
      <c r="N35" s="50">
        <f t="shared" si="7"/>
        <v>2.4942362824394704</v>
      </c>
      <c r="O35" s="50">
        <f t="shared" si="7"/>
        <v>2.2481709070016422</v>
      </c>
      <c r="P35" s="50">
        <f t="shared" si="7"/>
        <v>2.0021055315638141</v>
      </c>
      <c r="Q35" s="50">
        <f t="shared" si="7"/>
        <v>1.7560401561259857</v>
      </c>
      <c r="R35" s="50">
        <f t="shared" si="7"/>
        <v>1.5099747806881574</v>
      </c>
      <c r="S35" s="50">
        <f t="shared" si="7"/>
        <v>1.2639094052503295</v>
      </c>
      <c r="T35" s="50">
        <f t="shared" si="7"/>
        <v>1.033081822569516</v>
      </c>
      <c r="U35" s="50">
        <f t="shared" si="7"/>
        <v>0.83278147893750154</v>
      </c>
      <c r="V35" s="50">
        <f t="shared" si="7"/>
        <v>0.64771892806250153</v>
      </c>
      <c r="W35" s="50">
        <f t="shared" si="7"/>
        <v>0.46265637718750158</v>
      </c>
      <c r="X35" s="50">
        <f t="shared" si="7"/>
        <v>0.27759382631250146</v>
      </c>
      <c r="Y35" s="50">
        <f t="shared" si="7"/>
        <v>9.2531275437501406E-2</v>
      </c>
    </row>
    <row r="36" spans="1:25" x14ac:dyDescent="0.3">
      <c r="D36" s="11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 x14ac:dyDescent="0.3">
      <c r="B37" s="10" t="s">
        <v>87</v>
      </c>
      <c r="D37" s="11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5" x14ac:dyDescent="0.3">
      <c r="A38" s="49">
        <f>+A35+1</f>
        <v>7</v>
      </c>
      <c r="C38" s="10" t="s">
        <v>47</v>
      </c>
      <c r="D38" s="11"/>
      <c r="E38" s="50">
        <f t="shared" ref="E38:Y38" si="8">E57*$F9</f>
        <v>0</v>
      </c>
      <c r="F38" s="50">
        <f t="shared" si="8"/>
        <v>0</v>
      </c>
      <c r="G38" s="50">
        <f t="shared" si="8"/>
        <v>0</v>
      </c>
      <c r="H38" s="50">
        <f t="shared" si="8"/>
        <v>0</v>
      </c>
      <c r="I38" s="50">
        <f t="shared" si="8"/>
        <v>0</v>
      </c>
      <c r="J38" s="50">
        <f t="shared" si="8"/>
        <v>0</v>
      </c>
      <c r="K38" s="50">
        <f t="shared" si="8"/>
        <v>0</v>
      </c>
      <c r="L38" s="50">
        <f t="shared" si="8"/>
        <v>0</v>
      </c>
      <c r="M38" s="50">
        <f t="shared" si="8"/>
        <v>0</v>
      </c>
      <c r="N38" s="50">
        <f t="shared" si="8"/>
        <v>0</v>
      </c>
      <c r="O38" s="50">
        <f t="shared" si="8"/>
        <v>0</v>
      </c>
      <c r="P38" s="50">
        <f t="shared" si="8"/>
        <v>0</v>
      </c>
      <c r="Q38" s="50">
        <f t="shared" si="8"/>
        <v>0</v>
      </c>
      <c r="R38" s="50">
        <f t="shared" si="8"/>
        <v>0</v>
      </c>
      <c r="S38" s="50">
        <f t="shared" si="8"/>
        <v>0</v>
      </c>
      <c r="T38" s="50">
        <f t="shared" si="8"/>
        <v>0</v>
      </c>
      <c r="U38" s="50">
        <f t="shared" si="8"/>
        <v>0</v>
      </c>
      <c r="V38" s="50">
        <f t="shared" si="8"/>
        <v>0</v>
      </c>
      <c r="W38" s="50">
        <f t="shared" si="8"/>
        <v>0</v>
      </c>
      <c r="X38" s="50">
        <f t="shared" si="8"/>
        <v>0</v>
      </c>
      <c r="Y38" s="50">
        <f t="shared" si="8"/>
        <v>0</v>
      </c>
    </row>
    <row r="39" spans="1:25" x14ac:dyDescent="0.3">
      <c r="A39" s="49">
        <f>+A38+1</f>
        <v>8</v>
      </c>
      <c r="C39" s="10" t="s">
        <v>48</v>
      </c>
      <c r="D39" s="11"/>
      <c r="E39" s="50">
        <f t="shared" ref="E39:Y39" si="9">E57*$F10</f>
        <v>6.3759009513620546</v>
      </c>
      <c r="F39" s="50">
        <f t="shared" si="9"/>
        <v>6.0306663579539741</v>
      </c>
      <c r="G39" s="50">
        <f t="shared" si="9"/>
        <v>5.6610796945416135</v>
      </c>
      <c r="H39" s="50">
        <f t="shared" si="9"/>
        <v>5.3038405595821265</v>
      </c>
      <c r="I39" s="50">
        <f t="shared" si="9"/>
        <v>4.9577142002302272</v>
      </c>
      <c r="J39" s="50">
        <f t="shared" si="9"/>
        <v>4.6216716557815092</v>
      </c>
      <c r="K39" s="50">
        <f t="shared" si="9"/>
        <v>4.292694641503048</v>
      </c>
      <c r="L39" s="50">
        <f t="shared" si="9"/>
        <v>3.965981340774281</v>
      </c>
      <c r="M39" s="50">
        <f t="shared" si="9"/>
        <v>3.6391994426652197</v>
      </c>
      <c r="N39" s="50">
        <f t="shared" si="9"/>
        <v>3.3124175445561579</v>
      </c>
      <c r="O39" s="50">
        <f t="shared" si="9"/>
        <v>2.9856356464470961</v>
      </c>
      <c r="P39" s="50">
        <f t="shared" si="9"/>
        <v>2.6588537483380343</v>
      </c>
      <c r="Q39" s="50">
        <f t="shared" si="9"/>
        <v>2.3320718502289726</v>
      </c>
      <c r="R39" s="50">
        <f t="shared" si="9"/>
        <v>2.0052899521199108</v>
      </c>
      <c r="S39" s="50">
        <f t="shared" si="9"/>
        <v>1.6785080540108492</v>
      </c>
      <c r="T39" s="50">
        <f t="shared" si="9"/>
        <v>1.371962383088444</v>
      </c>
      <c r="U39" s="50">
        <f t="shared" si="9"/>
        <v>1.105957763919645</v>
      </c>
      <c r="V39" s="50">
        <f t="shared" si="9"/>
        <v>0.86018937193750211</v>
      </c>
      <c r="W39" s="50">
        <f t="shared" si="9"/>
        <v>0.61442097995535916</v>
      </c>
      <c r="X39" s="50">
        <f t="shared" si="9"/>
        <v>0.36865258797321621</v>
      </c>
      <c r="Y39" s="50">
        <f t="shared" si="9"/>
        <v>0.12288419599107328</v>
      </c>
    </row>
    <row r="40" spans="1:25" x14ac:dyDescent="0.3">
      <c r="A40" s="49">
        <f>+A39+1</f>
        <v>9</v>
      </c>
      <c r="C40" s="10" t="s">
        <v>49</v>
      </c>
      <c r="D40" s="11"/>
      <c r="E40" s="51">
        <f t="shared" ref="E40:Y40" si="10">E57*$F11</f>
        <v>11.685102451235121</v>
      </c>
      <c r="F40" s="51">
        <f t="shared" si="10"/>
        <v>11.052391619549109</v>
      </c>
      <c r="G40" s="51">
        <f t="shared" si="10"/>
        <v>10.375050792028723</v>
      </c>
      <c r="H40" s="51">
        <f t="shared" si="10"/>
        <v>9.7203392581708368</v>
      </c>
      <c r="I40" s="51">
        <f t="shared" si="10"/>
        <v>9.0859940886091994</v>
      </c>
      <c r="J40" s="51">
        <f t="shared" si="10"/>
        <v>8.4701295088719384</v>
      </c>
      <c r="K40" s="51">
        <f t="shared" si="10"/>
        <v>7.8672139138415522</v>
      </c>
      <c r="L40" s="51">
        <f t="shared" si="10"/>
        <v>7.2684470226492914</v>
      </c>
      <c r="M40" s="51">
        <f t="shared" si="10"/>
        <v>6.6695544131589042</v>
      </c>
      <c r="N40" s="51">
        <f t="shared" si="10"/>
        <v>6.0706618036685169</v>
      </c>
      <c r="O40" s="51">
        <f t="shared" si="10"/>
        <v>5.4717691941781297</v>
      </c>
      <c r="P40" s="51">
        <f t="shared" si="10"/>
        <v>4.8728765846877424</v>
      </c>
      <c r="Q40" s="51">
        <f t="shared" si="10"/>
        <v>4.2739839751973552</v>
      </c>
      <c r="R40" s="51">
        <f t="shared" si="10"/>
        <v>3.6750913657069679</v>
      </c>
      <c r="S40" s="51">
        <f t="shared" si="10"/>
        <v>3.0761987562165811</v>
      </c>
      <c r="T40" s="51">
        <f t="shared" si="10"/>
        <v>2.5143930446730693</v>
      </c>
      <c r="U40" s="51">
        <f t="shared" si="10"/>
        <v>2.0268868473214323</v>
      </c>
      <c r="V40" s="51">
        <f t="shared" si="10"/>
        <v>1.5764675479166705</v>
      </c>
      <c r="W40" s="51">
        <f t="shared" si="10"/>
        <v>1.1260482485119085</v>
      </c>
      <c r="X40" s="51">
        <f t="shared" si="10"/>
        <v>0.67562894910714644</v>
      </c>
      <c r="Y40" s="51">
        <f t="shared" si="10"/>
        <v>0.22520964970238438</v>
      </c>
    </row>
    <row r="41" spans="1:25" x14ac:dyDescent="0.3">
      <c r="A41" s="49">
        <f>+A40+1</f>
        <v>10</v>
      </c>
      <c r="C41" s="10" t="s">
        <v>88</v>
      </c>
      <c r="D41" s="11"/>
      <c r="E41" s="50">
        <f>E38+E39+E40</f>
        <v>18.061003402597176</v>
      </c>
      <c r="F41" s="50">
        <f>F38+F39+F40</f>
        <v>17.083057977503081</v>
      </c>
      <c r="G41" s="50">
        <f>G38+G39+G40</f>
        <v>16.036130486570336</v>
      </c>
      <c r="H41" s="50">
        <f t="shared" ref="H41:Y41" si="11">H38+H39+H40</f>
        <v>15.024179817752962</v>
      </c>
      <c r="I41" s="50">
        <f t="shared" si="11"/>
        <v>14.043708288839426</v>
      </c>
      <c r="J41" s="50">
        <f t="shared" si="11"/>
        <v>13.091801164653447</v>
      </c>
      <c r="K41" s="50">
        <f t="shared" si="11"/>
        <v>12.1599085553446</v>
      </c>
      <c r="L41" s="50">
        <f t="shared" si="11"/>
        <v>11.234428363423572</v>
      </c>
      <c r="M41" s="50">
        <f t="shared" si="11"/>
        <v>10.308753855824124</v>
      </c>
      <c r="N41" s="50">
        <f t="shared" si="11"/>
        <v>9.3830793482246744</v>
      </c>
      <c r="O41" s="50">
        <f t="shared" si="11"/>
        <v>8.4574048406252267</v>
      </c>
      <c r="P41" s="50">
        <f t="shared" si="11"/>
        <v>7.5317303330257772</v>
      </c>
      <c r="Q41" s="50">
        <f t="shared" si="11"/>
        <v>6.6060558254263277</v>
      </c>
      <c r="R41" s="50">
        <f t="shared" si="11"/>
        <v>5.6803813178268783</v>
      </c>
      <c r="S41" s="50">
        <f t="shared" si="11"/>
        <v>4.7547068102274306</v>
      </c>
      <c r="T41" s="50">
        <f t="shared" si="11"/>
        <v>3.8863554277615133</v>
      </c>
      <c r="U41" s="50">
        <f t="shared" si="11"/>
        <v>3.1328446112410773</v>
      </c>
      <c r="V41" s="50">
        <f t="shared" si="11"/>
        <v>2.4366569198541725</v>
      </c>
      <c r="W41" s="50">
        <f t="shared" si="11"/>
        <v>1.7404692284672678</v>
      </c>
      <c r="X41" s="50">
        <f t="shared" si="11"/>
        <v>1.0442815370803626</v>
      </c>
      <c r="Y41" s="50">
        <f t="shared" si="11"/>
        <v>0.34809384569345769</v>
      </c>
    </row>
    <row r="42" spans="1:25" x14ac:dyDescent="0.3">
      <c r="D42" s="11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spans="1:25" x14ac:dyDescent="0.3">
      <c r="A43" s="49">
        <f>+A41+1</f>
        <v>11</v>
      </c>
      <c r="B43" s="10" t="s">
        <v>89</v>
      </c>
      <c r="D43" s="11"/>
      <c r="E43" s="52">
        <f>E28+E30+E35+E41+E29</f>
        <v>34.152148671159779</v>
      </c>
      <c r="F43" s="52">
        <f t="shared" ref="F43:Y43" si="12">F28+F30+F35+F41+F29</f>
        <v>32.914243069774848</v>
      </c>
      <c r="G43" s="52">
        <f t="shared" si="12"/>
        <v>31.589018397708081</v>
      </c>
      <c r="H43" s="52">
        <f t="shared" si="12"/>
        <v>30.308068184015205</v>
      </c>
      <c r="I43" s="52">
        <f t="shared" si="12"/>
        <v>29.066964982858828</v>
      </c>
      <c r="J43" s="52">
        <f t="shared" si="12"/>
        <v>27.862019256041133</v>
      </c>
      <c r="K43" s="52">
        <f t="shared" si="12"/>
        <v>26.682408358181831</v>
      </c>
      <c r="L43" s="52">
        <f t="shared" si="12"/>
        <v>25.510914444357745</v>
      </c>
      <c r="M43" s="52">
        <f t="shared" si="12"/>
        <v>24.339174561320469</v>
      </c>
      <c r="N43" s="52">
        <f t="shared" si="12"/>
        <v>23.167434678283193</v>
      </c>
      <c r="O43" s="52">
        <f t="shared" si="12"/>
        <v>21.995694795245917</v>
      </c>
      <c r="P43" s="52">
        <f t="shared" si="12"/>
        <v>20.823954912208642</v>
      </c>
      <c r="Q43" s="52">
        <f t="shared" si="12"/>
        <v>19.652215029171362</v>
      </c>
      <c r="R43" s="52">
        <f t="shared" si="12"/>
        <v>18.480475146134083</v>
      </c>
      <c r="S43" s="52">
        <f t="shared" si="12"/>
        <v>17.308735263096807</v>
      </c>
      <c r="T43" s="52">
        <f t="shared" si="12"/>
        <v>16.20955629795008</v>
      </c>
      <c r="U43" s="52">
        <f t="shared" si="12"/>
        <v>15.255745137797629</v>
      </c>
      <c r="V43" s="52">
        <f t="shared" si="12"/>
        <v>14.374494895535722</v>
      </c>
      <c r="W43" s="52">
        <f t="shared" si="12"/>
        <v>13.493244653273818</v>
      </c>
      <c r="X43" s="52">
        <f t="shared" si="12"/>
        <v>12.611994411011912</v>
      </c>
      <c r="Y43" s="52">
        <f t="shared" si="12"/>
        <v>11.730744168750007</v>
      </c>
    </row>
    <row r="44" spans="1:25" x14ac:dyDescent="0.3">
      <c r="A44" s="49">
        <f>+A43+1</f>
        <v>12</v>
      </c>
      <c r="B44" s="10" t="s">
        <v>90</v>
      </c>
      <c r="D44" s="11"/>
      <c r="E44" s="51">
        <f t="shared" ref="E44:Y44" si="13">E43/(1-$F16)-E43</f>
        <v>1.5613961809335208</v>
      </c>
      <c r="F44" s="51">
        <f t="shared" si="13"/>
        <v>1.5048005887507401</v>
      </c>
      <c r="G44" s="51">
        <f t="shared" si="13"/>
        <v>1.4442128710710236</v>
      </c>
      <c r="H44" s="51">
        <f t="shared" si="13"/>
        <v>1.3856493296996106</v>
      </c>
      <c r="I44" s="51">
        <f t="shared" si="13"/>
        <v>1.3289075470056773</v>
      </c>
      <c r="J44" s="51">
        <f t="shared" si="13"/>
        <v>1.2738188416301881</v>
      </c>
      <c r="K44" s="51">
        <f t="shared" si="13"/>
        <v>1.2198884149200104</v>
      </c>
      <c r="L44" s="51">
        <f t="shared" si="13"/>
        <v>1.1663290871996921</v>
      </c>
      <c r="M44" s="51">
        <f t="shared" si="13"/>
        <v>1.1127585140554324</v>
      </c>
      <c r="N44" s="51">
        <f t="shared" si="13"/>
        <v>1.0591879409111762</v>
      </c>
      <c r="O44" s="51">
        <f t="shared" si="13"/>
        <v>1.00561736776692</v>
      </c>
      <c r="P44" s="51">
        <f t="shared" si="13"/>
        <v>0.95204679462266384</v>
      </c>
      <c r="Q44" s="51">
        <f t="shared" si="13"/>
        <v>0.89847622147840767</v>
      </c>
      <c r="R44" s="51">
        <f t="shared" si="13"/>
        <v>0.84490564833415149</v>
      </c>
      <c r="S44" s="51">
        <f t="shared" si="13"/>
        <v>0.79133507518989532</v>
      </c>
      <c r="T44" s="51">
        <f t="shared" si="13"/>
        <v>0.74108190210647251</v>
      </c>
      <c r="U44" s="51">
        <f t="shared" si="13"/>
        <v>0.69747477456865425</v>
      </c>
      <c r="V44" s="51">
        <f t="shared" si="13"/>
        <v>0.65718504709166936</v>
      </c>
      <c r="W44" s="51">
        <f t="shared" si="13"/>
        <v>0.61689531961468447</v>
      </c>
      <c r="X44" s="51">
        <f t="shared" si="13"/>
        <v>0.57660559213770135</v>
      </c>
      <c r="Y44" s="51">
        <f t="shared" si="13"/>
        <v>0.53631586466071646</v>
      </c>
    </row>
    <row r="45" spans="1:25" x14ac:dyDescent="0.3">
      <c r="D45" s="1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ht="15" thickBot="1" x14ac:dyDescent="0.35">
      <c r="A46" s="49">
        <f>+A44+1</f>
        <v>13</v>
      </c>
      <c r="B46" s="10" t="s">
        <v>91</v>
      </c>
      <c r="E46" s="53">
        <f>E43+E44</f>
        <v>35.7135448520933</v>
      </c>
      <c r="F46" s="53">
        <f>F43+F44</f>
        <v>34.419043658525588</v>
      </c>
      <c r="G46" s="53">
        <f>G43+G44</f>
        <v>33.033231268779105</v>
      </c>
      <c r="H46" s="53">
        <f t="shared" ref="H46:Y46" si="14">H43+H44</f>
        <v>31.693717513714816</v>
      </c>
      <c r="I46" s="53">
        <f t="shared" si="14"/>
        <v>30.395872529864505</v>
      </c>
      <c r="J46" s="53">
        <f t="shared" si="14"/>
        <v>29.135838097671321</v>
      </c>
      <c r="K46" s="53">
        <f t="shared" si="14"/>
        <v>27.902296773101842</v>
      </c>
      <c r="L46" s="53">
        <f t="shared" si="14"/>
        <v>26.677243531557437</v>
      </c>
      <c r="M46" s="53">
        <f t="shared" si="14"/>
        <v>25.451933075375901</v>
      </c>
      <c r="N46" s="53">
        <f t="shared" si="14"/>
        <v>24.226622619194369</v>
      </c>
      <c r="O46" s="53">
        <f t="shared" si="14"/>
        <v>23.001312163012837</v>
      </c>
      <c r="P46" s="53">
        <f t="shared" si="14"/>
        <v>21.776001706831305</v>
      </c>
      <c r="Q46" s="53">
        <f t="shared" si="14"/>
        <v>20.55069125064977</v>
      </c>
      <c r="R46" s="53">
        <f t="shared" si="14"/>
        <v>19.325380794468234</v>
      </c>
      <c r="S46" s="53">
        <f t="shared" si="14"/>
        <v>18.100070338286702</v>
      </c>
      <c r="T46" s="53">
        <f t="shared" si="14"/>
        <v>16.950638200056552</v>
      </c>
      <c r="U46" s="53">
        <f t="shared" si="14"/>
        <v>15.953219912366283</v>
      </c>
      <c r="V46" s="53">
        <f t="shared" si="14"/>
        <v>15.031679942627392</v>
      </c>
      <c r="W46" s="53">
        <f t="shared" si="14"/>
        <v>14.110139972888502</v>
      </c>
      <c r="X46" s="53">
        <f t="shared" si="14"/>
        <v>13.188600003149613</v>
      </c>
      <c r="Y46" s="53">
        <f t="shared" si="14"/>
        <v>12.267060033410724</v>
      </c>
    </row>
    <row r="47" spans="1:25" ht="15" thickTop="1" x14ac:dyDescent="0.3">
      <c r="A47" s="49"/>
      <c r="C47" s="10" t="s">
        <v>92</v>
      </c>
      <c r="D47" s="54">
        <f>NPV(F12,E46:Y46)</f>
        <v>268.99936765711107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5" x14ac:dyDescent="0.3">
      <c r="A48" s="49"/>
      <c r="C48" s="10" t="s">
        <v>93</v>
      </c>
      <c r="D48" s="54">
        <f>PMT(F12,21,D47)</f>
        <v>-26.454916298745687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  <row r="49" spans="1:25" x14ac:dyDescent="0.3">
      <c r="A49" s="49"/>
      <c r="C49" s="10" t="s">
        <v>94</v>
      </c>
      <c r="D49" s="56">
        <f>D48/12</f>
        <v>-2.2045763582288074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</row>
    <row r="50" spans="1:25" x14ac:dyDescent="0.3">
      <c r="A50" s="49"/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</row>
    <row r="51" spans="1:25" x14ac:dyDescent="0.3"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x14ac:dyDescent="0.3"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1:25" x14ac:dyDescent="0.3">
      <c r="A53" s="49">
        <f>+A46+1</f>
        <v>14</v>
      </c>
      <c r="B53" s="10" t="s">
        <v>95</v>
      </c>
      <c r="C53" s="12"/>
      <c r="E53" s="45">
        <f>+E46/$F$23</f>
        <v>0.15063127198073872</v>
      </c>
      <c r="F53" s="45">
        <f t="shared" ref="F53:Y53" si="15">+F46/$F$23</f>
        <v>0.14517137260151874</v>
      </c>
      <c r="G53" s="45">
        <f t="shared" si="15"/>
        <v>0.13932634422758669</v>
      </c>
      <c r="H53" s="45">
        <f t="shared" si="15"/>
        <v>0.13367659252702979</v>
      </c>
      <c r="I53" s="45">
        <f t="shared" si="15"/>
        <v>0.12820258983251051</v>
      </c>
      <c r="J53" s="45">
        <f t="shared" si="15"/>
        <v>0.12288806308791428</v>
      </c>
      <c r="K53" s="45">
        <f t="shared" si="15"/>
        <v>0.11768527799530495</v>
      </c>
      <c r="L53" s="45">
        <f t="shared" si="15"/>
        <v>0.11251829362614774</v>
      </c>
      <c r="M53" s="45">
        <f t="shared" si="15"/>
        <v>0.10735022438658287</v>
      </c>
      <c r="N53" s="45">
        <f t="shared" si="15"/>
        <v>0.10218215514701801</v>
      </c>
      <c r="O53" s="45">
        <f t="shared" si="15"/>
        <v>9.701408590745314E-2</v>
      </c>
      <c r="P53" s="45">
        <f t="shared" si="15"/>
        <v>9.1846016667888289E-2</v>
      </c>
      <c r="Q53" s="45">
        <f t="shared" si="15"/>
        <v>8.667794742832341E-2</v>
      </c>
      <c r="R53" s="45">
        <f t="shared" si="15"/>
        <v>8.1509878188758531E-2</v>
      </c>
      <c r="S53" s="45">
        <f t="shared" si="15"/>
        <v>7.6341808949193665E-2</v>
      </c>
      <c r="T53" s="45">
        <f t="shared" si="15"/>
        <v>7.1493776479882531E-2</v>
      </c>
      <c r="U53" s="45">
        <f t="shared" si="15"/>
        <v>6.7286902421486466E-2</v>
      </c>
      <c r="V53" s="45">
        <f t="shared" si="15"/>
        <v>6.3400065133344119E-2</v>
      </c>
      <c r="W53" s="45">
        <f t="shared" si="15"/>
        <v>5.9513227845201772E-2</v>
      </c>
      <c r="X53" s="45">
        <f t="shared" si="15"/>
        <v>5.5626390557059424E-2</v>
      </c>
      <c r="Y53" s="45">
        <f t="shared" si="15"/>
        <v>5.1739553268917077E-2</v>
      </c>
    </row>
    <row r="54" spans="1:25" x14ac:dyDescent="0.3">
      <c r="A54" s="49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spans="1:25" x14ac:dyDescent="0.3"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spans="1:25" x14ac:dyDescent="0.3"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spans="1:25" x14ac:dyDescent="0.3">
      <c r="A57" s="58" t="s">
        <v>96</v>
      </c>
      <c r="D57" s="11"/>
      <c r="E57" s="59">
        <f>F23-E28/2-E70/2</f>
        <v>231.3881673511905</v>
      </c>
      <c r="F57" s="59">
        <f t="shared" ref="F57:Y57" si="16">+E57-E28/2-F28/2-E70/2-F70/2</f>
        <v>218.85923999107146</v>
      </c>
      <c r="G57" s="59">
        <f t="shared" si="16"/>
        <v>205.44655033720244</v>
      </c>
      <c r="H57" s="59">
        <f t="shared" si="16"/>
        <v>192.48196550833339</v>
      </c>
      <c r="I57" s="59">
        <f t="shared" si="16"/>
        <v>179.92067502196434</v>
      </c>
      <c r="J57" s="59">
        <f t="shared" si="16"/>
        <v>167.72533680934529</v>
      </c>
      <c r="K57" s="59">
        <f t="shared" si="16"/>
        <v>155.78641413547626</v>
      </c>
      <c r="L57" s="59">
        <f t="shared" si="16"/>
        <v>143.92964401285724</v>
      </c>
      <c r="M57" s="59">
        <f t="shared" si="16"/>
        <v>132.0703844189882</v>
      </c>
      <c r="N57" s="59">
        <f t="shared" si="16"/>
        <v>120.21112482511914</v>
      </c>
      <c r="O57" s="59">
        <f t="shared" si="16"/>
        <v>108.35186523125009</v>
      </c>
      <c r="P57" s="59">
        <f t="shared" si="16"/>
        <v>96.492605637381033</v>
      </c>
      <c r="Q57" s="59">
        <f t="shared" si="16"/>
        <v>84.633346043511978</v>
      </c>
      <c r="R57" s="59">
        <f t="shared" si="16"/>
        <v>72.774086449642923</v>
      </c>
      <c r="S57" s="59">
        <f t="shared" si="16"/>
        <v>60.914826855773882</v>
      </c>
      <c r="T57" s="59">
        <f t="shared" si="16"/>
        <v>49.789961280654836</v>
      </c>
      <c r="U57" s="59">
        <f t="shared" si="16"/>
        <v>40.13637321428579</v>
      </c>
      <c r="V57" s="59">
        <f t="shared" si="16"/>
        <v>31.217179166666742</v>
      </c>
      <c r="W57" s="59">
        <f t="shared" si="16"/>
        <v>22.297985119047691</v>
      </c>
      <c r="X57" s="59">
        <f t="shared" si="16"/>
        <v>13.37879107142864</v>
      </c>
      <c r="Y57" s="59">
        <f t="shared" si="16"/>
        <v>4.4595970238095912</v>
      </c>
    </row>
    <row r="58" spans="1:25" x14ac:dyDescent="0.3">
      <c r="D58" s="11"/>
      <c r="E58" s="60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 x14ac:dyDescent="0.3">
      <c r="A59" s="10" t="s">
        <v>97</v>
      </c>
      <c r="D59" s="11"/>
      <c r="E59" s="60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spans="1:25" x14ac:dyDescent="0.3">
      <c r="B60" s="10" t="s">
        <v>98</v>
      </c>
      <c r="D60" s="11"/>
      <c r="E60" s="50">
        <f t="shared" ref="E60:Y60" si="17">(E40+E39)/$E$86</f>
        <v>22.862029623540728</v>
      </c>
      <c r="F60" s="50">
        <f t="shared" si="17"/>
        <v>21.624124022155797</v>
      </c>
      <c r="G60" s="50">
        <f t="shared" si="17"/>
        <v>20.298899350089034</v>
      </c>
      <c r="H60" s="50">
        <f t="shared" si="17"/>
        <v>19.017949136396155</v>
      </c>
      <c r="I60" s="50">
        <f t="shared" si="17"/>
        <v>17.776845935239777</v>
      </c>
      <c r="J60" s="50">
        <f t="shared" si="17"/>
        <v>16.571900208422083</v>
      </c>
      <c r="K60" s="50">
        <f t="shared" si="17"/>
        <v>15.392289310562784</v>
      </c>
      <c r="L60" s="50">
        <f t="shared" si="17"/>
        <v>14.220795396738698</v>
      </c>
      <c r="M60" s="50">
        <f t="shared" si="17"/>
        <v>13.049055513701422</v>
      </c>
      <c r="N60" s="50">
        <f t="shared" si="17"/>
        <v>11.877315630664144</v>
      </c>
      <c r="O60" s="50">
        <f t="shared" si="17"/>
        <v>10.705575747626868</v>
      </c>
      <c r="P60" s="50">
        <f t="shared" si="17"/>
        <v>9.5338358645895909</v>
      </c>
      <c r="Q60" s="50">
        <f t="shared" si="17"/>
        <v>8.3620959815523133</v>
      </c>
      <c r="R60" s="50">
        <f t="shared" si="17"/>
        <v>7.1903560985150357</v>
      </c>
      <c r="S60" s="50">
        <f t="shared" si="17"/>
        <v>6.0186162154777598</v>
      </c>
      <c r="T60" s="50">
        <f t="shared" si="17"/>
        <v>4.9194372503310291</v>
      </c>
      <c r="U60" s="50">
        <f t="shared" si="17"/>
        <v>3.9656260901785787</v>
      </c>
      <c r="V60" s="50">
        <f t="shared" si="17"/>
        <v>3.0843758479166739</v>
      </c>
      <c r="W60" s="50">
        <f t="shared" si="17"/>
        <v>2.2031256056547694</v>
      </c>
      <c r="X60" s="50">
        <f t="shared" si="17"/>
        <v>1.3218753633928642</v>
      </c>
      <c r="Y60" s="50">
        <f t="shared" si="17"/>
        <v>0.44062512113095909</v>
      </c>
    </row>
    <row r="61" spans="1:25" x14ac:dyDescent="0.3">
      <c r="B61" s="10" t="s">
        <v>99</v>
      </c>
      <c r="D61" s="11"/>
      <c r="E61" s="51">
        <f t="shared" ref="E61:Y61" si="18">E60*$F14</f>
        <v>0</v>
      </c>
      <c r="F61" s="51">
        <f t="shared" si="18"/>
        <v>0</v>
      </c>
      <c r="G61" s="51">
        <f t="shared" si="18"/>
        <v>0</v>
      </c>
      <c r="H61" s="51">
        <f t="shared" si="18"/>
        <v>0</v>
      </c>
      <c r="I61" s="51">
        <f t="shared" si="18"/>
        <v>0</v>
      </c>
      <c r="J61" s="51">
        <f t="shared" si="18"/>
        <v>0</v>
      </c>
      <c r="K61" s="51">
        <f t="shared" si="18"/>
        <v>0</v>
      </c>
      <c r="L61" s="51">
        <f t="shared" si="18"/>
        <v>0</v>
      </c>
      <c r="M61" s="51">
        <f t="shared" si="18"/>
        <v>0</v>
      </c>
      <c r="N61" s="51">
        <f t="shared" si="18"/>
        <v>0</v>
      </c>
      <c r="O61" s="51">
        <f t="shared" si="18"/>
        <v>0</v>
      </c>
      <c r="P61" s="51">
        <f t="shared" si="18"/>
        <v>0</v>
      </c>
      <c r="Q61" s="51">
        <f t="shared" si="18"/>
        <v>0</v>
      </c>
      <c r="R61" s="51">
        <f t="shared" si="18"/>
        <v>0</v>
      </c>
      <c r="S61" s="51">
        <f t="shared" si="18"/>
        <v>0</v>
      </c>
      <c r="T61" s="51">
        <f t="shared" si="18"/>
        <v>0</v>
      </c>
      <c r="U61" s="51">
        <f t="shared" si="18"/>
        <v>0</v>
      </c>
      <c r="V61" s="51">
        <f t="shared" si="18"/>
        <v>0</v>
      </c>
      <c r="W61" s="51">
        <f t="shared" si="18"/>
        <v>0</v>
      </c>
      <c r="X61" s="51">
        <f t="shared" si="18"/>
        <v>0</v>
      </c>
      <c r="Y61" s="51">
        <f t="shared" si="18"/>
        <v>0</v>
      </c>
    </row>
    <row r="62" spans="1:25" x14ac:dyDescent="0.3">
      <c r="B62" s="10" t="s">
        <v>100</v>
      </c>
      <c r="D62" s="11"/>
      <c r="E62" s="50">
        <f>E60-E61</f>
        <v>22.862029623540728</v>
      </c>
      <c r="F62" s="50">
        <f>F60-F61</f>
        <v>21.624124022155797</v>
      </c>
      <c r="G62" s="50">
        <f>G60-G61</f>
        <v>20.298899350089034</v>
      </c>
      <c r="H62" s="50">
        <f t="shared" ref="H62:Y62" si="19">H60-H61</f>
        <v>19.017949136396155</v>
      </c>
      <c r="I62" s="50">
        <f t="shared" si="19"/>
        <v>17.776845935239777</v>
      </c>
      <c r="J62" s="50">
        <f t="shared" si="19"/>
        <v>16.571900208422083</v>
      </c>
      <c r="K62" s="50">
        <f t="shared" si="19"/>
        <v>15.392289310562784</v>
      </c>
      <c r="L62" s="50">
        <f t="shared" si="19"/>
        <v>14.220795396738698</v>
      </c>
      <c r="M62" s="50">
        <f t="shared" si="19"/>
        <v>13.049055513701422</v>
      </c>
      <c r="N62" s="50">
        <f t="shared" si="19"/>
        <v>11.877315630664144</v>
      </c>
      <c r="O62" s="50">
        <f t="shared" si="19"/>
        <v>10.705575747626868</v>
      </c>
      <c r="P62" s="50">
        <f t="shared" si="19"/>
        <v>9.5338358645895909</v>
      </c>
      <c r="Q62" s="50">
        <f t="shared" si="19"/>
        <v>8.3620959815523133</v>
      </c>
      <c r="R62" s="50">
        <f t="shared" si="19"/>
        <v>7.1903560985150357</v>
      </c>
      <c r="S62" s="50">
        <f t="shared" si="19"/>
        <v>6.0186162154777598</v>
      </c>
      <c r="T62" s="50">
        <f t="shared" si="19"/>
        <v>4.9194372503310291</v>
      </c>
      <c r="U62" s="50">
        <f t="shared" si="19"/>
        <v>3.9656260901785787</v>
      </c>
      <c r="V62" s="50">
        <f t="shared" si="19"/>
        <v>3.0843758479166739</v>
      </c>
      <c r="W62" s="50">
        <f t="shared" si="19"/>
        <v>2.2031256056547694</v>
      </c>
      <c r="X62" s="50">
        <f t="shared" si="19"/>
        <v>1.3218753633928642</v>
      </c>
      <c r="Y62" s="50">
        <f t="shared" si="19"/>
        <v>0.44062512113095909</v>
      </c>
    </row>
    <row r="63" spans="1:25" x14ac:dyDescent="0.3">
      <c r="B63" s="10" t="s">
        <v>101</v>
      </c>
      <c r="D63" s="11"/>
      <c r="E63" s="51">
        <f t="shared" ref="E63:Y63" si="20">E62*$F15</f>
        <v>4.8010262209435526</v>
      </c>
      <c r="F63" s="51">
        <f t="shared" si="20"/>
        <v>4.5410660446527169</v>
      </c>
      <c r="G63" s="51">
        <f t="shared" si="20"/>
        <v>4.2627688635186969</v>
      </c>
      <c r="H63" s="51">
        <f t="shared" si="20"/>
        <v>3.9937693186431922</v>
      </c>
      <c r="I63" s="51">
        <f t="shared" si="20"/>
        <v>3.7331376464003529</v>
      </c>
      <c r="J63" s="51">
        <f t="shared" si="20"/>
        <v>3.4800990437686372</v>
      </c>
      <c r="K63" s="51">
        <f t="shared" si="20"/>
        <v>3.2323807552181845</v>
      </c>
      <c r="L63" s="51">
        <f t="shared" si="20"/>
        <v>2.9863670333151262</v>
      </c>
      <c r="M63" s="51">
        <f t="shared" si="20"/>
        <v>2.7403016578772985</v>
      </c>
      <c r="N63" s="51">
        <f t="shared" si="20"/>
        <v>2.4942362824394704</v>
      </c>
      <c r="O63" s="51">
        <f t="shared" si="20"/>
        <v>2.2481709070016422</v>
      </c>
      <c r="P63" s="51">
        <f t="shared" si="20"/>
        <v>2.0021055315638141</v>
      </c>
      <c r="Q63" s="51">
        <f t="shared" si="20"/>
        <v>1.7560401561259857</v>
      </c>
      <c r="R63" s="51">
        <f t="shared" si="20"/>
        <v>1.5099747806881574</v>
      </c>
      <c r="S63" s="51">
        <f t="shared" si="20"/>
        <v>1.2639094052503295</v>
      </c>
      <c r="T63" s="51">
        <f t="shared" si="20"/>
        <v>1.033081822569516</v>
      </c>
      <c r="U63" s="51">
        <f t="shared" si="20"/>
        <v>0.83278147893750154</v>
      </c>
      <c r="V63" s="51">
        <f t="shared" si="20"/>
        <v>0.64771892806250153</v>
      </c>
      <c r="W63" s="51">
        <f t="shared" si="20"/>
        <v>0.46265637718750158</v>
      </c>
      <c r="X63" s="51">
        <f t="shared" si="20"/>
        <v>0.27759382631250146</v>
      </c>
      <c r="Y63" s="51">
        <f t="shared" si="20"/>
        <v>9.2531275437501406E-2</v>
      </c>
    </row>
    <row r="64" spans="1:25" x14ac:dyDescent="0.3">
      <c r="B64" s="10" t="s">
        <v>102</v>
      </c>
      <c r="D64" s="11"/>
      <c r="E64" s="50">
        <f>E60-E61-E63</f>
        <v>18.061003402597176</v>
      </c>
      <c r="F64" s="50">
        <f>F60-F61-F63</f>
        <v>17.083057977503081</v>
      </c>
      <c r="G64" s="50">
        <f>G60-G61-G63</f>
        <v>16.036130486570336</v>
      </c>
      <c r="H64" s="50">
        <f t="shared" ref="H64:Y64" si="21">H60-H61-H63</f>
        <v>15.024179817752962</v>
      </c>
      <c r="I64" s="50">
        <f t="shared" si="21"/>
        <v>14.043708288839424</v>
      </c>
      <c r="J64" s="50">
        <f t="shared" si="21"/>
        <v>13.091801164653445</v>
      </c>
      <c r="K64" s="50">
        <f t="shared" si="21"/>
        <v>12.1599085553446</v>
      </c>
      <c r="L64" s="50">
        <f t="shared" si="21"/>
        <v>11.234428363423572</v>
      </c>
      <c r="M64" s="50">
        <f t="shared" si="21"/>
        <v>10.308753855824124</v>
      </c>
      <c r="N64" s="50">
        <f t="shared" si="21"/>
        <v>9.3830793482246744</v>
      </c>
      <c r="O64" s="50">
        <f t="shared" si="21"/>
        <v>8.4574048406252267</v>
      </c>
      <c r="P64" s="50">
        <f t="shared" si="21"/>
        <v>7.5317303330257772</v>
      </c>
      <c r="Q64" s="50">
        <f t="shared" si="21"/>
        <v>6.6060558254263277</v>
      </c>
      <c r="R64" s="50">
        <f t="shared" si="21"/>
        <v>5.6803813178268783</v>
      </c>
      <c r="S64" s="50">
        <f t="shared" si="21"/>
        <v>4.7547068102274306</v>
      </c>
      <c r="T64" s="50">
        <f t="shared" si="21"/>
        <v>3.8863554277615133</v>
      </c>
      <c r="U64" s="50">
        <f t="shared" si="21"/>
        <v>3.1328446112410773</v>
      </c>
      <c r="V64" s="50">
        <f t="shared" si="21"/>
        <v>2.4366569198541725</v>
      </c>
      <c r="W64" s="50">
        <f t="shared" si="21"/>
        <v>1.7404692284672678</v>
      </c>
      <c r="X64" s="50">
        <f t="shared" si="21"/>
        <v>1.0442815370803626</v>
      </c>
      <c r="Y64" s="50">
        <f t="shared" si="21"/>
        <v>0.34809384569345769</v>
      </c>
    </row>
    <row r="66" spans="1:26" x14ac:dyDescent="0.3">
      <c r="A66" s="10" t="s">
        <v>103</v>
      </c>
      <c r="D66" s="1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</row>
    <row r="67" spans="1:26" x14ac:dyDescent="0.3">
      <c r="B67" s="10" t="s">
        <v>104</v>
      </c>
      <c r="D67" s="11"/>
      <c r="E67" s="50">
        <f>E28</f>
        <v>11.290119047619049</v>
      </c>
      <c r="F67" s="50">
        <f>F28</f>
        <v>11.290119047619049</v>
      </c>
      <c r="G67" s="50">
        <f>G28</f>
        <v>11.290119047619049</v>
      </c>
      <c r="H67" s="50">
        <f t="shared" ref="H67:Y67" si="22">H28</f>
        <v>11.290119047619049</v>
      </c>
      <c r="I67" s="50">
        <f t="shared" si="22"/>
        <v>11.290119047619049</v>
      </c>
      <c r="J67" s="50">
        <f t="shared" si="22"/>
        <v>11.290119047619049</v>
      </c>
      <c r="K67" s="50">
        <f t="shared" si="22"/>
        <v>11.290119047619049</v>
      </c>
      <c r="L67" s="50">
        <f t="shared" si="22"/>
        <v>11.290119047619049</v>
      </c>
      <c r="M67" s="50">
        <f t="shared" si="22"/>
        <v>11.290119047619049</v>
      </c>
      <c r="N67" s="50">
        <f t="shared" si="22"/>
        <v>11.290119047619049</v>
      </c>
      <c r="O67" s="50">
        <f t="shared" si="22"/>
        <v>11.290119047619049</v>
      </c>
      <c r="P67" s="50">
        <f t="shared" si="22"/>
        <v>11.290119047619049</v>
      </c>
      <c r="Q67" s="50">
        <f t="shared" si="22"/>
        <v>11.290119047619049</v>
      </c>
      <c r="R67" s="50">
        <f t="shared" si="22"/>
        <v>11.290119047619049</v>
      </c>
      <c r="S67" s="50">
        <f t="shared" si="22"/>
        <v>11.290119047619049</v>
      </c>
      <c r="T67" s="50">
        <f t="shared" si="22"/>
        <v>11.290119047619049</v>
      </c>
      <c r="U67" s="50">
        <f t="shared" si="22"/>
        <v>11.290119047619049</v>
      </c>
      <c r="V67" s="50">
        <f t="shared" si="22"/>
        <v>11.290119047619049</v>
      </c>
      <c r="W67" s="50">
        <f t="shared" si="22"/>
        <v>11.290119047619049</v>
      </c>
      <c r="X67" s="50">
        <f t="shared" si="22"/>
        <v>11.290119047619049</v>
      </c>
      <c r="Y67" s="50">
        <f t="shared" si="22"/>
        <v>11.290119047619049</v>
      </c>
    </row>
    <row r="68" spans="1:26" x14ac:dyDescent="0.3">
      <c r="B68" s="10" t="s">
        <v>105</v>
      </c>
      <c r="D68" s="11"/>
      <c r="E68" s="50">
        <f t="shared" ref="E68:Y68" si="23">$F23*E73</f>
        <v>11.854625000000002</v>
      </c>
      <c r="F68" s="50">
        <f t="shared" si="23"/>
        <v>22.523787500000005</v>
      </c>
      <c r="G68" s="50">
        <f t="shared" si="23"/>
        <v>20.271408750000003</v>
      </c>
      <c r="H68" s="50">
        <f t="shared" si="23"/>
        <v>18.256122500000004</v>
      </c>
      <c r="I68" s="50">
        <f t="shared" si="23"/>
        <v>16.430510250000001</v>
      </c>
      <c r="J68" s="50">
        <f t="shared" si="23"/>
        <v>14.770862750000003</v>
      </c>
      <c r="K68" s="50">
        <f t="shared" si="23"/>
        <v>13.988457500000001</v>
      </c>
      <c r="L68" s="50">
        <f t="shared" si="23"/>
        <v>13.988457500000001</v>
      </c>
      <c r="M68" s="50">
        <f t="shared" si="23"/>
        <v>14.012166750000002</v>
      </c>
      <c r="N68" s="50">
        <f t="shared" si="23"/>
        <v>13.988457500000001</v>
      </c>
      <c r="O68" s="50">
        <f t="shared" si="23"/>
        <v>14.012166750000002</v>
      </c>
      <c r="P68" s="50">
        <f t="shared" si="23"/>
        <v>13.988457500000001</v>
      </c>
      <c r="Q68" s="50">
        <f t="shared" si="23"/>
        <v>14.012166750000002</v>
      </c>
      <c r="R68" s="50">
        <f t="shared" si="23"/>
        <v>13.988457500000001</v>
      </c>
      <c r="S68" s="50">
        <f t="shared" si="23"/>
        <v>14.012166750000002</v>
      </c>
      <c r="T68" s="50">
        <f t="shared" si="23"/>
        <v>6.9942287500000004</v>
      </c>
      <c r="U68" s="50">
        <f t="shared" si="23"/>
        <v>0</v>
      </c>
      <c r="V68" s="50">
        <f t="shared" si="23"/>
        <v>0</v>
      </c>
      <c r="W68" s="50">
        <f t="shared" si="23"/>
        <v>0</v>
      </c>
      <c r="X68" s="50">
        <f t="shared" si="23"/>
        <v>0</v>
      </c>
      <c r="Y68" s="50">
        <f t="shared" si="23"/>
        <v>0</v>
      </c>
    </row>
    <row r="69" spans="1:26" x14ac:dyDescent="0.3">
      <c r="B69" s="10" t="s">
        <v>106</v>
      </c>
      <c r="E69" s="50">
        <f>E68-E67</f>
        <v>0.56450595238095325</v>
      </c>
      <c r="F69" s="50">
        <f>F68-F67</f>
        <v>11.233668452380956</v>
      </c>
      <c r="G69" s="50">
        <f>G68-G67</f>
        <v>8.9812897023809537</v>
      </c>
      <c r="H69" s="50">
        <f t="shared" ref="H69:Y69" si="24">H68-H67</f>
        <v>6.9660034523809546</v>
      </c>
      <c r="I69" s="50">
        <f t="shared" si="24"/>
        <v>5.1403912023809522</v>
      </c>
      <c r="J69" s="50">
        <f t="shared" si="24"/>
        <v>3.4807437023809538</v>
      </c>
      <c r="K69" s="50">
        <f t="shared" si="24"/>
        <v>2.6983384523809519</v>
      </c>
      <c r="L69" s="50">
        <f t="shared" si="24"/>
        <v>2.6983384523809519</v>
      </c>
      <c r="M69" s="50">
        <f t="shared" si="24"/>
        <v>2.7220477023809533</v>
      </c>
      <c r="N69" s="50">
        <f t="shared" si="24"/>
        <v>2.6983384523809519</v>
      </c>
      <c r="O69" s="50">
        <f t="shared" si="24"/>
        <v>2.7220477023809533</v>
      </c>
      <c r="P69" s="50">
        <f t="shared" si="24"/>
        <v>2.6983384523809519</v>
      </c>
      <c r="Q69" s="50">
        <f t="shared" si="24"/>
        <v>2.7220477023809533</v>
      </c>
      <c r="R69" s="50">
        <f t="shared" si="24"/>
        <v>2.6983384523809519</v>
      </c>
      <c r="S69" s="50">
        <f t="shared" si="24"/>
        <v>2.7220477023809533</v>
      </c>
      <c r="T69" s="50">
        <f t="shared" si="24"/>
        <v>-4.2958902976190485</v>
      </c>
      <c r="U69" s="50">
        <f t="shared" si="24"/>
        <v>-11.290119047619049</v>
      </c>
      <c r="V69" s="50">
        <f t="shared" si="24"/>
        <v>-11.290119047619049</v>
      </c>
      <c r="W69" s="50">
        <f t="shared" si="24"/>
        <v>-11.290119047619049</v>
      </c>
      <c r="X69" s="50">
        <f t="shared" si="24"/>
        <v>-11.290119047619049</v>
      </c>
      <c r="Y69" s="50">
        <f t="shared" si="24"/>
        <v>-11.290119047619049</v>
      </c>
    </row>
    <row r="70" spans="1:26" x14ac:dyDescent="0.3">
      <c r="B70" s="10" t="s">
        <v>107</v>
      </c>
      <c r="D70" s="11"/>
      <c r="E70" s="50">
        <f t="shared" ref="E70:Y70" si="25">E69*$E$85</f>
        <v>0.11854625000000017</v>
      </c>
      <c r="F70" s="50">
        <f t="shared" si="25"/>
        <v>2.3590703750000004</v>
      </c>
      <c r="G70" s="50">
        <f t="shared" si="25"/>
        <v>1.8860708375000002</v>
      </c>
      <c r="H70" s="50">
        <f t="shared" si="25"/>
        <v>1.4628607250000005</v>
      </c>
      <c r="I70" s="50">
        <f t="shared" si="25"/>
        <v>1.0794821525</v>
      </c>
      <c r="J70" s="50">
        <f t="shared" si="25"/>
        <v>0.7309561775000003</v>
      </c>
      <c r="K70" s="50">
        <f t="shared" si="25"/>
        <v>0.56665107499999989</v>
      </c>
      <c r="L70" s="50">
        <f t="shared" si="25"/>
        <v>0.56665107499999989</v>
      </c>
      <c r="M70" s="50">
        <f t="shared" si="25"/>
        <v>0.5716300175000002</v>
      </c>
      <c r="N70" s="50">
        <f t="shared" si="25"/>
        <v>0.56665107499999989</v>
      </c>
      <c r="O70" s="50">
        <f t="shared" si="25"/>
        <v>0.5716300175000002</v>
      </c>
      <c r="P70" s="50">
        <f t="shared" si="25"/>
        <v>0.56665107499999989</v>
      </c>
      <c r="Q70" s="50">
        <f t="shared" si="25"/>
        <v>0.5716300175000002</v>
      </c>
      <c r="R70" s="50">
        <f t="shared" si="25"/>
        <v>0.56665107499999989</v>
      </c>
      <c r="S70" s="50">
        <f t="shared" si="25"/>
        <v>0.5716300175000002</v>
      </c>
      <c r="T70" s="50">
        <f t="shared" si="25"/>
        <v>-0.90213696250000019</v>
      </c>
      <c r="U70" s="50">
        <f t="shared" si="25"/>
        <v>-2.3709250000000002</v>
      </c>
      <c r="V70" s="50">
        <f t="shared" si="25"/>
        <v>-2.3709250000000002</v>
      </c>
      <c r="W70" s="50">
        <f t="shared" si="25"/>
        <v>-2.3709250000000002</v>
      </c>
      <c r="X70" s="50">
        <f t="shared" si="25"/>
        <v>-2.3709250000000002</v>
      </c>
      <c r="Y70" s="50">
        <f t="shared" si="25"/>
        <v>-2.3709250000000002</v>
      </c>
      <c r="Z70" s="61">
        <f>SUM(E70:Y70)</f>
        <v>0</v>
      </c>
    </row>
    <row r="71" spans="1:26" x14ac:dyDescent="0.3">
      <c r="D71" s="11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spans="1:26" x14ac:dyDescent="0.3"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</row>
    <row r="73" spans="1:26" s="62" customFormat="1" ht="13.2" x14ac:dyDescent="0.3">
      <c r="A73" s="10"/>
      <c r="B73" s="10" t="s">
        <v>108</v>
      </c>
      <c r="C73" s="10"/>
      <c r="E73" s="63">
        <f t="shared" ref="E73:Y73" si="26">IF($F$21=1,E83,E81)</f>
        <v>0.05</v>
      </c>
      <c r="F73" s="63">
        <f t="shared" si="26"/>
        <v>9.5000000000000001E-2</v>
      </c>
      <c r="G73" s="63">
        <f t="shared" si="26"/>
        <v>8.5500000000000007E-2</v>
      </c>
      <c r="H73" s="63">
        <f t="shared" si="26"/>
        <v>7.6999999999999999E-2</v>
      </c>
      <c r="I73" s="63">
        <f t="shared" si="26"/>
        <v>6.93E-2</v>
      </c>
      <c r="J73" s="63">
        <f t="shared" si="26"/>
        <v>6.2300000000000001E-2</v>
      </c>
      <c r="K73" s="63">
        <f t="shared" si="26"/>
        <v>5.8999999999999997E-2</v>
      </c>
      <c r="L73" s="63">
        <f t="shared" si="26"/>
        <v>5.8999999999999997E-2</v>
      </c>
      <c r="M73" s="63">
        <f t="shared" si="26"/>
        <v>5.91E-2</v>
      </c>
      <c r="N73" s="63">
        <f t="shared" si="26"/>
        <v>5.8999999999999997E-2</v>
      </c>
      <c r="O73" s="63">
        <f t="shared" si="26"/>
        <v>5.91E-2</v>
      </c>
      <c r="P73" s="63">
        <f t="shared" si="26"/>
        <v>5.8999999999999997E-2</v>
      </c>
      <c r="Q73" s="63">
        <f t="shared" si="26"/>
        <v>5.91E-2</v>
      </c>
      <c r="R73" s="63">
        <f t="shared" si="26"/>
        <v>5.8999999999999997E-2</v>
      </c>
      <c r="S73" s="63">
        <f t="shared" si="26"/>
        <v>5.91E-2</v>
      </c>
      <c r="T73" s="63">
        <f t="shared" si="26"/>
        <v>2.9499999999999998E-2</v>
      </c>
      <c r="U73" s="63">
        <f t="shared" si="26"/>
        <v>0</v>
      </c>
      <c r="V73" s="63">
        <f t="shared" si="26"/>
        <v>0</v>
      </c>
      <c r="W73" s="63">
        <f t="shared" si="26"/>
        <v>0</v>
      </c>
      <c r="X73" s="63">
        <f t="shared" si="26"/>
        <v>0</v>
      </c>
      <c r="Y73" s="63">
        <f t="shared" si="26"/>
        <v>0</v>
      </c>
    </row>
    <row r="74" spans="1:26" x14ac:dyDescent="0.3"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</row>
    <row r="75" spans="1:26" x14ac:dyDescent="0.3"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</row>
    <row r="76" spans="1:26" x14ac:dyDescent="0.3">
      <c r="B76" s="10" t="s">
        <v>109</v>
      </c>
      <c r="E76" s="64">
        <f>+E57+E70</f>
        <v>231.50671360119051</v>
      </c>
      <c r="F76" s="61">
        <f t="shared" ref="F76:Y76" si="27">+E76-F28</f>
        <v>220.21659455357147</v>
      </c>
      <c r="G76" s="61">
        <f t="shared" si="27"/>
        <v>208.92647550595242</v>
      </c>
      <c r="H76" s="61">
        <f t="shared" si="27"/>
        <v>197.63635645833338</v>
      </c>
      <c r="I76" s="61">
        <f t="shared" si="27"/>
        <v>186.34623741071434</v>
      </c>
      <c r="J76" s="61">
        <f t="shared" si="27"/>
        <v>175.05611836309529</v>
      </c>
      <c r="K76" s="61">
        <f t="shared" si="27"/>
        <v>163.76599931547625</v>
      </c>
      <c r="L76" s="61">
        <f t="shared" si="27"/>
        <v>152.47588026785721</v>
      </c>
      <c r="M76" s="61">
        <f t="shared" si="27"/>
        <v>141.18576122023816</v>
      </c>
      <c r="N76" s="61">
        <f t="shared" si="27"/>
        <v>129.89564217261912</v>
      </c>
      <c r="O76" s="61">
        <f t="shared" si="27"/>
        <v>118.60552312500008</v>
      </c>
      <c r="P76" s="61">
        <f t="shared" si="27"/>
        <v>107.31540407738103</v>
      </c>
      <c r="Q76" s="61">
        <f t="shared" si="27"/>
        <v>96.025285029761989</v>
      </c>
      <c r="R76" s="61">
        <f t="shared" si="27"/>
        <v>84.735165982142945</v>
      </c>
      <c r="S76" s="61">
        <f t="shared" si="27"/>
        <v>73.445046934523901</v>
      </c>
      <c r="T76" s="61">
        <f t="shared" si="27"/>
        <v>62.154927886904851</v>
      </c>
      <c r="U76" s="61">
        <f t="shared" si="27"/>
        <v>50.8648088392858</v>
      </c>
      <c r="V76" s="61">
        <f t="shared" si="27"/>
        <v>39.574689791666749</v>
      </c>
      <c r="W76" s="61">
        <f t="shared" si="27"/>
        <v>28.284570744047699</v>
      </c>
      <c r="X76" s="61">
        <f t="shared" si="27"/>
        <v>16.994451696428648</v>
      </c>
      <c r="Y76" s="61">
        <f t="shared" si="27"/>
        <v>5.7043326488095989</v>
      </c>
    </row>
    <row r="78" spans="1:26" x14ac:dyDescent="0.3">
      <c r="B78" s="10" t="s">
        <v>110</v>
      </c>
      <c r="D78" s="11"/>
      <c r="E78" s="50">
        <f t="shared" ref="E78:Y78" si="28">E39+E40-E64</f>
        <v>0</v>
      </c>
      <c r="F78" s="50">
        <f t="shared" si="28"/>
        <v>0</v>
      </c>
      <c r="G78" s="50">
        <f t="shared" si="28"/>
        <v>0</v>
      </c>
      <c r="H78" s="50">
        <f t="shared" si="28"/>
        <v>0</v>
      </c>
      <c r="I78" s="50">
        <f t="shared" si="28"/>
        <v>0</v>
      </c>
      <c r="J78" s="50">
        <f t="shared" si="28"/>
        <v>0</v>
      </c>
      <c r="K78" s="50">
        <f t="shared" si="28"/>
        <v>0</v>
      </c>
      <c r="L78" s="50">
        <f t="shared" si="28"/>
        <v>0</v>
      </c>
      <c r="M78" s="50">
        <f t="shared" si="28"/>
        <v>0</v>
      </c>
      <c r="N78" s="50">
        <f t="shared" si="28"/>
        <v>0</v>
      </c>
      <c r="O78" s="50">
        <f t="shared" si="28"/>
        <v>0</v>
      </c>
      <c r="P78" s="50">
        <f t="shared" si="28"/>
        <v>0</v>
      </c>
      <c r="Q78" s="50">
        <f t="shared" si="28"/>
        <v>0</v>
      </c>
      <c r="R78" s="50">
        <f t="shared" si="28"/>
        <v>0</v>
      </c>
      <c r="S78" s="50">
        <f t="shared" si="28"/>
        <v>0</v>
      </c>
      <c r="T78" s="50">
        <f t="shared" si="28"/>
        <v>0</v>
      </c>
      <c r="U78" s="50">
        <f t="shared" si="28"/>
        <v>0</v>
      </c>
      <c r="V78" s="50">
        <f t="shared" si="28"/>
        <v>0</v>
      </c>
      <c r="W78" s="50">
        <f t="shared" si="28"/>
        <v>0</v>
      </c>
      <c r="X78" s="50">
        <f t="shared" si="28"/>
        <v>0</v>
      </c>
      <c r="Y78" s="50">
        <f t="shared" si="28"/>
        <v>0</v>
      </c>
    </row>
    <row r="81" spans="2:25" x14ac:dyDescent="0.3">
      <c r="B81" s="10" t="s">
        <v>108</v>
      </c>
      <c r="E81" s="63">
        <v>0.05</v>
      </c>
      <c r="F81" s="63">
        <v>9.5000000000000001E-2</v>
      </c>
      <c r="G81" s="63">
        <v>8.5500000000000007E-2</v>
      </c>
      <c r="H81" s="63">
        <v>7.6999999999999999E-2</v>
      </c>
      <c r="I81" s="63">
        <v>6.93E-2</v>
      </c>
      <c r="J81" s="63">
        <v>6.2300000000000001E-2</v>
      </c>
      <c r="K81" s="63">
        <v>5.8999999999999997E-2</v>
      </c>
      <c r="L81" s="63">
        <v>5.8999999999999997E-2</v>
      </c>
      <c r="M81" s="63">
        <v>5.91E-2</v>
      </c>
      <c r="N81" s="63">
        <v>5.8999999999999997E-2</v>
      </c>
      <c r="O81" s="63">
        <v>5.91E-2</v>
      </c>
      <c r="P81" s="63">
        <v>5.8999999999999997E-2</v>
      </c>
      <c r="Q81" s="63">
        <v>5.91E-2</v>
      </c>
      <c r="R81" s="63">
        <v>5.8999999999999997E-2</v>
      </c>
      <c r="S81" s="63">
        <v>5.91E-2</v>
      </c>
      <c r="T81" s="63">
        <v>2.9499999999999998E-2</v>
      </c>
    </row>
    <row r="83" spans="2:25" x14ac:dyDescent="0.3">
      <c r="B83" s="10" t="s">
        <v>111</v>
      </c>
      <c r="E83" s="45">
        <v>0.52500000000000002</v>
      </c>
      <c r="F83" s="45">
        <v>4.7500000000000001E-2</v>
      </c>
      <c r="G83" s="45">
        <v>4.2750000000000003E-2</v>
      </c>
      <c r="H83" s="45">
        <v>3.85E-2</v>
      </c>
      <c r="I83" s="45">
        <v>3.465E-2</v>
      </c>
      <c r="J83" s="45">
        <v>3.1150000000000001E-2</v>
      </c>
      <c r="K83" s="45">
        <v>2.9499999999999998E-2</v>
      </c>
      <c r="L83" s="45">
        <v>2.9499999999999998E-2</v>
      </c>
      <c r="M83" s="45">
        <v>2.955E-2</v>
      </c>
      <c r="N83" s="45">
        <v>2.9499999999999998E-2</v>
      </c>
      <c r="O83" s="45">
        <v>2.955E-2</v>
      </c>
      <c r="P83" s="45">
        <v>2.9499999999999998E-2</v>
      </c>
      <c r="Q83" s="45">
        <v>2.955E-2</v>
      </c>
      <c r="R83" s="45">
        <v>2.9499999999999998E-2</v>
      </c>
      <c r="S83" s="45">
        <v>2.955E-2</v>
      </c>
      <c r="T83" s="45">
        <v>1.4749999999999999E-2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</row>
    <row r="85" spans="2:25" x14ac:dyDescent="0.3">
      <c r="E85" s="95">
        <f>(1-F15)*F14+F15</f>
        <v>0.21</v>
      </c>
    </row>
    <row r="86" spans="2:25" x14ac:dyDescent="0.3">
      <c r="E86" s="96">
        <f>1-E85</f>
        <v>0.79</v>
      </c>
    </row>
  </sheetData>
  <mergeCells count="1">
    <mergeCell ref="E1:F1"/>
  </mergeCells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56"/>
  <sheetViews>
    <sheetView workbookViewId="0">
      <selection activeCell="F10" sqref="F10"/>
    </sheetView>
  </sheetViews>
  <sheetFormatPr defaultRowHeight="14.4" x14ac:dyDescent="0.3"/>
  <cols>
    <col min="1" max="1" width="15.21875" style="12" customWidth="1"/>
    <col min="2" max="2" width="15.21875" style="12" bestFit="1" customWidth="1"/>
    <col min="3" max="4" width="8.88671875" style="12"/>
    <col min="5" max="5" width="13.44140625" style="12" customWidth="1"/>
    <col min="6" max="6" width="17.44140625" style="12" bestFit="1" customWidth="1"/>
    <col min="7" max="7" width="12.88671875" style="12" bestFit="1" customWidth="1"/>
    <col min="8" max="8" width="13.33203125" style="12" bestFit="1" customWidth="1"/>
    <col min="9" max="9" width="8.21875" style="12" bestFit="1" customWidth="1"/>
    <col min="10" max="10" width="8.5546875" style="12" bestFit="1" customWidth="1"/>
    <col min="11" max="11" width="13.21875" style="12" bestFit="1" customWidth="1"/>
    <col min="12" max="16384" width="8.88671875" style="12"/>
  </cols>
  <sheetData>
    <row r="1" spans="1:11" ht="23.4" x14ac:dyDescent="0.45">
      <c r="A1" s="65" t="s">
        <v>156</v>
      </c>
      <c r="E1" s="87" t="s">
        <v>125</v>
      </c>
      <c r="F1" s="87"/>
      <c r="G1" s="87"/>
      <c r="H1"/>
      <c r="I1"/>
      <c r="J1"/>
      <c r="K1"/>
    </row>
    <row r="2" spans="1:11" x14ac:dyDescent="0.3">
      <c r="E2" s="88" t="s">
        <v>126</v>
      </c>
      <c r="F2"/>
      <c r="G2"/>
      <c r="H2"/>
      <c r="I2"/>
      <c r="J2"/>
      <c r="K2"/>
    </row>
    <row r="3" spans="1:11" x14ac:dyDescent="0.3">
      <c r="A3" s="19" t="s">
        <v>42</v>
      </c>
      <c r="B3" s="19" t="s">
        <v>112</v>
      </c>
      <c r="E3"/>
      <c r="F3"/>
      <c r="G3"/>
      <c r="H3"/>
      <c r="I3"/>
      <c r="J3"/>
      <c r="K3"/>
    </row>
    <row r="4" spans="1:11" x14ac:dyDescent="0.3">
      <c r="A4" s="67">
        <v>250</v>
      </c>
      <c r="B4" s="121">
        <f>AVERAGE(K7:K10)</f>
        <v>237.09250000000003</v>
      </c>
      <c r="E4" s="155" t="s">
        <v>127</v>
      </c>
      <c r="F4" s="155"/>
      <c r="G4" s="155"/>
      <c r="H4" s="155"/>
      <c r="I4" s="155"/>
      <c r="J4" s="155"/>
      <c r="K4" s="155"/>
    </row>
    <row r="5" spans="1:11" ht="28.8" x14ac:dyDescent="0.3">
      <c r="A5" s="67">
        <v>630</v>
      </c>
      <c r="B5" s="121">
        <f>AVERAGE(K13:K14)</f>
        <v>676.44499999999994</v>
      </c>
      <c r="E5" s="89" t="s">
        <v>128</v>
      </c>
      <c r="F5" s="89" t="s">
        <v>129</v>
      </c>
      <c r="G5" s="89" t="s">
        <v>130</v>
      </c>
      <c r="H5" s="89" t="s">
        <v>131</v>
      </c>
      <c r="I5" s="89" t="s">
        <v>132</v>
      </c>
      <c r="J5" s="89" t="s">
        <v>133</v>
      </c>
      <c r="K5" s="89" t="s">
        <v>134</v>
      </c>
    </row>
    <row r="6" spans="1:11" x14ac:dyDescent="0.3">
      <c r="A6" s="67">
        <v>1000</v>
      </c>
      <c r="B6" s="121">
        <f>AVERAGE(K16:K17)</f>
        <v>1161.02</v>
      </c>
      <c r="E6" s="155" t="s">
        <v>135</v>
      </c>
      <c r="F6" s="155"/>
      <c r="G6"/>
      <c r="H6"/>
      <c r="I6"/>
      <c r="J6"/>
      <c r="K6"/>
    </row>
    <row r="7" spans="1:11" x14ac:dyDescent="0.3">
      <c r="A7" s="120" t="s">
        <v>113</v>
      </c>
      <c r="B7" s="121">
        <f>AVERAGE(K19,K42)</f>
        <v>3117.1499999999996</v>
      </c>
      <c r="E7" s="90" t="s">
        <v>161</v>
      </c>
      <c r="F7" s="90">
        <v>250</v>
      </c>
      <c r="G7" s="90" t="s">
        <v>136</v>
      </c>
      <c r="H7" s="90" t="s">
        <v>137</v>
      </c>
      <c r="I7" s="90">
        <v>250</v>
      </c>
      <c r="J7" s="90">
        <v>3</v>
      </c>
      <c r="K7" s="117">
        <v>231.29</v>
      </c>
    </row>
    <row r="8" spans="1:11" x14ac:dyDescent="0.3">
      <c r="A8" s="67" t="s">
        <v>23</v>
      </c>
      <c r="B8" s="121">
        <f>AVERAGE(K20,K43)</f>
        <v>3364.8149999999996</v>
      </c>
      <c r="E8" s="90" t="s">
        <v>162</v>
      </c>
      <c r="F8" s="90"/>
      <c r="G8" s="90"/>
      <c r="H8" s="90"/>
      <c r="I8" s="90"/>
      <c r="J8" s="90"/>
      <c r="K8" s="117">
        <v>218.59</v>
      </c>
    </row>
    <row r="9" spans="1:11" x14ac:dyDescent="0.3">
      <c r="A9" s="67" t="s">
        <v>24</v>
      </c>
      <c r="B9" s="121">
        <f>AVERAGE(K21,K22,K39,K44)</f>
        <v>3785.9775</v>
      </c>
      <c r="E9" s="90" t="s">
        <v>163</v>
      </c>
      <c r="F9" s="90" t="s">
        <v>138</v>
      </c>
      <c r="G9" s="90" t="s">
        <v>136</v>
      </c>
      <c r="H9" s="90">
        <v>2</v>
      </c>
      <c r="I9" s="90">
        <v>602</v>
      </c>
      <c r="J9" s="90">
        <v>6</v>
      </c>
      <c r="K9" s="117">
        <v>218.81</v>
      </c>
    </row>
    <row r="10" spans="1:11" x14ac:dyDescent="0.3">
      <c r="A10" s="67" t="s">
        <v>25</v>
      </c>
      <c r="B10" s="121">
        <f>AVERAGE(K23,K24,K40,K45)</f>
        <v>3889.4049999999997</v>
      </c>
      <c r="E10" s="90" t="s">
        <v>164</v>
      </c>
      <c r="F10" s="90" t="s">
        <v>139</v>
      </c>
      <c r="G10" s="90" t="s">
        <v>136</v>
      </c>
      <c r="H10" s="90" t="s">
        <v>140</v>
      </c>
      <c r="I10" s="90">
        <v>602</v>
      </c>
      <c r="J10" s="90">
        <v>6</v>
      </c>
      <c r="K10" s="117">
        <v>279.68</v>
      </c>
    </row>
    <row r="11" spans="1:11" x14ac:dyDescent="0.3">
      <c r="A11" s="67" t="s">
        <v>26</v>
      </c>
      <c r="B11" s="121">
        <f>AVERAGE(K25,K26,K33,K46,K48)</f>
        <v>6025.7300000000005</v>
      </c>
      <c r="E11"/>
      <c r="F11" s="90" t="s">
        <v>141</v>
      </c>
      <c r="G11" s="90" t="s">
        <v>136</v>
      </c>
      <c r="H11" s="90" t="s">
        <v>140</v>
      </c>
      <c r="I11" s="90">
        <v>602</v>
      </c>
      <c r="J11" s="90">
        <v>6</v>
      </c>
      <c r="K11" s="117">
        <v>105.51</v>
      </c>
    </row>
    <row r="12" spans="1:11" x14ac:dyDescent="0.3">
      <c r="A12" s="67" t="s">
        <v>27</v>
      </c>
      <c r="B12" s="121">
        <f>AVERAGE(K34,K47,K49)</f>
        <v>7809.0499999999993</v>
      </c>
      <c r="E12" s="155" t="s">
        <v>142</v>
      </c>
      <c r="F12" s="155"/>
      <c r="G12"/>
      <c r="H12"/>
      <c r="I12"/>
      <c r="J12"/>
      <c r="K12"/>
    </row>
    <row r="13" spans="1:11" x14ac:dyDescent="0.3">
      <c r="A13" s="67" t="s">
        <v>28</v>
      </c>
      <c r="B13" s="121">
        <f>AVERAGE(K35,K50,K51)</f>
        <v>10561.85</v>
      </c>
      <c r="E13" s="90" t="s">
        <v>165</v>
      </c>
      <c r="F13" s="90" t="s">
        <v>143</v>
      </c>
      <c r="G13" s="90" t="s">
        <v>136</v>
      </c>
      <c r="H13" s="90">
        <v>2</v>
      </c>
      <c r="I13" s="91">
        <v>1516</v>
      </c>
      <c r="J13" s="90">
        <v>16</v>
      </c>
      <c r="K13" s="117">
        <v>671.98</v>
      </c>
    </row>
    <row r="14" spans="1:11" x14ac:dyDescent="0.3">
      <c r="A14" s="67" t="s">
        <v>29</v>
      </c>
      <c r="B14" s="121">
        <f>K53</f>
        <v>28736.799999999999</v>
      </c>
      <c r="E14" s="90" t="s">
        <v>166</v>
      </c>
      <c r="F14" s="90" t="s">
        <v>144</v>
      </c>
      <c r="G14" s="90" t="s">
        <v>136</v>
      </c>
      <c r="H14" s="90" t="s">
        <v>140</v>
      </c>
      <c r="I14" s="91">
        <v>1516</v>
      </c>
      <c r="J14" s="90">
        <v>16</v>
      </c>
      <c r="K14" s="117">
        <v>680.91</v>
      </c>
    </row>
    <row r="15" spans="1:11" x14ac:dyDescent="0.3">
      <c r="A15" s="97"/>
      <c r="B15" s="98"/>
      <c r="E15" s="155" t="s">
        <v>145</v>
      </c>
      <c r="F15" s="155"/>
      <c r="G15"/>
      <c r="H15"/>
      <c r="I15"/>
      <c r="J15"/>
      <c r="K15"/>
    </row>
    <row r="16" spans="1:11" x14ac:dyDescent="0.3">
      <c r="A16" s="97"/>
      <c r="B16" s="98"/>
      <c r="E16" s="90" t="s">
        <v>167</v>
      </c>
      <c r="F16" s="90" t="s">
        <v>146</v>
      </c>
      <c r="G16" s="90" t="s">
        <v>136</v>
      </c>
      <c r="H16" s="90" t="s">
        <v>140</v>
      </c>
      <c r="I16" s="91">
        <v>2407</v>
      </c>
      <c r="J16" s="90">
        <v>25</v>
      </c>
      <c r="K16" s="117">
        <v>1186.06</v>
      </c>
    </row>
    <row r="17" spans="1:11" x14ac:dyDescent="0.3">
      <c r="A17" s="97"/>
      <c r="B17" s="98"/>
      <c r="E17" s="90" t="s">
        <v>168</v>
      </c>
      <c r="F17" s="90" t="s">
        <v>147</v>
      </c>
      <c r="G17" s="90" t="s">
        <v>136</v>
      </c>
      <c r="H17" s="90" t="s">
        <v>140</v>
      </c>
      <c r="I17" s="91">
        <v>2407</v>
      </c>
      <c r="J17" s="90">
        <v>25</v>
      </c>
      <c r="K17" s="117">
        <v>1135.98</v>
      </c>
    </row>
    <row r="18" spans="1:11" x14ac:dyDescent="0.3">
      <c r="A18" s="97"/>
      <c r="B18" s="98"/>
      <c r="E18" s="155" t="s">
        <v>148</v>
      </c>
      <c r="F18" s="155"/>
      <c r="G18"/>
      <c r="H18"/>
      <c r="I18"/>
      <c r="J18"/>
      <c r="K18"/>
    </row>
    <row r="19" spans="1:11" x14ac:dyDescent="0.3">
      <c r="E19" s="90" t="s">
        <v>169</v>
      </c>
      <c r="F19" s="90" t="s">
        <v>149</v>
      </c>
      <c r="G19" s="90" t="s">
        <v>136</v>
      </c>
      <c r="H19" s="90">
        <v>2</v>
      </c>
      <c r="I19" s="91">
        <v>1729</v>
      </c>
      <c r="J19" s="90">
        <v>18</v>
      </c>
      <c r="K19" s="117">
        <v>2105.35</v>
      </c>
    </row>
    <row r="20" spans="1:11" x14ac:dyDescent="0.3">
      <c r="E20" s="90" t="s">
        <v>170</v>
      </c>
      <c r="F20" s="90" t="s">
        <v>150</v>
      </c>
      <c r="G20" s="90" t="s">
        <v>136</v>
      </c>
      <c r="H20" s="90">
        <v>2</v>
      </c>
      <c r="I20" s="91">
        <v>3361</v>
      </c>
      <c r="J20" s="90">
        <v>35</v>
      </c>
      <c r="K20" s="117">
        <v>2533.6799999999998</v>
      </c>
    </row>
    <row r="21" spans="1:11" x14ac:dyDescent="0.3">
      <c r="E21" s="90" t="s">
        <v>171</v>
      </c>
      <c r="F21" s="90" t="s">
        <v>151</v>
      </c>
      <c r="G21" s="90" t="s">
        <v>136</v>
      </c>
      <c r="H21" s="90">
        <v>2</v>
      </c>
      <c r="I21" s="91">
        <v>5666</v>
      </c>
      <c r="J21" s="90">
        <v>59</v>
      </c>
      <c r="K21" s="117">
        <v>2945.67</v>
      </c>
    </row>
    <row r="22" spans="1:11" x14ac:dyDescent="0.3">
      <c r="E22" s="90" t="s">
        <v>172</v>
      </c>
      <c r="F22" s="90" t="s">
        <v>151</v>
      </c>
      <c r="G22" s="90" t="s">
        <v>136</v>
      </c>
      <c r="H22" s="90">
        <v>2</v>
      </c>
      <c r="I22" s="91">
        <v>5666</v>
      </c>
      <c r="J22" s="90">
        <v>59</v>
      </c>
      <c r="K22" s="117">
        <v>3012.19</v>
      </c>
    </row>
    <row r="23" spans="1:11" x14ac:dyDescent="0.3">
      <c r="E23" s="90" t="s">
        <v>173</v>
      </c>
      <c r="F23" s="90" t="s">
        <v>152</v>
      </c>
      <c r="G23" s="90" t="s">
        <v>136</v>
      </c>
      <c r="H23" s="90">
        <v>2</v>
      </c>
      <c r="I23" s="91">
        <v>7875</v>
      </c>
      <c r="J23" s="90">
        <v>82</v>
      </c>
      <c r="K23" s="117">
        <v>3035.38</v>
      </c>
    </row>
    <row r="24" spans="1:11" x14ac:dyDescent="0.3">
      <c r="E24" s="90" t="s">
        <v>174</v>
      </c>
      <c r="F24" s="90" t="s">
        <v>152</v>
      </c>
      <c r="G24" s="90" t="s">
        <v>136</v>
      </c>
      <c r="H24" s="90">
        <v>2</v>
      </c>
      <c r="I24" s="91">
        <v>7875</v>
      </c>
      <c r="J24" s="90">
        <v>82</v>
      </c>
      <c r="K24" s="117">
        <v>3012.19</v>
      </c>
    </row>
    <row r="25" spans="1:11" x14ac:dyDescent="0.3">
      <c r="E25" s="90" t="s">
        <v>175</v>
      </c>
      <c r="F25" s="90" t="s">
        <v>153</v>
      </c>
      <c r="G25" s="90" t="s">
        <v>136</v>
      </c>
      <c r="H25" s="90">
        <v>2</v>
      </c>
      <c r="I25" s="91">
        <v>12478</v>
      </c>
      <c r="J25" s="90">
        <v>129</v>
      </c>
      <c r="K25" s="117">
        <v>3336.31</v>
      </c>
    </row>
    <row r="26" spans="1:11" x14ac:dyDescent="0.3">
      <c r="E26" s="90" t="s">
        <v>176</v>
      </c>
      <c r="F26" s="90" t="s">
        <v>153</v>
      </c>
      <c r="G26" s="90" t="s">
        <v>136</v>
      </c>
      <c r="H26" s="92">
        <v>2</v>
      </c>
      <c r="I26" s="91">
        <v>12478</v>
      </c>
      <c r="J26" s="90">
        <v>129</v>
      </c>
      <c r="K26" s="117">
        <v>5412.09</v>
      </c>
    </row>
    <row r="27" spans="1:11" x14ac:dyDescent="0.3">
      <c r="E27" s="155" t="s">
        <v>154</v>
      </c>
      <c r="F27" s="155"/>
      <c r="G27"/>
      <c r="H27"/>
      <c r="I27"/>
      <c r="J27"/>
      <c r="K27"/>
    </row>
    <row r="28" spans="1:11" x14ac:dyDescent="0.3">
      <c r="E28" s="90" t="s">
        <v>177</v>
      </c>
      <c r="F28" s="90" t="s">
        <v>138</v>
      </c>
      <c r="G28" s="90" t="s">
        <v>136</v>
      </c>
      <c r="H28" s="90">
        <v>2</v>
      </c>
      <c r="I28" s="90">
        <v>602</v>
      </c>
      <c r="J28" s="90">
        <v>6</v>
      </c>
      <c r="K28" s="117">
        <v>249.66</v>
      </c>
    </row>
    <row r="29" spans="1:11" x14ac:dyDescent="0.3">
      <c r="E29" s="90" t="s">
        <v>178</v>
      </c>
      <c r="F29" s="90" t="s">
        <v>143</v>
      </c>
      <c r="G29" s="90" t="s">
        <v>136</v>
      </c>
      <c r="H29" s="90">
        <v>2</v>
      </c>
      <c r="I29" s="91">
        <v>1516</v>
      </c>
      <c r="J29" s="90">
        <v>16</v>
      </c>
      <c r="K29" s="117">
        <v>668.06</v>
      </c>
    </row>
    <row r="30" spans="1:11" x14ac:dyDescent="0.3">
      <c r="E30"/>
      <c r="F30"/>
      <c r="G30"/>
      <c r="H30"/>
      <c r="I30"/>
      <c r="J30"/>
      <c r="K30"/>
    </row>
    <row r="31" spans="1:11" x14ac:dyDescent="0.3">
      <c r="E31" s="155" t="s">
        <v>155</v>
      </c>
      <c r="F31" s="155"/>
      <c r="G31" s="155"/>
      <c r="H31" s="155"/>
      <c r="I31" s="155"/>
      <c r="J31" s="155"/>
      <c r="K31" s="155"/>
    </row>
    <row r="32" spans="1:11" ht="28.8" x14ac:dyDescent="0.3">
      <c r="E32" s="89" t="s">
        <v>128</v>
      </c>
      <c r="F32" s="89" t="s">
        <v>129</v>
      </c>
      <c r="G32" s="89" t="s">
        <v>130</v>
      </c>
      <c r="H32" s="89" t="s">
        <v>131</v>
      </c>
      <c r="I32" s="89" t="s">
        <v>132</v>
      </c>
      <c r="J32" s="89" t="s">
        <v>133</v>
      </c>
      <c r="K32" s="89" t="s">
        <v>134</v>
      </c>
    </row>
    <row r="33" spans="5:14" x14ac:dyDescent="0.3">
      <c r="E33" s="90" t="s">
        <v>179</v>
      </c>
      <c r="F33" s="90" t="s">
        <v>26</v>
      </c>
      <c r="G33" s="90" t="s">
        <v>136</v>
      </c>
      <c r="H33" s="90">
        <v>5</v>
      </c>
      <c r="I33" s="91">
        <v>14716</v>
      </c>
      <c r="J33" s="90">
        <v>152</v>
      </c>
      <c r="K33" s="117">
        <v>7681.63</v>
      </c>
      <c r="N33" s="11"/>
    </row>
    <row r="34" spans="5:14" x14ac:dyDescent="0.3">
      <c r="E34" s="90" t="s">
        <v>179</v>
      </c>
      <c r="F34" s="90" t="s">
        <v>27</v>
      </c>
      <c r="G34" s="90" t="s">
        <v>136</v>
      </c>
      <c r="H34" s="90">
        <v>5</v>
      </c>
      <c r="I34" s="91">
        <v>21405</v>
      </c>
      <c r="J34" s="90">
        <v>221</v>
      </c>
      <c r="K34" s="117">
        <v>8318.6299999999992</v>
      </c>
    </row>
    <row r="35" spans="5:14" x14ac:dyDescent="0.3">
      <c r="E35" s="90" t="s">
        <v>179</v>
      </c>
      <c r="F35" s="90" t="s">
        <v>180</v>
      </c>
      <c r="G35" s="90" t="s">
        <v>136</v>
      </c>
      <c r="H35" s="90">
        <v>5</v>
      </c>
      <c r="I35" s="91">
        <v>30769</v>
      </c>
      <c r="J35" s="90">
        <v>318</v>
      </c>
      <c r="K35" s="117">
        <v>9401.6299999999992</v>
      </c>
    </row>
    <row r="36" spans="5:14" x14ac:dyDescent="0.3">
      <c r="E36" s="90" t="s">
        <v>181</v>
      </c>
      <c r="F36" s="90" t="s">
        <v>26</v>
      </c>
      <c r="G36" s="90" t="s">
        <v>136</v>
      </c>
      <c r="H36" s="90" t="s">
        <v>193</v>
      </c>
      <c r="I36" s="91">
        <v>40821</v>
      </c>
      <c r="J36" s="90">
        <v>421</v>
      </c>
      <c r="K36" s="117">
        <v>13777.81</v>
      </c>
    </row>
    <row r="37" spans="5:14" x14ac:dyDescent="0.3">
      <c r="E37" s="90" t="s">
        <v>181</v>
      </c>
      <c r="F37" s="90" t="s">
        <v>27</v>
      </c>
      <c r="G37" s="90" t="s">
        <v>136</v>
      </c>
      <c r="H37" s="90" t="s">
        <v>193</v>
      </c>
      <c r="I37" s="91">
        <v>59376</v>
      </c>
      <c r="J37" s="90">
        <v>613</v>
      </c>
      <c r="K37" s="117">
        <v>14411.81</v>
      </c>
    </row>
    <row r="38" spans="5:14" x14ac:dyDescent="0.3">
      <c r="E38" s="90" t="s">
        <v>181</v>
      </c>
      <c r="F38" s="90" t="s">
        <v>180</v>
      </c>
      <c r="G38" s="90" t="s">
        <v>136</v>
      </c>
      <c r="H38" s="90" t="s">
        <v>193</v>
      </c>
      <c r="I38" s="91">
        <v>85353</v>
      </c>
      <c r="J38" s="90">
        <v>881</v>
      </c>
      <c r="K38" s="117">
        <v>15494.81</v>
      </c>
    </row>
    <row r="39" spans="5:14" x14ac:dyDescent="0.3">
      <c r="E39" s="90" t="s">
        <v>182</v>
      </c>
      <c r="F39" s="90" t="s">
        <v>24</v>
      </c>
      <c r="G39" s="90" t="s">
        <v>136</v>
      </c>
      <c r="H39" s="90">
        <v>5</v>
      </c>
      <c r="I39" s="91">
        <v>6689</v>
      </c>
      <c r="J39" s="90">
        <v>69</v>
      </c>
      <c r="K39" s="117">
        <v>4604.62</v>
      </c>
    </row>
    <row r="40" spans="5:14" x14ac:dyDescent="0.3">
      <c r="E40" s="90" t="s">
        <v>183</v>
      </c>
      <c r="F40" s="90" t="s">
        <v>25</v>
      </c>
      <c r="G40" s="90" t="s">
        <v>136</v>
      </c>
      <c r="H40" s="90">
        <v>5</v>
      </c>
      <c r="I40" s="91">
        <v>9365</v>
      </c>
      <c r="J40" s="90">
        <v>97</v>
      </c>
      <c r="K40" s="117">
        <v>4766.62</v>
      </c>
    </row>
    <row r="41" spans="5:14" x14ac:dyDescent="0.3">
      <c r="E41" s="90" t="s">
        <v>184</v>
      </c>
      <c r="F41" s="90" t="s">
        <v>21</v>
      </c>
      <c r="G41" s="90" t="s">
        <v>136</v>
      </c>
      <c r="H41" s="90">
        <v>5</v>
      </c>
      <c r="I41" s="91">
        <v>1050</v>
      </c>
      <c r="J41" s="90">
        <v>11</v>
      </c>
      <c r="K41" s="117">
        <v>4073.95</v>
      </c>
    </row>
    <row r="42" spans="5:14" x14ac:dyDescent="0.3">
      <c r="E42" s="90" t="s">
        <v>184</v>
      </c>
      <c r="F42" s="90" t="s">
        <v>113</v>
      </c>
      <c r="G42" s="90" t="s">
        <v>136</v>
      </c>
      <c r="H42" s="90">
        <v>5</v>
      </c>
      <c r="I42" s="91">
        <v>2000</v>
      </c>
      <c r="J42" s="90">
        <v>21</v>
      </c>
      <c r="K42" s="117">
        <v>4128.95</v>
      </c>
    </row>
    <row r="43" spans="5:14" x14ac:dyDescent="0.3">
      <c r="E43" s="90" t="s">
        <v>184</v>
      </c>
      <c r="F43" s="90" t="s">
        <v>23</v>
      </c>
      <c r="G43" s="90" t="s">
        <v>136</v>
      </c>
      <c r="H43" s="90">
        <v>5</v>
      </c>
      <c r="I43" s="91">
        <v>4013</v>
      </c>
      <c r="J43" s="90">
        <v>41</v>
      </c>
      <c r="K43" s="117">
        <v>4195.95</v>
      </c>
    </row>
    <row r="44" spans="5:14" x14ac:dyDescent="0.3">
      <c r="E44" s="90" t="s">
        <v>185</v>
      </c>
      <c r="F44" s="90" t="s">
        <v>24</v>
      </c>
      <c r="G44" s="90" t="s">
        <v>136</v>
      </c>
      <c r="H44" s="90">
        <v>5</v>
      </c>
      <c r="I44" s="91">
        <v>6689</v>
      </c>
      <c r="J44" s="90">
        <v>69</v>
      </c>
      <c r="K44" s="117">
        <v>4581.43</v>
      </c>
    </row>
    <row r="45" spans="5:14" x14ac:dyDescent="0.3">
      <c r="E45" s="90" t="s">
        <v>186</v>
      </c>
      <c r="F45" s="90" t="s">
        <v>25</v>
      </c>
      <c r="G45" s="90" t="s">
        <v>136</v>
      </c>
      <c r="H45" s="90">
        <v>5</v>
      </c>
      <c r="I45" s="91">
        <v>9365</v>
      </c>
      <c r="J45" s="90">
        <v>97</v>
      </c>
      <c r="K45" s="117">
        <v>4743.43</v>
      </c>
    </row>
    <row r="46" spans="5:14" x14ac:dyDescent="0.3">
      <c r="E46" s="90" t="s">
        <v>187</v>
      </c>
      <c r="F46" s="90" t="s">
        <v>26</v>
      </c>
      <c r="G46" s="90" t="s">
        <v>136</v>
      </c>
      <c r="H46" s="90">
        <v>5</v>
      </c>
      <c r="I46" s="91">
        <v>14716</v>
      </c>
      <c r="J46" s="90">
        <v>152</v>
      </c>
      <c r="K46" s="117">
        <v>5240.1099999999997</v>
      </c>
    </row>
    <row r="47" spans="5:14" x14ac:dyDescent="0.3">
      <c r="E47" s="90" t="s">
        <v>187</v>
      </c>
      <c r="F47" s="90" t="s">
        <v>27</v>
      </c>
      <c r="G47" s="90" t="s">
        <v>136</v>
      </c>
      <c r="H47" s="90">
        <v>5</v>
      </c>
      <c r="I47" s="91">
        <v>21405</v>
      </c>
      <c r="J47" s="90">
        <v>221</v>
      </c>
      <c r="K47" s="117">
        <v>5877.11</v>
      </c>
    </row>
    <row r="48" spans="5:14" x14ac:dyDescent="0.3">
      <c r="E48" s="90" t="s">
        <v>188</v>
      </c>
      <c r="F48" s="90" t="s">
        <v>26</v>
      </c>
      <c r="G48" s="90" t="s">
        <v>136</v>
      </c>
      <c r="H48" s="90">
        <v>5</v>
      </c>
      <c r="I48" s="91">
        <v>14716</v>
      </c>
      <c r="J48" s="90">
        <v>152</v>
      </c>
      <c r="K48" s="117">
        <v>8458.51</v>
      </c>
    </row>
    <row r="49" spans="5:16" x14ac:dyDescent="0.3">
      <c r="E49" s="90" t="s">
        <v>188</v>
      </c>
      <c r="F49" s="90" t="s">
        <v>27</v>
      </c>
      <c r="G49" s="90" t="s">
        <v>136</v>
      </c>
      <c r="H49" s="90">
        <v>5</v>
      </c>
      <c r="I49" s="91">
        <v>21405</v>
      </c>
      <c r="J49" s="90">
        <v>221</v>
      </c>
      <c r="K49" s="117">
        <v>9231.41</v>
      </c>
    </row>
    <row r="50" spans="5:16" x14ac:dyDescent="0.3">
      <c r="E50" s="90" t="s">
        <v>188</v>
      </c>
      <c r="F50" s="90" t="s">
        <v>180</v>
      </c>
      <c r="G50" s="90" t="s">
        <v>136</v>
      </c>
      <c r="H50" s="90">
        <v>5</v>
      </c>
      <c r="I50" s="91">
        <v>30769</v>
      </c>
      <c r="J50" s="90">
        <v>318</v>
      </c>
      <c r="K50" s="117">
        <v>10314.41</v>
      </c>
    </row>
    <row r="51" spans="5:16" x14ac:dyDescent="0.3">
      <c r="E51" s="90" t="s">
        <v>188</v>
      </c>
      <c r="F51" s="90" t="s">
        <v>180</v>
      </c>
      <c r="G51" s="90" t="s">
        <v>136</v>
      </c>
      <c r="H51" s="90" t="s">
        <v>193</v>
      </c>
      <c r="I51" s="91">
        <v>30769</v>
      </c>
      <c r="J51" s="90">
        <v>318</v>
      </c>
      <c r="K51" s="117">
        <v>11969.51</v>
      </c>
    </row>
    <row r="52" spans="5:16" x14ac:dyDescent="0.3">
      <c r="E52" s="90" t="s">
        <v>189</v>
      </c>
      <c r="F52" s="90" t="s">
        <v>192</v>
      </c>
      <c r="G52" s="90" t="s">
        <v>136</v>
      </c>
      <c r="H52" s="90" t="s">
        <v>193</v>
      </c>
      <c r="I52" s="91">
        <v>85353</v>
      </c>
      <c r="J52" s="90">
        <v>881</v>
      </c>
      <c r="K52" s="117">
        <v>21697.32</v>
      </c>
      <c r="P52" s="11"/>
    </row>
    <row r="53" spans="5:16" x14ac:dyDescent="0.3">
      <c r="E53" s="90" t="s">
        <v>190</v>
      </c>
      <c r="F53" s="90" t="s">
        <v>29</v>
      </c>
      <c r="G53" s="90" t="s">
        <v>136</v>
      </c>
      <c r="H53" s="90" t="s">
        <v>193</v>
      </c>
      <c r="I53" s="91">
        <v>141017</v>
      </c>
      <c r="J53" s="91">
        <v>1455</v>
      </c>
      <c r="K53" s="117">
        <v>28736.799999999999</v>
      </c>
    </row>
    <row r="54" spans="5:16" x14ac:dyDescent="0.3">
      <c r="E54" s="90" t="s">
        <v>191</v>
      </c>
      <c r="F54" s="90" t="s">
        <v>26</v>
      </c>
      <c r="G54" s="90" t="s">
        <v>136</v>
      </c>
      <c r="H54" s="90" t="s">
        <v>193</v>
      </c>
      <c r="I54" s="91">
        <v>40821</v>
      </c>
      <c r="J54" s="119">
        <v>421</v>
      </c>
      <c r="K54" s="117">
        <v>20537.63</v>
      </c>
    </row>
    <row r="55" spans="5:16" x14ac:dyDescent="0.3">
      <c r="E55" s="12" t="s">
        <v>191</v>
      </c>
      <c r="F55" s="119" t="s">
        <v>27</v>
      </c>
      <c r="G55" s="90" t="s">
        <v>136</v>
      </c>
      <c r="H55" s="90" t="s">
        <v>193</v>
      </c>
      <c r="I55" s="91">
        <v>59376</v>
      </c>
      <c r="J55" s="119">
        <v>613</v>
      </c>
      <c r="K55" s="117">
        <v>21174.63</v>
      </c>
    </row>
    <row r="56" spans="5:16" x14ac:dyDescent="0.3">
      <c r="E56" s="12" t="s">
        <v>191</v>
      </c>
      <c r="F56" s="119" t="s">
        <v>180</v>
      </c>
      <c r="G56" s="90" t="s">
        <v>136</v>
      </c>
      <c r="H56" s="90" t="s">
        <v>193</v>
      </c>
      <c r="I56" s="91">
        <v>85353</v>
      </c>
      <c r="J56" s="119">
        <v>881</v>
      </c>
      <c r="K56" s="118">
        <v>22257.63</v>
      </c>
    </row>
  </sheetData>
  <dataConsolidate/>
  <mergeCells count="7">
    <mergeCell ref="E31:K31"/>
    <mergeCell ref="E4:K4"/>
    <mergeCell ref="E6:F6"/>
    <mergeCell ref="E12:F12"/>
    <mergeCell ref="E15:F15"/>
    <mergeCell ref="E18:F18"/>
    <mergeCell ref="E27:F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  <pageSetUpPr fitToPage="1"/>
  </sheetPr>
  <dimension ref="A1:T86"/>
  <sheetViews>
    <sheetView topLeftCell="A7" workbookViewId="0">
      <pane xSplit="4" ySplit="20" topLeftCell="E36" activePane="bottomRight" state="frozen"/>
      <selection activeCell="A7" sqref="A7"/>
      <selection pane="topRight" activeCell="E7" sqref="E7"/>
      <selection pane="bottomLeft" activeCell="A27" sqref="A27"/>
      <selection pane="bottomRight" activeCell="E11" sqref="E11"/>
    </sheetView>
  </sheetViews>
  <sheetFormatPr defaultColWidth="10.33203125" defaultRowHeight="14.4" x14ac:dyDescent="0.3"/>
  <cols>
    <col min="1" max="2" width="5.6640625" style="10" customWidth="1"/>
    <col min="3" max="3" width="28.44140625" style="10" customWidth="1"/>
    <col min="4" max="19" width="13.6640625" style="12" customWidth="1"/>
    <col min="20" max="16384" width="10.33203125" style="12"/>
  </cols>
  <sheetData>
    <row r="1" spans="1:13" x14ac:dyDescent="0.25">
      <c r="A1" s="9" t="s">
        <v>39</v>
      </c>
      <c r="D1" s="11"/>
      <c r="E1" s="154"/>
      <c r="F1" s="154"/>
      <c r="I1" s="13"/>
    </row>
    <row r="2" spans="1:13" x14ac:dyDescent="0.3">
      <c r="A2" s="10" t="s">
        <v>40</v>
      </c>
      <c r="D2" s="11"/>
      <c r="E2" s="11"/>
      <c r="F2" s="13"/>
      <c r="G2" s="13"/>
    </row>
    <row r="3" spans="1:13" ht="15" thickBot="1" x14ac:dyDescent="0.35">
      <c r="D3" s="11"/>
      <c r="E3" s="11"/>
      <c r="F3" s="13"/>
      <c r="G3" s="13"/>
      <c r="I3" s="66" t="s">
        <v>114</v>
      </c>
    </row>
    <row r="4" spans="1:13" ht="36" customHeight="1" x14ac:dyDescent="0.3">
      <c r="A4" s="14" t="s">
        <v>41</v>
      </c>
      <c r="B4" s="15"/>
      <c r="C4" s="15"/>
      <c r="D4" s="16"/>
      <c r="E4" s="16"/>
      <c r="F4" s="17"/>
      <c r="G4" s="18"/>
      <c r="I4" s="19" t="s">
        <v>42</v>
      </c>
      <c r="J4" s="19" t="s">
        <v>118</v>
      </c>
      <c r="K4" s="74" t="s">
        <v>117</v>
      </c>
      <c r="L4" s="74" t="s">
        <v>119</v>
      </c>
    </row>
    <row r="5" spans="1:13" x14ac:dyDescent="0.3">
      <c r="A5" s="20"/>
      <c r="B5" s="21"/>
      <c r="C5" s="21"/>
      <c r="D5" s="22"/>
      <c r="E5" s="22"/>
      <c r="F5" s="23"/>
      <c r="G5" s="18"/>
      <c r="I5" s="24">
        <v>250</v>
      </c>
      <c r="J5" s="73">
        <v>1</v>
      </c>
      <c r="K5" s="73">
        <v>2.0048601954472138</v>
      </c>
      <c r="L5" s="75">
        <f t="shared" ref="L5:L6" si="0">(K5/J5)-1</f>
        <v>1.0048601954472138</v>
      </c>
    </row>
    <row r="6" spans="1:13" x14ac:dyDescent="0.3">
      <c r="A6" s="20"/>
      <c r="B6" s="21"/>
      <c r="C6" s="21"/>
      <c r="D6" s="25"/>
      <c r="E6" s="25"/>
      <c r="F6" s="26" t="s">
        <v>43</v>
      </c>
      <c r="G6" s="25"/>
      <c r="I6" s="99">
        <v>630</v>
      </c>
      <c r="J6" s="100">
        <v>3</v>
      </c>
      <c r="K6" s="100">
        <v>5.1176694462731458</v>
      </c>
      <c r="L6" s="101">
        <f t="shared" si="0"/>
        <v>0.70588981542438201</v>
      </c>
    </row>
    <row r="7" spans="1:13" x14ac:dyDescent="0.3">
      <c r="A7" s="20" t="s">
        <v>44</v>
      </c>
      <c r="B7" s="21"/>
      <c r="C7" s="21"/>
      <c r="D7" s="27" t="s">
        <v>45</v>
      </c>
      <c r="E7" s="27" t="s">
        <v>46</v>
      </c>
      <c r="F7" s="28" t="s">
        <v>46</v>
      </c>
      <c r="G7" s="25"/>
      <c r="H7" s="106"/>
      <c r="J7" s="109" t="s">
        <v>46</v>
      </c>
      <c r="K7" s="109" t="s">
        <v>158</v>
      </c>
      <c r="L7" s="110"/>
      <c r="M7" s="111"/>
    </row>
    <row r="8" spans="1:13" x14ac:dyDescent="0.3">
      <c r="A8" s="20"/>
      <c r="B8" s="21"/>
      <c r="C8" s="21"/>
      <c r="D8" s="29"/>
      <c r="E8" s="29"/>
      <c r="F8" s="30"/>
      <c r="G8" s="29"/>
      <c r="I8" s="108" t="s">
        <v>196</v>
      </c>
      <c r="J8" s="112">
        <f>'AAMR Cost'!B18</f>
        <v>4096.75</v>
      </c>
      <c r="K8" s="150">
        <f>-D49</f>
        <v>41.01436007848239</v>
      </c>
      <c r="L8" s="102"/>
      <c r="M8" s="56"/>
    </row>
    <row r="9" spans="1:13" x14ac:dyDescent="0.3">
      <c r="A9" s="20" t="s">
        <v>201</v>
      </c>
      <c r="B9" s="21"/>
      <c r="C9" s="21"/>
      <c r="D9" s="31"/>
      <c r="E9" s="31"/>
      <c r="F9" s="32"/>
      <c r="G9" s="31"/>
      <c r="I9" s="125"/>
      <c r="J9" s="112"/>
      <c r="K9" s="122"/>
      <c r="L9" s="102"/>
      <c r="M9" s="56"/>
    </row>
    <row r="10" spans="1:13" x14ac:dyDescent="0.3">
      <c r="A10" s="20" t="s">
        <v>200</v>
      </c>
      <c r="B10" s="21"/>
      <c r="C10" s="21"/>
      <c r="D10" s="31">
        <v>0.5</v>
      </c>
      <c r="E10" s="31">
        <v>5.5109999999999999E-2</v>
      </c>
      <c r="F10" s="32">
        <v>2.7555E-2</v>
      </c>
      <c r="G10" s="31"/>
      <c r="I10" s="107"/>
      <c r="J10" s="112"/>
      <c r="K10" s="151"/>
      <c r="L10" s="102"/>
      <c r="M10" s="56"/>
    </row>
    <row r="11" spans="1:13" x14ac:dyDescent="0.3">
      <c r="A11" s="20" t="s">
        <v>49</v>
      </c>
      <c r="B11" s="21"/>
      <c r="C11" s="21"/>
      <c r="D11" s="33">
        <v>0.5</v>
      </c>
      <c r="E11" s="152">
        <v>0.10100000000000001</v>
      </c>
      <c r="F11" s="34">
        <f>D11*E11</f>
        <v>5.0500000000000003E-2</v>
      </c>
      <c r="G11" s="31"/>
      <c r="I11" s="107"/>
      <c r="J11" s="112"/>
      <c r="K11" s="122"/>
      <c r="L11" s="102"/>
      <c r="M11" s="56"/>
    </row>
    <row r="12" spans="1:13" ht="15" thickBot="1" x14ac:dyDescent="0.35">
      <c r="A12" s="20"/>
      <c r="B12" s="21"/>
      <c r="C12" s="21"/>
      <c r="D12" s="35">
        <f>D9+D10+D11</f>
        <v>1</v>
      </c>
      <c r="E12" s="31"/>
      <c r="F12" s="36">
        <f>F9+F10+F11</f>
        <v>7.8054999999999999E-2</v>
      </c>
      <c r="G12" s="31"/>
      <c r="I12" s="107"/>
      <c r="J12" s="112"/>
      <c r="K12" s="122"/>
      <c r="L12" s="102"/>
      <c r="M12" s="56"/>
    </row>
    <row r="13" spans="1:13" ht="15" thickTop="1" x14ac:dyDescent="0.3">
      <c r="A13" s="20"/>
      <c r="B13" s="21"/>
      <c r="C13" s="21"/>
      <c r="D13" s="29"/>
      <c r="E13" s="29"/>
      <c r="F13" s="30"/>
      <c r="G13" s="29"/>
      <c r="I13" s="107"/>
      <c r="J13" s="112"/>
      <c r="K13" s="122"/>
      <c r="L13" s="102"/>
      <c r="M13" s="56"/>
    </row>
    <row r="14" spans="1:13" x14ac:dyDescent="0.3">
      <c r="A14" s="20" t="s">
        <v>50</v>
      </c>
      <c r="B14" s="21"/>
      <c r="C14" s="21"/>
      <c r="D14" s="29"/>
      <c r="E14" s="29"/>
      <c r="F14" s="93">
        <v>0</v>
      </c>
      <c r="G14" s="31"/>
      <c r="I14" s="107"/>
      <c r="J14" s="112"/>
      <c r="K14" s="122"/>
      <c r="L14" s="102"/>
      <c r="M14" s="56"/>
    </row>
    <row r="15" spans="1:13" x14ac:dyDescent="0.3">
      <c r="A15" s="20" t="s">
        <v>51</v>
      </c>
      <c r="B15" s="21"/>
      <c r="C15" s="21"/>
      <c r="D15" s="29"/>
      <c r="E15" s="29"/>
      <c r="F15" s="93">
        <v>0.21</v>
      </c>
      <c r="G15" s="31"/>
      <c r="I15" s="107"/>
      <c r="J15" s="112"/>
      <c r="K15" s="122"/>
      <c r="L15" s="102"/>
      <c r="M15" s="56"/>
    </row>
    <row r="16" spans="1:13" x14ac:dyDescent="0.3">
      <c r="A16" s="20" t="s">
        <v>52</v>
      </c>
      <c r="B16" s="21"/>
      <c r="C16" s="21"/>
      <c r="D16" s="29"/>
      <c r="E16" s="29"/>
      <c r="F16" s="94">
        <v>4.3720000000000002E-2</v>
      </c>
      <c r="G16" s="38"/>
      <c r="I16" s="107"/>
      <c r="J16" s="112"/>
      <c r="K16" s="122"/>
      <c r="L16" s="102"/>
      <c r="M16" s="56"/>
    </row>
    <row r="17" spans="1:20" x14ac:dyDescent="0.3">
      <c r="A17" s="20" t="s">
        <v>53</v>
      </c>
      <c r="B17" s="21"/>
      <c r="C17" s="21"/>
      <c r="D17" s="29"/>
      <c r="E17" s="29"/>
      <c r="F17" s="94">
        <v>4.7619047619047616E-2</v>
      </c>
      <c r="G17" s="39"/>
      <c r="I17" s="107"/>
      <c r="J17" s="112"/>
      <c r="K17" s="122"/>
      <c r="L17" s="102"/>
      <c r="M17" s="56"/>
    </row>
    <row r="18" spans="1:20" x14ac:dyDescent="0.3">
      <c r="A18" s="20" t="s">
        <v>54</v>
      </c>
      <c r="B18" s="21"/>
      <c r="C18" s="21"/>
      <c r="D18" s="29"/>
      <c r="E18" s="29"/>
      <c r="F18" s="94">
        <v>0</v>
      </c>
      <c r="G18" s="39"/>
      <c r="H18" s="39"/>
      <c r="I18" s="107"/>
      <c r="J18" s="112"/>
      <c r="K18" s="122"/>
      <c r="L18" s="103"/>
      <c r="M18" s="56"/>
    </row>
    <row r="19" spans="1:20" x14ac:dyDescent="0.3">
      <c r="A19" s="20" t="s">
        <v>55</v>
      </c>
      <c r="B19" s="21"/>
      <c r="C19" s="21"/>
      <c r="D19" s="29"/>
      <c r="E19" s="29"/>
      <c r="F19" s="40">
        <v>0</v>
      </c>
      <c r="G19" s="39"/>
      <c r="H19" s="39"/>
      <c r="I19" s="97"/>
      <c r="J19" s="104"/>
      <c r="K19" s="103"/>
      <c r="L19" s="105"/>
    </row>
    <row r="20" spans="1:20" x14ac:dyDescent="0.3">
      <c r="A20" s="20" t="s">
        <v>56</v>
      </c>
      <c r="B20" s="21"/>
      <c r="C20" s="21"/>
      <c r="D20" s="29"/>
      <c r="E20" s="29"/>
      <c r="F20" s="37">
        <v>0.01</v>
      </c>
      <c r="G20" s="39"/>
      <c r="H20" s="39"/>
      <c r="I20" s="97"/>
      <c r="J20" s="104"/>
      <c r="K20" s="103"/>
      <c r="L20" s="105"/>
    </row>
    <row r="21" spans="1:20" x14ac:dyDescent="0.3">
      <c r="A21" s="20" t="s">
        <v>57</v>
      </c>
      <c r="B21" s="21"/>
      <c r="C21" s="21"/>
      <c r="D21" s="29"/>
      <c r="E21" s="29"/>
      <c r="F21" s="41">
        <v>2</v>
      </c>
      <c r="G21" s="39"/>
      <c r="H21" s="39"/>
      <c r="I21" s="39"/>
      <c r="J21" s="39"/>
      <c r="K21" s="39"/>
      <c r="L21" s="39"/>
      <c r="M21" s="39"/>
      <c r="N21" s="39"/>
    </row>
    <row r="22" spans="1:20" x14ac:dyDescent="0.3">
      <c r="A22" s="20"/>
      <c r="B22" s="21"/>
      <c r="C22" s="21"/>
      <c r="D22" s="29"/>
      <c r="E22" s="29"/>
      <c r="F22" s="41"/>
      <c r="G22" s="39"/>
      <c r="H22" s="39"/>
      <c r="I22" s="39"/>
      <c r="J22" s="60"/>
      <c r="K22" s="76"/>
      <c r="L22" s="76"/>
      <c r="M22" s="76"/>
      <c r="N22" s="76"/>
      <c r="O22" s="76"/>
      <c r="P22" s="76"/>
    </row>
    <row r="23" spans="1:20" ht="15" thickBot="1" x14ac:dyDescent="0.35">
      <c r="A23" s="42" t="s">
        <v>58</v>
      </c>
      <c r="B23" s="43"/>
      <c r="C23" s="43"/>
      <c r="D23" s="43"/>
      <c r="E23" s="114"/>
      <c r="F23" s="115">
        <f>J8</f>
        <v>4096.75</v>
      </c>
      <c r="J23" s="44"/>
    </row>
    <row r="25" spans="1:20" x14ac:dyDescent="0.3">
      <c r="B25" s="12"/>
      <c r="C25" s="12"/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</row>
    <row r="26" spans="1:20" x14ac:dyDescent="0.3">
      <c r="E26" s="47" t="s">
        <v>59</v>
      </c>
      <c r="F26" s="48" t="s">
        <v>60</v>
      </c>
      <c r="G26" s="48" t="s">
        <v>61</v>
      </c>
      <c r="H26" s="48" t="s">
        <v>62</v>
      </c>
      <c r="I26" s="48" t="s">
        <v>63</v>
      </c>
      <c r="J26" s="48" t="s">
        <v>64</v>
      </c>
      <c r="K26" s="48" t="s">
        <v>65</v>
      </c>
      <c r="L26" s="48" t="s">
        <v>66</v>
      </c>
      <c r="M26" s="48" t="s">
        <v>67</v>
      </c>
      <c r="N26" s="48" t="s">
        <v>68</v>
      </c>
      <c r="O26" s="48" t="s">
        <v>69</v>
      </c>
      <c r="P26" s="48" t="s">
        <v>70</v>
      </c>
      <c r="Q26" s="48" t="s">
        <v>71</v>
      </c>
      <c r="R26" s="48" t="s">
        <v>72</v>
      </c>
      <c r="S26" s="48" t="s">
        <v>73</v>
      </c>
    </row>
    <row r="27" spans="1:20" x14ac:dyDescent="0.3">
      <c r="D27" s="11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1:20" x14ac:dyDescent="0.3">
      <c r="A28" s="84">
        <v>1</v>
      </c>
      <c r="B28" s="10" t="s">
        <v>80</v>
      </c>
      <c r="D28" s="11"/>
      <c r="E28" s="50">
        <f t="shared" ref="E28:S28" si="1">$F23*$F17</f>
        <v>195.08333333333331</v>
      </c>
      <c r="F28" s="50">
        <f>$F23*$F17</f>
        <v>195.08333333333331</v>
      </c>
      <c r="G28" s="50">
        <f t="shared" si="1"/>
        <v>195.08333333333331</v>
      </c>
      <c r="H28" s="50">
        <f t="shared" si="1"/>
        <v>195.08333333333331</v>
      </c>
      <c r="I28" s="50">
        <f t="shared" si="1"/>
        <v>195.08333333333331</v>
      </c>
      <c r="J28" s="50">
        <f t="shared" si="1"/>
        <v>195.08333333333331</v>
      </c>
      <c r="K28" s="50">
        <f t="shared" si="1"/>
        <v>195.08333333333331</v>
      </c>
      <c r="L28" s="50">
        <f t="shared" si="1"/>
        <v>195.08333333333331</v>
      </c>
      <c r="M28" s="50">
        <f t="shared" si="1"/>
        <v>195.08333333333331</v>
      </c>
      <c r="N28" s="50">
        <f t="shared" si="1"/>
        <v>195.08333333333331</v>
      </c>
      <c r="O28" s="50">
        <f t="shared" si="1"/>
        <v>195.08333333333331</v>
      </c>
      <c r="P28" s="50">
        <f t="shared" si="1"/>
        <v>195.08333333333331</v>
      </c>
      <c r="Q28" s="50">
        <f t="shared" si="1"/>
        <v>195.08333333333331</v>
      </c>
      <c r="R28" s="50">
        <f t="shared" si="1"/>
        <v>195.08333333333331</v>
      </c>
      <c r="S28" s="50">
        <f t="shared" si="1"/>
        <v>195.08333333333331</v>
      </c>
      <c r="T28" s="61">
        <f>SUM(E28:S28)</f>
        <v>2926.25</v>
      </c>
    </row>
    <row r="29" spans="1:20" x14ac:dyDescent="0.3">
      <c r="A29" s="84">
        <f>+A28+1</f>
        <v>2</v>
      </c>
      <c r="B29" s="10" t="s">
        <v>81</v>
      </c>
      <c r="D29" s="11"/>
      <c r="E29" s="50">
        <f>+F19</f>
        <v>0</v>
      </c>
      <c r="F29" s="50">
        <f>+E29*(1+$F$20)</f>
        <v>0</v>
      </c>
      <c r="G29" s="50">
        <f t="shared" ref="G29:S29" si="2">+F29*(1+$F$20)</f>
        <v>0</v>
      </c>
      <c r="H29" s="50">
        <f t="shared" si="2"/>
        <v>0</v>
      </c>
      <c r="I29" s="50">
        <f t="shared" si="2"/>
        <v>0</v>
      </c>
      <c r="J29" s="50">
        <f t="shared" si="2"/>
        <v>0</v>
      </c>
      <c r="K29" s="50">
        <f t="shared" si="2"/>
        <v>0</v>
      </c>
      <c r="L29" s="50">
        <f t="shared" si="2"/>
        <v>0</v>
      </c>
      <c r="M29" s="50">
        <f t="shared" si="2"/>
        <v>0</v>
      </c>
      <c r="N29" s="50">
        <f t="shared" si="2"/>
        <v>0</v>
      </c>
      <c r="O29" s="50">
        <f t="shared" si="2"/>
        <v>0</v>
      </c>
      <c r="P29" s="50">
        <f t="shared" si="2"/>
        <v>0</v>
      </c>
      <c r="Q29" s="50">
        <f t="shared" si="2"/>
        <v>0</v>
      </c>
      <c r="R29" s="50">
        <f t="shared" si="2"/>
        <v>0</v>
      </c>
      <c r="S29" s="50">
        <f t="shared" si="2"/>
        <v>0</v>
      </c>
    </row>
    <row r="30" spans="1:20" x14ac:dyDescent="0.3">
      <c r="A30" s="84">
        <f>+A29+1</f>
        <v>3</v>
      </c>
      <c r="B30" s="10" t="s">
        <v>82</v>
      </c>
      <c r="D30" s="11"/>
      <c r="E30" s="50">
        <f>E76*$F18</f>
        <v>0</v>
      </c>
      <c r="F30" s="50">
        <f t="shared" ref="F30:S30" si="3">F76*$F18</f>
        <v>0</v>
      </c>
      <c r="G30" s="50">
        <f t="shared" si="3"/>
        <v>0</v>
      </c>
      <c r="H30" s="50">
        <f t="shared" si="3"/>
        <v>0</v>
      </c>
      <c r="I30" s="50">
        <f t="shared" si="3"/>
        <v>0</v>
      </c>
      <c r="J30" s="50">
        <f t="shared" si="3"/>
        <v>0</v>
      </c>
      <c r="K30" s="50">
        <f t="shared" si="3"/>
        <v>0</v>
      </c>
      <c r="L30" s="50">
        <f t="shared" si="3"/>
        <v>0</v>
      </c>
      <c r="M30" s="50">
        <f t="shared" si="3"/>
        <v>0</v>
      </c>
      <c r="N30" s="50">
        <f t="shared" si="3"/>
        <v>0</v>
      </c>
      <c r="O30" s="50">
        <f t="shared" si="3"/>
        <v>0</v>
      </c>
      <c r="P30" s="50">
        <f t="shared" si="3"/>
        <v>0</v>
      </c>
      <c r="Q30" s="50">
        <f t="shared" si="3"/>
        <v>0</v>
      </c>
      <c r="R30" s="50">
        <f t="shared" si="3"/>
        <v>0</v>
      </c>
      <c r="S30" s="50">
        <f t="shared" si="3"/>
        <v>0</v>
      </c>
    </row>
    <row r="31" spans="1:20" x14ac:dyDescent="0.3">
      <c r="D31" s="11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20" x14ac:dyDescent="0.3">
      <c r="B32" s="10" t="s">
        <v>83</v>
      </c>
      <c r="D32" s="11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1:19" x14ac:dyDescent="0.3">
      <c r="A33" s="84">
        <f>+A30+1</f>
        <v>4</v>
      </c>
      <c r="C33" s="10" t="s">
        <v>84</v>
      </c>
      <c r="D33" s="11"/>
      <c r="E33" s="50">
        <f>E61</f>
        <v>0</v>
      </c>
      <c r="F33" s="50">
        <f>F61</f>
        <v>0</v>
      </c>
      <c r="G33" s="50">
        <f>G61</f>
        <v>0</v>
      </c>
      <c r="H33" s="50">
        <f t="shared" ref="H33:S33" si="4">H61</f>
        <v>0</v>
      </c>
      <c r="I33" s="50">
        <f t="shared" si="4"/>
        <v>0</v>
      </c>
      <c r="J33" s="50">
        <f t="shared" si="4"/>
        <v>0</v>
      </c>
      <c r="K33" s="50">
        <f t="shared" si="4"/>
        <v>0</v>
      </c>
      <c r="L33" s="50">
        <f t="shared" si="4"/>
        <v>0</v>
      </c>
      <c r="M33" s="50">
        <f t="shared" si="4"/>
        <v>0</v>
      </c>
      <c r="N33" s="50">
        <f t="shared" si="4"/>
        <v>0</v>
      </c>
      <c r="O33" s="50">
        <f t="shared" si="4"/>
        <v>0</v>
      </c>
      <c r="P33" s="50">
        <f t="shared" si="4"/>
        <v>0</v>
      </c>
      <c r="Q33" s="50">
        <f t="shared" si="4"/>
        <v>0</v>
      </c>
      <c r="R33" s="50">
        <f t="shared" si="4"/>
        <v>0</v>
      </c>
      <c r="S33" s="50">
        <f t="shared" si="4"/>
        <v>0</v>
      </c>
    </row>
    <row r="34" spans="1:19" x14ac:dyDescent="0.3">
      <c r="A34" s="84">
        <f>+A33+1</f>
        <v>5</v>
      </c>
      <c r="C34" s="10" t="s">
        <v>85</v>
      </c>
      <c r="D34" s="11"/>
      <c r="E34" s="51">
        <f>E63</f>
        <v>82.95751308308148</v>
      </c>
      <c r="F34" s="51">
        <f>F63</f>
        <v>78.465629737047848</v>
      </c>
      <c r="G34" s="51">
        <f>G63</f>
        <v>73.65689906521807</v>
      </c>
      <c r="H34" s="51">
        <f t="shared" ref="H34:S34" si="5">H63</f>
        <v>69.008823375482123</v>
      </c>
      <c r="I34" s="51">
        <f t="shared" si="5"/>
        <v>64.505337169630621</v>
      </c>
      <c r="J34" s="51">
        <f t="shared" si="5"/>
        <v>60.133052532489074</v>
      </c>
      <c r="K34" s="51">
        <f t="shared" si="5"/>
        <v>55.852698246212327</v>
      </c>
      <c r="L34" s="51">
        <f t="shared" si="5"/>
        <v>51.601797373319457</v>
      </c>
      <c r="M34" s="51">
        <f t="shared" si="5"/>
        <v>47.35000397274829</v>
      </c>
      <c r="N34" s="51">
        <f t="shared" si="5"/>
        <v>43.098210572177123</v>
      </c>
      <c r="O34" s="51">
        <f t="shared" si="5"/>
        <v>38.846417171605943</v>
      </c>
      <c r="P34" s="51">
        <f t="shared" si="5"/>
        <v>34.594623771034755</v>
      </c>
      <c r="Q34" s="51">
        <f t="shared" si="5"/>
        <v>30.342830370463577</v>
      </c>
      <c r="R34" s="51">
        <f t="shared" si="5"/>
        <v>26.091036969892393</v>
      </c>
      <c r="S34" s="51">
        <f t="shared" si="5"/>
        <v>21.839243569321216</v>
      </c>
    </row>
    <row r="35" spans="1:19" x14ac:dyDescent="0.3">
      <c r="A35" s="84">
        <f>+A34+1</f>
        <v>6</v>
      </c>
      <c r="C35" s="10" t="s">
        <v>86</v>
      </c>
      <c r="D35" s="11"/>
      <c r="E35" s="50">
        <f>E33+E34</f>
        <v>82.95751308308148</v>
      </c>
      <c r="F35" s="50">
        <f>F33+F34</f>
        <v>78.465629737047848</v>
      </c>
      <c r="G35" s="50">
        <f>G33+G34</f>
        <v>73.65689906521807</v>
      </c>
      <c r="H35" s="50">
        <f t="shared" ref="H35:S35" si="6">H33+H34</f>
        <v>69.008823375482123</v>
      </c>
      <c r="I35" s="50">
        <f t="shared" si="6"/>
        <v>64.505337169630621</v>
      </c>
      <c r="J35" s="50">
        <f t="shared" si="6"/>
        <v>60.133052532489074</v>
      </c>
      <c r="K35" s="50">
        <f t="shared" si="6"/>
        <v>55.852698246212327</v>
      </c>
      <c r="L35" s="50">
        <f t="shared" si="6"/>
        <v>51.601797373319457</v>
      </c>
      <c r="M35" s="50">
        <f t="shared" si="6"/>
        <v>47.35000397274829</v>
      </c>
      <c r="N35" s="50">
        <f t="shared" si="6"/>
        <v>43.098210572177123</v>
      </c>
      <c r="O35" s="50">
        <f t="shared" si="6"/>
        <v>38.846417171605943</v>
      </c>
      <c r="P35" s="50">
        <f t="shared" si="6"/>
        <v>34.594623771034755</v>
      </c>
      <c r="Q35" s="50">
        <f t="shared" si="6"/>
        <v>30.342830370463577</v>
      </c>
      <c r="R35" s="50">
        <f t="shared" si="6"/>
        <v>26.091036969892393</v>
      </c>
      <c r="S35" s="50">
        <f t="shared" si="6"/>
        <v>21.839243569321216</v>
      </c>
    </row>
    <row r="36" spans="1:19" x14ac:dyDescent="0.3">
      <c r="D36" s="11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x14ac:dyDescent="0.3">
      <c r="B37" s="10" t="s">
        <v>87</v>
      </c>
      <c r="D37" s="11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x14ac:dyDescent="0.3">
      <c r="A38" s="84">
        <f>+A35+1</f>
        <v>7</v>
      </c>
      <c r="C38" s="10" t="s">
        <v>47</v>
      </c>
      <c r="D38" s="11"/>
      <c r="E38" s="50">
        <f t="shared" ref="E38:S38" si="7">E57*$F9</f>
        <v>0</v>
      </c>
      <c r="F38" s="50">
        <f t="shared" si="7"/>
        <v>0</v>
      </c>
      <c r="G38" s="50">
        <f t="shared" si="7"/>
        <v>0</v>
      </c>
      <c r="H38" s="50">
        <f t="shared" si="7"/>
        <v>0</v>
      </c>
      <c r="I38" s="50">
        <f t="shared" si="7"/>
        <v>0</v>
      </c>
      <c r="J38" s="50">
        <f t="shared" si="7"/>
        <v>0</v>
      </c>
      <c r="K38" s="50">
        <f t="shared" si="7"/>
        <v>0</v>
      </c>
      <c r="L38" s="50">
        <f t="shared" si="7"/>
        <v>0</v>
      </c>
      <c r="M38" s="50">
        <f t="shared" si="7"/>
        <v>0</v>
      </c>
      <c r="N38" s="50">
        <f t="shared" si="7"/>
        <v>0</v>
      </c>
      <c r="O38" s="50">
        <f t="shared" si="7"/>
        <v>0</v>
      </c>
      <c r="P38" s="50">
        <f t="shared" si="7"/>
        <v>0</v>
      </c>
      <c r="Q38" s="50">
        <f t="shared" si="7"/>
        <v>0</v>
      </c>
      <c r="R38" s="50">
        <f t="shared" si="7"/>
        <v>0</v>
      </c>
      <c r="S38" s="50">
        <f t="shared" si="7"/>
        <v>0</v>
      </c>
    </row>
    <row r="39" spans="1:19" x14ac:dyDescent="0.3">
      <c r="A39" s="84">
        <f>+A38+1</f>
        <v>8</v>
      </c>
      <c r="C39" s="10" t="s">
        <v>48</v>
      </c>
      <c r="D39" s="11"/>
      <c r="E39" s="50">
        <f t="shared" ref="E39:S39" si="8">E57*$F10</f>
        <v>110.16996413843749</v>
      </c>
      <c r="F39" s="50">
        <f t="shared" si="8"/>
        <v>104.20461381928125</v>
      </c>
      <c r="G39" s="50">
        <f t="shared" si="8"/>
        <v>97.818481135478123</v>
      </c>
      <c r="H39" s="50">
        <f t="shared" si="8"/>
        <v>91.645702890087506</v>
      </c>
      <c r="I39" s="50">
        <f t="shared" si="8"/>
        <v>85.664943639268145</v>
      </c>
      <c r="J39" s="50">
        <f t="shared" si="8"/>
        <v>79.85842384648565</v>
      </c>
      <c r="K39" s="50">
        <f t="shared" si="8"/>
        <v>74.173990204572519</v>
      </c>
      <c r="L39" s="50">
        <f t="shared" si="8"/>
        <v>68.528671543035045</v>
      </c>
      <c r="M39" s="50">
        <f t="shared" si="8"/>
        <v>62.882167579061928</v>
      </c>
      <c r="N39" s="50">
        <f t="shared" si="8"/>
        <v>57.235663615088818</v>
      </c>
      <c r="O39" s="50">
        <f t="shared" si="8"/>
        <v>51.589159651115693</v>
      </c>
      <c r="P39" s="50">
        <f t="shared" si="8"/>
        <v>45.942655687142562</v>
      </c>
      <c r="Q39" s="50">
        <f t="shared" si="8"/>
        <v>40.29615172316943</v>
      </c>
      <c r="R39" s="50">
        <f t="shared" si="8"/>
        <v>34.649647759196299</v>
      </c>
      <c r="S39" s="50">
        <f t="shared" si="8"/>
        <v>29.003143795223171</v>
      </c>
    </row>
    <row r="40" spans="1:19" x14ac:dyDescent="0.3">
      <c r="A40" s="84">
        <f>+A39+1</f>
        <v>9</v>
      </c>
      <c r="C40" s="10" t="s">
        <v>49</v>
      </c>
      <c r="D40" s="11"/>
      <c r="E40" s="51">
        <f t="shared" ref="E40:S40" si="9">E57*$F11</f>
        <v>201.90829936458334</v>
      </c>
      <c r="F40" s="51">
        <f t="shared" si="9"/>
        <v>190.975612334375</v>
      </c>
      <c r="G40" s="51">
        <f t="shared" si="9"/>
        <v>179.27175820510416</v>
      </c>
      <c r="H40" s="51">
        <f t="shared" si="9"/>
        <v>167.95891837958337</v>
      </c>
      <c r="I40" s="51">
        <f t="shared" si="9"/>
        <v>156.99799142743754</v>
      </c>
      <c r="J40" s="51">
        <f t="shared" si="9"/>
        <v>146.35639282335421</v>
      </c>
      <c r="K40" s="51">
        <f t="shared" si="9"/>
        <v>135.9385412930834</v>
      </c>
      <c r="L40" s="51">
        <f t="shared" si="9"/>
        <v>125.59237571850008</v>
      </c>
      <c r="M40" s="51">
        <f t="shared" si="9"/>
        <v>115.24403784222928</v>
      </c>
      <c r="N40" s="51">
        <f t="shared" si="9"/>
        <v>104.89569996595847</v>
      </c>
      <c r="O40" s="51">
        <f t="shared" si="9"/>
        <v>94.547362089687624</v>
      </c>
      <c r="P40" s="51">
        <f t="shared" si="9"/>
        <v>84.199024213416777</v>
      </c>
      <c r="Q40" s="51">
        <f t="shared" si="9"/>
        <v>73.850686337145945</v>
      </c>
      <c r="R40" s="51">
        <f t="shared" si="9"/>
        <v>63.502348460875098</v>
      </c>
      <c r="S40" s="51">
        <f t="shared" si="9"/>
        <v>53.154010584604258</v>
      </c>
    </row>
    <row r="41" spans="1:19" x14ac:dyDescent="0.3">
      <c r="A41" s="84">
        <f>+A40+1</f>
        <v>10</v>
      </c>
      <c r="C41" s="10" t="s">
        <v>88</v>
      </c>
      <c r="D41" s="11"/>
      <c r="E41" s="50">
        <f>E38+E39+E40</f>
        <v>312.07826350302082</v>
      </c>
      <c r="F41" s="50">
        <f>F38+F39+F40</f>
        <v>295.18022615365624</v>
      </c>
      <c r="G41" s="50">
        <f>G38+G39+G40</f>
        <v>277.09023934058229</v>
      </c>
      <c r="H41" s="50">
        <f t="shared" ref="H41:S41" si="10">H38+H39+H40</f>
        <v>259.60462126967087</v>
      </c>
      <c r="I41" s="50">
        <f t="shared" si="10"/>
        <v>242.6629350667057</v>
      </c>
      <c r="J41" s="50">
        <f t="shared" si="10"/>
        <v>226.21481666983988</v>
      </c>
      <c r="K41" s="50">
        <f t="shared" si="10"/>
        <v>210.11253149765594</v>
      </c>
      <c r="L41" s="50">
        <f t="shared" si="10"/>
        <v>194.12104726153513</v>
      </c>
      <c r="M41" s="50">
        <f t="shared" si="10"/>
        <v>178.12620542129122</v>
      </c>
      <c r="N41" s="50">
        <f t="shared" si="10"/>
        <v>162.13136358104728</v>
      </c>
      <c r="O41" s="50">
        <f t="shared" si="10"/>
        <v>146.13652174080332</v>
      </c>
      <c r="P41" s="50">
        <f t="shared" si="10"/>
        <v>130.14167990055932</v>
      </c>
      <c r="Q41" s="50">
        <f t="shared" si="10"/>
        <v>114.14683806031537</v>
      </c>
      <c r="R41" s="50">
        <f t="shared" si="10"/>
        <v>98.151996220071396</v>
      </c>
      <c r="S41" s="50">
        <f t="shared" si="10"/>
        <v>82.157154379827432</v>
      </c>
    </row>
    <row r="42" spans="1:19" x14ac:dyDescent="0.3">
      <c r="D42" s="11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x14ac:dyDescent="0.3">
      <c r="A43" s="84">
        <f>+A41+1</f>
        <v>11</v>
      </c>
      <c r="B43" s="10" t="s">
        <v>89</v>
      </c>
      <c r="D43" s="11"/>
      <c r="E43" s="52">
        <f>E28+E30+E35+E41+E29</f>
        <v>590.11910991943569</v>
      </c>
      <c r="F43" s="52">
        <f t="shared" ref="F43:S43" si="11">F28+F30+F35+F41+F29</f>
        <v>568.72918922403733</v>
      </c>
      <c r="G43" s="52">
        <f t="shared" si="11"/>
        <v>545.8304717391336</v>
      </c>
      <c r="H43" s="52">
        <f t="shared" si="11"/>
        <v>523.69677797848635</v>
      </c>
      <c r="I43" s="52">
        <f t="shared" si="11"/>
        <v>502.25160556966966</v>
      </c>
      <c r="J43" s="52">
        <f t="shared" si="11"/>
        <v>481.43120253566224</v>
      </c>
      <c r="K43" s="52">
        <f t="shared" si="11"/>
        <v>461.04856307720161</v>
      </c>
      <c r="L43" s="52">
        <f t="shared" si="11"/>
        <v>440.80617796818791</v>
      </c>
      <c r="M43" s="52">
        <f t="shared" si="11"/>
        <v>420.55954272737279</v>
      </c>
      <c r="N43" s="52">
        <f t="shared" si="11"/>
        <v>400.31290748655772</v>
      </c>
      <c r="O43" s="52">
        <f t="shared" si="11"/>
        <v>380.06627224574254</v>
      </c>
      <c r="P43" s="52">
        <f t="shared" si="11"/>
        <v>359.81963700492736</v>
      </c>
      <c r="Q43" s="52">
        <f t="shared" si="11"/>
        <v>339.57300176411229</v>
      </c>
      <c r="R43" s="52">
        <f t="shared" si="11"/>
        <v>319.32636652329711</v>
      </c>
      <c r="S43" s="52">
        <f t="shared" si="11"/>
        <v>299.07973128248193</v>
      </c>
    </row>
    <row r="44" spans="1:19" x14ac:dyDescent="0.3">
      <c r="A44" s="84">
        <f>+A43+1</f>
        <v>12</v>
      </c>
      <c r="B44" s="10" t="s">
        <v>90</v>
      </c>
      <c r="D44" s="11"/>
      <c r="E44" s="51">
        <f t="shared" ref="E44:S44" si="12">E43/(1-$F16)-E43</f>
        <v>26.979553567655671</v>
      </c>
      <c r="F44" s="51">
        <f t="shared" si="12"/>
        <v>26.001631481234426</v>
      </c>
      <c r="G44" s="51">
        <f t="shared" si="12"/>
        <v>24.954728975232001</v>
      </c>
      <c r="H44" s="51">
        <f t="shared" si="12"/>
        <v>23.942802456622985</v>
      </c>
      <c r="I44" s="51">
        <f t="shared" si="12"/>
        <v>22.962354326667878</v>
      </c>
      <c r="J44" s="51">
        <f t="shared" si="12"/>
        <v>22.010469919750619</v>
      </c>
      <c r="K44" s="51">
        <f t="shared" si="12"/>
        <v>21.078599550064041</v>
      </c>
      <c r="L44" s="51">
        <f t="shared" si="12"/>
        <v>20.15314144473291</v>
      </c>
      <c r="M44" s="51">
        <f t="shared" si="12"/>
        <v>19.227489028360651</v>
      </c>
      <c r="N44" s="51">
        <f t="shared" si="12"/>
        <v>18.301836611988449</v>
      </c>
      <c r="O44" s="51">
        <f t="shared" si="12"/>
        <v>17.37618419561619</v>
      </c>
      <c r="P44" s="51">
        <f t="shared" si="12"/>
        <v>16.450531779243988</v>
      </c>
      <c r="Q44" s="51">
        <f t="shared" si="12"/>
        <v>15.524879362871729</v>
      </c>
      <c r="R44" s="51">
        <f t="shared" si="12"/>
        <v>14.599226946499527</v>
      </c>
      <c r="S44" s="51">
        <f t="shared" si="12"/>
        <v>13.673574530127269</v>
      </c>
    </row>
    <row r="45" spans="1:19" x14ac:dyDescent="0.3">
      <c r="D45" s="1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5" thickBot="1" x14ac:dyDescent="0.35">
      <c r="A46" s="84">
        <f>+A44+1</f>
        <v>13</v>
      </c>
      <c r="B46" s="10" t="s">
        <v>91</v>
      </c>
      <c r="E46" s="53">
        <f>E43+E44</f>
        <v>617.09866348709136</v>
      </c>
      <c r="F46" s="53">
        <f>F43+F44</f>
        <v>594.73082070527175</v>
      </c>
      <c r="G46" s="53">
        <f>G43+G44</f>
        <v>570.7852007143656</v>
      </c>
      <c r="H46" s="53">
        <f t="shared" ref="H46:S46" si="13">H43+H44</f>
        <v>547.63958043510934</v>
      </c>
      <c r="I46" s="53">
        <f t="shared" si="13"/>
        <v>525.21395989633754</v>
      </c>
      <c r="J46" s="53">
        <f t="shared" si="13"/>
        <v>503.44167245541286</v>
      </c>
      <c r="K46" s="53">
        <f t="shared" si="13"/>
        <v>482.12716262726565</v>
      </c>
      <c r="L46" s="53">
        <f t="shared" si="13"/>
        <v>460.95931941292082</v>
      </c>
      <c r="M46" s="53">
        <f t="shared" si="13"/>
        <v>439.78703175573344</v>
      </c>
      <c r="N46" s="53">
        <f t="shared" si="13"/>
        <v>418.61474409854617</v>
      </c>
      <c r="O46" s="53">
        <f t="shared" si="13"/>
        <v>397.44245644135873</v>
      </c>
      <c r="P46" s="53">
        <f t="shared" si="13"/>
        <v>376.27016878417135</v>
      </c>
      <c r="Q46" s="53">
        <f t="shared" si="13"/>
        <v>355.09788112698402</v>
      </c>
      <c r="R46" s="53">
        <f t="shared" si="13"/>
        <v>333.92559346979664</v>
      </c>
      <c r="S46" s="53">
        <f t="shared" si="13"/>
        <v>312.7533058126092</v>
      </c>
    </row>
    <row r="47" spans="1:19" ht="15" thickTop="1" x14ac:dyDescent="0.3">
      <c r="A47" s="84"/>
      <c r="C47" s="10" t="s">
        <v>92</v>
      </c>
      <c r="D47" s="54">
        <f>NPV(F12,E46:S46)</f>
        <v>4263.2346420508766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</row>
    <row r="48" spans="1:19" x14ac:dyDescent="0.3">
      <c r="A48" s="84"/>
      <c r="C48" s="10" t="s">
        <v>93</v>
      </c>
      <c r="D48" s="54">
        <f>PMT(F12,15,D47)</f>
        <v>-492.17232094178871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</row>
    <row r="49" spans="1:19" x14ac:dyDescent="0.3">
      <c r="A49" s="84"/>
      <c r="C49" s="10" t="s">
        <v>94</v>
      </c>
      <c r="D49" s="56">
        <f>D48/12</f>
        <v>-41.01436007848239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</row>
    <row r="50" spans="1:19" x14ac:dyDescent="0.3">
      <c r="A50" s="84"/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</row>
    <row r="51" spans="1:19" x14ac:dyDescent="0.3"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x14ac:dyDescent="0.3"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x14ac:dyDescent="0.3">
      <c r="A53" s="84">
        <f>+A46+1</f>
        <v>14</v>
      </c>
      <c r="B53" s="10" t="s">
        <v>95</v>
      </c>
      <c r="C53" s="12"/>
      <c r="E53" s="45">
        <f>+E46/$F$23</f>
        <v>0.15063127198073872</v>
      </c>
      <c r="F53" s="45">
        <f t="shared" ref="F53:S53" si="14">+F46/$F$23</f>
        <v>0.14517137260151872</v>
      </c>
      <c r="G53" s="45">
        <f t="shared" si="14"/>
        <v>0.13932634422758663</v>
      </c>
      <c r="H53" s="45">
        <f t="shared" si="14"/>
        <v>0.13367659252702979</v>
      </c>
      <c r="I53" s="45">
        <f t="shared" si="14"/>
        <v>0.12820258983251054</v>
      </c>
      <c r="J53" s="45">
        <f t="shared" si="14"/>
        <v>0.12288806308791429</v>
      </c>
      <c r="K53" s="45">
        <f t="shared" si="14"/>
        <v>0.11768527799530497</v>
      </c>
      <c r="L53" s="45">
        <f t="shared" si="14"/>
        <v>0.11251829362614775</v>
      </c>
      <c r="M53" s="45">
        <f t="shared" si="14"/>
        <v>0.10735022438658288</v>
      </c>
      <c r="N53" s="45">
        <f t="shared" si="14"/>
        <v>0.10218215514701805</v>
      </c>
      <c r="O53" s="45">
        <f t="shared" si="14"/>
        <v>9.7014085907453154E-2</v>
      </c>
      <c r="P53" s="45">
        <f t="shared" si="14"/>
        <v>9.1846016667888289E-2</v>
      </c>
      <c r="Q53" s="45">
        <f t="shared" si="14"/>
        <v>8.6677947428323437E-2</v>
      </c>
      <c r="R53" s="45">
        <f t="shared" si="14"/>
        <v>8.1509878188758558E-2</v>
      </c>
      <c r="S53" s="45">
        <f t="shared" si="14"/>
        <v>7.6341808949193679E-2</v>
      </c>
    </row>
    <row r="54" spans="1:19" x14ac:dyDescent="0.3">
      <c r="A54" s="84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x14ac:dyDescent="0.3"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x14ac:dyDescent="0.3"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x14ac:dyDescent="0.3">
      <c r="A57" s="58" t="s">
        <v>96</v>
      </c>
      <c r="D57" s="11"/>
      <c r="E57" s="59">
        <f>F23-E28/2-E70/2</f>
        <v>3998.1841458333333</v>
      </c>
      <c r="F57" s="59">
        <f t="shared" ref="F57:S57" si="15">+E57-E28/2-F28/2-E70/2-F70/2</f>
        <v>3781.69529375</v>
      </c>
      <c r="G57" s="59">
        <f t="shared" si="15"/>
        <v>3549.9358060416666</v>
      </c>
      <c r="H57" s="59">
        <f t="shared" si="15"/>
        <v>3325.9191758333336</v>
      </c>
      <c r="I57" s="59">
        <f t="shared" si="15"/>
        <v>3108.8711173750007</v>
      </c>
      <c r="J57" s="59">
        <f t="shared" si="15"/>
        <v>2898.1463925416674</v>
      </c>
      <c r="K57" s="59">
        <f t="shared" si="15"/>
        <v>2691.8523028333343</v>
      </c>
      <c r="L57" s="59">
        <f t="shared" si="15"/>
        <v>2486.9777370000015</v>
      </c>
      <c r="M57" s="59">
        <f t="shared" si="15"/>
        <v>2282.0601552916687</v>
      </c>
      <c r="N57" s="59">
        <f t="shared" si="15"/>
        <v>2077.1425735833359</v>
      </c>
      <c r="O57" s="59">
        <f t="shared" si="15"/>
        <v>1872.2249918750024</v>
      </c>
      <c r="P57" s="59">
        <f t="shared" si="15"/>
        <v>1667.3074101666689</v>
      </c>
      <c r="Q57" s="59">
        <f t="shared" si="15"/>
        <v>1462.3898284583354</v>
      </c>
      <c r="R57" s="59">
        <f t="shared" si="15"/>
        <v>1257.4722467500019</v>
      </c>
      <c r="S57" s="59">
        <f t="shared" si="15"/>
        <v>1052.5546650416684</v>
      </c>
    </row>
    <row r="58" spans="1:19" x14ac:dyDescent="0.3">
      <c r="D58" s="11"/>
      <c r="E58" s="60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x14ac:dyDescent="0.3">
      <c r="A59" s="10" t="s">
        <v>97</v>
      </c>
      <c r="D59" s="11"/>
      <c r="E59" s="60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x14ac:dyDescent="0.3">
      <c r="B60" s="10" t="s">
        <v>98</v>
      </c>
      <c r="D60" s="11"/>
      <c r="E60" s="50">
        <f t="shared" ref="E60:S60" si="16">(E40+E39)/$E$86</f>
        <v>395.03577658610232</v>
      </c>
      <c r="F60" s="50">
        <f t="shared" si="16"/>
        <v>373.64585589070407</v>
      </c>
      <c r="G60" s="50">
        <f t="shared" si="16"/>
        <v>350.74713840580034</v>
      </c>
      <c r="H60" s="50">
        <f t="shared" si="16"/>
        <v>328.61344464515298</v>
      </c>
      <c r="I60" s="50">
        <f t="shared" si="16"/>
        <v>307.16827223633629</v>
      </c>
      <c r="J60" s="50">
        <f t="shared" si="16"/>
        <v>286.34786920232892</v>
      </c>
      <c r="K60" s="50">
        <f t="shared" si="16"/>
        <v>265.96522974386824</v>
      </c>
      <c r="L60" s="50">
        <f t="shared" si="16"/>
        <v>245.72284463485457</v>
      </c>
      <c r="M60" s="50">
        <f t="shared" si="16"/>
        <v>225.4762093940395</v>
      </c>
      <c r="N60" s="50">
        <f t="shared" si="16"/>
        <v>205.22957415322441</v>
      </c>
      <c r="O60" s="50">
        <f t="shared" si="16"/>
        <v>184.98293891240925</v>
      </c>
      <c r="P60" s="50">
        <f t="shared" si="16"/>
        <v>164.73630367159407</v>
      </c>
      <c r="Q60" s="50">
        <f t="shared" si="16"/>
        <v>144.48966843077895</v>
      </c>
      <c r="R60" s="50">
        <f t="shared" si="16"/>
        <v>124.24303318996378</v>
      </c>
      <c r="S60" s="50">
        <f t="shared" si="16"/>
        <v>103.99639794914864</v>
      </c>
    </row>
    <row r="61" spans="1:19" x14ac:dyDescent="0.3">
      <c r="B61" s="10" t="s">
        <v>99</v>
      </c>
      <c r="D61" s="11"/>
      <c r="E61" s="51">
        <f t="shared" ref="E61:S61" si="17">E60*$F14</f>
        <v>0</v>
      </c>
      <c r="F61" s="51">
        <f t="shared" si="17"/>
        <v>0</v>
      </c>
      <c r="G61" s="51">
        <f t="shared" si="17"/>
        <v>0</v>
      </c>
      <c r="H61" s="51">
        <f t="shared" si="17"/>
        <v>0</v>
      </c>
      <c r="I61" s="51">
        <f t="shared" si="17"/>
        <v>0</v>
      </c>
      <c r="J61" s="51">
        <f t="shared" si="17"/>
        <v>0</v>
      </c>
      <c r="K61" s="51">
        <f t="shared" si="17"/>
        <v>0</v>
      </c>
      <c r="L61" s="51">
        <f t="shared" si="17"/>
        <v>0</v>
      </c>
      <c r="M61" s="51">
        <f t="shared" si="17"/>
        <v>0</v>
      </c>
      <c r="N61" s="51">
        <f t="shared" si="17"/>
        <v>0</v>
      </c>
      <c r="O61" s="51">
        <f t="shared" si="17"/>
        <v>0</v>
      </c>
      <c r="P61" s="51">
        <f t="shared" si="17"/>
        <v>0</v>
      </c>
      <c r="Q61" s="51">
        <f t="shared" si="17"/>
        <v>0</v>
      </c>
      <c r="R61" s="51">
        <f t="shared" si="17"/>
        <v>0</v>
      </c>
      <c r="S61" s="51">
        <f t="shared" si="17"/>
        <v>0</v>
      </c>
    </row>
    <row r="62" spans="1:19" x14ac:dyDescent="0.3">
      <c r="B62" s="10" t="s">
        <v>100</v>
      </c>
      <c r="D62" s="11"/>
      <c r="E62" s="50">
        <f>E60-E61</f>
        <v>395.03577658610232</v>
      </c>
      <c r="F62" s="50">
        <f>F60-F61</f>
        <v>373.64585589070407</v>
      </c>
      <c r="G62" s="50">
        <f>G60-G61</f>
        <v>350.74713840580034</v>
      </c>
      <c r="H62" s="50">
        <f t="shared" ref="H62:S62" si="18">H60-H61</f>
        <v>328.61344464515298</v>
      </c>
      <c r="I62" s="50">
        <f t="shared" si="18"/>
        <v>307.16827223633629</v>
      </c>
      <c r="J62" s="50">
        <f t="shared" si="18"/>
        <v>286.34786920232892</v>
      </c>
      <c r="K62" s="50">
        <f t="shared" si="18"/>
        <v>265.96522974386824</v>
      </c>
      <c r="L62" s="50">
        <f t="shared" si="18"/>
        <v>245.72284463485457</v>
      </c>
      <c r="M62" s="50">
        <f t="shared" si="18"/>
        <v>225.4762093940395</v>
      </c>
      <c r="N62" s="50">
        <f t="shared" si="18"/>
        <v>205.22957415322441</v>
      </c>
      <c r="O62" s="50">
        <f t="shared" si="18"/>
        <v>184.98293891240925</v>
      </c>
      <c r="P62" s="50">
        <f t="shared" si="18"/>
        <v>164.73630367159407</v>
      </c>
      <c r="Q62" s="50">
        <f t="shared" si="18"/>
        <v>144.48966843077895</v>
      </c>
      <c r="R62" s="50">
        <f t="shared" si="18"/>
        <v>124.24303318996378</v>
      </c>
      <c r="S62" s="50">
        <f t="shared" si="18"/>
        <v>103.99639794914864</v>
      </c>
    </row>
    <row r="63" spans="1:19" x14ac:dyDescent="0.3">
      <c r="B63" s="10" t="s">
        <v>101</v>
      </c>
      <c r="D63" s="11"/>
      <c r="E63" s="51">
        <f t="shared" ref="E63:S63" si="19">E62*$F15</f>
        <v>82.95751308308148</v>
      </c>
      <c r="F63" s="51">
        <f t="shared" si="19"/>
        <v>78.465629737047848</v>
      </c>
      <c r="G63" s="51">
        <f t="shared" si="19"/>
        <v>73.65689906521807</v>
      </c>
      <c r="H63" s="51">
        <f t="shared" si="19"/>
        <v>69.008823375482123</v>
      </c>
      <c r="I63" s="51">
        <f t="shared" si="19"/>
        <v>64.505337169630621</v>
      </c>
      <c r="J63" s="51">
        <f t="shared" si="19"/>
        <v>60.133052532489074</v>
      </c>
      <c r="K63" s="51">
        <f t="shared" si="19"/>
        <v>55.852698246212327</v>
      </c>
      <c r="L63" s="51">
        <f t="shared" si="19"/>
        <v>51.601797373319457</v>
      </c>
      <c r="M63" s="51">
        <f t="shared" si="19"/>
        <v>47.35000397274829</v>
      </c>
      <c r="N63" s="51">
        <f t="shared" si="19"/>
        <v>43.098210572177123</v>
      </c>
      <c r="O63" s="51">
        <f t="shared" si="19"/>
        <v>38.846417171605943</v>
      </c>
      <c r="P63" s="51">
        <f t="shared" si="19"/>
        <v>34.594623771034755</v>
      </c>
      <c r="Q63" s="51">
        <f t="shared" si="19"/>
        <v>30.342830370463577</v>
      </c>
      <c r="R63" s="51">
        <f t="shared" si="19"/>
        <v>26.091036969892393</v>
      </c>
      <c r="S63" s="51">
        <f t="shared" si="19"/>
        <v>21.839243569321216</v>
      </c>
    </row>
    <row r="64" spans="1:19" x14ac:dyDescent="0.3">
      <c r="B64" s="10" t="s">
        <v>102</v>
      </c>
      <c r="D64" s="11"/>
      <c r="E64" s="50">
        <f>E60-E61-E63</f>
        <v>312.07826350302082</v>
      </c>
      <c r="F64" s="50">
        <f>F60-F61-F63</f>
        <v>295.18022615365624</v>
      </c>
      <c r="G64" s="50">
        <f>G60-G61-G63</f>
        <v>277.09023934058229</v>
      </c>
      <c r="H64" s="50">
        <f t="shared" ref="H64:S64" si="20">H60-H61-H63</f>
        <v>259.60462126967087</v>
      </c>
      <c r="I64" s="50">
        <f t="shared" si="20"/>
        <v>242.66293506670567</v>
      </c>
      <c r="J64" s="50">
        <f t="shared" si="20"/>
        <v>226.21481666983985</v>
      </c>
      <c r="K64" s="50">
        <f t="shared" si="20"/>
        <v>210.11253149765591</v>
      </c>
      <c r="L64" s="50">
        <f t="shared" si="20"/>
        <v>194.12104726153513</v>
      </c>
      <c r="M64" s="50">
        <f t="shared" si="20"/>
        <v>178.12620542129122</v>
      </c>
      <c r="N64" s="50">
        <f t="shared" si="20"/>
        <v>162.13136358104728</v>
      </c>
      <c r="O64" s="50">
        <f t="shared" si="20"/>
        <v>146.13652174080332</v>
      </c>
      <c r="P64" s="50">
        <f t="shared" si="20"/>
        <v>130.14167990055932</v>
      </c>
      <c r="Q64" s="50">
        <f t="shared" si="20"/>
        <v>114.14683806031537</v>
      </c>
      <c r="R64" s="50">
        <f t="shared" si="20"/>
        <v>98.151996220071396</v>
      </c>
      <c r="S64" s="50">
        <f t="shared" si="20"/>
        <v>82.157154379827432</v>
      </c>
    </row>
    <row r="66" spans="1:20" x14ac:dyDescent="0.3">
      <c r="A66" s="10" t="s">
        <v>103</v>
      </c>
      <c r="D66" s="1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</row>
    <row r="67" spans="1:20" x14ac:dyDescent="0.3">
      <c r="B67" s="10" t="s">
        <v>104</v>
      </c>
      <c r="D67" s="11"/>
      <c r="E67" s="50">
        <f>E28</f>
        <v>195.08333333333331</v>
      </c>
      <c r="F67" s="50">
        <f>F28</f>
        <v>195.08333333333331</v>
      </c>
      <c r="G67" s="50">
        <f>G28</f>
        <v>195.08333333333331</v>
      </c>
      <c r="H67" s="50">
        <f t="shared" ref="H67:S67" si="21">H28</f>
        <v>195.08333333333331</v>
      </c>
      <c r="I67" s="50">
        <f t="shared" si="21"/>
        <v>195.08333333333331</v>
      </c>
      <c r="J67" s="50">
        <f t="shared" si="21"/>
        <v>195.08333333333331</v>
      </c>
      <c r="K67" s="50">
        <f t="shared" si="21"/>
        <v>195.08333333333331</v>
      </c>
      <c r="L67" s="50">
        <f t="shared" si="21"/>
        <v>195.08333333333331</v>
      </c>
      <c r="M67" s="50">
        <f t="shared" si="21"/>
        <v>195.08333333333331</v>
      </c>
      <c r="N67" s="50">
        <f t="shared" si="21"/>
        <v>195.08333333333331</v>
      </c>
      <c r="O67" s="50">
        <f t="shared" si="21"/>
        <v>195.08333333333331</v>
      </c>
      <c r="P67" s="50">
        <f t="shared" si="21"/>
        <v>195.08333333333331</v>
      </c>
      <c r="Q67" s="50">
        <f t="shared" si="21"/>
        <v>195.08333333333331</v>
      </c>
      <c r="R67" s="50">
        <f t="shared" si="21"/>
        <v>195.08333333333331</v>
      </c>
      <c r="S67" s="50">
        <f t="shared" si="21"/>
        <v>195.08333333333331</v>
      </c>
    </row>
    <row r="68" spans="1:20" x14ac:dyDescent="0.3">
      <c r="B68" s="10" t="s">
        <v>105</v>
      </c>
      <c r="D68" s="11"/>
      <c r="E68" s="50">
        <f t="shared" ref="E68:S68" si="22">$F23*E73</f>
        <v>204.83750000000001</v>
      </c>
      <c r="F68" s="50">
        <f t="shared" si="22"/>
        <v>389.19125000000003</v>
      </c>
      <c r="G68" s="50">
        <f t="shared" si="22"/>
        <v>350.27212500000002</v>
      </c>
      <c r="H68" s="50">
        <f t="shared" si="22"/>
        <v>315.44974999999999</v>
      </c>
      <c r="I68" s="50">
        <f t="shared" si="22"/>
        <v>283.90477500000003</v>
      </c>
      <c r="J68" s="50">
        <f t="shared" si="22"/>
        <v>255.22752500000001</v>
      </c>
      <c r="K68" s="50">
        <f t="shared" si="22"/>
        <v>241.70824999999999</v>
      </c>
      <c r="L68" s="50">
        <f t="shared" si="22"/>
        <v>241.70824999999999</v>
      </c>
      <c r="M68" s="50">
        <f t="shared" si="22"/>
        <v>242.11792499999999</v>
      </c>
      <c r="N68" s="50">
        <f t="shared" si="22"/>
        <v>241.70824999999999</v>
      </c>
      <c r="O68" s="50">
        <f t="shared" si="22"/>
        <v>242.11792499999999</v>
      </c>
      <c r="P68" s="50">
        <f t="shared" si="22"/>
        <v>241.70824999999999</v>
      </c>
      <c r="Q68" s="50">
        <f t="shared" si="22"/>
        <v>242.11792499999999</v>
      </c>
      <c r="R68" s="50">
        <f t="shared" si="22"/>
        <v>241.70824999999999</v>
      </c>
      <c r="S68" s="50">
        <f t="shared" si="22"/>
        <v>242.11792499999999</v>
      </c>
    </row>
    <row r="69" spans="1:20" x14ac:dyDescent="0.3">
      <c r="B69" s="10" t="s">
        <v>106</v>
      </c>
      <c r="E69" s="50">
        <f>E68-E67</f>
        <v>9.7541666666666913</v>
      </c>
      <c r="F69" s="50">
        <f>F68-F67</f>
        <v>194.10791666666671</v>
      </c>
      <c r="G69" s="50">
        <f>G68-G67</f>
        <v>155.1887916666667</v>
      </c>
      <c r="H69" s="50">
        <f t="shared" ref="H69:S69" si="23">H68-H67</f>
        <v>120.36641666666668</v>
      </c>
      <c r="I69" s="50">
        <f t="shared" si="23"/>
        <v>88.821441666666715</v>
      </c>
      <c r="J69" s="50">
        <f t="shared" si="23"/>
        <v>60.1441916666667</v>
      </c>
      <c r="K69" s="50">
        <f t="shared" si="23"/>
        <v>46.624916666666678</v>
      </c>
      <c r="L69" s="50">
        <f t="shared" si="23"/>
        <v>46.624916666666678</v>
      </c>
      <c r="M69" s="50">
        <f t="shared" si="23"/>
        <v>47.034591666666671</v>
      </c>
      <c r="N69" s="50">
        <f t="shared" si="23"/>
        <v>46.624916666666678</v>
      </c>
      <c r="O69" s="50">
        <f t="shared" si="23"/>
        <v>47.034591666666671</v>
      </c>
      <c r="P69" s="50">
        <f t="shared" si="23"/>
        <v>46.624916666666678</v>
      </c>
      <c r="Q69" s="50">
        <f t="shared" si="23"/>
        <v>47.034591666666671</v>
      </c>
      <c r="R69" s="50">
        <f t="shared" si="23"/>
        <v>46.624916666666678</v>
      </c>
      <c r="S69" s="50">
        <f t="shared" si="23"/>
        <v>47.034591666666671</v>
      </c>
    </row>
    <row r="70" spans="1:20" x14ac:dyDescent="0.3">
      <c r="B70" s="10" t="s">
        <v>107</v>
      </c>
      <c r="D70" s="11"/>
      <c r="E70" s="50">
        <f t="shared" ref="E70:S70" si="24">E69*$E$85</f>
        <v>2.0483750000000049</v>
      </c>
      <c r="F70" s="50">
        <f t="shared" si="24"/>
        <v>40.762662500000005</v>
      </c>
      <c r="G70" s="50">
        <f t="shared" si="24"/>
        <v>32.589646250000008</v>
      </c>
      <c r="H70" s="50">
        <f t="shared" si="24"/>
        <v>25.276947500000002</v>
      </c>
      <c r="I70" s="50">
        <f t="shared" si="24"/>
        <v>18.652502750000011</v>
      </c>
      <c r="J70" s="50">
        <f t="shared" si="24"/>
        <v>12.630280250000007</v>
      </c>
      <c r="K70" s="50">
        <f t="shared" si="24"/>
        <v>9.7912325000000013</v>
      </c>
      <c r="L70" s="50">
        <f t="shared" si="24"/>
        <v>9.7912325000000013</v>
      </c>
      <c r="M70" s="50">
        <f t="shared" si="24"/>
        <v>9.8772642500000014</v>
      </c>
      <c r="N70" s="50">
        <f t="shared" si="24"/>
        <v>9.7912325000000013</v>
      </c>
      <c r="O70" s="50">
        <f t="shared" si="24"/>
        <v>9.8772642500000014</v>
      </c>
      <c r="P70" s="50">
        <f t="shared" si="24"/>
        <v>9.7912325000000013</v>
      </c>
      <c r="Q70" s="50">
        <f t="shared" si="24"/>
        <v>9.8772642500000014</v>
      </c>
      <c r="R70" s="50">
        <f t="shared" si="24"/>
        <v>9.7912325000000013</v>
      </c>
      <c r="S70" s="50">
        <f t="shared" si="24"/>
        <v>9.8772642500000014</v>
      </c>
      <c r="T70" s="61">
        <f>SUM(E70:S70)</f>
        <v>220.42563375000006</v>
      </c>
    </row>
    <row r="71" spans="1:20" x14ac:dyDescent="0.3">
      <c r="D71" s="11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1:20" x14ac:dyDescent="0.3"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</row>
    <row r="73" spans="1:20" s="62" customFormat="1" ht="13.2" x14ac:dyDescent="0.3">
      <c r="A73" s="10"/>
      <c r="B73" s="10" t="s">
        <v>108</v>
      </c>
      <c r="C73" s="10"/>
      <c r="E73" s="63">
        <f t="shared" ref="E73:S73" si="25">IF($F$21=1,E83,E81)</f>
        <v>0.05</v>
      </c>
      <c r="F73" s="63">
        <f t="shared" si="25"/>
        <v>9.5000000000000001E-2</v>
      </c>
      <c r="G73" s="63">
        <f t="shared" si="25"/>
        <v>8.5500000000000007E-2</v>
      </c>
      <c r="H73" s="63">
        <f t="shared" si="25"/>
        <v>7.6999999999999999E-2</v>
      </c>
      <c r="I73" s="63">
        <f t="shared" si="25"/>
        <v>6.93E-2</v>
      </c>
      <c r="J73" s="63">
        <f t="shared" si="25"/>
        <v>6.2300000000000001E-2</v>
      </c>
      <c r="K73" s="63">
        <f t="shared" si="25"/>
        <v>5.8999999999999997E-2</v>
      </c>
      <c r="L73" s="63">
        <f t="shared" si="25"/>
        <v>5.8999999999999997E-2</v>
      </c>
      <c r="M73" s="63">
        <f t="shared" si="25"/>
        <v>5.91E-2</v>
      </c>
      <c r="N73" s="63">
        <f t="shared" si="25"/>
        <v>5.8999999999999997E-2</v>
      </c>
      <c r="O73" s="63">
        <f t="shared" si="25"/>
        <v>5.91E-2</v>
      </c>
      <c r="P73" s="63">
        <f t="shared" si="25"/>
        <v>5.8999999999999997E-2</v>
      </c>
      <c r="Q73" s="63">
        <f t="shared" si="25"/>
        <v>5.91E-2</v>
      </c>
      <c r="R73" s="63">
        <f t="shared" si="25"/>
        <v>5.8999999999999997E-2</v>
      </c>
      <c r="S73" s="63">
        <f t="shared" si="25"/>
        <v>5.91E-2</v>
      </c>
    </row>
    <row r="74" spans="1:20" x14ac:dyDescent="0.3"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</row>
    <row r="75" spans="1:20" x14ac:dyDescent="0.3"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</row>
    <row r="76" spans="1:20" x14ac:dyDescent="0.3">
      <c r="B76" s="10" t="s">
        <v>109</v>
      </c>
      <c r="E76" s="64">
        <f>+E57+E70</f>
        <v>4000.2325208333332</v>
      </c>
      <c r="F76" s="61">
        <f t="shared" ref="F76:S76" si="26">+E76-F28</f>
        <v>3805.1491874999997</v>
      </c>
      <c r="G76" s="61">
        <f t="shared" si="26"/>
        <v>3610.0658541666662</v>
      </c>
      <c r="H76" s="61">
        <f t="shared" si="26"/>
        <v>3414.9825208333327</v>
      </c>
      <c r="I76" s="61">
        <f t="shared" si="26"/>
        <v>3219.8991874999992</v>
      </c>
      <c r="J76" s="61">
        <f t="shared" si="26"/>
        <v>3024.8158541666658</v>
      </c>
      <c r="K76" s="61">
        <f t="shared" si="26"/>
        <v>2829.7325208333323</v>
      </c>
      <c r="L76" s="61">
        <f t="shared" si="26"/>
        <v>2634.6491874999988</v>
      </c>
      <c r="M76" s="61">
        <f t="shared" si="26"/>
        <v>2439.5658541666653</v>
      </c>
      <c r="N76" s="61">
        <f t="shared" si="26"/>
        <v>2244.4825208333318</v>
      </c>
      <c r="O76" s="61">
        <f t="shared" si="26"/>
        <v>2049.3991874999983</v>
      </c>
      <c r="P76" s="61">
        <f t="shared" si="26"/>
        <v>1854.3158541666651</v>
      </c>
      <c r="Q76" s="61">
        <f t="shared" si="26"/>
        <v>1659.2325208333318</v>
      </c>
      <c r="R76" s="61">
        <f t="shared" si="26"/>
        <v>1464.1491874999986</v>
      </c>
      <c r="S76" s="61">
        <f t="shared" si="26"/>
        <v>1269.0658541666653</v>
      </c>
    </row>
    <row r="78" spans="1:20" x14ac:dyDescent="0.3">
      <c r="B78" s="10" t="s">
        <v>110</v>
      </c>
      <c r="D78" s="11"/>
      <c r="E78" s="50">
        <f t="shared" ref="E78:S78" si="27">E39+E40-E64</f>
        <v>0</v>
      </c>
      <c r="F78" s="50">
        <f t="shared" si="27"/>
        <v>0</v>
      </c>
      <c r="G78" s="50">
        <f t="shared" si="27"/>
        <v>0</v>
      </c>
      <c r="H78" s="50">
        <f t="shared" si="27"/>
        <v>0</v>
      </c>
      <c r="I78" s="50">
        <f t="shared" si="27"/>
        <v>0</v>
      </c>
      <c r="J78" s="50">
        <f t="shared" si="27"/>
        <v>0</v>
      </c>
      <c r="K78" s="50">
        <f t="shared" si="27"/>
        <v>0</v>
      </c>
      <c r="L78" s="50">
        <f t="shared" si="27"/>
        <v>0</v>
      </c>
      <c r="M78" s="50">
        <f t="shared" si="27"/>
        <v>0</v>
      </c>
      <c r="N78" s="50">
        <f t="shared" si="27"/>
        <v>0</v>
      </c>
      <c r="O78" s="50">
        <f t="shared" si="27"/>
        <v>0</v>
      </c>
      <c r="P78" s="50">
        <f t="shared" si="27"/>
        <v>0</v>
      </c>
      <c r="Q78" s="50">
        <f t="shared" si="27"/>
        <v>0</v>
      </c>
      <c r="R78" s="50">
        <f t="shared" si="27"/>
        <v>0</v>
      </c>
      <c r="S78" s="50">
        <f t="shared" si="27"/>
        <v>0</v>
      </c>
    </row>
    <row r="81" spans="2:19" x14ac:dyDescent="0.3">
      <c r="B81" s="10" t="s">
        <v>108</v>
      </c>
      <c r="E81" s="63">
        <v>0.05</v>
      </c>
      <c r="F81" s="63">
        <v>9.5000000000000001E-2</v>
      </c>
      <c r="G81" s="63">
        <v>8.5500000000000007E-2</v>
      </c>
      <c r="H81" s="63">
        <v>7.6999999999999999E-2</v>
      </c>
      <c r="I81" s="63">
        <v>6.93E-2</v>
      </c>
      <c r="J81" s="63">
        <v>6.2300000000000001E-2</v>
      </c>
      <c r="K81" s="63">
        <v>5.8999999999999997E-2</v>
      </c>
      <c r="L81" s="63">
        <v>5.8999999999999997E-2</v>
      </c>
      <c r="M81" s="63">
        <v>5.91E-2</v>
      </c>
      <c r="N81" s="63">
        <v>5.8999999999999997E-2</v>
      </c>
      <c r="O81" s="63">
        <v>5.91E-2</v>
      </c>
      <c r="P81" s="63">
        <v>5.8999999999999997E-2</v>
      </c>
      <c r="Q81" s="63">
        <v>5.91E-2</v>
      </c>
      <c r="R81" s="63">
        <v>5.8999999999999997E-2</v>
      </c>
      <c r="S81" s="63">
        <v>5.91E-2</v>
      </c>
    </row>
    <row r="83" spans="2:19" x14ac:dyDescent="0.3">
      <c r="B83" s="10" t="s">
        <v>111</v>
      </c>
      <c r="E83" s="45">
        <v>0.52500000000000002</v>
      </c>
      <c r="F83" s="45">
        <v>4.7500000000000001E-2</v>
      </c>
      <c r="G83" s="45">
        <v>4.2750000000000003E-2</v>
      </c>
      <c r="H83" s="45">
        <v>3.85E-2</v>
      </c>
      <c r="I83" s="45">
        <v>3.465E-2</v>
      </c>
      <c r="J83" s="45">
        <v>3.1150000000000001E-2</v>
      </c>
      <c r="K83" s="45">
        <v>2.9499999999999998E-2</v>
      </c>
      <c r="L83" s="45">
        <v>2.9499999999999998E-2</v>
      </c>
      <c r="M83" s="45">
        <v>2.955E-2</v>
      </c>
      <c r="N83" s="45">
        <v>2.9499999999999998E-2</v>
      </c>
      <c r="O83" s="45">
        <v>2.955E-2</v>
      </c>
      <c r="P83" s="45">
        <v>2.9499999999999998E-2</v>
      </c>
      <c r="Q83" s="45">
        <v>2.955E-2</v>
      </c>
      <c r="R83" s="45">
        <v>2.9499999999999998E-2</v>
      </c>
      <c r="S83" s="45">
        <v>2.955E-2</v>
      </c>
    </row>
    <row r="85" spans="2:19" x14ac:dyDescent="0.3">
      <c r="E85" s="95">
        <f>(1-F15)*F14+F15</f>
        <v>0.21</v>
      </c>
    </row>
    <row r="86" spans="2:19" x14ac:dyDescent="0.3">
      <c r="E86" s="96">
        <f>1-E85</f>
        <v>0.79</v>
      </c>
    </row>
  </sheetData>
  <mergeCells count="1">
    <mergeCell ref="E1:F1"/>
  </mergeCells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K20"/>
  <sheetViews>
    <sheetView workbookViewId="0">
      <selection activeCell="B4" sqref="B4:C4"/>
    </sheetView>
  </sheetViews>
  <sheetFormatPr defaultRowHeight="14.4" x14ac:dyDescent="0.3"/>
  <cols>
    <col min="1" max="1" width="31.88671875" customWidth="1"/>
    <col min="2" max="3" width="10.6640625" customWidth="1"/>
    <col min="6" max="6" width="32.109375" customWidth="1"/>
  </cols>
  <sheetData>
    <row r="1" spans="1:11" x14ac:dyDescent="0.3">
      <c r="B1" s="156"/>
      <c r="C1" s="156"/>
    </row>
    <row r="2" spans="1:11" s="77" customFormat="1" x14ac:dyDescent="0.3">
      <c r="B2" s="157" t="s">
        <v>0</v>
      </c>
      <c r="C2" s="157"/>
      <c r="D2" s="85"/>
    </row>
    <row r="3" spans="1:11" s="77" customFormat="1" x14ac:dyDescent="0.3">
      <c r="A3" s="77" t="s">
        <v>1</v>
      </c>
      <c r="B3" s="86" t="s">
        <v>2</v>
      </c>
      <c r="C3" s="138" t="s">
        <v>3</v>
      </c>
    </row>
    <row r="4" spans="1:11" x14ac:dyDescent="0.3">
      <c r="A4" s="8" t="s">
        <v>4</v>
      </c>
      <c r="B4" s="79">
        <v>2208</v>
      </c>
      <c r="C4" s="79">
        <v>2764</v>
      </c>
    </row>
    <row r="5" spans="1:11" x14ac:dyDescent="0.3">
      <c r="A5" s="1" t="s">
        <v>5</v>
      </c>
      <c r="B5" s="82">
        <v>443.75</v>
      </c>
      <c r="C5" s="135"/>
    </row>
    <row r="6" spans="1:11" x14ac:dyDescent="0.3">
      <c r="A6" s="1" t="s">
        <v>6</v>
      </c>
      <c r="B6" s="79">
        <v>1167</v>
      </c>
      <c r="C6" s="136"/>
    </row>
    <row r="7" spans="1:11" x14ac:dyDescent="0.3">
      <c r="A7" s="1" t="s">
        <v>7</v>
      </c>
      <c r="B7" s="81">
        <v>483.4</v>
      </c>
      <c r="C7" s="137"/>
    </row>
    <row r="8" spans="1:11" x14ac:dyDescent="0.3">
      <c r="A8" s="1" t="s">
        <v>121</v>
      </c>
      <c r="B8" s="81">
        <v>13.4</v>
      </c>
      <c r="C8" s="137"/>
    </row>
    <row r="9" spans="1:11" x14ac:dyDescent="0.3">
      <c r="A9" s="1" t="s">
        <v>122</v>
      </c>
      <c r="B9" s="81">
        <v>7</v>
      </c>
      <c r="C9" s="137"/>
    </row>
    <row r="10" spans="1:11" ht="43.2" x14ac:dyDescent="0.3">
      <c r="A10" s="123" t="s">
        <v>9</v>
      </c>
      <c r="B10" s="78">
        <f>2.25*115</f>
        <v>258.75</v>
      </c>
      <c r="C10" s="130"/>
    </row>
    <row r="11" spans="1:11" ht="43.2" x14ac:dyDescent="0.3">
      <c r="A11" s="124" t="s">
        <v>10</v>
      </c>
      <c r="B11" s="78">
        <v>1645</v>
      </c>
      <c r="C11" s="130"/>
    </row>
    <row r="12" spans="1:11" ht="72" x14ac:dyDescent="0.3">
      <c r="A12" s="124" t="s">
        <v>11</v>
      </c>
      <c r="B12" s="80">
        <v>0</v>
      </c>
      <c r="C12" s="128"/>
      <c r="F12" s="126"/>
      <c r="G12" s="126"/>
      <c r="H12" s="126"/>
      <c r="I12" s="126"/>
      <c r="J12" s="126"/>
      <c r="K12" s="126"/>
    </row>
    <row r="13" spans="1:11" x14ac:dyDescent="0.3">
      <c r="A13" s="124" t="s">
        <v>124</v>
      </c>
      <c r="B13" s="80">
        <v>0</v>
      </c>
      <c r="C13" s="128"/>
      <c r="F13" s="127"/>
      <c r="G13" s="128"/>
      <c r="H13" s="128"/>
      <c r="I13" s="128"/>
      <c r="J13" s="128"/>
      <c r="K13" s="126"/>
    </row>
    <row r="14" spans="1:11" ht="28.8" x14ac:dyDescent="0.3">
      <c r="A14" s="124" t="s">
        <v>123</v>
      </c>
      <c r="B14" s="78">
        <v>115</v>
      </c>
      <c r="C14" s="130"/>
      <c r="F14" s="129"/>
      <c r="G14" s="130"/>
      <c r="H14" s="130"/>
      <c r="I14" s="131"/>
      <c r="J14" s="131"/>
      <c r="K14" s="126"/>
    </row>
    <row r="15" spans="1:11" ht="14.4" customHeight="1" x14ac:dyDescent="0.3">
      <c r="A15" s="124" t="s">
        <v>120</v>
      </c>
      <c r="B15" s="78">
        <v>110.5</v>
      </c>
      <c r="C15" s="131"/>
      <c r="F15" s="127"/>
      <c r="G15" s="128"/>
      <c r="H15" s="128"/>
      <c r="I15" s="132"/>
      <c r="J15" s="132"/>
      <c r="K15" s="126"/>
    </row>
    <row r="17" spans="1:3" ht="14.4" customHeight="1" x14ac:dyDescent="0.3">
      <c r="A17" s="145" t="s">
        <v>194</v>
      </c>
      <c r="B17" s="146">
        <f>SUM(B7:B15)</f>
        <v>2633.05</v>
      </c>
      <c r="C17" s="134" t="s">
        <v>1</v>
      </c>
    </row>
    <row r="18" spans="1:3" ht="28.8" x14ac:dyDescent="0.3">
      <c r="A18" s="147" t="s">
        <v>195</v>
      </c>
      <c r="B18" s="146">
        <f>AVERAGE(B4:C4)+B5+B6</f>
        <v>4096.75</v>
      </c>
      <c r="C18" s="134"/>
    </row>
    <row r="19" spans="1:3" ht="14.4" customHeight="1" x14ac:dyDescent="0.3">
      <c r="A19" s="133"/>
      <c r="B19" s="134"/>
      <c r="C19" s="134"/>
    </row>
    <row r="20" spans="1:3" x14ac:dyDescent="0.3">
      <c r="A20" s="2" t="s">
        <v>8</v>
      </c>
      <c r="B20" s="83">
        <v>18</v>
      </c>
      <c r="C20" s="141"/>
    </row>
  </sheetData>
  <mergeCells count="2">
    <mergeCell ref="B1:C1"/>
    <mergeCell ref="B2:C2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044192C5309AC4E8BDE262FAE5FF76A" ma:contentTypeVersion="76" ma:contentTypeDescription="" ma:contentTypeScope="" ma:versionID="5690c72de5fa18d4eda77c4607a137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2018-04-27T07:00:00+00:00</OpenedDate>
    <SignificantOrder xmlns="dc463f71-b30c-4ab2-9473-d307f9d35888">false</SignificantOrder>
    <Date1 xmlns="dc463f71-b30c-4ab2-9473-d307f9d35888">2018-05-04T07:00:00+00:00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180358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FBA027A-50CE-46FD-8B1F-35F5320329B4}"/>
</file>

<file path=customXml/itemProps2.xml><?xml version="1.0" encoding="utf-8"?>
<ds:datastoreItem xmlns:ds="http://schemas.openxmlformats.org/officeDocument/2006/customXml" ds:itemID="{7E23029F-063E-43B6-BD79-648090E1E82F}"/>
</file>

<file path=customXml/itemProps3.xml><?xml version="1.0" encoding="utf-8"?>
<ds:datastoreItem xmlns:ds="http://schemas.openxmlformats.org/officeDocument/2006/customXml" ds:itemID="{6CCA4280-A619-4940-9F21-FE105C3141DD}"/>
</file>

<file path=customXml/itemProps4.xml><?xml version="1.0" encoding="utf-8"?>
<ds:datastoreItem xmlns:ds="http://schemas.openxmlformats.org/officeDocument/2006/customXml" ds:itemID="{F9D969B4-2A50-48B3-8ADF-5BA7DE9989F3}"/>
</file>

<file path=customXml/itemProps5.xml><?xml version="1.0" encoding="utf-8"?>
<ds:datastoreItem xmlns:ds="http://schemas.openxmlformats.org/officeDocument/2006/customXml" ds:itemID="{1BB15E11-EF4D-4C3B-99BA-8C6B5BEFE6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Sch 10-Updated Rate</vt:lpstr>
      <vt:lpstr>Meter COS</vt:lpstr>
      <vt:lpstr>Meter Cost</vt:lpstr>
      <vt:lpstr>AAMR COS </vt:lpstr>
      <vt:lpstr>AAMR Cost</vt:lpstr>
      <vt:lpstr>'AAMR COS '!Print_Area</vt:lpstr>
      <vt:lpstr>'Meter COS'!Print_Area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NWN User</dc:creator>
  <cp:lastModifiedBy>Hammer, Gail </cp:lastModifiedBy>
  <cp:lastPrinted>2014-10-17T16:40:49Z</cp:lastPrinted>
  <dcterms:created xsi:type="dcterms:W3CDTF">2014-06-16T22:39:22Z</dcterms:created>
  <dcterms:modified xsi:type="dcterms:W3CDTF">2018-05-04T17:12:24Z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0x0101006E56B4D1795A2E4DB2F0B01679ED314A009044192C5309AC4E8BDE262FAE5FF76A</vt:lpwstr>
  </property>
  <property fmtid="{D5CDD505-2E9C-101B-9397-08002B2CF9AE}" pid="3" name="_dlc_DocIdItemGuid">
    <vt:lpwstr>b1d1af16-f92f-4edb-8f63-00219319d178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