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2192" windowHeight="6636" activeTab="0"/>
  </bookViews>
  <sheets>
    <sheet name="Summary  WA" sheetId="1" r:id="rId1"/>
    <sheet name="Tables" sheetId="2" r:id="rId2"/>
    <sheet name="Sheet1" sheetId="3" r:id="rId3"/>
  </sheets>
  <definedNames>
    <definedName name="AUTO_OPEN">'Macro1'!$B$1</definedName>
    <definedName name="Macro1">'Macro1'!$A$1</definedName>
    <definedName name="Macro2">'Macro1'!$A$8</definedName>
    <definedName name="Macro3">'Macro1'!$A$15</definedName>
    <definedName name="Macro4">'Macro1'!$A$22</definedName>
    <definedName name="Macro5">'Macro1'!$A$29</definedName>
    <definedName name="Macro6">'Macro1'!$A$36</definedName>
    <definedName name="Macro7">'Macro1'!$A$43</definedName>
    <definedName name="Macro8">'Macro1'!$A$50</definedName>
    <definedName name="_xlnm.Print_Area" localSheetId="0">'Summary  WA'!$B$1:$J$114</definedName>
    <definedName name="_xlnm.Print_Area" localSheetId="1">'Tables'!$B$2:$I$38</definedName>
    <definedName name="_xlnm.Print_Titles" localSheetId="0">'Summary  WA'!$1:$7</definedName>
    <definedName name="Recover">'Macro1'!$A$76</definedName>
    <definedName name="TableName">"Dummy"</definedName>
  </definedNames>
  <calcPr fullCalcOnLoad="1"/>
</workbook>
</file>

<file path=xl/sharedStrings.xml><?xml version="1.0" encoding="utf-8"?>
<sst xmlns="http://schemas.openxmlformats.org/spreadsheetml/2006/main" count="115" uniqueCount="82">
  <si>
    <t>Avista Utilities</t>
  </si>
  <si>
    <t>Notes:</t>
  </si>
  <si>
    <t>Total</t>
  </si>
  <si>
    <t>Software (FERC 303100)</t>
  </si>
  <si>
    <t>Hardware (FERC 391100)</t>
  </si>
  <si>
    <t>Depreciation Expense</t>
  </si>
  <si>
    <t>Net Operating Income Before FIT</t>
  </si>
  <si>
    <t>FIT Benefit of Depreciation and Property Tax</t>
  </si>
  <si>
    <t>FIT Benefit of Interest Expense</t>
  </si>
  <si>
    <t xml:space="preserve">   Net Operating Income Requirement</t>
  </si>
  <si>
    <t xml:space="preserve">   Net Rate Base</t>
  </si>
  <si>
    <t>Conversion Factor</t>
  </si>
  <si>
    <t>Accumulated Depreciation (AMA)</t>
  </si>
  <si>
    <t>Accumulated DFIT (AMA)</t>
  </si>
  <si>
    <t>Property Tax @ 1.5% of Gross Plant, excluding software</t>
  </si>
  <si>
    <t>Line No.</t>
  </si>
  <si>
    <t xml:space="preserve">   Debt Return on Rate Base</t>
  </si>
  <si>
    <t xml:space="preserve">  Debt Return on Rate Base, Net of FIT</t>
  </si>
  <si>
    <t xml:space="preserve">  Equity Return on Rate Base</t>
  </si>
  <si>
    <t>182.3XX</t>
  </si>
  <si>
    <t>254.XXX</t>
  </si>
  <si>
    <t>Customer Accounts Receivable</t>
  </si>
  <si>
    <t>Customer Revenue</t>
  </si>
  <si>
    <t>407.3XX</t>
  </si>
  <si>
    <t>44X.XXX</t>
  </si>
  <si>
    <t>Plant Cost</t>
  </si>
  <si>
    <t>Revenue Requirement of Depreciation Expense and Property Tax Expense</t>
  </si>
  <si>
    <t xml:space="preserve">Revenue Requirement of Return on Investment - Debt </t>
  </si>
  <si>
    <t>Revenue Requirement of Return on Investment - Equity</t>
  </si>
  <si>
    <t>Summary of Revenue Requirement</t>
  </si>
  <si>
    <t>Washington Revenue Requirement</t>
  </si>
  <si>
    <t>Depreciation and Property Tax Revenue Requirement - System</t>
  </si>
  <si>
    <t>Depreciable Life</t>
  </si>
  <si>
    <t xml:space="preserve">   Total Expenses</t>
  </si>
  <si>
    <t>Debt Revenue Requirement - System</t>
  </si>
  <si>
    <t>Debt Revenue Requirement - WA Electric Share</t>
  </si>
  <si>
    <t xml:space="preserve"> Equity Revenue Requirement - System</t>
  </si>
  <si>
    <t>Equity Revenue Requirement - WA Electric Share</t>
  </si>
  <si>
    <t>Equity Revenue Requirement - WA Natural Gas Share</t>
  </si>
  <si>
    <t xml:space="preserve"> Total Revenue Requirement - WA Electric Share</t>
  </si>
  <si>
    <t>Total Revenue Requirement - WA Natural Gas Share</t>
  </si>
  <si>
    <t>Accounting Entries to Record Amortization of Deferral - Recorded Monthly - Electric</t>
  </si>
  <si>
    <t>Regulatory Asset - Deferred Costs</t>
  </si>
  <si>
    <t>Regulatory Credit - Deferred Costs</t>
  </si>
  <si>
    <t>Regulatory Liability - Equity Return on Investment</t>
  </si>
  <si>
    <t>Regulatory Debit - Amortization of Costs</t>
  </si>
  <si>
    <t>Regulatory Debit - Amortization of Equity Return</t>
  </si>
  <si>
    <t>ED.WA</t>
  </si>
  <si>
    <t>Deprec. &amp; Prop. Tax Revenue Requirement - WA Electric Share</t>
  </si>
  <si>
    <t>Deprec. &amp; Prop. Tax Revenue Requirement - WA Natural Gas Share</t>
  </si>
  <si>
    <t>Debt Revenue Requirement - WA Natural Gas Share</t>
  </si>
  <si>
    <t>Total Debt</t>
  </si>
  <si>
    <t>Common Equity</t>
  </si>
  <si>
    <t>ROR</t>
  </si>
  <si>
    <t>1) Rate of Return and Debt Cost per Order 05, Docket Nos. UE-150204 and UG-150205, dated January 6, 2016.</t>
  </si>
  <si>
    <t>Rate of Return - Debt</t>
  </si>
  <si>
    <t>Rate of Return - Equity</t>
  </si>
  <si>
    <t>Accounting Entry to Record the Deferral of Revenue Requirement - Recorded Monthly - Electric</t>
  </si>
  <si>
    <t>Note 7</t>
  </si>
  <si>
    <t>Electric</t>
  </si>
  <si>
    <t>Gas North</t>
  </si>
  <si>
    <t>Oregon</t>
  </si>
  <si>
    <t>Note 4 (WA Share)</t>
  </si>
  <si>
    <t>WA Share</t>
  </si>
  <si>
    <t>Account Description</t>
  </si>
  <si>
    <t>FERC Account</t>
  </si>
  <si>
    <t>Debit</t>
  </si>
  <si>
    <t>Credit</t>
  </si>
  <si>
    <t xml:space="preserve">    xxx</t>
  </si>
  <si>
    <t>407.4XX</t>
  </si>
  <si>
    <t>The Company’s monthly accounting entries will include the standard calculations, including adjusting for revenue-related expenses (i.e. uncollectible customer accounts, excise taxes, and commission fees) and deferred federal income taxes.</t>
  </si>
  <si>
    <t>1) Rate of Return follows:</t>
  </si>
  <si>
    <t>Common</t>
  </si>
  <si>
    <t>Regulatory Liability - Equity Return on Investment (1)</t>
  </si>
  <si>
    <t>(1) In accordance with FASB ASC 980-340, Avista would capitalize the deferred revenue requirement of the AMI project in FERC Account No. 182.3.  The portion that represents incurred costs that would otherwise be charged to expense (i.e. depreciation expense and interest) would be recorded in FERC Account No. 407.4. The portion that represents the earnings on shareholders’ investment would be recorded in a regulatory liability (FERC Account No. 254) until recovery occurs in future years.</t>
  </si>
  <si>
    <t>Regulatory Debit - Amortization of Equity Return on Investment</t>
  </si>
  <si>
    <t>3) The Company’s monthly accounting entries will include the standard calculations, including adjusting for revenue-related expenses (i.e. uncollectible customer accounts, commission fees, and Idaho state income taxes) and deferred federal income taxes.</t>
  </si>
  <si>
    <t>4) Accounting Entries for deferral related to natural gas would be the same as those shown for electric.</t>
  </si>
  <si>
    <t>5)  2017 Allocation Factor for CD.AA, as follows:</t>
  </si>
  <si>
    <t>AMI Project - Phase 1 - Meter Data Management</t>
  </si>
  <si>
    <t>2) Conversion Factor for illustrative purposes.  The conversion factor from the 2016 WA Commission Basis Reports will be used for deferral.</t>
  </si>
  <si>
    <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</si>
</sst>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_(&quot;$&quot;* #,##0.0_);_(&quot;$&quot;* \(#,##0.0\);_(&quot;$&quot;* &quot;-&quot;?_);_(@_)"/>
    <numFmt numFmtId="172" formatCode="&quot;$&quot;#,##0.00000"/>
    <numFmt numFmtId="173" formatCode="&quot;$&quot;#,##0.0"/>
    <numFmt numFmtId="174" formatCode="0.00000"/>
    <numFmt numFmtId="175" formatCode="_(* #,##0.00000_);_(* \(#,##0.00000\);_(* &quot;-&quot;??_);_(@_)"/>
    <numFmt numFmtId="176" formatCode="_(&quot;$&quot;* #,##0.00000_);_(&quot;$&quot;* \(#,##0.00000\);_(&quot;$&quot;* &quot;-&quot;?????_);_(@_)"/>
    <numFmt numFmtId="177" formatCode="_(* #,##0.000000_);_(* \(#,##0.000000\);_(* &quot;-&quot;??????_);_(@_)"/>
    <numFmt numFmtId="178" formatCode="_(* #,##0.00000_);_(* \(#,##0.00000\);_(* &quot;-&quot;?????_);_(@_)"/>
    <numFmt numFmtId="179" formatCode="0.000"/>
    <numFmt numFmtId="180" formatCode="#,##0.0_);\(#,##0.0\)"/>
    <numFmt numFmtId="181" formatCode="0.00000%"/>
    <numFmt numFmtId="182" formatCode="#,##0.0000"/>
    <numFmt numFmtId="183" formatCode="_(&quot;$&quot;* #,##0.000_);_(&quot;$&quot;* \(#,##0.000\);_(&quot;$&quot;* &quot;-&quot;???_);_(@_)"/>
    <numFmt numFmtId="184" formatCode="0.0%"/>
  </numFmts>
  <fonts count="42">
    <font>
      <sz val="10"/>
      <name val="Arial"/>
      <family val="2"/>
    </font>
    <font>
      <sz val="10"/>
      <name val="Tahoma"/>
      <family val="2"/>
    </font>
    <font>
      <u val="single"/>
      <sz val="10"/>
      <name val="Arial"/>
      <family val="2"/>
    </font>
    <font>
      <sz val="8"/>
      <name val="Arial"/>
      <family val="2"/>
    </font>
    <font>
      <b/>
      <u val="single"/>
      <sz val="10"/>
      <name val="Arial"/>
      <family val="2"/>
    </font>
    <font>
      <b/>
      <sz val="10"/>
      <name val="Arial"/>
      <family val="2"/>
    </font>
    <font>
      <sz val="12"/>
      <name val="Times New Roman"/>
      <family val="1"/>
    </font>
    <font>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1">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0" fillId="0" borderId="0" xfId="0" applyBorder="1" applyAlignment="1">
      <alignment/>
    </xf>
    <xf numFmtId="0" fontId="0" fillId="0" borderId="0" xfId="0" applyAlignment="1">
      <alignment/>
    </xf>
    <xf numFmtId="168" fontId="0" fillId="0" borderId="0" xfId="0" applyNumberFormat="1" applyBorder="1" applyAlignment="1">
      <alignment/>
    </xf>
    <xf numFmtId="0" fontId="4" fillId="0" borderId="0" xfId="0" applyFont="1" applyAlignment="1">
      <alignment horizontal="center" wrapText="1"/>
    </xf>
    <xf numFmtId="170" fontId="0" fillId="0" borderId="10" xfId="44" applyNumberFormat="1" applyFont="1" applyBorder="1" applyAlignment="1">
      <alignment/>
    </xf>
    <xf numFmtId="170" fontId="0" fillId="0" borderId="11" xfId="44" applyNumberFormat="1" applyFont="1" applyBorder="1" applyAlignment="1">
      <alignment/>
    </xf>
    <xf numFmtId="170" fontId="0" fillId="0" borderId="0" xfId="44" applyNumberFormat="1" applyFont="1" applyBorder="1" applyAlignment="1">
      <alignment/>
    </xf>
    <xf numFmtId="174" fontId="0" fillId="0" borderId="0" xfId="60" applyNumberFormat="1" applyFont="1" applyBorder="1" applyAlignment="1">
      <alignment/>
    </xf>
    <xf numFmtId="168" fontId="0" fillId="0" borderId="0" xfId="47" applyNumberFormat="1" applyFont="1" applyBorder="1" applyAlignment="1">
      <alignment/>
    </xf>
    <xf numFmtId="170" fontId="0" fillId="0" borderId="10" xfId="42" applyNumberFormat="1" applyFont="1" applyFill="1" applyBorder="1" applyAlignment="1">
      <alignment/>
    </xf>
    <xf numFmtId="168" fontId="0" fillId="0" borderId="12" xfId="47" applyNumberFormat="1" applyFont="1" applyBorder="1" applyAlignment="1">
      <alignment/>
    </xf>
    <xf numFmtId="0" fontId="5" fillId="0" borderId="0" xfId="0" applyFont="1" applyAlignment="1">
      <alignment/>
    </xf>
    <xf numFmtId="166" fontId="0" fillId="0" borderId="0" xfId="60" applyNumberFormat="1" applyFont="1" applyBorder="1" applyAlignment="1">
      <alignment/>
    </xf>
    <xf numFmtId="168" fontId="0" fillId="0" borderId="13" xfId="47" applyNumberFormat="1" applyFont="1" applyBorder="1" applyAlignment="1">
      <alignment/>
    </xf>
    <xf numFmtId="37" fontId="0" fillId="0" borderId="13" xfId="47" applyNumberFormat="1" applyFont="1" applyBorder="1" applyAlignment="1">
      <alignment/>
    </xf>
    <xf numFmtId="175" fontId="0" fillId="0" borderId="0" xfId="44" applyNumberFormat="1" applyFont="1" applyBorder="1" applyAlignment="1">
      <alignment/>
    </xf>
    <xf numFmtId="10" fontId="0" fillId="0" borderId="0" xfId="60" applyNumberFormat="1" applyFont="1" applyBorder="1" applyAlignment="1">
      <alignment/>
    </xf>
    <xf numFmtId="168" fontId="0" fillId="0" borderId="12" xfId="45" applyNumberFormat="1" applyFont="1" applyBorder="1" applyAlignment="1">
      <alignment/>
    </xf>
    <xf numFmtId="0" fontId="0" fillId="0" borderId="14" xfId="0" applyBorder="1" applyAlignment="1">
      <alignment/>
    </xf>
    <xf numFmtId="0" fontId="0" fillId="0" borderId="13" xfId="0" applyBorder="1" applyAlignment="1">
      <alignment horizontal="center"/>
    </xf>
    <xf numFmtId="0" fontId="0" fillId="0" borderId="13" xfId="0" applyBorder="1" applyAlignment="1">
      <alignment/>
    </xf>
    <xf numFmtId="0" fontId="4" fillId="0" borderId="13" xfId="0" applyFont="1" applyBorder="1" applyAlignment="1">
      <alignment horizontal="center" wrapText="1"/>
    </xf>
    <xf numFmtId="0" fontId="0" fillId="0" borderId="15" xfId="0" applyBorder="1" applyAlignment="1">
      <alignment/>
    </xf>
    <xf numFmtId="0" fontId="0" fillId="0" borderId="16" xfId="0" applyBorder="1" applyAlignment="1">
      <alignment/>
    </xf>
    <xf numFmtId="0" fontId="0" fillId="0" borderId="0" xfId="0" applyBorder="1" applyAlignment="1">
      <alignment horizontal="center"/>
    </xf>
    <xf numFmtId="0" fontId="0" fillId="0" borderId="17" xfId="0" applyBorder="1" applyAlignment="1">
      <alignment/>
    </xf>
    <xf numFmtId="0" fontId="4" fillId="0" borderId="0" xfId="0" applyFont="1" applyBorder="1" applyAlignment="1">
      <alignment horizontal="center" wrapText="1"/>
    </xf>
    <xf numFmtId="0" fontId="0" fillId="0" borderId="18" xfId="0" applyBorder="1" applyAlignment="1">
      <alignment/>
    </xf>
    <xf numFmtId="0" fontId="0" fillId="0" borderId="10" xfId="0" applyBorder="1" applyAlignment="1">
      <alignment horizontal="center"/>
    </xf>
    <xf numFmtId="0" fontId="0" fillId="0" borderId="10" xfId="0" applyBorder="1" applyAlignment="1">
      <alignment/>
    </xf>
    <xf numFmtId="168" fontId="0" fillId="0" borderId="10" xfId="47" applyNumberFormat="1" applyFont="1" applyBorder="1" applyAlignment="1">
      <alignment/>
    </xf>
    <xf numFmtId="0" fontId="0" fillId="0" borderId="19" xfId="0" applyBorder="1" applyAlignment="1">
      <alignment/>
    </xf>
    <xf numFmtId="174" fontId="0" fillId="0" borderId="13" xfId="60" applyNumberFormat="1" applyFont="1" applyBorder="1" applyAlignment="1">
      <alignment/>
    </xf>
    <xf numFmtId="0" fontId="0" fillId="0" borderId="20" xfId="0" applyBorder="1" applyAlignment="1">
      <alignment/>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8" fontId="0" fillId="0" borderId="0" xfId="45" applyNumberFormat="1" applyFont="1" applyBorder="1" applyAlignment="1">
      <alignment/>
    </xf>
    <xf numFmtId="0" fontId="0" fillId="0" borderId="24" xfId="0" applyBorder="1" applyAlignment="1">
      <alignment/>
    </xf>
    <xf numFmtId="170" fontId="0" fillId="0" borderId="0" xfId="42" applyNumberFormat="1" applyFont="1" applyBorder="1" applyAlignment="1">
      <alignment/>
    </xf>
    <xf numFmtId="0" fontId="0" fillId="0" borderId="25" xfId="0" applyBorder="1" applyAlignment="1">
      <alignment/>
    </xf>
    <xf numFmtId="0" fontId="0" fillId="0" borderId="26" xfId="0" applyBorder="1" applyAlignment="1">
      <alignment horizontal="center"/>
    </xf>
    <xf numFmtId="0" fontId="0" fillId="0" borderId="26" xfId="0" applyBorder="1" applyAlignment="1">
      <alignment/>
    </xf>
    <xf numFmtId="0" fontId="0" fillId="0" borderId="27" xfId="0" applyBorder="1" applyAlignment="1">
      <alignment/>
    </xf>
    <xf numFmtId="179" fontId="0" fillId="0" borderId="0" xfId="0" applyNumberFormat="1" applyBorder="1" applyAlignment="1">
      <alignment horizontal="center"/>
    </xf>
    <xf numFmtId="0" fontId="5" fillId="0" borderId="0" xfId="0" applyFont="1" applyAlignment="1">
      <alignment horizontal="centerContinuous"/>
    </xf>
    <xf numFmtId="0" fontId="4" fillId="0" borderId="0" xfId="0" applyFont="1" applyAlignment="1">
      <alignment horizontal="centerContinuous"/>
    </xf>
    <xf numFmtId="168" fontId="0" fillId="0" borderId="26" xfId="45" applyNumberFormat="1" applyFont="1" applyBorder="1" applyAlignment="1">
      <alignment/>
    </xf>
    <xf numFmtId="180" fontId="0" fillId="0" borderId="0" xfId="45" applyNumberFormat="1" applyFont="1" applyBorder="1" applyAlignment="1">
      <alignment horizontal="center"/>
    </xf>
    <xf numFmtId="37" fontId="0" fillId="0" borderId="0" xfId="45" applyNumberFormat="1" applyFont="1" applyBorder="1" applyAlignment="1">
      <alignment horizontal="center"/>
    </xf>
    <xf numFmtId="10" fontId="0" fillId="0" borderId="0" xfId="0" applyNumberFormat="1" applyAlignment="1">
      <alignment/>
    </xf>
    <xf numFmtId="181" fontId="0" fillId="0" borderId="0" xfId="0" applyNumberFormat="1" applyAlignment="1">
      <alignment/>
    </xf>
    <xf numFmtId="10" fontId="0" fillId="0" borderId="12" xfId="0" applyNumberFormat="1" applyBorder="1" applyAlignment="1">
      <alignment/>
    </xf>
    <xf numFmtId="10" fontId="0" fillId="0" borderId="0" xfId="0" applyNumberFormat="1" applyBorder="1" applyAlignment="1">
      <alignment/>
    </xf>
    <xf numFmtId="182" fontId="0" fillId="0" borderId="0" xfId="0" applyNumberFormat="1" applyBorder="1" applyAlignment="1">
      <alignment/>
    </xf>
    <xf numFmtId="166" fontId="0" fillId="0" borderId="0" xfId="59" applyNumberFormat="1" applyFont="1" applyAlignment="1">
      <alignment/>
    </xf>
    <xf numFmtId="0" fontId="0" fillId="0" borderId="0" xfId="0" applyAlignment="1">
      <alignment horizontal="center" wrapText="1"/>
    </xf>
    <xf numFmtId="166" fontId="0" fillId="0" borderId="12" xfId="0" applyNumberFormat="1" applyBorder="1" applyAlignment="1">
      <alignment/>
    </xf>
    <xf numFmtId="166" fontId="0" fillId="0" borderId="0" xfId="0" applyNumberFormat="1" applyBorder="1" applyAlignment="1">
      <alignment/>
    </xf>
    <xf numFmtId="0" fontId="0" fillId="0" borderId="0" xfId="0" applyFill="1" applyAlignment="1">
      <alignment horizontal="center"/>
    </xf>
    <xf numFmtId="0" fontId="0" fillId="0" borderId="0" xfId="0" applyFill="1" applyBorder="1" applyAlignment="1">
      <alignment horizontal="center"/>
    </xf>
    <xf numFmtId="0" fontId="0" fillId="33" borderId="14" xfId="0" applyFill="1" applyBorder="1" applyAlignment="1">
      <alignment/>
    </xf>
    <xf numFmtId="0" fontId="0" fillId="33" borderId="13" xfId="0" applyFill="1" applyBorder="1" applyAlignment="1">
      <alignment horizontal="center"/>
    </xf>
    <xf numFmtId="0" fontId="0" fillId="33" borderId="13"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horizontal="center"/>
    </xf>
    <xf numFmtId="0" fontId="0" fillId="33" borderId="17" xfId="0" applyFill="1" applyBorder="1" applyAlignment="1">
      <alignment/>
    </xf>
    <xf numFmtId="0" fontId="0" fillId="33" borderId="0" xfId="0"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168" fontId="0" fillId="33" borderId="0" xfId="0" applyNumberFormat="1" applyFill="1" applyBorder="1" applyAlignment="1">
      <alignment vertical="center"/>
    </xf>
    <xf numFmtId="0" fontId="0" fillId="33" borderId="17" xfId="0" applyFill="1" applyBorder="1" applyAlignment="1">
      <alignment wrapText="1"/>
    </xf>
    <xf numFmtId="0" fontId="0" fillId="33" borderId="18" xfId="0" applyFill="1" applyBorder="1" applyAlignment="1">
      <alignment/>
    </xf>
    <xf numFmtId="0" fontId="0" fillId="33" borderId="10" xfId="0" applyFill="1" applyBorder="1" applyAlignment="1">
      <alignment horizontal="center"/>
    </xf>
    <xf numFmtId="0" fontId="0" fillId="33" borderId="20" xfId="0" applyFill="1" applyBorder="1" applyAlignment="1">
      <alignment/>
    </xf>
    <xf numFmtId="0" fontId="0" fillId="33" borderId="21" xfId="0" applyFill="1" applyBorder="1" applyAlignment="1">
      <alignment horizontal="center"/>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179" fontId="0" fillId="33" borderId="0" xfId="0" applyNumberFormat="1" applyFill="1" applyBorder="1" applyAlignment="1">
      <alignment horizontal="center"/>
    </xf>
    <xf numFmtId="168" fontId="0" fillId="33" borderId="0" xfId="0" applyNumberFormat="1" applyFill="1" applyBorder="1" applyAlignment="1">
      <alignment/>
    </xf>
    <xf numFmtId="168" fontId="0" fillId="33" borderId="0" xfId="45" applyNumberFormat="1" applyFont="1" applyFill="1" applyBorder="1" applyAlignment="1">
      <alignment/>
    </xf>
    <xf numFmtId="0" fontId="0" fillId="33" borderId="25" xfId="0" applyFill="1" applyBorder="1" applyAlignment="1">
      <alignment/>
    </xf>
    <xf numFmtId="0" fontId="0" fillId="33" borderId="26" xfId="0" applyFill="1" applyBorder="1" applyAlignment="1">
      <alignment horizontal="center"/>
    </xf>
    <xf numFmtId="0" fontId="0" fillId="33" borderId="26" xfId="0" applyFill="1" applyBorder="1" applyAlignment="1">
      <alignment/>
    </xf>
    <xf numFmtId="0" fontId="0" fillId="33" borderId="27" xfId="0" applyFill="1" applyBorder="1" applyAlignment="1">
      <alignment/>
    </xf>
    <xf numFmtId="0" fontId="5" fillId="0" borderId="0" xfId="0" applyFont="1" applyFill="1" applyAlignment="1">
      <alignment/>
    </xf>
    <xf numFmtId="0" fontId="0" fillId="0" borderId="0" xfId="0" applyFill="1" applyAlignment="1">
      <alignment/>
    </xf>
    <xf numFmtId="0" fontId="6" fillId="33" borderId="0" xfId="0" applyFont="1" applyFill="1" applyBorder="1" applyAlignment="1">
      <alignment/>
    </xf>
    <xf numFmtId="5" fontId="6" fillId="33" borderId="0" xfId="0" applyNumberFormat="1" applyFont="1" applyFill="1" applyBorder="1" applyAlignment="1">
      <alignment/>
    </xf>
    <xf numFmtId="184" fontId="6" fillId="33" borderId="0" xfId="60" applyNumberFormat="1" applyFont="1" applyFill="1" applyBorder="1" applyAlignment="1">
      <alignment/>
    </xf>
    <xf numFmtId="10" fontId="6" fillId="34" borderId="0" xfId="60" applyNumberFormat="1" applyFont="1" applyFill="1" applyBorder="1" applyAlignment="1">
      <alignment/>
    </xf>
    <xf numFmtId="10" fontId="6" fillId="33" borderId="0" xfId="60" applyNumberFormat="1" applyFont="1" applyFill="1" applyBorder="1" applyAlignment="1">
      <alignment/>
    </xf>
    <xf numFmtId="170" fontId="6" fillId="33" borderId="0" xfId="44" applyNumberFormat="1" applyFont="1" applyFill="1" applyBorder="1" applyAlignment="1">
      <alignment/>
    </xf>
    <xf numFmtId="10" fontId="6" fillId="33" borderId="28" xfId="60" applyNumberFormat="1" applyFont="1" applyFill="1" applyBorder="1" applyAlignment="1">
      <alignment/>
    </xf>
    <xf numFmtId="166" fontId="7" fillId="33" borderId="0" xfId="60" applyNumberFormat="1" applyFont="1" applyFill="1" applyBorder="1" applyAlignment="1">
      <alignment/>
    </xf>
    <xf numFmtId="0" fontId="0" fillId="33" borderId="19" xfId="0" applyFont="1" applyFill="1" applyBorder="1" applyAlignment="1">
      <alignment vertical="top" wrapText="1"/>
    </xf>
    <xf numFmtId="0" fontId="5" fillId="0" borderId="0" xfId="0" applyFont="1" applyAlignment="1">
      <alignment horizontal="center"/>
    </xf>
    <xf numFmtId="0" fontId="4" fillId="0" borderId="0" xfId="0" applyFont="1" applyBorder="1" applyAlignment="1">
      <alignment horizontal="center"/>
    </xf>
    <xf numFmtId="0" fontId="0" fillId="0" borderId="0" xfId="0" applyAlignment="1">
      <alignment horizontal="left" wrapText="1"/>
    </xf>
    <xf numFmtId="0" fontId="4" fillId="33" borderId="0" xfId="0" applyFont="1" applyFill="1" applyBorder="1" applyAlignment="1">
      <alignment horizontal="center"/>
    </xf>
    <xf numFmtId="0" fontId="0" fillId="33" borderId="0" xfId="0" applyFill="1" applyBorder="1" applyAlignment="1">
      <alignment horizontal="left" vertical="top" wrapText="1"/>
    </xf>
    <xf numFmtId="0" fontId="0" fillId="33" borderId="10" xfId="0" applyFont="1" applyFill="1" applyBorder="1" applyAlignment="1">
      <alignment horizontal="left" vertical="top" wrapText="1"/>
    </xf>
    <xf numFmtId="9" fontId="0" fillId="0" borderId="0" xfId="59" applyFont="1" applyAlignment="1">
      <alignment horizontal="center"/>
    </xf>
    <xf numFmtId="9" fontId="0" fillId="0" borderId="0" xfId="0" applyNumberForma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122"/>
  <sheetViews>
    <sheetView tabSelected="1" view="pageBreakPreview" zoomScale="60" zoomScalePageLayoutView="0" workbookViewId="0" topLeftCell="A1">
      <pane xSplit="1" ySplit="6" topLeftCell="B7" activePane="bottomRight" state="frozen"/>
      <selection pane="topLeft" activeCell="A1" sqref="A1"/>
      <selection pane="topRight" activeCell="B1" sqref="B1"/>
      <selection pane="bottomLeft" activeCell="A8" sqref="A8"/>
      <selection pane="bottomRight" activeCell="N16" sqref="N16"/>
    </sheetView>
  </sheetViews>
  <sheetFormatPr defaultColWidth="9.140625" defaultRowHeight="12.75"/>
  <cols>
    <col min="2" max="2" width="1.28515625" style="0" customWidth="1"/>
    <col min="3" max="3" width="5.00390625" style="1" bestFit="1" customWidth="1"/>
    <col min="4" max="4" width="56.28125" style="0" customWidth="1"/>
    <col min="6" max="6" width="14.421875" style="0" customWidth="1"/>
    <col min="7" max="7" width="14.28125" style="0" customWidth="1"/>
    <col min="8" max="8" width="16.00390625" style="0" bestFit="1" customWidth="1"/>
    <col min="9" max="9" width="1.28515625" style="0" customWidth="1"/>
    <col min="10" max="10" width="1.8515625" style="0" customWidth="1"/>
    <col min="11" max="11" width="11.00390625" style="0" customWidth="1"/>
  </cols>
  <sheetData>
    <row r="1" spans="4:8" ht="12.75">
      <c r="D1" s="49" t="s">
        <v>0</v>
      </c>
      <c r="E1" s="49"/>
      <c r="F1" s="49"/>
      <c r="G1" s="49"/>
      <c r="H1" s="49"/>
    </row>
    <row r="2" spans="4:8" ht="12.75">
      <c r="D2" s="103" t="s">
        <v>79</v>
      </c>
      <c r="E2" s="103"/>
      <c r="F2" s="103"/>
      <c r="G2" s="103"/>
      <c r="H2" s="103"/>
    </row>
    <row r="3" spans="4:8" ht="12.75">
      <c r="D3" s="50" t="s">
        <v>30</v>
      </c>
      <c r="E3" s="49"/>
      <c r="F3" s="49"/>
      <c r="G3" s="49"/>
      <c r="H3" s="49"/>
    </row>
    <row r="5" spans="3:8" ht="12.75">
      <c r="C5" s="2"/>
      <c r="H5" s="2"/>
    </row>
    <row r="6" spans="3:8" ht="26.25">
      <c r="C6" s="6" t="s">
        <v>15</v>
      </c>
      <c r="F6" s="6" t="s">
        <v>3</v>
      </c>
      <c r="G6" s="6" t="s">
        <v>4</v>
      </c>
      <c r="H6" s="6" t="s">
        <v>2</v>
      </c>
    </row>
    <row r="7" spans="6:8" ht="12.75">
      <c r="F7" s="6"/>
      <c r="G7" s="6"/>
      <c r="H7" s="6"/>
    </row>
    <row r="8" spans="2:11" ht="12.75">
      <c r="B8" s="21"/>
      <c r="C8" s="22"/>
      <c r="D8" s="23"/>
      <c r="E8" s="23"/>
      <c r="F8" s="24"/>
      <c r="G8" s="24"/>
      <c r="H8" s="24"/>
      <c r="I8" s="25"/>
      <c r="J8" s="3"/>
      <c r="K8" s="3"/>
    </row>
    <row r="9" spans="2:11" ht="12.75">
      <c r="B9" s="26"/>
      <c r="C9" s="104" t="s">
        <v>26</v>
      </c>
      <c r="D9" s="104"/>
      <c r="E9" s="104"/>
      <c r="F9" s="104"/>
      <c r="G9" s="104"/>
      <c r="H9" s="104"/>
      <c r="I9" s="28"/>
      <c r="J9" s="3"/>
      <c r="K9" s="3"/>
    </row>
    <row r="10" spans="2:11" ht="12.75">
      <c r="B10" s="26"/>
      <c r="C10" s="27"/>
      <c r="D10" s="3"/>
      <c r="E10" s="3"/>
      <c r="F10" s="29"/>
      <c r="G10" s="29"/>
      <c r="H10" s="29"/>
      <c r="I10" s="28"/>
      <c r="J10" s="3"/>
      <c r="K10" s="3"/>
    </row>
    <row r="11" spans="2:11" ht="12.75">
      <c r="B11" s="26"/>
      <c r="C11" s="27">
        <v>1</v>
      </c>
      <c r="D11" s="3" t="s">
        <v>5</v>
      </c>
      <c r="E11" s="3"/>
      <c r="F11" s="11">
        <f>F31/F24</f>
        <v>1792000</v>
      </c>
      <c r="G11" s="11">
        <f>G31/G24</f>
        <v>1120000</v>
      </c>
      <c r="H11" s="11">
        <f>SUM(F11:G11)</f>
        <v>2912000</v>
      </c>
      <c r="I11" s="28"/>
      <c r="J11" s="3"/>
      <c r="K11" s="3"/>
    </row>
    <row r="12" spans="2:11" ht="12.75">
      <c r="B12" s="26"/>
      <c r="C12" s="27">
        <v>2</v>
      </c>
      <c r="D12" s="3" t="s">
        <v>14</v>
      </c>
      <c r="E12" s="3"/>
      <c r="F12" s="7">
        <v>0</v>
      </c>
      <c r="G12" s="7">
        <f>ROUND(G31*0.015,0)</f>
        <v>84000</v>
      </c>
      <c r="H12" s="7">
        <f>SUM(F12:G12)</f>
        <v>84000</v>
      </c>
      <c r="I12" s="28"/>
      <c r="J12" s="3"/>
      <c r="K12" s="3"/>
    </row>
    <row r="13" spans="2:11" ht="12.75">
      <c r="B13" s="26"/>
      <c r="C13" s="27">
        <v>3</v>
      </c>
      <c r="D13" s="3" t="s">
        <v>33</v>
      </c>
      <c r="E13" s="3"/>
      <c r="F13" s="8">
        <f>SUM(F11:F12)</f>
        <v>1792000</v>
      </c>
      <c r="G13" s="8">
        <f>SUM(G11:G12)</f>
        <v>1204000</v>
      </c>
      <c r="H13" s="8">
        <f>SUM(H11:H12)</f>
        <v>2996000</v>
      </c>
      <c r="I13" s="28"/>
      <c r="J13" s="3"/>
      <c r="K13" s="3"/>
    </row>
    <row r="14" spans="2:11" ht="12.75">
      <c r="B14" s="26"/>
      <c r="C14" s="27">
        <v>4</v>
      </c>
      <c r="D14" s="3" t="s">
        <v>6</v>
      </c>
      <c r="E14" s="3"/>
      <c r="F14" s="9">
        <f>-F13</f>
        <v>-1792000</v>
      </c>
      <c r="G14" s="9">
        <f>-G13</f>
        <v>-1204000</v>
      </c>
      <c r="H14" s="9">
        <f>-H13</f>
        <v>-2996000</v>
      </c>
      <c r="I14" s="28"/>
      <c r="J14" s="3"/>
      <c r="K14" s="3"/>
    </row>
    <row r="15" spans="2:11" ht="12.75">
      <c r="B15" s="26"/>
      <c r="C15" s="27">
        <v>5</v>
      </c>
      <c r="D15" s="3" t="s">
        <v>7</v>
      </c>
      <c r="E15" s="3"/>
      <c r="F15" s="9">
        <f>F14*-0.35</f>
        <v>627200</v>
      </c>
      <c r="G15" s="9">
        <f>G14*-0.35</f>
        <v>421400</v>
      </c>
      <c r="H15" s="9">
        <f>SUM(F15:G15)</f>
        <v>1048600</v>
      </c>
      <c r="I15" s="28"/>
      <c r="J15" s="3"/>
      <c r="K15" s="3"/>
    </row>
    <row r="16" spans="2:11" ht="12.75">
      <c r="B16" s="26"/>
      <c r="C16" s="27">
        <v>7</v>
      </c>
      <c r="D16" s="3" t="s">
        <v>9</v>
      </c>
      <c r="E16" s="3"/>
      <c r="F16" s="16">
        <f>SUM(F14:F15)</f>
        <v>-1164800</v>
      </c>
      <c r="G16" s="16">
        <f>SUM(G14:G15)</f>
        <v>-782600</v>
      </c>
      <c r="H16" s="16">
        <f>SUM(H14:H15)</f>
        <v>-1947400</v>
      </c>
      <c r="I16" s="28"/>
      <c r="J16" s="3"/>
      <c r="K16" s="3"/>
    </row>
    <row r="17" spans="2:11" ht="12.75">
      <c r="B17" s="26"/>
      <c r="C17" s="27">
        <v>8</v>
      </c>
      <c r="D17" s="3" t="s">
        <v>11</v>
      </c>
      <c r="E17" s="3"/>
      <c r="F17" s="18">
        <f>F104</f>
        <v>0.62</v>
      </c>
      <c r="G17" s="18">
        <f>F17</f>
        <v>0.62</v>
      </c>
      <c r="H17" s="18">
        <f>G17</f>
        <v>0.62</v>
      </c>
      <c r="I17" s="28"/>
      <c r="J17" s="3"/>
      <c r="K17" s="3"/>
    </row>
    <row r="18" spans="2:11" ht="13.5" thickBot="1">
      <c r="B18" s="26"/>
      <c r="C18" s="27">
        <v>9</v>
      </c>
      <c r="D18" s="3" t="s">
        <v>31</v>
      </c>
      <c r="E18" s="3"/>
      <c r="F18" s="13">
        <f>-F16/F17</f>
        <v>1878709.677419355</v>
      </c>
      <c r="G18" s="13">
        <f>-G16/G17</f>
        <v>1262258.064516129</v>
      </c>
      <c r="H18" s="13">
        <f>-H16/H17</f>
        <v>3140967.741935484</v>
      </c>
      <c r="I18" s="28"/>
      <c r="J18" s="3"/>
      <c r="K18" s="3"/>
    </row>
    <row r="19" spans="2:11" ht="12.75">
      <c r="B19" s="26"/>
      <c r="C19" s="27"/>
      <c r="D19" s="3"/>
      <c r="E19" s="3"/>
      <c r="F19" s="29"/>
      <c r="G19" s="29"/>
      <c r="H19" s="29"/>
      <c r="I19" s="28"/>
      <c r="J19" s="3"/>
      <c r="K19" s="3"/>
    </row>
    <row r="20" spans="2:11" ht="13.5" thickBot="1">
      <c r="B20" s="26"/>
      <c r="C20" s="27">
        <v>10</v>
      </c>
      <c r="D20" s="3" t="s">
        <v>48</v>
      </c>
      <c r="E20" s="62">
        <f>H111</f>
        <v>0.480129256</v>
      </c>
      <c r="F20" s="51">
        <f>F18*E20</f>
        <v>902023.4796593549</v>
      </c>
      <c r="G20" s="51">
        <f>G18*E20</f>
        <v>606047.025396129</v>
      </c>
      <c r="H20" s="51">
        <f>SUM(F20:G20)</f>
        <v>1508070.505055484</v>
      </c>
      <c r="I20" s="28"/>
      <c r="J20" s="3"/>
      <c r="K20" s="3"/>
    </row>
    <row r="21" spans="2:11" ht="6.75" customHeight="1">
      <c r="B21" s="26"/>
      <c r="C21" s="27"/>
      <c r="D21" s="3"/>
      <c r="E21" s="3"/>
      <c r="F21" s="41"/>
      <c r="G21" s="41"/>
      <c r="H21" s="41"/>
      <c r="I21" s="28"/>
      <c r="J21" s="3"/>
      <c r="K21" s="3"/>
    </row>
    <row r="22" spans="2:11" ht="13.5" thickBot="1">
      <c r="B22" s="26"/>
      <c r="C22" s="27">
        <v>11</v>
      </c>
      <c r="D22" s="3" t="s">
        <v>49</v>
      </c>
      <c r="E22" s="62">
        <f>H112</f>
        <v>0.1437017715</v>
      </c>
      <c r="F22" s="51">
        <f>F18*E22</f>
        <v>269973.9087793548</v>
      </c>
      <c r="G22" s="51">
        <f>G18*E22</f>
        <v>181388.719961129</v>
      </c>
      <c r="H22" s="51">
        <f>SUM(F22:G22)</f>
        <v>451362.62874048384</v>
      </c>
      <c r="I22" s="28"/>
      <c r="J22" s="3"/>
      <c r="K22" s="3"/>
    </row>
    <row r="23" spans="2:11" ht="12.75">
      <c r="B23" s="26"/>
      <c r="C23" s="27"/>
      <c r="D23" s="3"/>
      <c r="E23" s="3"/>
      <c r="F23" s="41"/>
      <c r="G23" s="41"/>
      <c r="H23" s="41"/>
      <c r="I23" s="28"/>
      <c r="J23" s="3"/>
      <c r="K23" s="3"/>
    </row>
    <row r="24" spans="2:11" ht="12.75">
      <c r="B24" s="26"/>
      <c r="C24" s="27">
        <v>12</v>
      </c>
      <c r="D24" s="3" t="s">
        <v>32</v>
      </c>
      <c r="E24" s="3"/>
      <c r="F24" s="52">
        <v>12.5</v>
      </c>
      <c r="G24" s="53">
        <v>5</v>
      </c>
      <c r="H24" s="41"/>
      <c r="I24" s="28"/>
      <c r="J24" s="3"/>
      <c r="K24" s="3"/>
    </row>
    <row r="25" spans="2:11" ht="12.75">
      <c r="B25" s="26"/>
      <c r="C25" s="27"/>
      <c r="D25" s="3"/>
      <c r="E25" s="3"/>
      <c r="F25" s="41"/>
      <c r="G25" s="41"/>
      <c r="H25" s="41"/>
      <c r="I25" s="28"/>
      <c r="J25" s="3"/>
      <c r="K25" s="3"/>
    </row>
    <row r="26" spans="2:11" ht="12.75">
      <c r="B26" s="30"/>
      <c r="C26" s="31"/>
      <c r="D26" s="32"/>
      <c r="E26" s="32"/>
      <c r="F26" s="33"/>
      <c r="G26" s="33"/>
      <c r="H26" s="33"/>
      <c r="I26" s="34"/>
      <c r="J26" s="3"/>
      <c r="K26" s="3"/>
    </row>
    <row r="27" spans="6:8" ht="12.75">
      <c r="F27" s="11"/>
      <c r="G27" s="11"/>
      <c r="H27" s="11"/>
    </row>
    <row r="28" spans="2:11" ht="12.75">
      <c r="B28" s="21"/>
      <c r="C28" s="22"/>
      <c r="D28" s="23"/>
      <c r="E28" s="23"/>
      <c r="F28" s="35"/>
      <c r="G28" s="35"/>
      <c r="H28" s="35"/>
      <c r="I28" s="25"/>
      <c r="J28" s="3"/>
      <c r="K28" s="3"/>
    </row>
    <row r="29" spans="2:11" ht="12.75">
      <c r="B29" s="26"/>
      <c r="C29" s="104" t="s">
        <v>27</v>
      </c>
      <c r="D29" s="104"/>
      <c r="E29" s="104"/>
      <c r="F29" s="104"/>
      <c r="G29" s="104"/>
      <c r="H29" s="104"/>
      <c r="I29" s="28"/>
      <c r="J29" s="3"/>
      <c r="K29" s="3"/>
    </row>
    <row r="30" spans="2:11" ht="12.75">
      <c r="B30" s="26"/>
      <c r="C30" s="27"/>
      <c r="D30" s="3"/>
      <c r="E30" s="3"/>
      <c r="F30" s="10"/>
      <c r="G30" s="10"/>
      <c r="H30" s="10"/>
      <c r="I30" s="28"/>
      <c r="J30" s="3"/>
      <c r="K30" s="3"/>
    </row>
    <row r="31" spans="2:11" ht="12.75">
      <c r="B31" s="26"/>
      <c r="C31" s="27">
        <v>13</v>
      </c>
      <c r="D31" s="3" t="s">
        <v>25</v>
      </c>
      <c r="E31" s="3"/>
      <c r="F31" s="11">
        <f>28000000*0.8</f>
        <v>22400000</v>
      </c>
      <c r="G31" s="11">
        <f>28000000*0.2</f>
        <v>5600000</v>
      </c>
      <c r="H31" s="11">
        <f>SUM(F31:G31)</f>
        <v>28000000</v>
      </c>
      <c r="I31" s="28"/>
      <c r="J31" s="3"/>
      <c r="K31" s="3"/>
    </row>
    <row r="32" spans="2:11" ht="12.75">
      <c r="B32" s="26"/>
      <c r="C32" s="27">
        <v>14</v>
      </c>
      <c r="D32" s="3" t="s">
        <v>12</v>
      </c>
      <c r="E32" s="3"/>
      <c r="F32" s="9">
        <f>-F11*0.5</f>
        <v>-896000</v>
      </c>
      <c r="G32" s="9">
        <f>-G11*0.5</f>
        <v>-560000</v>
      </c>
      <c r="H32" s="9">
        <f>-H11*0.5</f>
        <v>-1456000</v>
      </c>
      <c r="I32" s="28"/>
      <c r="J32" s="3"/>
      <c r="K32" s="3"/>
    </row>
    <row r="33" spans="2:11" ht="12.75">
      <c r="B33" s="26"/>
      <c r="C33" s="27">
        <v>15</v>
      </c>
      <c r="D33" s="3" t="s">
        <v>13</v>
      </c>
      <c r="E33" s="3"/>
      <c r="F33" s="12">
        <f>(((F31*0.3333)-(F31/15))*-0.35)/2</f>
        <v>-1045202.6666666666</v>
      </c>
      <c r="G33" s="12">
        <f>(((G31*0.3333)-(G31/15))*-0.35)/2</f>
        <v>-261300.66666666666</v>
      </c>
      <c r="H33" s="12">
        <f>SUM(F33:G33)</f>
        <v>-1306503.3333333333</v>
      </c>
      <c r="I33" s="28"/>
      <c r="J33" s="3"/>
      <c r="K33" s="3"/>
    </row>
    <row r="34" spans="2:11" ht="12.75">
      <c r="B34" s="26"/>
      <c r="C34" s="27">
        <v>16</v>
      </c>
      <c r="D34" s="3" t="s">
        <v>10</v>
      </c>
      <c r="E34" s="3"/>
      <c r="F34" s="9">
        <f>SUM(F31:F33)</f>
        <v>20458797.333333332</v>
      </c>
      <c r="G34" s="9">
        <f>SUM(G31:G33)</f>
        <v>4778699.333333333</v>
      </c>
      <c r="H34" s="9">
        <f>SUM(H31:H33)</f>
        <v>25237496.666666668</v>
      </c>
      <c r="I34" s="28"/>
      <c r="J34" s="3"/>
      <c r="K34" s="3"/>
    </row>
    <row r="35" spans="2:11" ht="12.75">
      <c r="B35" s="26"/>
      <c r="C35" s="27">
        <v>17</v>
      </c>
      <c r="D35" s="3" t="s">
        <v>55</v>
      </c>
      <c r="E35" s="3"/>
      <c r="F35" s="19">
        <f>H99</f>
        <v>0.026779999999999998</v>
      </c>
      <c r="G35" s="19">
        <f>F35</f>
        <v>0.026779999999999998</v>
      </c>
      <c r="H35" s="19">
        <f>G35</f>
        <v>0.026779999999999998</v>
      </c>
      <c r="I35" s="28"/>
      <c r="J35" s="3"/>
      <c r="K35" s="3"/>
    </row>
    <row r="36" spans="2:11" ht="12.75">
      <c r="B36" s="26"/>
      <c r="C36" s="27">
        <v>18</v>
      </c>
      <c r="D36" s="3" t="s">
        <v>16</v>
      </c>
      <c r="E36" s="3"/>
      <c r="F36" s="17">
        <f>F34*F35</f>
        <v>547886.5925866666</v>
      </c>
      <c r="G36" s="17">
        <f>G34*G35</f>
        <v>127973.56814666664</v>
      </c>
      <c r="H36" s="17">
        <f>H34*H35</f>
        <v>675860.1607333333</v>
      </c>
      <c r="I36" s="28"/>
      <c r="J36" s="3"/>
      <c r="K36" s="3"/>
    </row>
    <row r="37" spans="2:11" ht="12.75">
      <c r="B37" s="26"/>
      <c r="C37" s="27">
        <v>19</v>
      </c>
      <c r="D37" s="3" t="s">
        <v>8</v>
      </c>
      <c r="E37" s="3"/>
      <c r="F37" s="9">
        <f>F36*0.35</f>
        <v>191760.3074053333</v>
      </c>
      <c r="G37" s="9">
        <f>G36*0.35</f>
        <v>44790.74885133332</v>
      </c>
      <c r="H37" s="9">
        <f>H36*0.35</f>
        <v>236551.05625666663</v>
      </c>
      <c r="I37" s="28"/>
      <c r="J37" s="3"/>
      <c r="K37" s="3"/>
    </row>
    <row r="38" spans="2:11" ht="12.75">
      <c r="B38" s="26"/>
      <c r="C38" s="27">
        <v>20</v>
      </c>
      <c r="D38" s="3" t="s">
        <v>17</v>
      </c>
      <c r="E38" s="3"/>
      <c r="F38" s="16">
        <f>SUM(F36-F37)</f>
        <v>356126.2851813333</v>
      </c>
      <c r="G38" s="16">
        <f>SUM(G36-G37)</f>
        <v>83182.81929533332</v>
      </c>
      <c r="H38" s="16">
        <f>SUM(H36-H37)</f>
        <v>439309.10447666666</v>
      </c>
      <c r="I38" s="28"/>
      <c r="J38" s="3"/>
      <c r="K38" s="3"/>
    </row>
    <row r="39" spans="2:11" ht="12.75">
      <c r="B39" s="26"/>
      <c r="C39" s="27">
        <v>21</v>
      </c>
      <c r="D39" s="3" t="s">
        <v>11</v>
      </c>
      <c r="E39" s="3"/>
      <c r="F39" s="18">
        <f>F104</f>
        <v>0.62</v>
      </c>
      <c r="G39" s="18">
        <f>F39</f>
        <v>0.62</v>
      </c>
      <c r="H39" s="18">
        <f>G39</f>
        <v>0.62</v>
      </c>
      <c r="I39" s="28"/>
      <c r="J39" s="3"/>
      <c r="K39" s="3"/>
    </row>
    <row r="40" spans="2:11" ht="13.5" thickBot="1">
      <c r="B40" s="26"/>
      <c r="C40" s="27">
        <v>22</v>
      </c>
      <c r="D40" s="3" t="s">
        <v>34</v>
      </c>
      <c r="E40" s="3"/>
      <c r="F40" s="13">
        <f>F38/F39</f>
        <v>574397.2341634409</v>
      </c>
      <c r="G40" s="13">
        <f>G38/G39</f>
        <v>134165.83757311825</v>
      </c>
      <c r="H40" s="13">
        <f>H38/H39</f>
        <v>708563.0717365592</v>
      </c>
      <c r="I40" s="28"/>
      <c r="J40" s="3"/>
      <c r="K40" s="3"/>
    </row>
    <row r="41" spans="2:11" ht="12.75">
      <c r="B41" s="26"/>
      <c r="C41" s="27"/>
      <c r="D41" s="3"/>
      <c r="E41" s="3"/>
      <c r="F41" s="29"/>
      <c r="G41" s="29"/>
      <c r="H41" s="29"/>
      <c r="I41" s="28"/>
      <c r="J41" s="3"/>
      <c r="K41" s="3"/>
    </row>
    <row r="42" spans="2:11" ht="13.5" thickBot="1">
      <c r="B42" s="26"/>
      <c r="C42" s="27">
        <v>23</v>
      </c>
      <c r="D42" s="3" t="s">
        <v>35</v>
      </c>
      <c r="E42" s="62">
        <f>E20</f>
        <v>0.480129256</v>
      </c>
      <c r="F42" s="51">
        <f>F40*E42</f>
        <v>275784.91668735066</v>
      </c>
      <c r="G42" s="51">
        <f>G40*E42</f>
        <v>64416.94377459811</v>
      </c>
      <c r="H42" s="51">
        <f>SUM(F42:G42)</f>
        <v>340201.8604619488</v>
      </c>
      <c r="I42" s="28"/>
      <c r="J42" s="3"/>
      <c r="K42" s="3"/>
    </row>
    <row r="43" spans="2:11" ht="6.75" customHeight="1">
      <c r="B43" s="26"/>
      <c r="C43" s="27"/>
      <c r="D43" s="3"/>
      <c r="E43" s="3"/>
      <c r="F43" s="41"/>
      <c r="G43" s="41"/>
      <c r="H43" s="41"/>
      <c r="I43" s="28"/>
      <c r="J43" s="3"/>
      <c r="K43" s="3"/>
    </row>
    <row r="44" spans="2:11" ht="13.5" thickBot="1">
      <c r="B44" s="26"/>
      <c r="C44" s="27">
        <v>24</v>
      </c>
      <c r="D44" s="3" t="s">
        <v>50</v>
      </c>
      <c r="E44" s="62">
        <f>E22</f>
        <v>0.1437017715</v>
      </c>
      <c r="F44" s="51">
        <f>F40*E44</f>
        <v>82541.90009398677</v>
      </c>
      <c r="G44" s="51">
        <f>G40*E44</f>
        <v>19279.868534038353</v>
      </c>
      <c r="H44" s="51">
        <f>SUM(F44:G44)</f>
        <v>101821.76862802512</v>
      </c>
      <c r="I44" s="28"/>
      <c r="J44" s="3"/>
      <c r="K44" s="3"/>
    </row>
    <row r="45" spans="2:11" ht="12.75">
      <c r="B45" s="30"/>
      <c r="C45" s="31"/>
      <c r="D45" s="32"/>
      <c r="E45" s="32"/>
      <c r="F45" s="32"/>
      <c r="G45" s="32"/>
      <c r="H45" s="32"/>
      <c r="I45" s="34"/>
      <c r="J45" s="3"/>
      <c r="K45" s="3"/>
    </row>
    <row r="47" spans="2:12" ht="12.75">
      <c r="B47" s="21"/>
      <c r="C47" s="22"/>
      <c r="D47" s="23"/>
      <c r="E47" s="23"/>
      <c r="F47" s="23"/>
      <c r="G47" s="23"/>
      <c r="H47" s="23"/>
      <c r="I47" s="25"/>
      <c r="J47" s="3"/>
      <c r="K47" s="3"/>
      <c r="L47" s="3"/>
    </row>
    <row r="48" spans="2:12" ht="12.75">
      <c r="B48" s="26"/>
      <c r="C48" s="104" t="s">
        <v>28</v>
      </c>
      <c r="D48" s="104"/>
      <c r="E48" s="104"/>
      <c r="F48" s="104"/>
      <c r="G48" s="104"/>
      <c r="H48" s="104"/>
      <c r="I48" s="28"/>
      <c r="J48" s="3"/>
      <c r="K48" s="3"/>
      <c r="L48" s="3"/>
    </row>
    <row r="49" spans="2:12" ht="12.75">
      <c r="B49" s="26"/>
      <c r="C49" s="27"/>
      <c r="D49" s="3"/>
      <c r="E49" s="3"/>
      <c r="F49" s="3"/>
      <c r="G49" s="3"/>
      <c r="H49" s="3"/>
      <c r="I49" s="28"/>
      <c r="J49" s="3"/>
      <c r="K49" s="3"/>
      <c r="L49" s="3"/>
    </row>
    <row r="50" spans="2:12" ht="12.75">
      <c r="B50" s="26"/>
      <c r="C50" s="27">
        <v>25</v>
      </c>
      <c r="D50" s="3" t="s">
        <v>25</v>
      </c>
      <c r="E50" s="3"/>
      <c r="F50" s="11">
        <f aca="true" t="shared" si="0" ref="F50:H52">F31</f>
        <v>22400000</v>
      </c>
      <c r="G50" s="11">
        <f t="shared" si="0"/>
        <v>5600000</v>
      </c>
      <c r="H50" s="11">
        <f t="shared" si="0"/>
        <v>28000000</v>
      </c>
      <c r="I50" s="28"/>
      <c r="J50" s="3"/>
      <c r="K50" s="3"/>
      <c r="L50" s="3"/>
    </row>
    <row r="51" spans="2:12" ht="12.75">
      <c r="B51" s="26"/>
      <c r="C51" s="27">
        <v>26</v>
      </c>
      <c r="D51" s="3" t="s">
        <v>12</v>
      </c>
      <c r="E51" s="3"/>
      <c r="F51" s="9">
        <f t="shared" si="0"/>
        <v>-896000</v>
      </c>
      <c r="G51" s="9">
        <f t="shared" si="0"/>
        <v>-560000</v>
      </c>
      <c r="H51" s="9">
        <f t="shared" si="0"/>
        <v>-1456000</v>
      </c>
      <c r="I51" s="28"/>
      <c r="J51" s="3"/>
      <c r="K51" s="3"/>
      <c r="L51" s="3"/>
    </row>
    <row r="52" spans="2:12" ht="12.75">
      <c r="B52" s="26"/>
      <c r="C52" s="27">
        <v>27</v>
      </c>
      <c r="D52" s="3" t="s">
        <v>13</v>
      </c>
      <c r="E52" s="3"/>
      <c r="F52" s="12">
        <f t="shared" si="0"/>
        <v>-1045202.6666666666</v>
      </c>
      <c r="G52" s="12">
        <f t="shared" si="0"/>
        <v>-261300.66666666666</v>
      </c>
      <c r="H52" s="12">
        <f t="shared" si="0"/>
        <v>-1306503.3333333333</v>
      </c>
      <c r="I52" s="28"/>
      <c r="J52" s="3"/>
      <c r="K52" s="3"/>
      <c r="L52" s="3"/>
    </row>
    <row r="53" spans="2:12" ht="12.75">
      <c r="B53" s="26"/>
      <c r="C53" s="27">
        <v>28</v>
      </c>
      <c r="D53" s="3" t="s">
        <v>10</v>
      </c>
      <c r="E53" s="3"/>
      <c r="F53" s="9">
        <f>SUM(F50:F52)</f>
        <v>20458797.333333332</v>
      </c>
      <c r="G53" s="9">
        <f>SUM(G50:G52)</f>
        <v>4778699.333333333</v>
      </c>
      <c r="H53" s="9">
        <f>SUM(H50:H52)</f>
        <v>25237496.666666668</v>
      </c>
      <c r="I53" s="28"/>
      <c r="J53" s="3"/>
      <c r="K53" s="3"/>
      <c r="L53" s="3"/>
    </row>
    <row r="54" spans="2:12" ht="12.75">
      <c r="B54" s="26"/>
      <c r="C54" s="27">
        <v>29</v>
      </c>
      <c r="D54" s="3" t="s">
        <v>56</v>
      </c>
      <c r="E54" s="3"/>
      <c r="F54" s="15">
        <f>H100</f>
        <v>0.046075</v>
      </c>
      <c r="G54" s="15">
        <f>F54</f>
        <v>0.046075</v>
      </c>
      <c r="H54" s="15">
        <f>G54</f>
        <v>0.046075</v>
      </c>
      <c r="I54" s="28"/>
      <c r="J54" s="3"/>
      <c r="K54" s="3"/>
      <c r="L54" s="3"/>
    </row>
    <row r="55" spans="2:12" ht="12.75">
      <c r="B55" s="26"/>
      <c r="C55" s="27">
        <v>30</v>
      </c>
      <c r="D55" s="3" t="s">
        <v>18</v>
      </c>
      <c r="E55" s="3"/>
      <c r="F55" s="16">
        <f>F53*F54</f>
        <v>942639.0871333332</v>
      </c>
      <c r="G55" s="16">
        <f>G53*G54</f>
        <v>220178.57178333332</v>
      </c>
      <c r="H55" s="16">
        <f>H53*H54</f>
        <v>1162817.6589166666</v>
      </c>
      <c r="I55" s="28"/>
      <c r="J55" s="3"/>
      <c r="K55" s="3"/>
      <c r="L55" s="3"/>
    </row>
    <row r="56" spans="2:12" ht="12.75">
      <c r="B56" s="26"/>
      <c r="C56" s="27">
        <v>31</v>
      </c>
      <c r="D56" s="3" t="s">
        <v>11</v>
      </c>
      <c r="E56" s="3"/>
      <c r="F56" s="18">
        <f>F104</f>
        <v>0.62</v>
      </c>
      <c r="G56" s="18">
        <f>F56</f>
        <v>0.62</v>
      </c>
      <c r="H56" s="18">
        <f>G56</f>
        <v>0.62</v>
      </c>
      <c r="I56" s="28"/>
      <c r="J56" s="3"/>
      <c r="K56" s="3"/>
      <c r="L56" s="3"/>
    </row>
    <row r="57" spans="2:12" ht="13.5" thickBot="1">
      <c r="B57" s="26"/>
      <c r="C57" s="27">
        <v>32</v>
      </c>
      <c r="D57" s="3" t="s">
        <v>36</v>
      </c>
      <c r="E57" s="3"/>
      <c r="F57" s="13">
        <f>F55/F56</f>
        <v>1520385.624408602</v>
      </c>
      <c r="G57" s="13">
        <f>G55/G56</f>
        <v>355126.72868279566</v>
      </c>
      <c r="H57" s="13">
        <f>H55/H56</f>
        <v>1875512.3530913978</v>
      </c>
      <c r="I57" s="28"/>
      <c r="J57" s="3"/>
      <c r="K57" s="3"/>
      <c r="L57" s="3"/>
    </row>
    <row r="58" spans="2:12" ht="12.75">
      <c r="B58" s="26"/>
      <c r="C58" s="27"/>
      <c r="D58" s="3"/>
      <c r="E58" s="3"/>
      <c r="F58" s="29"/>
      <c r="G58" s="29"/>
      <c r="H58" s="29"/>
      <c r="I58" s="28"/>
      <c r="J58" s="3"/>
      <c r="K58" s="3"/>
      <c r="L58" s="3"/>
    </row>
    <row r="59" spans="2:12" ht="13.5" thickBot="1">
      <c r="B59" s="26"/>
      <c r="C59" s="27">
        <v>33</v>
      </c>
      <c r="D59" s="3" t="s">
        <v>37</v>
      </c>
      <c r="E59" s="62">
        <f>E42</f>
        <v>0.480129256</v>
      </c>
      <c r="F59" s="51">
        <f>F57*E59</f>
        <v>729981.6186803975</v>
      </c>
      <c r="G59" s="51">
        <f>G57*E59</f>
        <v>170506.73202818455</v>
      </c>
      <c r="H59" s="51">
        <f>SUM(F59:G59)</f>
        <v>900488.3507085821</v>
      </c>
      <c r="I59" s="28"/>
      <c r="J59" s="3"/>
      <c r="K59" s="3"/>
      <c r="L59" s="3"/>
    </row>
    <row r="60" spans="2:12" ht="4.5" customHeight="1">
      <c r="B60" s="26"/>
      <c r="C60" s="27"/>
      <c r="D60" s="3"/>
      <c r="E60" s="3"/>
      <c r="F60" s="41"/>
      <c r="G60" s="41"/>
      <c r="H60" s="41"/>
      <c r="I60" s="28"/>
      <c r="J60" s="3"/>
      <c r="K60" s="3"/>
      <c r="L60" s="3"/>
    </row>
    <row r="61" spans="2:12" ht="13.5" thickBot="1">
      <c r="B61" s="26"/>
      <c r="C61" s="27">
        <v>34</v>
      </c>
      <c r="D61" s="3" t="s">
        <v>38</v>
      </c>
      <c r="E61" s="62">
        <f>E44</f>
        <v>0.1437017715</v>
      </c>
      <c r="F61" s="51">
        <f>F57*E61</f>
        <v>218482.10759064974</v>
      </c>
      <c r="G61" s="51">
        <f>G57*E61</f>
        <v>51032.340018717594</v>
      </c>
      <c r="H61" s="51">
        <f>SUM(F61:G61)</f>
        <v>269514.4476093673</v>
      </c>
      <c r="I61" s="28"/>
      <c r="J61" s="3"/>
      <c r="K61" s="3"/>
      <c r="L61" s="3"/>
    </row>
    <row r="62" spans="2:12" ht="12.75">
      <c r="B62" s="30"/>
      <c r="C62" s="31"/>
      <c r="D62" s="32"/>
      <c r="E62" s="32"/>
      <c r="F62" s="32"/>
      <c r="G62" s="32"/>
      <c r="H62" s="32"/>
      <c r="I62" s="34"/>
      <c r="J62" s="3"/>
      <c r="K62" s="3"/>
      <c r="L62" s="3"/>
    </row>
    <row r="63" spans="2:11" ht="13.5" thickBot="1">
      <c r="B63" s="3"/>
      <c r="C63" s="27"/>
      <c r="D63" s="3"/>
      <c r="E63" s="3"/>
      <c r="F63" s="3"/>
      <c r="G63" s="3"/>
      <c r="H63" s="3"/>
      <c r="I63" s="3"/>
      <c r="J63" s="3"/>
      <c r="K63" s="3"/>
    </row>
    <row r="64" spans="2:11" ht="12.75">
      <c r="B64" s="36"/>
      <c r="C64" s="37"/>
      <c r="D64" s="38"/>
      <c r="E64" s="38"/>
      <c r="F64" s="38"/>
      <c r="G64" s="38"/>
      <c r="H64" s="38"/>
      <c r="I64" s="39"/>
      <c r="J64" s="3"/>
      <c r="K64" s="3"/>
    </row>
    <row r="65" spans="2:11" ht="12.75">
      <c r="B65" s="40"/>
      <c r="C65" s="104" t="s">
        <v>29</v>
      </c>
      <c r="D65" s="104"/>
      <c r="E65" s="104"/>
      <c r="F65" s="104"/>
      <c r="G65" s="104"/>
      <c r="H65" s="104"/>
      <c r="I65" s="42"/>
      <c r="J65" s="3"/>
      <c r="K65" s="3"/>
    </row>
    <row r="66" spans="2:12" ht="12.75">
      <c r="B66" s="40"/>
      <c r="C66" s="27"/>
      <c r="D66" s="3"/>
      <c r="E66" s="3"/>
      <c r="F66" s="3"/>
      <c r="G66" s="3"/>
      <c r="H66" s="3"/>
      <c r="I66" s="42"/>
      <c r="J66" s="3"/>
      <c r="K66" s="3"/>
      <c r="L66" s="1" t="s">
        <v>81</v>
      </c>
    </row>
    <row r="67" spans="2:12" ht="12.75">
      <c r="B67" s="40"/>
      <c r="C67" s="27">
        <v>35</v>
      </c>
      <c r="D67" s="3" t="str">
        <f>D20</f>
        <v>Deprec. &amp; Prop. Tax Revenue Requirement - WA Electric Share</v>
      </c>
      <c r="E67" s="3"/>
      <c r="F67" s="41">
        <f>F20</f>
        <v>902023.4796593549</v>
      </c>
      <c r="G67" s="41">
        <f>G20</f>
        <v>606047.025396129</v>
      </c>
      <c r="H67" s="41">
        <f>H20</f>
        <v>1508070.505055484</v>
      </c>
      <c r="I67" s="42"/>
      <c r="J67" s="3"/>
      <c r="K67" s="3"/>
      <c r="L67" s="109">
        <f>H67/H70</f>
        <v>0.5486365168686018</v>
      </c>
    </row>
    <row r="68" spans="2:12" ht="12.75">
      <c r="B68" s="40"/>
      <c r="C68" s="27">
        <v>36</v>
      </c>
      <c r="D68" s="3" t="str">
        <f>D42</f>
        <v>Debt Revenue Requirement - WA Electric Share</v>
      </c>
      <c r="E68" s="3"/>
      <c r="F68" s="43">
        <f>F42</f>
        <v>275784.91668735066</v>
      </c>
      <c r="G68" s="43">
        <f>G42</f>
        <v>64416.94377459811</v>
      </c>
      <c r="H68" s="43">
        <f>H42</f>
        <v>340201.8604619488</v>
      </c>
      <c r="I68" s="42"/>
      <c r="J68" s="3"/>
      <c r="K68" s="3"/>
      <c r="L68" s="109">
        <f>H68/H70</f>
        <v>0.12376554221461594</v>
      </c>
    </row>
    <row r="69" spans="2:12" ht="12.75">
      <c r="B69" s="40"/>
      <c r="C69" s="27">
        <v>37</v>
      </c>
      <c r="D69" s="3" t="str">
        <f>D59</f>
        <v>Equity Revenue Requirement - WA Electric Share</v>
      </c>
      <c r="E69" s="3"/>
      <c r="F69" s="43">
        <f>F59</f>
        <v>729981.6186803975</v>
      </c>
      <c r="G69" s="43">
        <f>G59</f>
        <v>170506.73202818455</v>
      </c>
      <c r="H69" s="43">
        <f>H59</f>
        <v>900488.3507085821</v>
      </c>
      <c r="I69" s="42"/>
      <c r="J69" s="3"/>
      <c r="K69" s="3"/>
      <c r="L69" s="109">
        <f>H69/H70</f>
        <v>0.32759794091678224</v>
      </c>
    </row>
    <row r="70" spans="2:12" ht="13.5" thickBot="1">
      <c r="B70" s="40"/>
      <c r="C70" s="27">
        <v>38</v>
      </c>
      <c r="D70" s="3" t="s">
        <v>39</v>
      </c>
      <c r="E70" s="3"/>
      <c r="F70" s="20">
        <f>SUM(F20,F42,F59)</f>
        <v>1907790.015027103</v>
      </c>
      <c r="G70" s="20">
        <f>SUM(G20,G42,G59)</f>
        <v>840970.7011989116</v>
      </c>
      <c r="H70" s="20">
        <f>SUM(H20,H42,H59)</f>
        <v>2748760.716226015</v>
      </c>
      <c r="I70" s="42"/>
      <c r="J70" s="3"/>
      <c r="K70" s="3"/>
      <c r="L70" s="110">
        <f>SUM(L67:L69)</f>
        <v>1</v>
      </c>
    </row>
    <row r="71" spans="2:11" ht="12.75">
      <c r="B71" s="40"/>
      <c r="C71" s="27"/>
      <c r="D71" s="3"/>
      <c r="E71" s="3"/>
      <c r="F71" s="3"/>
      <c r="G71" s="3"/>
      <c r="H71" s="3"/>
      <c r="I71" s="42"/>
      <c r="J71" s="3"/>
      <c r="K71" s="3"/>
    </row>
    <row r="72" spans="2:11" ht="12.75">
      <c r="B72" s="40"/>
      <c r="C72" s="27">
        <v>39</v>
      </c>
      <c r="D72" s="3" t="str">
        <f>D22</f>
        <v>Deprec. &amp; Prop. Tax Revenue Requirement - WA Natural Gas Share</v>
      </c>
      <c r="E72" s="3"/>
      <c r="F72" s="41">
        <f>F22</f>
        <v>269973.9087793548</v>
      </c>
      <c r="G72" s="41">
        <f>G22</f>
        <v>181388.719961129</v>
      </c>
      <c r="H72" s="41">
        <f>H22</f>
        <v>451362.62874048384</v>
      </c>
      <c r="I72" s="42"/>
      <c r="J72" s="3"/>
      <c r="K72" s="3"/>
    </row>
    <row r="73" spans="2:11" ht="12.75">
      <c r="B73" s="40"/>
      <c r="C73" s="27">
        <v>40</v>
      </c>
      <c r="D73" s="3" t="str">
        <f>D44</f>
        <v>Debt Revenue Requirement - WA Natural Gas Share</v>
      </c>
      <c r="E73" s="3"/>
      <c r="F73" s="43">
        <f>F44</f>
        <v>82541.90009398677</v>
      </c>
      <c r="G73" s="43">
        <f>G44</f>
        <v>19279.868534038353</v>
      </c>
      <c r="H73" s="43">
        <f>H44</f>
        <v>101821.76862802512</v>
      </c>
      <c r="I73" s="42"/>
      <c r="J73" s="3"/>
      <c r="K73" s="3"/>
    </row>
    <row r="74" spans="2:11" ht="12.75">
      <c r="B74" s="40"/>
      <c r="C74" s="27">
        <v>41</v>
      </c>
      <c r="D74" s="3" t="str">
        <f>D61</f>
        <v>Equity Revenue Requirement - WA Natural Gas Share</v>
      </c>
      <c r="E74" s="3"/>
      <c r="F74" s="43">
        <f>F61</f>
        <v>218482.10759064974</v>
      </c>
      <c r="G74" s="43">
        <f>G61</f>
        <v>51032.340018717594</v>
      </c>
      <c r="H74" s="43">
        <f>H61</f>
        <v>269514.4476093673</v>
      </c>
      <c r="I74" s="42"/>
      <c r="J74" s="3"/>
      <c r="K74" s="3"/>
    </row>
    <row r="75" spans="2:11" ht="13.5" thickBot="1">
      <c r="B75" s="40"/>
      <c r="C75" s="27">
        <v>42</v>
      </c>
      <c r="D75" s="3" t="s">
        <v>40</v>
      </c>
      <c r="E75" s="3"/>
      <c r="F75" s="20">
        <f>SUM(F22,F44,F61)</f>
        <v>570997.9164639914</v>
      </c>
      <c r="G75" s="20">
        <f>SUM(G22,G44,G61)</f>
        <v>251700.92851388498</v>
      </c>
      <c r="H75" s="20">
        <f>SUM(H22,H44,H61)</f>
        <v>822698.8449778763</v>
      </c>
      <c r="I75" s="42"/>
      <c r="J75" s="3"/>
      <c r="K75" s="3"/>
    </row>
    <row r="76" spans="2:11" ht="13.5" thickBot="1">
      <c r="B76" s="44"/>
      <c r="C76" s="45"/>
      <c r="D76" s="46"/>
      <c r="E76" s="46"/>
      <c r="F76" s="46"/>
      <c r="G76" s="46"/>
      <c r="H76" s="46"/>
      <c r="I76" s="47"/>
      <c r="J76" s="3"/>
      <c r="K76" s="3"/>
    </row>
    <row r="77" ht="13.5" thickBot="1"/>
    <row r="78" spans="2:11" ht="12.75">
      <c r="B78" s="36"/>
      <c r="C78" s="37"/>
      <c r="D78" s="38"/>
      <c r="E78" s="38"/>
      <c r="F78" s="38"/>
      <c r="G78" s="38"/>
      <c r="H78" s="38"/>
      <c r="I78" s="39"/>
      <c r="J78" s="3"/>
      <c r="K78" s="3"/>
    </row>
    <row r="79" spans="2:11" ht="12.75">
      <c r="B79" s="40"/>
      <c r="C79" s="27"/>
      <c r="D79" s="104" t="s">
        <v>57</v>
      </c>
      <c r="E79" s="104"/>
      <c r="F79" s="104"/>
      <c r="G79" s="104"/>
      <c r="H79" s="104"/>
      <c r="I79" s="42"/>
      <c r="J79" s="3"/>
      <c r="K79" s="3"/>
    </row>
    <row r="80" spans="2:11" ht="12.75">
      <c r="B80" s="40"/>
      <c r="C80" s="27"/>
      <c r="D80" s="3"/>
      <c r="E80" s="3"/>
      <c r="F80" s="3"/>
      <c r="G80" s="3"/>
      <c r="H80" s="3"/>
      <c r="I80" s="42"/>
      <c r="J80" s="3"/>
      <c r="K80" s="3"/>
    </row>
    <row r="81" spans="2:11" ht="12.75">
      <c r="B81" s="40"/>
      <c r="C81" s="27"/>
      <c r="D81" s="3" t="s">
        <v>42</v>
      </c>
      <c r="E81" s="27" t="s">
        <v>19</v>
      </c>
      <c r="F81" s="27" t="s">
        <v>47</v>
      </c>
      <c r="G81" s="5">
        <f>H70</f>
        <v>2748760.716226015</v>
      </c>
      <c r="H81" s="3"/>
      <c r="I81" s="42"/>
      <c r="J81" s="3"/>
      <c r="K81" s="3"/>
    </row>
    <row r="82" spans="2:11" ht="12.75">
      <c r="B82" s="40"/>
      <c r="C82" s="27"/>
      <c r="D82" s="3" t="s">
        <v>43</v>
      </c>
      <c r="E82" s="27" t="s">
        <v>23</v>
      </c>
      <c r="F82" s="27" t="str">
        <f>F81</f>
        <v>ED.WA</v>
      </c>
      <c r="G82" s="3"/>
      <c r="H82" s="5">
        <f>H67+H68</f>
        <v>1848272.3655174328</v>
      </c>
      <c r="I82" s="42"/>
      <c r="J82" s="3"/>
      <c r="K82" s="3"/>
    </row>
    <row r="83" spans="2:11" ht="12.75">
      <c r="B83" s="40"/>
      <c r="C83" s="27"/>
      <c r="D83" s="3" t="s">
        <v>44</v>
      </c>
      <c r="E83" s="27" t="s">
        <v>20</v>
      </c>
      <c r="F83" s="27" t="str">
        <f>F81</f>
        <v>ED.WA</v>
      </c>
      <c r="G83" s="3"/>
      <c r="H83" s="41">
        <f>H69</f>
        <v>900488.3507085821</v>
      </c>
      <c r="I83" s="42"/>
      <c r="J83" s="3"/>
      <c r="K83" s="3"/>
    </row>
    <row r="84" spans="2:11" ht="12.75">
      <c r="B84" s="40"/>
      <c r="C84" s="27"/>
      <c r="D84" s="3"/>
      <c r="E84" s="27"/>
      <c r="F84" s="3"/>
      <c r="G84" s="3"/>
      <c r="H84" s="3"/>
      <c r="I84" s="42"/>
      <c r="J84" s="3"/>
      <c r="K84" s="3"/>
    </row>
    <row r="85" spans="2:11" ht="12.75">
      <c r="B85" s="40"/>
      <c r="C85" s="27"/>
      <c r="D85" s="3"/>
      <c r="E85" s="27"/>
      <c r="F85" s="3"/>
      <c r="G85" s="3"/>
      <c r="H85" s="3"/>
      <c r="I85" s="42"/>
      <c r="J85" s="3"/>
      <c r="K85" s="3"/>
    </row>
    <row r="86" spans="2:11" ht="12.75">
      <c r="B86" s="40"/>
      <c r="C86" s="27"/>
      <c r="D86" s="104" t="s">
        <v>41</v>
      </c>
      <c r="E86" s="104"/>
      <c r="F86" s="104"/>
      <c r="G86" s="104"/>
      <c r="H86" s="104"/>
      <c r="I86" s="42"/>
      <c r="J86" s="3"/>
      <c r="K86" s="3"/>
    </row>
    <row r="87" spans="2:11" ht="12.75">
      <c r="B87" s="40"/>
      <c r="C87" s="27"/>
      <c r="D87" s="3"/>
      <c r="E87" s="27"/>
      <c r="F87" s="3"/>
      <c r="G87" s="3"/>
      <c r="H87" s="3"/>
      <c r="I87" s="42"/>
      <c r="J87" s="3"/>
      <c r="K87" s="3"/>
    </row>
    <row r="88" spans="2:11" ht="12.75">
      <c r="B88" s="40"/>
      <c r="C88" s="27"/>
      <c r="D88" s="3" t="s">
        <v>21</v>
      </c>
      <c r="E88" s="48">
        <v>142.1</v>
      </c>
      <c r="F88" s="27" t="str">
        <f>F81</f>
        <v>ED.WA</v>
      </c>
      <c r="G88" s="5">
        <f>G81</f>
        <v>2748760.716226015</v>
      </c>
      <c r="H88" s="3"/>
      <c r="I88" s="42"/>
      <c r="J88" s="3"/>
      <c r="K88" s="3"/>
    </row>
    <row r="89" spans="2:11" ht="12.75">
      <c r="B89" s="40"/>
      <c r="C89" s="27"/>
      <c r="D89" s="3" t="s">
        <v>22</v>
      </c>
      <c r="E89" s="27" t="s">
        <v>24</v>
      </c>
      <c r="F89" s="27" t="str">
        <f>F81</f>
        <v>ED.WA</v>
      </c>
      <c r="G89" s="3"/>
      <c r="H89" s="5">
        <f>G88</f>
        <v>2748760.716226015</v>
      </c>
      <c r="I89" s="42"/>
      <c r="J89" s="3"/>
      <c r="K89" s="3"/>
    </row>
    <row r="90" spans="2:11" ht="12.75">
      <c r="B90" s="40"/>
      <c r="C90" s="27"/>
      <c r="D90" s="3" t="s">
        <v>45</v>
      </c>
      <c r="E90" s="27" t="s">
        <v>23</v>
      </c>
      <c r="F90" s="27" t="str">
        <f>F81</f>
        <v>ED.WA</v>
      </c>
      <c r="G90" s="5">
        <f>H82</f>
        <v>1848272.3655174328</v>
      </c>
      <c r="H90" s="3"/>
      <c r="I90" s="42"/>
      <c r="J90" s="3"/>
      <c r="K90" s="3"/>
    </row>
    <row r="91" spans="2:11" ht="12.75">
      <c r="B91" s="40"/>
      <c r="C91" s="27"/>
      <c r="D91" s="3" t="s">
        <v>46</v>
      </c>
      <c r="E91" s="27" t="s">
        <v>20</v>
      </c>
      <c r="F91" s="27" t="str">
        <f>F81</f>
        <v>ED.WA</v>
      </c>
      <c r="G91" s="41">
        <f>H83</f>
        <v>900488.3507085821</v>
      </c>
      <c r="H91" s="3"/>
      <c r="I91" s="42"/>
      <c r="J91" s="3"/>
      <c r="K91" s="3"/>
    </row>
    <row r="92" spans="2:11" ht="12.75">
      <c r="B92" s="40"/>
      <c r="C92" s="27"/>
      <c r="D92" s="3" t="str">
        <f>D81</f>
        <v>Regulatory Asset - Deferred Costs</v>
      </c>
      <c r="E92" s="27" t="s">
        <v>19</v>
      </c>
      <c r="F92" s="27" t="str">
        <f>F81</f>
        <v>ED.WA</v>
      </c>
      <c r="G92" s="3"/>
      <c r="H92" s="5">
        <f>G81</f>
        <v>2748760.716226015</v>
      </c>
      <c r="I92" s="42"/>
      <c r="J92" s="3"/>
      <c r="K92" s="3"/>
    </row>
    <row r="93" spans="2:11" ht="13.5" thickBot="1">
      <c r="B93" s="44"/>
      <c r="C93" s="45"/>
      <c r="D93" s="46"/>
      <c r="E93" s="46"/>
      <c r="F93" s="46"/>
      <c r="G93" s="46"/>
      <c r="H93" s="46"/>
      <c r="I93" s="47"/>
      <c r="J93" s="3"/>
      <c r="K93" s="3"/>
    </row>
    <row r="95" ht="3" customHeight="1"/>
    <row r="96" spans="3:4" ht="12.75">
      <c r="C96" s="14" t="s">
        <v>1</v>
      </c>
      <c r="D96" s="4"/>
    </row>
    <row r="97" spans="3:4" ht="12.75">
      <c r="C97" s="4" t="s">
        <v>54</v>
      </c>
      <c r="D97" s="4"/>
    </row>
    <row r="98" spans="3:4" ht="12.75">
      <c r="C98" s="4"/>
      <c r="D98" s="4"/>
    </row>
    <row r="99" spans="3:8" ht="12.75">
      <c r="C99" s="4"/>
      <c r="D99" s="4" t="s">
        <v>51</v>
      </c>
      <c r="F99" s="54">
        <v>0.515</v>
      </c>
      <c r="G99" s="54">
        <v>0.052</v>
      </c>
      <c r="H99" s="55">
        <f>F99*G99</f>
        <v>0.026779999999999998</v>
      </c>
    </row>
    <row r="100" spans="3:8" ht="12.75">
      <c r="C100" s="4"/>
      <c r="D100" s="4" t="s">
        <v>52</v>
      </c>
      <c r="F100" s="54">
        <v>0.485</v>
      </c>
      <c r="G100" s="54">
        <v>0.095</v>
      </c>
      <c r="H100" s="55">
        <f>F100*G100</f>
        <v>0.046075</v>
      </c>
    </row>
    <row r="101" spans="3:8" ht="13.5" thickBot="1">
      <c r="C101" s="4"/>
      <c r="D101" s="4" t="s">
        <v>53</v>
      </c>
      <c r="F101" s="56">
        <f>SUM(F99:F100)</f>
        <v>1</v>
      </c>
      <c r="H101" s="56">
        <f>SUM(H99:H100)</f>
        <v>0.072855</v>
      </c>
    </row>
    <row r="102" spans="3:8" ht="12.75">
      <c r="C102" s="4"/>
      <c r="D102" s="4"/>
      <c r="F102" s="57"/>
      <c r="H102" s="57"/>
    </row>
    <row r="103" spans="3:8" ht="12.75">
      <c r="C103" s="4" t="s">
        <v>80</v>
      </c>
      <c r="D103" s="4"/>
      <c r="F103" s="57"/>
      <c r="H103" s="57"/>
    </row>
    <row r="104" spans="3:8" ht="12.75">
      <c r="C104" s="4"/>
      <c r="D104" s="4"/>
      <c r="F104" s="58">
        <v>0.62</v>
      </c>
      <c r="H104" s="57"/>
    </row>
    <row r="105" spans="3:8" ht="12.75">
      <c r="C105" s="4"/>
      <c r="D105" s="4"/>
      <c r="F105" s="57"/>
      <c r="H105" s="57"/>
    </row>
    <row r="106" spans="3:8" ht="36" customHeight="1">
      <c r="C106" s="105" t="s">
        <v>76</v>
      </c>
      <c r="D106" s="105"/>
      <c r="E106" s="105"/>
      <c r="F106" s="105"/>
      <c r="G106" s="105"/>
      <c r="H106" s="105"/>
    </row>
    <row r="107" spans="3:4" ht="12.75">
      <c r="C107" s="4"/>
      <c r="D107" s="4"/>
    </row>
    <row r="108" spans="3:4" ht="12.75">
      <c r="C108" s="4" t="s">
        <v>77</v>
      </c>
      <c r="D108" s="4"/>
    </row>
    <row r="109" spans="3:4" ht="12.75">
      <c r="C109" s="4"/>
      <c r="D109" s="4"/>
    </row>
    <row r="110" spans="3:8" ht="26.25">
      <c r="C110" s="4" t="s">
        <v>78</v>
      </c>
      <c r="D110" s="4"/>
      <c r="F110" s="60" t="s">
        <v>58</v>
      </c>
      <c r="G110" s="60" t="s">
        <v>62</v>
      </c>
      <c r="H110" s="60" t="s">
        <v>63</v>
      </c>
    </row>
    <row r="111" spans="3:8" ht="12.75">
      <c r="C111" s="4"/>
      <c r="D111" s="4"/>
      <c r="E111" t="s">
        <v>59</v>
      </c>
      <c r="F111" s="59">
        <v>0.70328</v>
      </c>
      <c r="G111" s="59">
        <v>0.6827</v>
      </c>
      <c r="H111" s="59">
        <f>F111*G111</f>
        <v>0.480129256</v>
      </c>
    </row>
    <row r="112" spans="3:8" ht="12.75">
      <c r="C112" s="4"/>
      <c r="D112" s="4"/>
      <c r="E112" t="s">
        <v>60</v>
      </c>
      <c r="F112" s="59">
        <v>0.20445</v>
      </c>
      <c r="G112" s="59">
        <v>0.70287</v>
      </c>
      <c r="H112" s="59">
        <f>F112*G112</f>
        <v>0.1437017715</v>
      </c>
    </row>
    <row r="113" spans="3:8" ht="12.75">
      <c r="C113" s="4"/>
      <c r="D113" s="4"/>
      <c r="E113" t="s">
        <v>61</v>
      </c>
      <c r="F113" s="59">
        <v>0.09227</v>
      </c>
      <c r="G113" s="59"/>
      <c r="H113" s="59"/>
    </row>
    <row r="114" spans="3:6" ht="13.5" thickBot="1">
      <c r="C114" s="4"/>
      <c r="D114" s="4"/>
      <c r="F114" s="61">
        <f>SUM(F111:F113)</f>
        <v>1</v>
      </c>
    </row>
    <row r="115" spans="3:4" ht="12.75">
      <c r="C115" s="4"/>
      <c r="D115" s="4"/>
    </row>
    <row r="116" spans="3:4" ht="12.75">
      <c r="C116" s="4"/>
      <c r="D116" s="4"/>
    </row>
    <row r="117" spans="3:4" ht="12.75">
      <c r="C117" s="4"/>
      <c r="D117" s="4"/>
    </row>
    <row r="118" spans="3:4" ht="12.75">
      <c r="C118" s="4"/>
      <c r="D118" s="4"/>
    </row>
    <row r="119" spans="3:4" ht="12.75">
      <c r="C119" s="4"/>
      <c r="D119" s="4"/>
    </row>
    <row r="120" spans="3:4" ht="12.75">
      <c r="C120" s="4"/>
      <c r="D120" s="4"/>
    </row>
    <row r="121" spans="3:4" ht="12.75">
      <c r="C121" s="4"/>
      <c r="D121" s="4"/>
    </row>
    <row r="122" spans="3:4" ht="12.75">
      <c r="C122" s="4"/>
      <c r="D122" s="4"/>
    </row>
  </sheetData>
  <sheetProtection/>
  <mergeCells count="8">
    <mergeCell ref="D2:H2"/>
    <mergeCell ref="D79:H79"/>
    <mergeCell ref="D86:H86"/>
    <mergeCell ref="C106:H106"/>
    <mergeCell ref="C9:H9"/>
    <mergeCell ref="C29:H29"/>
    <mergeCell ref="C48:H48"/>
    <mergeCell ref="C65:H65"/>
  </mergeCells>
  <printOptions/>
  <pageMargins left="0.51" right="0" top="1" bottom="0.75" header="0.5" footer="0.5"/>
  <pageSetup horizontalDpi="600" verticalDpi="600" orientation="portrait" scale="80" r:id="rId1"/>
  <headerFooter alignWithMargins="0">
    <oddHeader>&amp;CATTACHMENT B
</oddHeader>
    <oddFooter>&amp;RPage &amp;P of &amp;N</oddFooter>
  </headerFooter>
  <rowBreaks count="1" manualBreakCount="1">
    <brk id="62" min="1" max="9" man="1"/>
  </rowBreaks>
</worksheet>
</file>

<file path=xl/worksheets/sheet2.xml><?xml version="1.0" encoding="utf-8"?>
<worksheet xmlns="http://schemas.openxmlformats.org/spreadsheetml/2006/main" xmlns:r="http://schemas.openxmlformats.org/officeDocument/2006/relationships">
  <dimension ref="B2:J52"/>
  <sheetViews>
    <sheetView zoomScalePageLayoutView="0" workbookViewId="0" topLeftCell="A1">
      <selection activeCell="D21" sqref="D21"/>
    </sheetView>
  </sheetViews>
  <sheetFormatPr defaultColWidth="9.140625" defaultRowHeight="12.75"/>
  <cols>
    <col min="2" max="2" width="1.28515625" style="0" customWidth="1"/>
    <col min="3" max="3" width="1.7109375" style="63" customWidth="1"/>
    <col min="4" max="4" width="56.28125" style="0" customWidth="1"/>
    <col min="6" max="6" width="9.00390625" style="0" bestFit="1" customWidth="1"/>
    <col min="7" max="8" width="8.8515625" style="0" bestFit="1" customWidth="1"/>
    <col min="9" max="9" width="2.421875" style="0" customWidth="1"/>
  </cols>
  <sheetData>
    <row r="2" spans="2:9" ht="8.25" customHeight="1">
      <c r="B2" s="65"/>
      <c r="C2" s="66"/>
      <c r="D2" s="67"/>
      <c r="E2" s="67"/>
      <c r="F2" s="67"/>
      <c r="G2" s="67"/>
      <c r="H2" s="67"/>
      <c r="I2" s="68"/>
    </row>
    <row r="3" spans="2:9" ht="12.75">
      <c r="B3" s="69"/>
      <c r="C3" s="70"/>
      <c r="D3" s="106" t="s">
        <v>57</v>
      </c>
      <c r="E3" s="106"/>
      <c r="F3" s="106"/>
      <c r="G3" s="106"/>
      <c r="H3" s="106"/>
      <c r="I3" s="71"/>
    </row>
    <row r="4" spans="2:9" ht="6.75" customHeight="1">
      <c r="B4" s="69"/>
      <c r="C4" s="70"/>
      <c r="D4" s="72"/>
      <c r="E4" s="72"/>
      <c r="F4" s="72"/>
      <c r="G4" s="72"/>
      <c r="H4" s="72"/>
      <c r="I4" s="71"/>
    </row>
    <row r="5" spans="2:9" ht="12.75">
      <c r="B5" s="69"/>
      <c r="C5" s="70"/>
      <c r="D5" s="73" t="s">
        <v>64</v>
      </c>
      <c r="E5" s="106" t="s">
        <v>65</v>
      </c>
      <c r="F5" s="106"/>
      <c r="G5" s="74" t="s">
        <v>66</v>
      </c>
      <c r="H5" s="74" t="s">
        <v>67</v>
      </c>
      <c r="I5" s="71"/>
    </row>
    <row r="6" spans="2:9" ht="12.75">
      <c r="B6" s="69"/>
      <c r="C6" s="70"/>
      <c r="D6" s="72" t="s">
        <v>42</v>
      </c>
      <c r="E6" s="70" t="s">
        <v>19</v>
      </c>
      <c r="F6" s="70" t="s">
        <v>47</v>
      </c>
      <c r="G6" s="75" t="s">
        <v>68</v>
      </c>
      <c r="H6" s="72"/>
      <c r="I6" s="71"/>
    </row>
    <row r="7" spans="2:9" ht="12.75">
      <c r="B7" s="69"/>
      <c r="C7" s="70"/>
      <c r="D7" s="72" t="s">
        <v>43</v>
      </c>
      <c r="E7" s="70" t="s">
        <v>69</v>
      </c>
      <c r="F7" s="70" t="str">
        <f>F6</f>
        <v>ED.WA</v>
      </c>
      <c r="G7" s="72"/>
      <c r="H7" s="75" t="s">
        <v>68</v>
      </c>
      <c r="I7" s="71"/>
    </row>
    <row r="8" spans="2:9" ht="12.75">
      <c r="B8" s="69"/>
      <c r="C8" s="70"/>
      <c r="D8" s="72" t="s">
        <v>73</v>
      </c>
      <c r="E8" s="70" t="s">
        <v>20</v>
      </c>
      <c r="F8" s="70" t="str">
        <f>F6</f>
        <v>ED.WA</v>
      </c>
      <c r="G8" s="72"/>
      <c r="H8" s="75" t="s">
        <v>68</v>
      </c>
      <c r="I8" s="71"/>
    </row>
    <row r="9" spans="2:9" ht="8.25" customHeight="1">
      <c r="B9" s="69"/>
      <c r="C9" s="70"/>
      <c r="D9" s="72"/>
      <c r="E9" s="70"/>
      <c r="F9" s="72"/>
      <c r="G9" s="72"/>
      <c r="H9" s="72"/>
      <c r="I9" s="71"/>
    </row>
    <row r="10" spans="2:9" s="3" customFormat="1" ht="42" customHeight="1">
      <c r="B10" s="69"/>
      <c r="C10" s="70"/>
      <c r="D10" s="107" t="s">
        <v>70</v>
      </c>
      <c r="E10" s="107"/>
      <c r="F10" s="107"/>
      <c r="G10" s="107"/>
      <c r="H10" s="107"/>
      <c r="I10" s="76"/>
    </row>
    <row r="11" spans="2:9" s="3" customFormat="1" ht="75" customHeight="1">
      <c r="B11" s="77"/>
      <c r="C11" s="78"/>
      <c r="D11" s="108" t="s">
        <v>74</v>
      </c>
      <c r="E11" s="108"/>
      <c r="F11" s="108"/>
      <c r="G11" s="108"/>
      <c r="H11" s="108"/>
      <c r="I11" s="102"/>
    </row>
    <row r="12" spans="3:5" s="3" customFormat="1" ht="12.75">
      <c r="C12" s="64"/>
      <c r="E12" s="27"/>
    </row>
    <row r="13" spans="3:5" s="3" customFormat="1" ht="13.5" thickBot="1">
      <c r="C13" s="64"/>
      <c r="E13" s="27"/>
    </row>
    <row r="14" spans="2:9" ht="9.75" customHeight="1">
      <c r="B14" s="79"/>
      <c r="C14" s="80"/>
      <c r="D14" s="81"/>
      <c r="E14" s="80"/>
      <c r="F14" s="81"/>
      <c r="G14" s="81"/>
      <c r="H14" s="81"/>
      <c r="I14" s="82"/>
    </row>
    <row r="15" spans="2:9" ht="12.75">
      <c r="B15" s="83"/>
      <c r="C15" s="70"/>
      <c r="D15" s="106" t="s">
        <v>41</v>
      </c>
      <c r="E15" s="106"/>
      <c r="F15" s="106"/>
      <c r="G15" s="106"/>
      <c r="H15" s="106"/>
      <c r="I15" s="84"/>
    </row>
    <row r="16" spans="2:9" ht="12.75">
      <c r="B16" s="83"/>
      <c r="C16" s="70"/>
      <c r="D16" s="74"/>
      <c r="E16" s="74"/>
      <c r="F16" s="74"/>
      <c r="G16" s="74"/>
      <c r="H16" s="74"/>
      <c r="I16" s="84"/>
    </row>
    <row r="17" spans="2:9" ht="12.75">
      <c r="B17" s="83"/>
      <c r="C17" s="70"/>
      <c r="D17" s="73" t="s">
        <v>64</v>
      </c>
      <c r="E17" s="106" t="s">
        <v>65</v>
      </c>
      <c r="F17" s="106"/>
      <c r="G17" s="74" t="s">
        <v>66</v>
      </c>
      <c r="H17" s="74" t="s">
        <v>67</v>
      </c>
      <c r="I17" s="84"/>
    </row>
    <row r="18" spans="2:9" ht="12.75">
      <c r="B18" s="83"/>
      <c r="C18" s="70"/>
      <c r="D18" s="72" t="s">
        <v>21</v>
      </c>
      <c r="E18" s="85">
        <v>142.1</v>
      </c>
      <c r="F18" s="70" t="str">
        <f>F6</f>
        <v>ED.WA</v>
      </c>
      <c r="G18" s="86" t="str">
        <f>G6</f>
        <v>    xxx</v>
      </c>
      <c r="H18" s="72"/>
      <c r="I18" s="84"/>
    </row>
    <row r="19" spans="2:9" ht="12.75">
      <c r="B19" s="83"/>
      <c r="C19" s="70"/>
      <c r="D19" s="72" t="s">
        <v>22</v>
      </c>
      <c r="E19" s="70" t="s">
        <v>24</v>
      </c>
      <c r="F19" s="70" t="str">
        <f>F6</f>
        <v>ED.WA</v>
      </c>
      <c r="G19" s="72"/>
      <c r="H19" s="86" t="str">
        <f>G18</f>
        <v>    xxx</v>
      </c>
      <c r="I19" s="84"/>
    </row>
    <row r="20" spans="2:9" ht="12.75">
      <c r="B20" s="83"/>
      <c r="C20" s="70"/>
      <c r="D20" s="72" t="s">
        <v>45</v>
      </c>
      <c r="E20" s="70" t="s">
        <v>23</v>
      </c>
      <c r="F20" s="70" t="str">
        <f>F6</f>
        <v>ED.WA</v>
      </c>
      <c r="G20" s="86" t="str">
        <f>H7</f>
        <v>    xxx</v>
      </c>
      <c r="H20" s="72"/>
      <c r="I20" s="84"/>
    </row>
    <row r="21" spans="2:9" ht="12.75">
      <c r="B21" s="83"/>
      <c r="C21" s="70"/>
      <c r="D21" s="72" t="s">
        <v>75</v>
      </c>
      <c r="E21" s="70" t="s">
        <v>20</v>
      </c>
      <c r="F21" s="70" t="str">
        <f>F6</f>
        <v>ED.WA</v>
      </c>
      <c r="G21" s="87" t="str">
        <f>H8</f>
        <v>    xxx</v>
      </c>
      <c r="H21" s="72"/>
      <c r="I21" s="84"/>
    </row>
    <row r="22" spans="2:9" ht="12.75">
      <c r="B22" s="83"/>
      <c r="C22" s="70"/>
      <c r="D22" s="72" t="str">
        <f>D6</f>
        <v>Regulatory Asset - Deferred Costs</v>
      </c>
      <c r="E22" s="70" t="s">
        <v>19</v>
      </c>
      <c r="F22" s="70" t="str">
        <f>F6</f>
        <v>ED.WA</v>
      </c>
      <c r="G22" s="72"/>
      <c r="H22" s="86" t="str">
        <f>G6</f>
        <v>    xxx</v>
      </c>
      <c r="I22" s="84"/>
    </row>
    <row r="23" spans="2:9" ht="8.25" customHeight="1">
      <c r="B23" s="83"/>
      <c r="C23" s="70"/>
      <c r="D23" s="72"/>
      <c r="E23" s="70"/>
      <c r="F23" s="70"/>
      <c r="G23" s="72"/>
      <c r="H23" s="86"/>
      <c r="I23" s="84"/>
    </row>
    <row r="24" spans="2:9" ht="37.5" customHeight="1">
      <c r="B24" s="83"/>
      <c r="C24" s="70"/>
      <c r="D24" s="107" t="s">
        <v>70</v>
      </c>
      <c r="E24" s="107"/>
      <c r="F24" s="107"/>
      <c r="G24" s="107"/>
      <c r="H24" s="107"/>
      <c r="I24" s="84"/>
    </row>
    <row r="25" spans="2:9" ht="3.75" customHeight="1" thickBot="1">
      <c r="B25" s="88"/>
      <c r="C25" s="89"/>
      <c r="D25" s="90"/>
      <c r="E25" s="90"/>
      <c r="F25" s="90"/>
      <c r="G25" s="90"/>
      <c r="H25" s="90"/>
      <c r="I25" s="91"/>
    </row>
    <row r="29" spans="3:4" ht="12.75">
      <c r="C29" s="92" t="s">
        <v>1</v>
      </c>
      <c r="D29" s="4"/>
    </row>
    <row r="30" spans="3:4" ht="12.75">
      <c r="C30" s="93" t="s">
        <v>71</v>
      </c>
      <c r="D30" s="4"/>
    </row>
    <row r="31" spans="3:10" ht="15">
      <c r="C31" s="93"/>
      <c r="D31" s="94" t="s">
        <v>51</v>
      </c>
      <c r="E31" s="95"/>
      <c r="F31" s="96">
        <f>100%-F32</f>
        <v>0.515</v>
      </c>
      <c r="G31" s="97">
        <v>0.05594</v>
      </c>
      <c r="H31" s="98">
        <f>ROUND(F31*G31,4)</f>
        <v>0.0288</v>
      </c>
      <c r="I31" s="3"/>
      <c r="J31" s="3"/>
    </row>
    <row r="32" spans="3:10" ht="15">
      <c r="C32" s="93"/>
      <c r="D32" s="94" t="s">
        <v>72</v>
      </c>
      <c r="E32" s="99"/>
      <c r="F32" s="96">
        <v>0.485</v>
      </c>
      <c r="G32" s="98">
        <v>0.099</v>
      </c>
      <c r="H32" s="98">
        <f>ROUND(F32*G32,4)</f>
        <v>0.048</v>
      </c>
      <c r="I32" s="3"/>
      <c r="J32" s="3"/>
    </row>
    <row r="33" spans="3:10" ht="15.75" thickBot="1">
      <c r="C33" s="93"/>
      <c r="D33" s="94" t="s">
        <v>2</v>
      </c>
      <c r="E33" s="95"/>
      <c r="F33" s="100">
        <f>SUM(F31:F32)</f>
        <v>1</v>
      </c>
      <c r="G33" s="101"/>
      <c r="H33" s="100">
        <f>SUM(H31:H32)</f>
        <v>0.07680000000000001</v>
      </c>
      <c r="I33" s="3"/>
      <c r="J33" s="3"/>
    </row>
    <row r="34" spans="3:4" ht="13.5" thickTop="1">
      <c r="C34" s="93"/>
      <c r="D34" s="4"/>
    </row>
    <row r="35" spans="3:4" ht="12.75">
      <c r="C35" s="93"/>
      <c r="D35" s="4"/>
    </row>
    <row r="36" spans="3:8" ht="36" customHeight="1">
      <c r="C36" s="105"/>
      <c r="D36" s="105"/>
      <c r="E36" s="105"/>
      <c r="F36" s="105"/>
      <c r="G36" s="105"/>
      <c r="H36" s="105"/>
    </row>
    <row r="37" spans="3:4" ht="12.75">
      <c r="C37" s="93"/>
      <c r="D37" s="4"/>
    </row>
    <row r="38" spans="3:4" ht="12.75">
      <c r="C38" s="93"/>
      <c r="D38" s="4"/>
    </row>
    <row r="39" spans="3:4" ht="12.75">
      <c r="C39" s="93"/>
      <c r="D39" s="4"/>
    </row>
    <row r="40" spans="3:4" ht="12.75">
      <c r="C40" s="93"/>
      <c r="D40" s="4"/>
    </row>
    <row r="41" spans="3:4" ht="12.75">
      <c r="C41" s="93"/>
      <c r="D41" s="4"/>
    </row>
    <row r="42" spans="3:4" ht="12.75">
      <c r="C42" s="93"/>
      <c r="D42" s="4"/>
    </row>
    <row r="43" spans="3:4" ht="12.75">
      <c r="C43" s="93"/>
      <c r="D43" s="4"/>
    </row>
    <row r="44" spans="3:4" ht="12.75">
      <c r="C44" s="93"/>
      <c r="D44" s="4"/>
    </row>
    <row r="45" spans="3:4" ht="12.75">
      <c r="C45" s="93"/>
      <c r="D45" s="4"/>
    </row>
    <row r="46" spans="3:4" ht="12.75">
      <c r="C46" s="93"/>
      <c r="D46" s="4"/>
    </row>
    <row r="47" spans="3:4" ht="12.75">
      <c r="C47" s="93"/>
      <c r="D47" s="4"/>
    </row>
    <row r="48" spans="3:4" ht="12.75">
      <c r="C48" s="93"/>
      <c r="D48" s="4"/>
    </row>
    <row r="49" spans="3:4" ht="12.75">
      <c r="C49" s="93"/>
      <c r="D49" s="4"/>
    </row>
    <row r="50" spans="3:4" ht="12.75">
      <c r="C50" s="93"/>
      <c r="D50" s="4"/>
    </row>
    <row r="51" spans="3:4" ht="12.75">
      <c r="C51" s="93"/>
      <c r="D51" s="4"/>
    </row>
    <row r="52" spans="3:4" ht="12.75">
      <c r="C52" s="93"/>
      <c r="D52" s="4"/>
    </row>
  </sheetData>
  <sheetProtection/>
  <mergeCells count="8">
    <mergeCell ref="D15:H15"/>
    <mergeCell ref="E17:F17"/>
    <mergeCell ref="D24:H24"/>
    <mergeCell ref="C36:H36"/>
    <mergeCell ref="D11:H11"/>
    <mergeCell ref="D3:H3"/>
    <mergeCell ref="E5:F5"/>
    <mergeCell ref="D10:H10"/>
  </mergeCells>
  <printOptions/>
  <pageMargins left="0.51" right="0.5" top="1" bottom="0.75" header="0.5" footer="0.5"/>
  <pageSetup horizontalDpi="600" verticalDpi="600" orientation="portrait"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Pluth, Jeanne</dc:creator>
  <cp:keywords/>
  <dc:description/>
  <cp:lastModifiedBy>Pluth, Jeanne</cp:lastModifiedBy>
  <cp:lastPrinted>2017-04-28T19:37:50Z</cp:lastPrinted>
  <dcterms:created xsi:type="dcterms:W3CDTF">2010-02-11T15:33:49Z</dcterms:created>
  <dcterms:modified xsi:type="dcterms:W3CDTF">2017-04-28T19:37:58Z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CaseCompanyNam">
    <vt:lpwstr>Avista Corporation</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170328</vt:lpwstr>
  </property>
  <property fmtid="{D5CDD505-2E9C-101B-9397-08002B2CF9AE}" pid="9" name="Dat">
    <vt:lpwstr>2017-05-01T00:00:00Z</vt:lpwstr>
  </property>
  <property fmtid="{D5CDD505-2E9C-101B-9397-08002B2CF9AE}" pid="10" name="Nickna">
    <vt:lpwstr/>
  </property>
  <property fmtid="{D5CDD505-2E9C-101B-9397-08002B2CF9AE}" pid="11" name="CaseTy">
    <vt:lpwstr>Petition for Accounting Order</vt:lpwstr>
  </property>
  <property fmtid="{D5CDD505-2E9C-101B-9397-08002B2CF9AE}" pid="12" name="OpenedDa">
    <vt:lpwstr>2017-05-01T00:00:00Z</vt:lpwstr>
  </property>
  <property fmtid="{D5CDD505-2E9C-101B-9397-08002B2CF9AE}" pid="13" name="Pref">
    <vt:lpwstr>UG</vt:lpwstr>
  </property>
  <property fmtid="{D5CDD505-2E9C-101B-9397-08002B2CF9AE}" pid="14" name="IndustryCo">
    <vt:lpwstr>150</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