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pivotTables/pivotTable1.xml" ContentType="application/vnd.openxmlformats-officedocument.spreadsheetml.pivotTabl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5.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hidePivotFieldList="1" defaultThemeVersion="124226"/>
  <mc:AlternateContent xmlns:mc="http://schemas.openxmlformats.org/markup-compatibility/2006">
    <mc:Choice Requires="x15">
      <x15ac:absPath xmlns:x15ac="http://schemas.microsoft.com/office/spreadsheetml/2010/11/ac" url="G:\Dept\Rates\ENERGY EFFICIENCY\ANNUAL REPORTING\Annual Report 2017\Final for WUTC submission\"/>
    </mc:Choice>
  </mc:AlternateContent>
  <bookViews>
    <workbookView xWindow="0" yWindow="0" windowWidth="19200" windowHeight="6950" xr2:uid="{00000000-000D-0000-FFFF-FFFF00000000}"/>
  </bookViews>
  <sheets>
    <sheet name="TOTAL FIRST YEAR" sheetId="3" r:id="rId1"/>
    <sheet name="2016 Avoided Costs" sheetId="8" r:id="rId2"/>
    <sheet name="2014 Avoided Costs" sheetId="18" r:id="rId3"/>
    <sheet name="Pivot" sheetId="15" state="hidden" r:id="rId4"/>
    <sheet name="Sheet1" sheetId="13" state="hidden" r:id="rId5"/>
  </sheets>
  <externalReferences>
    <externalReference r:id="rId6"/>
    <externalReference r:id="rId7"/>
    <externalReference r:id="rId8"/>
    <externalReference r:id="rId9"/>
    <externalReference r:id="rId10"/>
  </externalReferences>
  <definedNames>
    <definedName name="AC" localSheetId="2">'2014 Avoided Costs'!$B$10:$G$54</definedName>
    <definedName name="AC">'2016 Avoided Costs'!$B$10:$H$54</definedName>
    <definedName name="Admin_Costs">#REF!</definedName>
    <definedName name="ByMeasure">#REF!</definedName>
    <definedName name="Case_Flag">#REF!</definedName>
    <definedName name="Cons_Type_Flag">#REF!</definedName>
    <definedName name="ConstType">#REF!</definedName>
    <definedName name="CostPerMeasure">#REF!</definedName>
    <definedName name="Custom">#REF!</definedName>
    <definedName name="DiscountRate">[1]Constants!$A$5</definedName>
    <definedName name="Elect_Avoided_Cost">'[2]Load Profiles'!$G$2:$Z$74</definedName>
    <definedName name="Electric_Load_Profiles">'[2]Load Profiles'!$A$3:$D$20</definedName>
    <definedName name="EndUse_Type_Flag">#REF!</definedName>
    <definedName name="Existing_Process">"Gas_Capacity_Factors"</definedName>
    <definedName name="Gas_Avoided_Cost">'[2]Load Profiles'!$AB$3:$AE$79</definedName>
    <definedName name="Gas_Cap_Factor">'[2]Load Profiles'!$X$4:$Y$25</definedName>
    <definedName name="Index_No.">"Gas_Avoided_Cost"</definedName>
    <definedName name="Inflation">'[3]Rates&amp;NEB'!$B$7</definedName>
    <definedName name="LTdiscount">'[3]Rates&amp;NEB'!$B$9</definedName>
    <definedName name="MeasureSize">#REF!</definedName>
    <definedName name="NEPercentage" localSheetId="2">'[4]Rates&amp;NEB'!$B$11</definedName>
    <definedName name="NEPercentage">'[3]Rates&amp;NEB'!$B$13</definedName>
    <definedName name="NomInt">'[3]Rates&amp;NEB'!$B$5</definedName>
    <definedName name="OffsetAnchor" localSheetId="2">#REF!</definedName>
    <definedName name="OffsetAnchor" localSheetId="0">'TOTAL FIRST YEAR'!$B$5</definedName>
    <definedName name="OffsetAnchor">#REF!</definedName>
    <definedName name="_xlnm.Print_Area" localSheetId="0">'TOTAL FIRST YEAR'!$B$1:$Z$119</definedName>
    <definedName name="Raw_results">#REF!</definedName>
    <definedName name="Sector">#REF!</definedName>
    <definedName name="soff">#REF!</definedName>
    <definedName name="SSMeasures">[5]Sheet4!$A$5:$G$115</definedName>
  </definedNames>
  <calcPr calcId="171027"/>
  <pivotCaches>
    <pivotCache cacheId="0" r:id="rId11"/>
  </pivotCaches>
</workbook>
</file>

<file path=xl/calcChain.xml><?xml version="1.0" encoding="utf-8"?>
<calcChain xmlns="http://schemas.openxmlformats.org/spreadsheetml/2006/main">
  <c r="N11" i="3" l="1"/>
  <c r="N12" i="3"/>
  <c r="N13" i="3"/>
  <c r="N9" i="3"/>
  <c r="N10"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9" i="3"/>
  <c r="N50" i="3"/>
  <c r="N51" i="3"/>
  <c r="N52" i="3"/>
  <c r="N53" i="3"/>
  <c r="N54" i="3"/>
  <c r="N55" i="3"/>
  <c r="N56" i="3"/>
  <c r="N57" i="3"/>
  <c r="N58" i="3"/>
  <c r="N59" i="3"/>
  <c r="N60" i="3"/>
  <c r="N61" i="3"/>
  <c r="N62" i="3"/>
  <c r="N63" i="3"/>
  <c r="N64" i="3"/>
  <c r="N18" i="3"/>
  <c r="N97" i="3"/>
  <c r="N98" i="3"/>
  <c r="S9" i="3" l="1"/>
  <c r="L9" i="3"/>
  <c r="M9" i="3"/>
  <c r="I9" i="3" l="1"/>
  <c r="K9" i="3"/>
  <c r="M63" i="3"/>
  <c r="P9" i="3" l="1"/>
  <c r="X9" i="3" s="1"/>
  <c r="M45" i="3"/>
  <c r="T9" i="3" l="1"/>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68" i="3"/>
  <c r="B118" i="3" l="1"/>
  <c r="B116" i="3"/>
  <c r="S69" i="3" l="1"/>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L69" i="3"/>
  <c r="M69" i="3"/>
  <c r="L70" i="3"/>
  <c r="M70" i="3"/>
  <c r="L71" i="3"/>
  <c r="M71" i="3"/>
  <c r="L72" i="3"/>
  <c r="M72" i="3"/>
  <c r="L73" i="3"/>
  <c r="M73" i="3"/>
  <c r="L74" i="3"/>
  <c r="M74" i="3"/>
  <c r="L75" i="3"/>
  <c r="M75" i="3"/>
  <c r="L76" i="3"/>
  <c r="M76" i="3"/>
  <c r="L77" i="3"/>
  <c r="M77" i="3"/>
  <c r="L78" i="3"/>
  <c r="M78" i="3"/>
  <c r="L79" i="3"/>
  <c r="M79" i="3"/>
  <c r="L80" i="3"/>
  <c r="M80" i="3"/>
  <c r="L81" i="3"/>
  <c r="M81" i="3"/>
  <c r="L82" i="3"/>
  <c r="M82" i="3"/>
  <c r="L83" i="3"/>
  <c r="M83" i="3"/>
  <c r="L84" i="3"/>
  <c r="M84" i="3"/>
  <c r="L85" i="3"/>
  <c r="M85" i="3"/>
  <c r="L86" i="3"/>
  <c r="M86" i="3"/>
  <c r="L87" i="3"/>
  <c r="M87" i="3"/>
  <c r="L88" i="3"/>
  <c r="M88" i="3"/>
  <c r="L89" i="3"/>
  <c r="M89" i="3"/>
  <c r="L90" i="3"/>
  <c r="M90" i="3"/>
  <c r="L91" i="3"/>
  <c r="M91" i="3"/>
  <c r="L92" i="3"/>
  <c r="M92" i="3"/>
  <c r="L93" i="3"/>
  <c r="M93" i="3"/>
  <c r="L94" i="3"/>
  <c r="M94" i="3"/>
  <c r="L95" i="3"/>
  <c r="M95" i="3"/>
  <c r="L96" i="3"/>
  <c r="M96" i="3"/>
  <c r="L97" i="3"/>
  <c r="M97" i="3"/>
  <c r="L98" i="3"/>
  <c r="M98" i="3"/>
  <c r="L99" i="3"/>
  <c r="M99" i="3"/>
  <c r="L100" i="3"/>
  <c r="M100" i="3"/>
  <c r="L101" i="3"/>
  <c r="M101"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68" i="3"/>
  <c r="P73" i="3" l="1"/>
  <c r="T73" i="3" s="1"/>
  <c r="P89" i="3"/>
  <c r="T89" i="3" s="1"/>
  <c r="P96" i="3"/>
  <c r="T96" i="3" s="1"/>
  <c r="P84" i="3"/>
  <c r="T84" i="3" s="1"/>
  <c r="P79" i="3"/>
  <c r="T79" i="3" s="1"/>
  <c r="P75" i="3"/>
  <c r="T75" i="3" s="1"/>
  <c r="P71" i="3"/>
  <c r="T71" i="3" s="1"/>
  <c r="P100" i="3"/>
  <c r="T100" i="3" s="1"/>
  <c r="P92" i="3"/>
  <c r="T92" i="3" s="1"/>
  <c r="P88" i="3"/>
  <c r="T88" i="3" s="1"/>
  <c r="P80" i="3"/>
  <c r="T80" i="3" s="1"/>
  <c r="P76" i="3"/>
  <c r="T76" i="3" s="1"/>
  <c r="P72" i="3"/>
  <c r="T72" i="3" s="1"/>
  <c r="P95" i="3"/>
  <c r="T95" i="3" s="1"/>
  <c r="P91" i="3"/>
  <c r="T91" i="3" s="1"/>
  <c r="P87" i="3"/>
  <c r="T87" i="3" s="1"/>
  <c r="P98" i="3"/>
  <c r="P94" i="3"/>
  <c r="T94" i="3" s="1"/>
  <c r="P90" i="3"/>
  <c r="T90" i="3" s="1"/>
  <c r="P86" i="3"/>
  <c r="T86" i="3" s="1"/>
  <c r="P82" i="3"/>
  <c r="T82" i="3" s="1"/>
  <c r="P78" i="3"/>
  <c r="T78" i="3" s="1"/>
  <c r="P74" i="3"/>
  <c r="T74" i="3" s="1"/>
  <c r="P70" i="3"/>
  <c r="T70" i="3" s="1"/>
  <c r="N99" i="3"/>
  <c r="N90" i="3"/>
  <c r="N74" i="3"/>
  <c r="N83" i="3"/>
  <c r="N75" i="3"/>
  <c r="N91" i="3"/>
  <c r="N82" i="3"/>
  <c r="N94" i="3"/>
  <c r="N92" i="3"/>
  <c r="N89" i="3"/>
  <c r="N87" i="3"/>
  <c r="N78" i="3"/>
  <c r="N76" i="3"/>
  <c r="N73" i="3"/>
  <c r="N71" i="3"/>
  <c r="N100" i="3"/>
  <c r="N86" i="3"/>
  <c r="N84" i="3"/>
  <c r="N81" i="3"/>
  <c r="N70" i="3"/>
  <c r="N95" i="3"/>
  <c r="P101" i="3"/>
  <c r="T101" i="3" s="1"/>
  <c r="P85" i="3"/>
  <c r="T85" i="3" s="1"/>
  <c r="P69" i="3"/>
  <c r="T69" i="3" s="1"/>
  <c r="N79" i="3"/>
  <c r="P97" i="3"/>
  <c r="T97" i="3" s="1"/>
  <c r="P81" i="3"/>
  <c r="N101" i="3"/>
  <c r="N96" i="3"/>
  <c r="P99" i="3"/>
  <c r="P93" i="3"/>
  <c r="T93" i="3" s="1"/>
  <c r="P83" i="3"/>
  <c r="P77" i="3"/>
  <c r="T77" i="3" s="1"/>
  <c r="N93" i="3"/>
  <c r="N88" i="3"/>
  <c r="N85" i="3"/>
  <c r="N80" i="3"/>
  <c r="N77" i="3"/>
  <c r="N72" i="3"/>
  <c r="N69" i="3"/>
  <c r="L50" i="3"/>
  <c r="M50" i="3"/>
  <c r="L10" i="3"/>
  <c r="M10" i="3"/>
  <c r="L11" i="3"/>
  <c r="M11" i="3"/>
  <c r="L57" i="3"/>
  <c r="M57" i="3"/>
  <c r="L12" i="3"/>
  <c r="M12" i="3"/>
  <c r="L59" i="3"/>
  <c r="M59" i="3"/>
  <c r="L60" i="3"/>
  <c r="M60" i="3"/>
  <c r="L13" i="3"/>
  <c r="M13" i="3"/>
  <c r="L62" i="3"/>
  <c r="M62" i="3"/>
  <c r="K62" i="3"/>
  <c r="K12" i="3"/>
  <c r="K10" i="3"/>
  <c r="K58" i="3"/>
  <c r="X86" i="3" l="1"/>
  <c r="T98" i="3"/>
  <c r="X92" i="3"/>
  <c r="X95" i="3"/>
  <c r="X91" i="3"/>
  <c r="X74" i="3"/>
  <c r="X100" i="3"/>
  <c r="X87" i="3"/>
  <c r="X70" i="3"/>
  <c r="X84" i="3"/>
  <c r="X80" i="3"/>
  <c r="X78" i="3"/>
  <c r="X94" i="3"/>
  <c r="X96" i="3"/>
  <c r="X71" i="3"/>
  <c r="X75" i="3"/>
  <c r="X72" i="3"/>
  <c r="X88" i="3"/>
  <c r="X73" i="3"/>
  <c r="X89" i="3"/>
  <c r="X79" i="3"/>
  <c r="X76" i="3"/>
  <c r="X82" i="3"/>
  <c r="I59" i="3"/>
  <c r="K59" i="3"/>
  <c r="I63" i="3"/>
  <c r="K63" i="3"/>
  <c r="I11" i="3"/>
  <c r="K11" i="3"/>
  <c r="I60" i="3"/>
  <c r="K60" i="3"/>
  <c r="I64" i="3"/>
  <c r="K64" i="3"/>
  <c r="I50" i="3"/>
  <c r="K50" i="3"/>
  <c r="I57" i="3"/>
  <c r="K57" i="3"/>
  <c r="S13" i="3"/>
  <c r="K13" i="3"/>
  <c r="P59" i="3"/>
  <c r="X59" i="3" s="1"/>
  <c r="X98" i="3"/>
  <c r="X77" i="3"/>
  <c r="X93" i="3"/>
  <c r="X90" i="3"/>
  <c r="X101" i="3"/>
  <c r="X85" i="3"/>
  <c r="S59" i="3"/>
  <c r="S57" i="3"/>
  <c r="X69" i="3"/>
  <c r="T83" i="3"/>
  <c r="T99" i="3"/>
  <c r="X99" i="3"/>
  <c r="X97" i="3"/>
  <c r="I13" i="3"/>
  <c r="T81" i="3"/>
  <c r="X83" i="3"/>
  <c r="X81" i="3"/>
  <c r="I10" i="3"/>
  <c r="S10" i="3"/>
  <c r="I12" i="3"/>
  <c r="S12" i="3"/>
  <c r="I62" i="3"/>
  <c r="S62" i="3"/>
  <c r="S60" i="3"/>
  <c r="S11" i="3"/>
  <c r="S50" i="3"/>
  <c r="S64" i="3"/>
  <c r="S63" i="3"/>
  <c r="P50" i="3" l="1"/>
  <c r="X50" i="3" s="1"/>
  <c r="P60" i="3"/>
  <c r="X60" i="3" s="1"/>
  <c r="P57" i="3"/>
  <c r="X57" i="3" s="1"/>
  <c r="P11" i="3"/>
  <c r="T11" i="3" s="1"/>
  <c r="S14" i="3"/>
  <c r="S104" i="3" s="1"/>
  <c r="K14" i="3"/>
  <c r="K104" i="3" s="1"/>
  <c r="I14" i="3"/>
  <c r="I104" i="3" s="1"/>
  <c r="O14" i="3"/>
  <c r="N14" i="3"/>
  <c r="T57" i="3"/>
  <c r="T59" i="3"/>
  <c r="P12" i="3"/>
  <c r="T12" i="3" s="1"/>
  <c r="P62" i="3"/>
  <c r="P10" i="3"/>
  <c r="P13" i="3"/>
  <c r="T13" i="3" s="1"/>
  <c r="T50" i="3"/>
  <c r="X11" i="3"/>
  <c r="L58" i="3"/>
  <c r="I58" i="3"/>
  <c r="K53" i="3"/>
  <c r="K52" i="3"/>
  <c r="L48" i="3"/>
  <c r="M48" i="3"/>
  <c r="L49" i="3"/>
  <c r="M49" i="3"/>
  <c r="L51" i="3"/>
  <c r="M51" i="3"/>
  <c r="L52" i="3"/>
  <c r="M52" i="3"/>
  <c r="L53" i="3"/>
  <c r="M53" i="3"/>
  <c r="L55" i="3"/>
  <c r="M55" i="3"/>
  <c r="L56" i="3"/>
  <c r="M56" i="3"/>
  <c r="M58" i="3"/>
  <c r="K47" i="3"/>
  <c r="T62" i="3" l="1"/>
  <c r="X62" i="3"/>
  <c r="O104" i="3"/>
  <c r="T60" i="3"/>
  <c r="N104" i="3"/>
  <c r="T10" i="3"/>
  <c r="P14" i="3"/>
  <c r="S49" i="3"/>
  <c r="K49" i="3"/>
  <c r="I55" i="3"/>
  <c r="K55" i="3"/>
  <c r="I48" i="3"/>
  <c r="K48" i="3"/>
  <c r="I51" i="3"/>
  <c r="K51" i="3"/>
  <c r="I56" i="3"/>
  <c r="K56" i="3"/>
  <c r="X13" i="3"/>
  <c r="X10" i="3"/>
  <c r="X12" i="3"/>
  <c r="I49" i="3"/>
  <c r="P58" i="3"/>
  <c r="X58" i="3" s="1"/>
  <c r="S56" i="3"/>
  <c r="S58" i="3"/>
  <c r="I52" i="3"/>
  <c r="S52" i="3"/>
  <c r="S55" i="3"/>
  <c r="I53" i="3"/>
  <c r="S53" i="3"/>
  <c r="S51" i="3"/>
  <c r="S48" i="3"/>
  <c r="M64" i="3"/>
  <c r="L63" i="3"/>
  <c r="L64" i="3"/>
  <c r="P63" i="3"/>
  <c r="X63" i="3" s="1"/>
  <c r="P64" i="3"/>
  <c r="X64" i="3" s="1"/>
  <c r="P56" i="3" l="1"/>
  <c r="X56" i="3" s="1"/>
  <c r="P48" i="3"/>
  <c r="X48" i="3" s="1"/>
  <c r="T14" i="3"/>
  <c r="P104" i="3"/>
  <c r="T104" i="3" s="1"/>
  <c r="P51" i="3"/>
  <c r="X51" i="3" s="1"/>
  <c r="P55" i="3"/>
  <c r="X55" i="3" s="1"/>
  <c r="X104" i="3"/>
  <c r="X14" i="3"/>
  <c r="P49" i="3"/>
  <c r="X49" i="3" s="1"/>
  <c r="T56" i="3"/>
  <c r="P52" i="3"/>
  <c r="T58" i="3"/>
  <c r="T55" i="3"/>
  <c r="P53" i="3"/>
  <c r="T51" i="3"/>
  <c r="T48" i="3"/>
  <c r="T64" i="3"/>
  <c r="T63" i="3"/>
  <c r="L45" i="3"/>
  <c r="L46" i="3"/>
  <c r="M46" i="3"/>
  <c r="L47" i="3"/>
  <c r="M47" i="3"/>
  <c r="I47" i="3"/>
  <c r="L61" i="3"/>
  <c r="M61" i="3"/>
  <c r="M54" i="3"/>
  <c r="L54" i="3"/>
  <c r="K44" i="3"/>
  <c r="K38" i="3"/>
  <c r="T53" i="3" l="1"/>
  <c r="X53" i="3"/>
  <c r="T52" i="3"/>
  <c r="X52" i="3"/>
  <c r="S46" i="3"/>
  <c r="K46" i="3"/>
  <c r="I54" i="3"/>
  <c r="K54" i="3"/>
  <c r="S61" i="3"/>
  <c r="K61" i="3"/>
  <c r="I45" i="3"/>
  <c r="K45" i="3"/>
  <c r="T49" i="3"/>
  <c r="P47" i="3"/>
  <c r="S47" i="3"/>
  <c r="I46" i="3"/>
  <c r="S45" i="3"/>
  <c r="P45" i="3"/>
  <c r="I61" i="3"/>
  <c r="S54" i="3"/>
  <c r="P54" i="3" l="1"/>
  <c r="X54" i="3" s="1"/>
  <c r="T47" i="3"/>
  <c r="X47" i="3"/>
  <c r="P46" i="3"/>
  <c r="T46" i="3" s="1"/>
  <c r="P61" i="3"/>
  <c r="T45" i="3"/>
  <c r="X45" i="3"/>
  <c r="C4" i="13"/>
  <c r="C5" i="13"/>
  <c r="C6" i="13"/>
  <c r="C7" i="13"/>
  <c r="C8" i="13"/>
  <c r="C9" i="13"/>
  <c r="C10" i="13"/>
  <c r="C11" i="13"/>
  <c r="C12" i="13"/>
  <c r="C13" i="13"/>
  <c r="C14" i="13"/>
  <c r="C15" i="13"/>
  <c r="C16" i="13"/>
  <c r="C17" i="13"/>
  <c r="C18" i="13"/>
  <c r="C19" i="13"/>
  <c r="C20" i="13"/>
  <c r="C21" i="13"/>
  <c r="C22" i="13"/>
  <c r="C3" i="13"/>
  <c r="K23" i="3"/>
  <c r="T54" i="3" l="1"/>
  <c r="T61" i="3"/>
  <c r="X61" i="3"/>
  <c r="X46" i="3"/>
  <c r="C23" i="13"/>
  <c r="L44" i="3"/>
  <c r="M44" i="3"/>
  <c r="I44" i="3"/>
  <c r="P44" i="3" l="1"/>
  <c r="S44" i="3"/>
  <c r="K43" i="3"/>
  <c r="K39" i="3"/>
  <c r="K35" i="3"/>
  <c r="X44" i="3" l="1"/>
  <c r="T44" i="3"/>
  <c r="A32" i="3"/>
  <c r="A36" i="3"/>
  <c r="A39" i="3"/>
  <c r="A40" i="3"/>
  <c r="A41" i="3"/>
  <c r="A42" i="3"/>
  <c r="A43" i="3"/>
  <c r="M68" i="3" l="1"/>
  <c r="L68" i="3"/>
  <c r="N68" i="3" l="1"/>
  <c r="K33" i="3"/>
  <c r="A35" i="3"/>
  <c r="M35" i="3"/>
  <c r="I35" i="3" l="1"/>
  <c r="L35" i="3"/>
  <c r="S35" i="3"/>
  <c r="P35" i="3" l="1"/>
  <c r="X35" i="3" s="1"/>
  <c r="T35" i="3" l="1"/>
  <c r="S68" i="3"/>
  <c r="K42" i="3" l="1"/>
  <c r="K41" i="3"/>
  <c r="K40" i="3"/>
  <c r="K36" i="3"/>
  <c r="K32" i="3"/>
  <c r="K37" i="3"/>
  <c r="I23" i="3"/>
  <c r="K20" i="3"/>
  <c r="K19" i="3"/>
  <c r="K18" i="3"/>
  <c r="I27" i="3" l="1"/>
  <c r="K27" i="3"/>
  <c r="I24" i="3"/>
  <c r="K24" i="3"/>
  <c r="I28" i="3"/>
  <c r="K28" i="3"/>
  <c r="I34" i="3"/>
  <c r="K34" i="3"/>
  <c r="I31" i="3"/>
  <c r="K31" i="3"/>
  <c r="I21" i="3"/>
  <c r="K21" i="3"/>
  <c r="I25" i="3"/>
  <c r="K25" i="3"/>
  <c r="I29" i="3"/>
  <c r="K29" i="3"/>
  <c r="I22" i="3"/>
  <c r="K22" i="3"/>
  <c r="I26" i="3"/>
  <c r="K26" i="3"/>
  <c r="I30" i="3"/>
  <c r="K30" i="3"/>
  <c r="L41" i="3"/>
  <c r="M41" i="3"/>
  <c r="L28" i="3"/>
  <c r="M28" i="3"/>
  <c r="L20" i="3"/>
  <c r="M20" i="3"/>
  <c r="L42" i="3"/>
  <c r="M42" i="3"/>
  <c r="L36" i="3"/>
  <c r="M36" i="3"/>
  <c r="L34" i="3"/>
  <c r="M34" i="3"/>
  <c r="L29" i="3"/>
  <c r="M29" i="3"/>
  <c r="L25" i="3"/>
  <c r="M25" i="3"/>
  <c r="L21" i="3"/>
  <c r="M21" i="3"/>
  <c r="L40" i="3"/>
  <c r="M40" i="3"/>
  <c r="L31" i="3"/>
  <c r="M31" i="3"/>
  <c r="L27" i="3"/>
  <c r="M27" i="3"/>
  <c r="L23" i="3"/>
  <c r="M23" i="3"/>
  <c r="L19" i="3"/>
  <c r="M19" i="3"/>
  <c r="L32" i="3"/>
  <c r="M32" i="3"/>
  <c r="L24" i="3"/>
  <c r="M24" i="3"/>
  <c r="L43" i="3"/>
  <c r="M43" i="3"/>
  <c r="L39" i="3"/>
  <c r="M39" i="3"/>
  <c r="L30" i="3"/>
  <c r="M30" i="3"/>
  <c r="L26" i="3"/>
  <c r="M26" i="3"/>
  <c r="L22" i="3"/>
  <c r="M22" i="3"/>
  <c r="S32" i="3"/>
  <c r="S42" i="3"/>
  <c r="S20" i="3"/>
  <c r="S33" i="3"/>
  <c r="S17" i="3"/>
  <c r="S18" i="3"/>
  <c r="S19" i="3"/>
  <c r="S40" i="3"/>
  <c r="S43" i="3"/>
  <c r="S36" i="3"/>
  <c r="S29" i="3"/>
  <c r="S28" i="3"/>
  <c r="S39" i="3"/>
  <c r="S41" i="3"/>
  <c r="I42" i="3"/>
  <c r="S38" i="3"/>
  <c r="S21" i="3"/>
  <c r="I20" i="3"/>
  <c r="I36" i="3"/>
  <c r="I32" i="3"/>
  <c r="S25" i="3"/>
  <c r="S24" i="3"/>
  <c r="I43" i="3"/>
  <c r="I41" i="3"/>
  <c r="I39" i="3"/>
  <c r="S37" i="3"/>
  <c r="S30" i="3"/>
  <c r="P27" i="3"/>
  <c r="Y27" i="3" s="1"/>
  <c r="S26" i="3"/>
  <c r="P23" i="3"/>
  <c r="S22" i="3"/>
  <c r="I19" i="3"/>
  <c r="I40" i="3"/>
  <c r="S34" i="3"/>
  <c r="S31" i="3"/>
  <c r="S27" i="3"/>
  <c r="S23" i="3"/>
  <c r="P26" i="3" l="1"/>
  <c r="T26" i="3" s="1"/>
  <c r="P29" i="3"/>
  <c r="Y29" i="3" s="1"/>
  <c r="P34" i="3"/>
  <c r="P30" i="3"/>
  <c r="P22" i="3"/>
  <c r="P25" i="3"/>
  <c r="Y25" i="3" s="1"/>
  <c r="P31" i="3"/>
  <c r="P28" i="3"/>
  <c r="P21" i="3"/>
  <c r="P24" i="3"/>
  <c r="K103" i="3"/>
  <c r="K106" i="3" s="1"/>
  <c r="P41" i="3"/>
  <c r="T41" i="3" s="1"/>
  <c r="P32" i="3"/>
  <c r="T32" i="3" s="1"/>
  <c r="P43" i="3"/>
  <c r="T43" i="3" s="1"/>
  <c r="P36" i="3"/>
  <c r="T36" i="3" s="1"/>
  <c r="P42" i="3"/>
  <c r="Y42" i="3" s="1"/>
  <c r="P20" i="3"/>
  <c r="T20" i="3" s="1"/>
  <c r="P19" i="3"/>
  <c r="T19" i="3" s="1"/>
  <c r="P39" i="3"/>
  <c r="T39" i="3" s="1"/>
  <c r="U23" i="3"/>
  <c r="Y23" i="3"/>
  <c r="T28" i="3"/>
  <c r="T22" i="3"/>
  <c r="T31" i="3"/>
  <c r="T24" i="3"/>
  <c r="T29" i="3"/>
  <c r="T21" i="3"/>
  <c r="T23" i="3"/>
  <c r="T27" i="3"/>
  <c r="T34" i="3"/>
  <c r="T30" i="3"/>
  <c r="P40" i="3"/>
  <c r="Y40" i="3" s="1"/>
  <c r="T25" i="3"/>
  <c r="I16" i="3"/>
  <c r="U29" i="3" l="1"/>
  <c r="X31" i="3"/>
  <c r="X30" i="3"/>
  <c r="X22" i="3"/>
  <c r="X36" i="3"/>
  <c r="X24" i="3"/>
  <c r="X21" i="3"/>
  <c r="X39" i="3"/>
  <c r="T42" i="3"/>
  <c r="X41" i="3"/>
  <c r="X32" i="3"/>
  <c r="X43" i="3"/>
  <c r="X42" i="3"/>
  <c r="X40" i="3"/>
  <c r="X34" i="3"/>
  <c r="X29" i="3"/>
  <c r="X28" i="3"/>
  <c r="X27" i="3"/>
  <c r="X26" i="3"/>
  <c r="X25" i="3"/>
  <c r="X23" i="3"/>
  <c r="X20" i="3"/>
  <c r="X19" i="3"/>
  <c r="T40" i="3"/>
  <c r="A29" i="3" l="1"/>
  <c r="A28" i="3"/>
  <c r="A25" i="3"/>
  <c r="A24" i="3"/>
  <c r="A23" i="3"/>
  <c r="A21" i="3"/>
  <c r="P68" i="3" l="1"/>
  <c r="X68" i="3" s="1"/>
  <c r="T68" i="3" l="1"/>
  <c r="S16" i="3" l="1"/>
  <c r="M17" i="3"/>
  <c r="M18" i="3"/>
  <c r="M33" i="3"/>
  <c r="M37" i="3"/>
  <c r="M38" i="3"/>
  <c r="A38" i="3"/>
  <c r="A31" i="3"/>
  <c r="A27" i="3"/>
  <c r="A22" i="3"/>
  <c r="A37" i="3"/>
  <c r="A34" i="3"/>
  <c r="A33" i="3"/>
  <c r="A30" i="3"/>
  <c r="A26" i="3"/>
  <c r="A20" i="3"/>
  <c r="A19" i="3"/>
  <c r="A18" i="3"/>
  <c r="A17" i="3"/>
  <c r="A16" i="3"/>
  <c r="L16" i="3" l="1"/>
  <c r="M16" i="3"/>
  <c r="I38" i="3"/>
  <c r="L38" i="3"/>
  <c r="I17" i="3"/>
  <c r="L17" i="3"/>
  <c r="N17" i="3" s="1"/>
  <c r="I37" i="3"/>
  <c r="L37" i="3"/>
  <c r="I33" i="3"/>
  <c r="L33" i="3"/>
  <c r="I18" i="3"/>
  <c r="L18" i="3"/>
  <c r="S103" i="3"/>
  <c r="S106" i="3" s="1"/>
  <c r="V16" i="3"/>
  <c r="P16" i="3"/>
  <c r="Y16" i="3" s="1"/>
  <c r="Q17" i="3" l="1"/>
  <c r="Q16" i="3"/>
  <c r="P18" i="3"/>
  <c r="P37" i="3"/>
  <c r="X37" i="3" s="1"/>
  <c r="P38" i="3"/>
  <c r="X38" i="3" s="1"/>
  <c r="N16" i="3"/>
  <c r="I103" i="3"/>
  <c r="U21" i="3"/>
  <c r="P17" i="3"/>
  <c r="U26" i="3"/>
  <c r="U34" i="3"/>
  <c r="U28" i="3"/>
  <c r="O103" i="3"/>
  <c r="P33" i="3"/>
  <c r="T33" i="3" s="1"/>
  <c r="U22" i="3"/>
  <c r="U25" i="3"/>
  <c r="U31" i="3"/>
  <c r="U27" i="3"/>
  <c r="U40" i="3"/>
  <c r="U42" i="3"/>
  <c r="T16" i="3"/>
  <c r="I106" i="3" l="1"/>
  <c r="O106" i="3"/>
  <c r="X18" i="3"/>
  <c r="V17" i="3"/>
  <c r="N103" i="3"/>
  <c r="Y38" i="3"/>
  <c r="T38" i="3"/>
  <c r="T37" i="3"/>
  <c r="T18" i="3"/>
  <c r="U46" i="3"/>
  <c r="Y46" i="3"/>
  <c r="Y47" i="3"/>
  <c r="U47" i="3"/>
  <c r="U35" i="3"/>
  <c r="Z17" i="3"/>
  <c r="Y17" i="3"/>
  <c r="U44" i="3"/>
  <c r="Y44" i="3"/>
  <c r="Y35" i="3"/>
  <c r="U38" i="3"/>
  <c r="Y24" i="3"/>
  <c r="Y28" i="3"/>
  <c r="Y26" i="3"/>
  <c r="U24" i="3"/>
  <c r="Y34" i="3"/>
  <c r="Z16" i="3"/>
  <c r="T17" i="3"/>
  <c r="X16" i="3"/>
  <c r="U41" i="3"/>
  <c r="Y20" i="3"/>
  <c r="U17" i="3"/>
  <c r="P103" i="3"/>
  <c r="U39" i="3"/>
  <c r="Y39" i="3"/>
  <c r="Y43" i="3"/>
  <c r="Y21" i="3"/>
  <c r="U30" i="3"/>
  <c r="Y30" i="3"/>
  <c r="Y19" i="3"/>
  <c r="U20" i="3"/>
  <c r="Y22" i="3"/>
  <c r="Y31" i="3"/>
  <c r="Y41" i="3"/>
  <c r="X17" i="3"/>
  <c r="X33" i="3"/>
  <c r="U43" i="3"/>
  <c r="U19" i="3"/>
  <c r="U16" i="3"/>
  <c r="T103" i="3" l="1"/>
  <c r="P106" i="3"/>
  <c r="Q9" i="3"/>
  <c r="Q87" i="3"/>
  <c r="Q71" i="3"/>
  <c r="Q97" i="3"/>
  <c r="Q81" i="3"/>
  <c r="Q96" i="3"/>
  <c r="Q80" i="3"/>
  <c r="Q91" i="3"/>
  <c r="Q75" i="3"/>
  <c r="Q94" i="3"/>
  <c r="Q78" i="3"/>
  <c r="Q101" i="3"/>
  <c r="Q85" i="3"/>
  <c r="Q69" i="3"/>
  <c r="Q100" i="3"/>
  <c r="Q84" i="3"/>
  <c r="Q95" i="3"/>
  <c r="Q79" i="3"/>
  <c r="Q98" i="3"/>
  <c r="Q82" i="3"/>
  <c r="Q89" i="3"/>
  <c r="Q73" i="3"/>
  <c r="Q88" i="3"/>
  <c r="Q72" i="3"/>
  <c r="Q99" i="3"/>
  <c r="Q83" i="3"/>
  <c r="Q68" i="3"/>
  <c r="Q90" i="3"/>
  <c r="Q86" i="3"/>
  <c r="Q74" i="3"/>
  <c r="Q70" i="3"/>
  <c r="Q93" i="3"/>
  <c r="Q77" i="3"/>
  <c r="Q92" i="3"/>
  <c r="Q76" i="3"/>
  <c r="Q50" i="3"/>
  <c r="Q63" i="3"/>
  <c r="Q59" i="3"/>
  <c r="Q62" i="3"/>
  <c r="Q60" i="3"/>
  <c r="Q57" i="3"/>
  <c r="Q13" i="3"/>
  <c r="Q64" i="3"/>
  <c r="Q11" i="3"/>
  <c r="Q10" i="3"/>
  <c r="Q12" i="3"/>
  <c r="Q58" i="3"/>
  <c r="Q49" i="3"/>
  <c r="Q56" i="3"/>
  <c r="Q48" i="3"/>
  <c r="Q55" i="3"/>
  <c r="Q53" i="3"/>
  <c r="Q51" i="3"/>
  <c r="Q52" i="3"/>
  <c r="Q47" i="3"/>
  <c r="Q46" i="3"/>
  <c r="Q61" i="3"/>
  <c r="Q45" i="3"/>
  <c r="Q54" i="3"/>
  <c r="Q44" i="3"/>
  <c r="Q35" i="3"/>
  <c r="Q23" i="3"/>
  <c r="Q41" i="3"/>
  <c r="Q43" i="3"/>
  <c r="Q34" i="3"/>
  <c r="Q40" i="3"/>
  <c r="Q32" i="3"/>
  <c r="Q21" i="3"/>
  <c r="Q26" i="3"/>
  <c r="Q22" i="3"/>
  <c r="Q19" i="3"/>
  <c r="Q42" i="3"/>
  <c r="Q24" i="3"/>
  <c r="Q29" i="3"/>
  <c r="Q30" i="3"/>
  <c r="Q31" i="3"/>
  <c r="Q28" i="3"/>
  <c r="Q36" i="3"/>
  <c r="Q25" i="3"/>
  <c r="Q27" i="3"/>
  <c r="Q20" i="3"/>
  <c r="Q39" i="3"/>
  <c r="Q38" i="3"/>
  <c r="Q18" i="3"/>
  <c r="Q33" i="3"/>
  <c r="Q37" i="3"/>
  <c r="B112" i="3"/>
  <c r="N106" i="3"/>
  <c r="T106" i="3"/>
  <c r="X103" i="3"/>
  <c r="V27" i="3" l="1"/>
  <c r="Z27" i="3"/>
  <c r="Z42" i="3"/>
  <c r="V42" i="3"/>
  <c r="Z43" i="3"/>
  <c r="V43" i="3"/>
  <c r="V46" i="3"/>
  <c r="Z46" i="3"/>
  <c r="V49" i="3"/>
  <c r="Z49" i="3"/>
  <c r="U49" i="3"/>
  <c r="Y49" i="3"/>
  <c r="Z60" i="3"/>
  <c r="V60" i="3"/>
  <c r="Y60" i="3"/>
  <c r="U60" i="3"/>
  <c r="V93" i="3"/>
  <c r="Y93" i="3"/>
  <c r="Z93" i="3"/>
  <c r="U93" i="3"/>
  <c r="V72" i="3"/>
  <c r="Z72" i="3"/>
  <c r="U72" i="3"/>
  <c r="Y72" i="3"/>
  <c r="V84" i="3"/>
  <c r="Z84" i="3"/>
  <c r="Y84" i="3"/>
  <c r="U84" i="3"/>
  <c r="V91" i="3"/>
  <c r="Z91" i="3"/>
  <c r="Y91" i="3"/>
  <c r="U91" i="3"/>
  <c r="V25" i="3"/>
  <c r="Z25" i="3"/>
  <c r="Z19" i="3"/>
  <c r="V19" i="3"/>
  <c r="V41" i="3"/>
  <c r="Z41" i="3"/>
  <c r="V47" i="3"/>
  <c r="Z47" i="3"/>
  <c r="Z58" i="3"/>
  <c r="V58" i="3"/>
  <c r="Y58" i="3"/>
  <c r="U58" i="3"/>
  <c r="V62" i="3"/>
  <c r="Z62" i="3"/>
  <c r="U62" i="3"/>
  <c r="Y62" i="3"/>
  <c r="V70" i="3"/>
  <c r="Z70" i="3"/>
  <c r="U70" i="3"/>
  <c r="Y70" i="3"/>
  <c r="V88" i="3"/>
  <c r="Z88" i="3"/>
  <c r="U88" i="3"/>
  <c r="Y88" i="3"/>
  <c r="V100" i="3"/>
  <c r="Z100" i="3"/>
  <c r="U100" i="3"/>
  <c r="Y100" i="3"/>
  <c r="V80" i="3"/>
  <c r="Y80" i="3"/>
  <c r="Z80" i="3"/>
  <c r="U80" i="3"/>
  <c r="Z33" i="3"/>
  <c r="V33" i="3"/>
  <c r="Y33" i="3"/>
  <c r="U33" i="3"/>
  <c r="Z20" i="3"/>
  <c r="V20" i="3"/>
  <c r="V28" i="3"/>
  <c r="Z28" i="3"/>
  <c r="V24" i="3"/>
  <c r="Z24" i="3"/>
  <c r="V26" i="3"/>
  <c r="Z26" i="3"/>
  <c r="V34" i="3"/>
  <c r="Z34" i="3"/>
  <c r="V35" i="3"/>
  <c r="Z35" i="3"/>
  <c r="V61" i="3"/>
  <c r="Z61" i="3"/>
  <c r="U61" i="3"/>
  <c r="Y61" i="3"/>
  <c r="V51" i="3"/>
  <c r="Z51" i="3"/>
  <c r="Y51" i="3"/>
  <c r="U51" i="3"/>
  <c r="Z56" i="3"/>
  <c r="V56" i="3"/>
  <c r="Y56" i="3"/>
  <c r="U56" i="3"/>
  <c r="V10" i="3"/>
  <c r="Z10" i="3"/>
  <c r="Y10" i="3"/>
  <c r="U10" i="3"/>
  <c r="V57" i="3"/>
  <c r="Z57" i="3"/>
  <c r="U57" i="3"/>
  <c r="Y57" i="3"/>
  <c r="V63" i="3"/>
  <c r="Z63" i="3"/>
  <c r="Y63" i="3"/>
  <c r="U63" i="3"/>
  <c r="V77" i="3"/>
  <c r="U77" i="3"/>
  <c r="Z77" i="3"/>
  <c r="Y77" i="3"/>
  <c r="V86" i="3"/>
  <c r="U86" i="3"/>
  <c r="Y86" i="3"/>
  <c r="Z86" i="3"/>
  <c r="V99" i="3"/>
  <c r="Z99" i="3"/>
  <c r="Y99" i="3"/>
  <c r="U99" i="3"/>
  <c r="V89" i="3"/>
  <c r="U89" i="3"/>
  <c r="Y89" i="3"/>
  <c r="Z89" i="3"/>
  <c r="V95" i="3"/>
  <c r="Z95" i="3"/>
  <c r="Y95" i="3"/>
  <c r="U95" i="3"/>
  <c r="V85" i="3"/>
  <c r="Z85" i="3"/>
  <c r="U85" i="3"/>
  <c r="Y85" i="3"/>
  <c r="V75" i="3"/>
  <c r="Z75" i="3"/>
  <c r="Y75" i="3"/>
  <c r="U75" i="3"/>
  <c r="V81" i="3"/>
  <c r="Y81" i="3"/>
  <c r="Z81" i="3"/>
  <c r="U81" i="3"/>
  <c r="Z9" i="3"/>
  <c r="V9" i="3"/>
  <c r="Y9" i="3"/>
  <c r="Q14" i="3"/>
  <c r="U9" i="3"/>
  <c r="Q103" i="3"/>
  <c r="V18" i="3"/>
  <c r="Z18" i="3"/>
  <c r="U18" i="3"/>
  <c r="Y18" i="3"/>
  <c r="V31" i="3"/>
  <c r="Z31" i="3"/>
  <c r="V21" i="3"/>
  <c r="Z21" i="3"/>
  <c r="Z44" i="3"/>
  <c r="V44" i="3"/>
  <c r="V53" i="3"/>
  <c r="Z53" i="3"/>
  <c r="Y53" i="3"/>
  <c r="U53" i="3"/>
  <c r="Z11" i="3"/>
  <c r="V11" i="3"/>
  <c r="U11" i="3"/>
  <c r="Y11" i="3"/>
  <c r="V50" i="3"/>
  <c r="Z50" i="3"/>
  <c r="Y50" i="3"/>
  <c r="U50" i="3"/>
  <c r="V90" i="3"/>
  <c r="Z90" i="3"/>
  <c r="Y90" i="3"/>
  <c r="U90" i="3"/>
  <c r="V82" i="3"/>
  <c r="Z82" i="3"/>
  <c r="Y82" i="3"/>
  <c r="U82" i="3"/>
  <c r="V101" i="3"/>
  <c r="Y101" i="3"/>
  <c r="Z101" i="3"/>
  <c r="U101" i="3"/>
  <c r="V97" i="3"/>
  <c r="Z97" i="3"/>
  <c r="Y97" i="3"/>
  <c r="U97" i="3"/>
  <c r="V38" i="3"/>
  <c r="Z38" i="3"/>
  <c r="V30" i="3"/>
  <c r="Z30" i="3"/>
  <c r="Z32" i="3"/>
  <c r="V32" i="3"/>
  <c r="U32" i="3"/>
  <c r="Y32" i="3"/>
  <c r="Z54" i="3"/>
  <c r="V54" i="3"/>
  <c r="U54" i="3"/>
  <c r="Y54" i="3"/>
  <c r="Z55" i="3"/>
  <c r="V55" i="3"/>
  <c r="Y55" i="3"/>
  <c r="U55" i="3"/>
  <c r="V64" i="3"/>
  <c r="Z64" i="3"/>
  <c r="U64" i="3"/>
  <c r="Y64" i="3"/>
  <c r="V76" i="3"/>
  <c r="Z76" i="3"/>
  <c r="U76" i="3"/>
  <c r="Y76" i="3"/>
  <c r="Z68" i="3"/>
  <c r="V68" i="3"/>
  <c r="Y68" i="3"/>
  <c r="U68" i="3"/>
  <c r="V98" i="3"/>
  <c r="Z98" i="3"/>
  <c r="U98" i="3"/>
  <c r="Y98" i="3"/>
  <c r="V78" i="3"/>
  <c r="Y78" i="3"/>
  <c r="U78" i="3"/>
  <c r="Z78" i="3"/>
  <c r="V71" i="3"/>
  <c r="Y71" i="3"/>
  <c r="Z71" i="3"/>
  <c r="U71" i="3"/>
  <c r="Z37" i="3"/>
  <c r="V37" i="3"/>
  <c r="Y37" i="3"/>
  <c r="U37" i="3"/>
  <c r="Z39" i="3"/>
  <c r="V39" i="3"/>
  <c r="Z36" i="3"/>
  <c r="V36" i="3"/>
  <c r="Y36" i="3"/>
  <c r="U36" i="3"/>
  <c r="V29" i="3"/>
  <c r="Z29" i="3"/>
  <c r="Z22" i="3"/>
  <c r="V22" i="3"/>
  <c r="Z40" i="3"/>
  <c r="V40" i="3"/>
  <c r="Z23" i="3"/>
  <c r="V23" i="3"/>
  <c r="Z45" i="3"/>
  <c r="V45" i="3"/>
  <c r="Y45" i="3"/>
  <c r="U45" i="3"/>
  <c r="V52" i="3"/>
  <c r="Z52" i="3"/>
  <c r="U52" i="3"/>
  <c r="Y52" i="3"/>
  <c r="Z48" i="3"/>
  <c r="V48" i="3"/>
  <c r="U48" i="3"/>
  <c r="Y48" i="3"/>
  <c r="V12" i="3"/>
  <c r="Z12" i="3"/>
  <c r="U12" i="3"/>
  <c r="Y12" i="3"/>
  <c r="Z13" i="3"/>
  <c r="V13" i="3"/>
  <c r="U13" i="3"/>
  <c r="Y13" i="3"/>
  <c r="Z59" i="3"/>
  <c r="V59" i="3"/>
  <c r="U59" i="3"/>
  <c r="Y59" i="3"/>
  <c r="V92" i="3"/>
  <c r="Y92" i="3"/>
  <c r="U92" i="3"/>
  <c r="Z92" i="3"/>
  <c r="V74" i="3"/>
  <c r="Z74" i="3"/>
  <c r="U74" i="3"/>
  <c r="Y74" i="3"/>
  <c r="V83" i="3"/>
  <c r="Z83" i="3"/>
  <c r="Y83" i="3"/>
  <c r="U83" i="3"/>
  <c r="V73" i="3"/>
  <c r="Z73" i="3"/>
  <c r="U73" i="3"/>
  <c r="Y73" i="3"/>
  <c r="V79" i="3"/>
  <c r="Z79" i="3"/>
  <c r="Y79" i="3"/>
  <c r="U79" i="3"/>
  <c r="V69" i="3"/>
  <c r="Z69" i="3"/>
  <c r="U69" i="3"/>
  <c r="Y69" i="3"/>
  <c r="V94" i="3"/>
  <c r="U94" i="3"/>
  <c r="Y94" i="3"/>
  <c r="Z94" i="3"/>
  <c r="Z96" i="3"/>
  <c r="V96" i="3"/>
  <c r="U96" i="3"/>
  <c r="Y96" i="3"/>
  <c r="V87" i="3"/>
  <c r="Y87" i="3"/>
  <c r="Z87" i="3"/>
  <c r="U87" i="3"/>
  <c r="X106" i="3"/>
  <c r="Q104" i="3" l="1"/>
  <c r="V14" i="3"/>
  <c r="Z14" i="3"/>
  <c r="Y14" i="3"/>
  <c r="U14" i="3"/>
  <c r="V103" i="3"/>
  <c r="Z103" i="3"/>
  <c r="Q106" i="3"/>
  <c r="U103" i="3"/>
  <c r="Y103" i="3"/>
  <c r="Y106" i="3" l="1"/>
  <c r="U106" i="3"/>
  <c r="V104" i="3"/>
  <c r="V106" i="3" s="1"/>
  <c r="Z104" i="3"/>
  <c r="Z106" i="3" s="1"/>
  <c r="U104" i="3"/>
  <c r="Y10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Cascade Natural Gas</author>
  </authors>
  <commentList>
    <comment ref="L5" authorId="0" shapeId="0" xr:uid="{785B8466-2883-478C-973C-FB6CECD790B3}">
      <text>
        <r>
          <rPr>
            <b/>
            <sz val="9"/>
            <color indexed="81"/>
            <rFont val="Tahoma"/>
            <charset val="1"/>
          </rPr>
          <t>Cascade Natural Gas:</t>
        </r>
        <r>
          <rPr>
            <sz val="9"/>
            <color indexed="81"/>
            <rFont val="Tahoma"/>
            <charset val="1"/>
          </rPr>
          <t xml:space="preserve">
 1) Economic Impact- Based on 50% of Retail Value of 1st year therm savings
2) Carbon Offset- Based on PV of annual CO2 reduction valued at $20/ton</t>
        </r>
      </text>
    </comment>
    <comment ref="M5" authorId="0" shapeId="0" xr:uid="{354FB54C-2DD1-4B38-9D4F-D1A4C74F8426}">
      <text>
        <r>
          <rPr>
            <b/>
            <sz val="9"/>
            <color indexed="81"/>
            <rFont val="Tahoma"/>
            <charset val="1"/>
          </rPr>
          <t>Cascade Natural Gas:</t>
        </r>
        <r>
          <rPr>
            <sz val="9"/>
            <color indexed="81"/>
            <rFont val="Tahoma"/>
            <charset val="1"/>
          </rPr>
          <t xml:space="preserve">
1) Property Value Adder- Based on 10% of Retail Value of 1st Year therm savings
2) Maintenance Benefit- PV of annual maintenance benefit based on 5% of Retail Value of 1st Year therm savings
3) Water/Sewer Savings- PV of annual water/sewer savings benefit based on $2/1000 gallons- Where applicable</t>
        </r>
      </text>
    </comment>
  </commentList>
</comments>
</file>

<file path=xl/sharedStrings.xml><?xml version="1.0" encoding="utf-8"?>
<sst xmlns="http://schemas.openxmlformats.org/spreadsheetml/2006/main" count="558" uniqueCount="253">
  <si>
    <t>BENEFIT</t>
  </si>
  <si>
    <t>RATIO</t>
  </si>
  <si>
    <t>CASCADE NATURAL GAS CORPORATION</t>
  </si>
  <si>
    <t>MEASURE</t>
  </si>
  <si>
    <t>DISCOUNTED</t>
  </si>
  <si>
    <t>TOTAL</t>
  </si>
  <si>
    <t>ANNUAL THERM</t>
  </si>
  <si>
    <t>INSTALLED</t>
  </si>
  <si>
    <t>THERM</t>
  </si>
  <si>
    <t>RESOURCE</t>
  </si>
  <si>
    <t>PROGRAM</t>
  </si>
  <si>
    <t>UTILITY</t>
  </si>
  <si>
    <t>SS</t>
  </si>
  <si>
    <t>SAVINGS</t>
  </si>
  <si>
    <t>COST</t>
  </si>
  <si>
    <t>LIFE</t>
  </si>
  <si>
    <t>REBATE</t>
  </si>
  <si>
    <t>Inflation rate</t>
  </si>
  <si>
    <t>Long term real discount rate</t>
  </si>
  <si>
    <t>Radiant Heating</t>
  </si>
  <si>
    <t>Domestic Hot Water Tanks</t>
  </si>
  <si>
    <t>Clothes Washer</t>
  </si>
  <si>
    <t>HVAC Unit Heater</t>
  </si>
  <si>
    <t>DESCRIPTION</t>
  </si>
  <si>
    <t>High Efficiency Condensing Furnace</t>
  </si>
  <si>
    <t>Direct Fired Radiant Heating</t>
  </si>
  <si>
    <t>Condensing Tank</t>
  </si>
  <si>
    <t>Boiler Vent Damper</t>
  </si>
  <si>
    <t>Gas Fryer</t>
  </si>
  <si>
    <t>Energy Star</t>
  </si>
  <si>
    <t>Commercial Gas Washer</t>
  </si>
  <si>
    <t>EFFICIENCY TYPE FOR QUALIFICATION</t>
  </si>
  <si>
    <t>Minimum 86% AFUE</t>
  </si>
  <si>
    <t>Minimum 92% AFUE</t>
  </si>
  <si>
    <t>Minimum 91% AFUE</t>
  </si>
  <si>
    <t>None</t>
  </si>
  <si>
    <t>Minimum R-19</t>
  </si>
  <si>
    <t>Minimum R-11</t>
  </si>
  <si>
    <t>Minimum 91% AFUE or 91% Thermal Efficiency</t>
  </si>
  <si>
    <t>Minimum 1,000 kBtu input</t>
  </si>
  <si>
    <t>1.8 MEF</t>
  </si>
  <si>
    <t>UNITS</t>
  </si>
  <si>
    <t>REBATES</t>
  </si>
  <si>
    <t>&amp; ADMIN</t>
  </si>
  <si>
    <t>TRC</t>
  </si>
  <si>
    <t>UC</t>
  </si>
  <si>
    <t>45 YEAR RESOURCE SUMMARY COSTS - MELDED COST PER THERM</t>
  </si>
  <si>
    <t>IRP ANNUAL</t>
  </si>
  <si>
    <t xml:space="preserve">PV OF </t>
  </si>
  <si>
    <t>PORTFOLIO COSTS</t>
  </si>
  <si>
    <t>PORTFOLIO</t>
  </si>
  <si>
    <t>NOMINAL</t>
  </si>
  <si>
    <t>COST-</t>
  </si>
  <si>
    <t>COST PER</t>
  </si>
  <si>
    <t>COST - %</t>
  </si>
  <si>
    <t>CONSERVATION</t>
  </si>
  <si>
    <t>EFFECTIVENESS</t>
  </si>
  <si>
    <t>YEAR</t>
  </si>
  <si>
    <t>THERM (PV)*</t>
  </si>
  <si>
    <t>CHANGE</t>
  </si>
  <si>
    <t>COST/THERM</t>
  </si>
  <si>
    <t>CREDIT</t>
  </si>
  <si>
    <t>LIMIT</t>
  </si>
  <si>
    <t>Cascade's Long Term Real Discount Rate:</t>
  </si>
  <si>
    <t>IRP Discount Rate =</t>
  </si>
  <si>
    <t>Revised Discount Rate=</t>
  </si>
  <si>
    <t>Years 21-45 Escalation =</t>
  </si>
  <si>
    <t>(EIA Inflation Rate)</t>
  </si>
  <si>
    <t>Minimum R-30</t>
  </si>
  <si>
    <t>Minimum R-45</t>
  </si>
  <si>
    <t>Minimum R-21</t>
  </si>
  <si>
    <t>SAVINGS/UNIT</t>
  </si>
  <si>
    <t xml:space="preserve">High Efficiency Condensing </t>
  </si>
  <si>
    <t xml:space="preserve">Warm Air Furnace </t>
  </si>
  <si>
    <t>COUNT</t>
  </si>
  <si>
    <t xml:space="preserve">COMMERCIAL Program Participant Cost Effectiveness </t>
  </si>
  <si>
    <t xml:space="preserve">Insulation-Attic </t>
  </si>
  <si>
    <t xml:space="preserve">Insulation-Roof </t>
  </si>
  <si>
    <t xml:space="preserve">Insulation-Wall </t>
  </si>
  <si>
    <t>/unit</t>
  </si>
  <si>
    <t>Attic Insulation (Tier 1 - Z1 &amp;Z3)</t>
  </si>
  <si>
    <t>Attic Insulation (Tier 1- Z2)</t>
  </si>
  <si>
    <t>Attic Insulation (Tier 2 - Z1 &amp;Z3)</t>
  </si>
  <si>
    <t>Attic Insulation (Tier 2 - Z2)</t>
  </si>
  <si>
    <t>Roof Insulation (Tier 2 - Z1 &amp; Z3)</t>
  </si>
  <si>
    <t>Roof Insulation (Tier 1 - Z1 &amp; Z3)</t>
  </si>
  <si>
    <t>Roof Insulation (Tier 1 Z2)</t>
  </si>
  <si>
    <t>Roof Insulation (Tier 2- Z2)</t>
  </si>
  <si>
    <t>Wall Insulation (Tier 1- Z1 &amp; Z3)</t>
  </si>
  <si>
    <t>Wall Insulation (Tier 1- Z2)</t>
  </si>
  <si>
    <t>Wall Insulation (Tier 2- Z2)</t>
  </si>
  <si>
    <t>Wall Insulation (Tier 2- Z1 &amp; Z3)</t>
  </si>
  <si>
    <t>COMCUSTOTH</t>
  </si>
  <si>
    <t>COMCUSTDDC</t>
  </si>
  <si>
    <t>COMIAT1Z13</t>
  </si>
  <si>
    <t>COMDHWTSCT</t>
  </si>
  <si>
    <t>COMIWT2Z13</t>
  </si>
  <si>
    <t>COMFURNACE</t>
  </si>
  <si>
    <t>COMIAT2Z13</t>
  </si>
  <si>
    <t>COMRADIANT</t>
  </si>
  <si>
    <t>COMFSFRYER</t>
  </si>
  <si>
    <t>Program Year:</t>
  </si>
  <si>
    <t>COMBOILERS</t>
  </si>
  <si>
    <t>COMTANKLESS</t>
  </si>
  <si>
    <t>COMFSDISDL</t>
  </si>
  <si>
    <t>COMOVEN413</t>
  </si>
  <si>
    <t>Double Rack Oven</t>
  </si>
  <si>
    <t>FSTC Qualified/≥50% Cooking Eff/ ≤3,500 Btu/hr/Idle Rate D Rack</t>
  </si>
  <si>
    <t>High Efficiency Condensing Boiler</t>
  </si>
  <si>
    <t>Min 90% Thermal Eff &amp; 300 kBtu input</t>
  </si>
  <si>
    <t>.82 EF</t>
  </si>
  <si>
    <t>≥44% Cooking Eff/ ≤13,000 Btu/hr Idle Rate</t>
  </si>
  <si>
    <t>≥38% Cooking Eff / ≤2,083 Btu/hr/pan Idle Rate</t>
  </si>
  <si>
    <t>Energy Star or CEE/FSTC Qualified</t>
  </si>
  <si>
    <t>≤.6 kw Idle Rate/ ≤1.18 gallon/rack</t>
  </si>
  <si>
    <t>≥38% Cooking Eff/ ≤2650 Btu/hr sq ft Idle Rate</t>
  </si>
  <si>
    <t>DELIVERY</t>
  </si>
  <si>
    <t>COMCUSTINS</t>
  </si>
  <si>
    <t xml:space="preserve">High-Eff Non-Condensing with Electronic Ignition </t>
  </si>
  <si>
    <t xml:space="preserve">NON </t>
  </si>
  <si>
    <t xml:space="preserve">ENERGY </t>
  </si>
  <si>
    <t>PORTFOLIO COST APPENDIX 1 TABLE H</t>
  </si>
  <si>
    <t xml:space="preserve">WITH </t>
  </si>
  <si>
    <t>LOADED</t>
  </si>
  <si>
    <t>SOCIETAL</t>
  </si>
  <si>
    <t>NEBS</t>
  </si>
  <si>
    <t>PARTICIPANT</t>
  </si>
  <si>
    <t>NET</t>
  </si>
  <si>
    <t>INCREM</t>
  </si>
  <si>
    <t>Boiler</t>
  </si>
  <si>
    <t>DHW Tankless Water Heater</t>
  </si>
  <si>
    <t>Gas Convection Oven</t>
  </si>
  <si>
    <t>Conn 6 Pan Gas Steamer</t>
  </si>
  <si>
    <t>Gas Griddle</t>
  </si>
  <si>
    <t>kBtu/hr</t>
  </si>
  <si>
    <t>sq. ft.</t>
  </si>
  <si>
    <t>gpm</t>
  </si>
  <si>
    <t>each</t>
  </si>
  <si>
    <t>Steam Traps Line Size &lt;2"</t>
  </si>
  <si>
    <t>Minimum 300 kBtuh system size, steam pressures operating at 7 psig or greater, steam trap line size &lt; 2", Min 25 psig Trap Design Pressure</t>
  </si>
  <si>
    <t>COMIRT1Z13</t>
  </si>
  <si>
    <t>COMBOILSTP</t>
  </si>
  <si>
    <t>COMBOILVTD</t>
  </si>
  <si>
    <t>COMIWT1Z13</t>
  </si>
  <si>
    <t>COMIRT2Z13</t>
  </si>
  <si>
    <t>COMFSFRYER-NT</t>
  </si>
  <si>
    <t>Measures</t>
  </si>
  <si>
    <t>Incentive</t>
  </si>
  <si>
    <t>Custom Measures</t>
  </si>
  <si>
    <t>Motion Control Faucet</t>
  </si>
  <si>
    <t>&lt;= 1.8 gpm, Watersense Certified</t>
  </si>
  <si>
    <t>NA</t>
  </si>
  <si>
    <t>Energy Saver Kit A (LF PRSV and Aerator)</t>
  </si>
  <si>
    <t>Energy Saver Kit B (LF Showerheads)</t>
  </si>
  <si>
    <t>Attic Insulation (Tier 2)</t>
  </si>
  <si>
    <t>Attic Insulation (Tier 2) Promo Rate</t>
  </si>
  <si>
    <t>Roof Insulation (Tier 2) Promo Rate</t>
  </si>
  <si>
    <t>Gas Convection Oven - Lodging</t>
  </si>
  <si>
    <t>Gas Convection Oven - Restaurant</t>
  </si>
  <si>
    <t>Gas Convection Oven - School</t>
  </si>
  <si>
    <t>Gas Fryer - Restaurant</t>
  </si>
  <si>
    <t>Door Type Dishwasher Low Temp Gas</t>
  </si>
  <si>
    <t>* For Energy Saver Kits, Incremental Cost is total contract cost (includes supplying material and labor) from LM to CNG for each kit provided.  Since customer gets kits for free, the incentive = incremental cost.</t>
  </si>
  <si>
    <t>ESK A *</t>
  </si>
  <si>
    <t>ESK B *</t>
  </si>
  <si>
    <t>Web Enabled Tstats</t>
  </si>
  <si>
    <t>Custom Admin.</t>
  </si>
  <si>
    <t>Prescriptive Admin.</t>
  </si>
  <si>
    <t>Total 2017 Program Admin.</t>
  </si>
  <si>
    <t>Wall Insulation Tier 1</t>
  </si>
  <si>
    <t>Wall Insulation (Tier 1) Promo Rate</t>
  </si>
  <si>
    <t>Wall Insulation (Tier 1)</t>
  </si>
  <si>
    <t>Roof Insulation (Tier 2)</t>
  </si>
  <si>
    <t>Wall Insulation (Tier 2) Promo Rate</t>
  </si>
  <si>
    <t>Attic Insulation (Tier 2)  Tariff Update</t>
  </si>
  <si>
    <t>Roof Insulation (Tier 2) Tariff Update</t>
  </si>
  <si>
    <t>Wall Insulation (Tier 2) Tariff Update</t>
  </si>
  <si>
    <t>Gas Convection Oven - Restaurant - Tariff Update</t>
  </si>
  <si>
    <t>Gas Convection Oven - School - Tariff Update</t>
  </si>
  <si>
    <t>Attic Insulation Tier 2 - Tariff Update</t>
  </si>
  <si>
    <t>Wall Insulation Tier 2 - Tariff Update</t>
  </si>
  <si>
    <t>Roof Insulation Tier 2 - Tariff Update</t>
  </si>
  <si>
    <t xml:space="preserve">Roof Insulation Tier 2 </t>
  </si>
  <si>
    <t>Wall Insulation Tier 1 - Promo Rate</t>
  </si>
  <si>
    <t>Wall Insulation Tier 2 - Promo Rate</t>
  </si>
  <si>
    <t xml:space="preserve">Steam Trap </t>
  </si>
  <si>
    <t xml:space="preserve">Gas Fryer </t>
  </si>
  <si>
    <t xml:space="preserve">Attic Insulation Tier 1 </t>
  </si>
  <si>
    <t xml:space="preserve">Wall Insulation Tier 2 </t>
  </si>
  <si>
    <t xml:space="preserve">Radiant Heating </t>
  </si>
  <si>
    <t xml:space="preserve">Attic Insulation Tier 2 </t>
  </si>
  <si>
    <t>Attic Insulation Tier 2 - Promo Rate</t>
  </si>
  <si>
    <t>Roof Insulation Tier 2 - Promo Rate</t>
  </si>
  <si>
    <t>Gas Fryer - Lodging</t>
  </si>
  <si>
    <t>Attic Insulation (Tier 1)</t>
  </si>
  <si>
    <t>Wall Insulation (Tier 2)</t>
  </si>
  <si>
    <t>IRP long term real discount rate</t>
  </si>
  <si>
    <t>5%</t>
  </si>
  <si>
    <t>7.5%</t>
  </si>
  <si>
    <t>10%</t>
  </si>
  <si>
    <t>12.5%</t>
  </si>
  <si>
    <t>15%</t>
  </si>
  <si>
    <t>17.5%</t>
  </si>
  <si>
    <t>20%</t>
  </si>
  <si>
    <t>007324-C</t>
  </si>
  <si>
    <t>007346-C</t>
  </si>
  <si>
    <t>Custom</t>
  </si>
  <si>
    <t>007348-C</t>
  </si>
  <si>
    <t>007399-C</t>
  </si>
  <si>
    <t>007421-C</t>
  </si>
  <si>
    <t>007422-C</t>
  </si>
  <si>
    <t>007427-C</t>
  </si>
  <si>
    <t>Boiler Replacement</t>
  </si>
  <si>
    <t>007440-C</t>
  </si>
  <si>
    <t>007448-C</t>
  </si>
  <si>
    <t>007454-C</t>
  </si>
  <si>
    <t>007465-C</t>
  </si>
  <si>
    <t>Insulation</t>
  </si>
  <si>
    <t>007480-C</t>
  </si>
  <si>
    <t>007493-C</t>
  </si>
  <si>
    <t>007515-C</t>
  </si>
  <si>
    <t>007516-C</t>
  </si>
  <si>
    <t>007517-C</t>
  </si>
  <si>
    <t>007518-C</t>
  </si>
  <si>
    <t>007519-C</t>
  </si>
  <si>
    <t xml:space="preserve">007520-C </t>
  </si>
  <si>
    <t>007521-C</t>
  </si>
  <si>
    <t>007522-C</t>
  </si>
  <si>
    <t>007523-C</t>
  </si>
  <si>
    <t>007524-C</t>
  </si>
  <si>
    <t>007525-C</t>
  </si>
  <si>
    <t>007526-C</t>
  </si>
  <si>
    <t>007527-C</t>
  </si>
  <si>
    <t xml:space="preserve">007528-C </t>
  </si>
  <si>
    <t>007529-C</t>
  </si>
  <si>
    <t>007530-C</t>
  </si>
  <si>
    <t>007531-C</t>
  </si>
  <si>
    <t>007532-C</t>
  </si>
  <si>
    <t>007347-C</t>
  </si>
  <si>
    <t>Standard &amp; Custom</t>
  </si>
  <si>
    <t>Custom &amp; Standard</t>
  </si>
  <si>
    <t>Low Flow Showerheads</t>
  </si>
  <si>
    <t>Custom Controls</t>
  </si>
  <si>
    <t>Total Commercial Non Energy Benefits</t>
  </si>
  <si>
    <t>2014 INTEGRATED RESOURCE PLAN</t>
  </si>
  <si>
    <t>BASECASE - MEDIUM FORECAST - AVERAGE WEATHER</t>
  </si>
  <si>
    <t>WITH</t>
  </si>
  <si>
    <t>New Tariff Standard Measures</t>
  </si>
  <si>
    <t>Old Tariff Standard Measures</t>
  </si>
  <si>
    <t>NEW TARIFF STANDARD MEASURES TOTAL</t>
  </si>
  <si>
    <t>OLD TARIFF TOTAL PROGRAM</t>
  </si>
  <si>
    <t>2017 PROGRAM TOTAL</t>
  </si>
  <si>
    <t>2016 INTEGRATED RESOURCE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</si>
</sst>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_(&quot;$&quot;* #,##0.000_);_(&quot;$&quot;* \(#,##0.000\);_(&quot;$&quot;* &quot;-&quot;???_);_(@_)"/>
    <numFmt numFmtId="166" formatCode="_(&quot;$&quot;* #,##0.00_);_(&quot;$&quot;* \(#,##0.00\);_(&quot;$&quot;* &quot;-&quot;_);_(@_)"/>
    <numFmt numFmtId="167" formatCode="_(&quot;$&quot;* #,##0.000_);_(&quot;$&quot;* \(#,##0.000\);_(&quot;$&quot;* &quot;-&quot;_);_(@_)"/>
    <numFmt numFmtId="168" formatCode="_(&quot;$&quot;* #,##0_);_(&quot;$&quot;* \(#,##0\);_(&quot;$&quot;* &quot;-&quot;???_);_(@_)"/>
    <numFmt numFmtId="169" formatCode="0.000%"/>
    <numFmt numFmtId="170" formatCode="#,##0.000"/>
    <numFmt numFmtId="171" formatCode="&quot;$&quot;#,##0.0000_);[Red]\(&quot;$&quot;#,##0.0000\)"/>
    <numFmt numFmtId="172" formatCode="&quot;$&quot;#,##0.00"/>
    <numFmt numFmtId="173" formatCode="yyyy"/>
    <numFmt numFmtId="174" formatCode="0.0%"/>
    <numFmt numFmtId="175" formatCode="_(&quot;$&quot;* #,##0_);_(&quot;$&quot;* \(#,##0\);_(&quot;$&quot;* &quot;-&quot;??_);_(@_)"/>
    <numFmt numFmtId="176" formatCode="_(* #,##0_);_(* \(#,##0\);_(* &quot;-&quot;??_);_(@_)"/>
    <numFmt numFmtId="177" formatCode="_(&quot;$&quot;* #,##0.0000_);_(&quot;$&quot;* \(#,##0.0000\);_(&quot;$&quot;* &quot;-&quot;??_);_(@_)"/>
    <numFmt numFmtId="178" formatCode="&quot;$&quot;#,##0.0000"/>
  </numFmts>
  <fonts count="21"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b/>
      <sz val="10"/>
      <name val="Times New Roman"/>
      <family val="1"/>
    </font>
    <font>
      <sz val="10"/>
      <name val="Times New Roman"/>
      <family val="1"/>
    </font>
    <font>
      <sz val="10"/>
      <name val="Arial"/>
      <family val="2"/>
    </font>
    <font>
      <sz val="8"/>
      <name val="Arial"/>
      <family val="2"/>
    </font>
    <font>
      <sz val="10"/>
      <color indexed="0"/>
      <name val="Arial"/>
      <family val="2"/>
    </font>
    <font>
      <b/>
      <sz val="10"/>
      <color theme="1"/>
      <name val="Times New Roman"/>
      <family val="1"/>
    </font>
    <font>
      <sz val="10"/>
      <color theme="1"/>
      <name val="Times New Roman"/>
      <family val="1"/>
    </font>
    <font>
      <sz val="10"/>
      <name val="Times New Roman"/>
      <family val="1"/>
    </font>
    <font>
      <sz val="10"/>
      <name val="Arial"/>
      <family val="2"/>
    </font>
    <font>
      <sz val="10"/>
      <color theme="0"/>
      <name val="Times New Roman"/>
      <family val="1"/>
    </font>
    <font>
      <sz val="10"/>
      <color indexed="0"/>
      <name val="Arial"/>
      <family val="2"/>
    </font>
    <font>
      <sz val="10"/>
      <color rgb="FFFF0000"/>
      <name val="Times New Roman"/>
      <family val="1"/>
    </font>
    <font>
      <sz val="10"/>
      <color indexed="0"/>
      <name val="Arial"/>
      <family val="2"/>
    </font>
    <font>
      <b/>
      <sz val="10"/>
      <color theme="0"/>
      <name val="Times New Roman"/>
      <family val="1"/>
    </font>
    <font>
      <b/>
      <sz val="10"/>
      <name val="Arial"/>
      <family val="2"/>
    </font>
    <font>
      <sz val="9"/>
      <color indexed="81"/>
      <name val="Tahoma"/>
      <charset val="1"/>
    </font>
    <font>
      <b/>
      <sz val="9"/>
      <color indexed="81"/>
      <name val="Tahoma"/>
      <charset val="1"/>
    </font>
  </fonts>
  <fills count="13">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rgb="FF66FF66"/>
        <bgColor indexed="64"/>
      </patternFill>
    </fill>
    <fill>
      <patternFill patternType="solid">
        <fgColor rgb="FFFFFF0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56">
    <border>
      <left/>
      <right/>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8"/>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style="thin">
        <color auto="1"/>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8"/>
      </right>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3">
    <xf numFmtId="0" fontId="0" fillId="0" borderId="0"/>
    <xf numFmtId="43" fontId="5" fillId="0" borderId="0" applyFont="0" applyFill="0" applyBorder="0" applyAlignment="0" applyProtection="0"/>
    <xf numFmtId="44" fontId="5" fillId="0" borderId="0" applyFont="0" applyFill="0" applyBorder="0" applyAlignment="0" applyProtection="0"/>
    <xf numFmtId="0" fontId="6" fillId="0" borderId="0"/>
    <xf numFmtId="9" fontId="5"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8" fillId="0" borderId="0"/>
    <xf numFmtId="0" fontId="2" fillId="0" borderId="0"/>
    <xf numFmtId="43" fontId="2" fillId="0" borderId="0" applyFont="0" applyFill="0" applyBorder="0" applyAlignment="0" applyProtection="0"/>
    <xf numFmtId="44" fontId="2"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2" fillId="0" borderId="0"/>
    <xf numFmtId="9" fontId="11" fillId="0" borderId="0" applyFont="0" applyFill="0" applyBorder="0" applyAlignment="0" applyProtection="0"/>
    <xf numFmtId="0" fontId="14" fillId="0" borderId="0"/>
    <xf numFmtId="0" fontId="16" fillId="0" borderId="0"/>
    <xf numFmtId="0" fontId="1" fillId="0" borderId="0"/>
    <xf numFmtId="0" fontId="6"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386">
    <xf numFmtId="0" fontId="0" fillId="0" borderId="0" xfId="0"/>
    <xf numFmtId="0" fontId="5" fillId="0" borderId="0" xfId="0" applyFont="1" applyFill="1"/>
    <xf numFmtId="0" fontId="5" fillId="0" borderId="0" xfId="0" applyFont="1" applyFill="1" applyAlignment="1">
      <alignment horizontal="center"/>
    </xf>
    <xf numFmtId="0" fontId="5" fillId="0" borderId="0" xfId="0" applyFont="1" applyFill="1" applyBorder="1"/>
    <xf numFmtId="170" fontId="5" fillId="2" borderId="20" xfId="0" applyNumberFormat="1" applyFont="1" applyFill="1" applyBorder="1" applyAlignment="1">
      <alignment horizontal="center"/>
    </xf>
    <xf numFmtId="44" fontId="5" fillId="3" borderId="2" xfId="2" applyNumberFormat="1" applyFont="1" applyFill="1" applyBorder="1" applyProtection="1">
      <protection locked="0"/>
    </xf>
    <xf numFmtId="0" fontId="5" fillId="3" borderId="0" xfId="0" applyFont="1" applyFill="1" applyBorder="1"/>
    <xf numFmtId="44" fontId="5" fillId="3" borderId="2" xfId="0" applyNumberFormat="1" applyFont="1" applyFill="1" applyBorder="1" applyAlignment="1">
      <alignment horizontal="center"/>
    </xf>
    <xf numFmtId="0" fontId="5" fillId="3" borderId="0" xfId="0" applyFont="1" applyFill="1"/>
    <xf numFmtId="0" fontId="4" fillId="3" borderId="21" xfId="0" applyFont="1" applyFill="1" applyBorder="1" applyAlignment="1">
      <alignment horizontal="center"/>
    </xf>
    <xf numFmtId="0" fontId="4" fillId="3" borderId="0" xfId="0" applyFont="1" applyFill="1" applyBorder="1" applyAlignment="1">
      <alignment horizontal="center"/>
    </xf>
    <xf numFmtId="3" fontId="5" fillId="3" borderId="0" xfId="1" applyNumberFormat="1" applyFont="1" applyFill="1" applyBorder="1" applyAlignment="1">
      <alignment horizontal="center"/>
    </xf>
    <xf numFmtId="0" fontId="5" fillId="4" borderId="0" xfId="0" applyFont="1" applyFill="1"/>
    <xf numFmtId="44" fontId="5" fillId="0" borderId="0" xfId="13" applyFont="1" applyFill="1"/>
    <xf numFmtId="0" fontId="4" fillId="3" borderId="8" xfId="0" applyFont="1" applyFill="1" applyBorder="1" applyAlignment="1">
      <alignment horizontal="center"/>
    </xf>
    <xf numFmtId="0" fontId="4" fillId="3" borderId="9" xfId="0" applyFont="1" applyFill="1" applyBorder="1" applyAlignment="1">
      <alignment horizontal="left"/>
    </xf>
    <xf numFmtId="3" fontId="4" fillId="3" borderId="15" xfId="0" applyNumberFormat="1" applyFont="1" applyFill="1" applyBorder="1" applyAlignment="1">
      <alignment horizontal="center"/>
    </xf>
    <xf numFmtId="3" fontId="4" fillId="3" borderId="9" xfId="0" applyNumberFormat="1" applyFont="1" applyFill="1" applyBorder="1" applyAlignment="1">
      <alignment horizontal="center"/>
    </xf>
    <xf numFmtId="3" fontId="4" fillId="3" borderId="16" xfId="0" applyNumberFormat="1" applyFont="1" applyFill="1" applyBorder="1" applyAlignment="1">
      <alignment horizontal="center"/>
    </xf>
    <xf numFmtId="42" fontId="4" fillId="3" borderId="13" xfId="2" applyNumberFormat="1" applyFont="1" applyFill="1" applyBorder="1"/>
    <xf numFmtId="37" fontId="4" fillId="3" borderId="9" xfId="2" applyNumberFormat="1" applyFont="1" applyFill="1" applyBorder="1" applyAlignment="1">
      <alignment horizontal="center"/>
    </xf>
    <xf numFmtId="44" fontId="4" fillId="3" borderId="13" xfId="0" applyNumberFormat="1" applyFont="1" applyFill="1" applyBorder="1" applyAlignment="1">
      <alignment horizontal="center"/>
    </xf>
    <xf numFmtId="44" fontId="5" fillId="3" borderId="0" xfId="0" applyNumberFormat="1" applyFont="1" applyFill="1"/>
    <xf numFmtId="0" fontId="4" fillId="3" borderId="0" xfId="0" applyFont="1" applyFill="1"/>
    <xf numFmtId="173" fontId="4" fillId="3" borderId="0" xfId="0" applyNumberFormat="1" applyFont="1" applyFill="1" applyAlignment="1">
      <alignment horizontal="left"/>
    </xf>
    <xf numFmtId="14" fontId="13" fillId="3" borderId="0" xfId="0" applyNumberFormat="1" applyFont="1" applyFill="1"/>
    <xf numFmtId="0" fontId="4" fillId="3" borderId="0" xfId="0" applyFont="1" applyFill="1" applyAlignment="1">
      <alignment horizontal="left"/>
    </xf>
    <xf numFmtId="0" fontId="5" fillId="3" borderId="0" xfId="0" applyFont="1" applyFill="1" applyAlignment="1">
      <alignment horizontal="left"/>
    </xf>
    <xf numFmtId="0" fontId="5" fillId="3" borderId="0" xfId="0" applyFont="1" applyFill="1" applyAlignment="1">
      <alignment horizontal="center"/>
    </xf>
    <xf numFmtId="0" fontId="5" fillId="3" borderId="0" xfId="0" applyFont="1" applyFill="1" applyBorder="1" applyAlignment="1">
      <alignment horizontal="center"/>
    </xf>
    <xf numFmtId="0" fontId="4" fillId="3" borderId="17" xfId="0" applyFont="1" applyFill="1" applyBorder="1"/>
    <xf numFmtId="0" fontId="4" fillId="3" borderId="24" xfId="0" applyFont="1" applyFill="1" applyBorder="1" applyAlignment="1">
      <alignment horizontal="left"/>
    </xf>
    <xf numFmtId="0" fontId="4" fillId="3" borderId="25" xfId="0" applyFont="1" applyFill="1" applyBorder="1" applyAlignment="1">
      <alignment horizontal="left"/>
    </xf>
    <xf numFmtId="0" fontId="4" fillId="3" borderId="26" xfId="0" applyFont="1" applyFill="1" applyBorder="1" applyAlignment="1">
      <alignment horizontal="center"/>
    </xf>
    <xf numFmtId="0" fontId="4" fillId="3" borderId="25" xfId="0" applyFont="1" applyFill="1" applyBorder="1" applyAlignment="1">
      <alignment horizontal="center"/>
    </xf>
    <xf numFmtId="0" fontId="4" fillId="3" borderId="1" xfId="0" applyFont="1" applyFill="1" applyBorder="1" applyAlignment="1">
      <alignment horizontal="center"/>
    </xf>
    <xf numFmtId="0" fontId="4" fillId="3" borderId="24" xfId="0" applyFont="1" applyFill="1" applyBorder="1" applyAlignment="1">
      <alignment horizontal="center"/>
    </xf>
    <xf numFmtId="0" fontId="4" fillId="3" borderId="24" xfId="0" applyFont="1" applyFill="1" applyBorder="1"/>
    <xf numFmtId="0" fontId="4" fillId="3" borderId="18"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center"/>
    </xf>
    <xf numFmtId="0" fontId="4" fillId="3" borderId="19" xfId="0" applyFont="1" applyFill="1" applyBorder="1"/>
    <xf numFmtId="0" fontId="4" fillId="3" borderId="2" xfId="0" applyFont="1" applyFill="1" applyBorder="1" applyAlignment="1">
      <alignment horizontal="left"/>
    </xf>
    <xf numFmtId="0" fontId="4" fillId="3" borderId="12" xfId="0" applyFont="1" applyFill="1" applyBorder="1" applyAlignment="1">
      <alignment horizontal="left"/>
    </xf>
    <xf numFmtId="0" fontId="4" fillId="3" borderId="10" xfId="0" applyFont="1" applyFill="1" applyBorder="1" applyAlignment="1">
      <alignment horizontal="center"/>
    </xf>
    <xf numFmtId="0" fontId="4" fillId="3" borderId="12" xfId="0" applyFont="1" applyFill="1" applyBorder="1" applyAlignment="1">
      <alignment horizontal="center"/>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19" xfId="0" applyFont="1" applyFill="1" applyBorder="1" applyAlignment="1">
      <alignment horizontal="center"/>
    </xf>
    <xf numFmtId="0" fontId="4" fillId="3" borderId="4" xfId="0" applyFont="1" applyFill="1" applyBorder="1" applyAlignment="1">
      <alignment horizontal="left"/>
    </xf>
    <xf numFmtId="0" fontId="4" fillId="3" borderId="14" xfId="0" applyFont="1" applyFill="1" applyBorder="1" applyAlignment="1">
      <alignment horizontal="left"/>
    </xf>
    <xf numFmtId="0" fontId="4" fillId="3" borderId="11" xfId="0" applyFont="1" applyFill="1" applyBorder="1" applyAlignment="1">
      <alignment horizontal="center"/>
    </xf>
    <xf numFmtId="0" fontId="4" fillId="3" borderId="14" xfId="0" applyFont="1" applyFill="1" applyBorder="1" applyAlignment="1">
      <alignment horizontal="center"/>
    </xf>
    <xf numFmtId="0" fontId="4" fillId="3" borderId="6"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15" fillId="3" borderId="0" xfId="0" applyFont="1" applyFill="1" applyBorder="1"/>
    <xf numFmtId="3" fontId="10" fillId="3" borderId="2" xfId="1" applyNumberFormat="1" applyFont="1" applyFill="1" applyBorder="1" applyAlignment="1">
      <alignment horizontal="center"/>
    </xf>
    <xf numFmtId="0" fontId="4" fillId="3" borderId="1" xfId="0" applyFont="1" applyFill="1" applyBorder="1"/>
    <xf numFmtId="0" fontId="5" fillId="3" borderId="29" xfId="16" applyFont="1" applyFill="1" applyBorder="1" applyAlignment="1">
      <alignment horizontal="left" vertical="top" wrapText="1"/>
    </xf>
    <xf numFmtId="0" fontId="5" fillId="3" borderId="31" xfId="0" applyNumberFormat="1" applyFont="1" applyFill="1" applyBorder="1" applyAlignment="1">
      <alignment horizontal="left"/>
    </xf>
    <xf numFmtId="0" fontId="5" fillId="3" borderId="28" xfId="0" applyFont="1" applyFill="1" applyBorder="1" applyAlignment="1">
      <alignment horizontal="left"/>
    </xf>
    <xf numFmtId="3" fontId="5" fillId="3" borderId="31" xfId="1" applyNumberFormat="1" applyFont="1" applyFill="1" applyBorder="1" applyAlignment="1">
      <alignment horizontal="center"/>
    </xf>
    <xf numFmtId="166" fontId="5" fillId="3" borderId="31" xfId="2" applyNumberFormat="1" applyFont="1" applyFill="1" applyBorder="1"/>
    <xf numFmtId="0" fontId="5" fillId="3" borderId="31" xfId="0" applyFont="1" applyFill="1" applyBorder="1" applyAlignment="1">
      <alignment horizontal="center"/>
    </xf>
    <xf numFmtId="0" fontId="5" fillId="3" borderId="0" xfId="1" applyNumberFormat="1" applyFont="1" applyFill="1" applyBorder="1" applyAlignment="1">
      <alignment horizontal="center"/>
    </xf>
    <xf numFmtId="10" fontId="5" fillId="3" borderId="0" xfId="0" applyNumberFormat="1" applyFont="1" applyFill="1" applyAlignment="1" applyProtection="1">
      <alignment horizontal="center"/>
    </xf>
    <xf numFmtId="172" fontId="5" fillId="3" borderId="0" xfId="0" applyNumberFormat="1" applyFont="1" applyFill="1" applyAlignment="1" applyProtection="1">
      <alignment horizontal="center"/>
    </xf>
    <xf numFmtId="3" fontId="5" fillId="3" borderId="0" xfId="0" applyNumberFormat="1" applyFont="1" applyFill="1" applyAlignment="1" applyProtection="1">
      <alignment horizontal="center"/>
    </xf>
    <xf numFmtId="7" fontId="5" fillId="3" borderId="0" xfId="0" applyNumberFormat="1" applyFont="1" applyFill="1" applyAlignment="1">
      <alignment horizontal="center"/>
    </xf>
    <xf numFmtId="164" fontId="4" fillId="6" borderId="16" xfId="2" applyNumberFormat="1" applyFont="1" applyFill="1" applyBorder="1" applyAlignment="1">
      <alignment horizontal="center"/>
    </xf>
    <xf numFmtId="164" fontId="4" fillId="6" borderId="15" xfId="2" applyNumberFormat="1" applyFont="1" applyFill="1" applyBorder="1"/>
    <xf numFmtId="170" fontId="4" fillId="6" borderId="16" xfId="0" applyNumberFormat="1" applyFont="1" applyFill="1" applyBorder="1" applyAlignment="1">
      <alignment horizontal="center"/>
    </xf>
    <xf numFmtId="164" fontId="4" fillId="5" borderId="27" xfId="2" applyNumberFormat="1" applyFont="1" applyFill="1" applyBorder="1"/>
    <xf numFmtId="165" fontId="4" fillId="2" borderId="8" xfId="0" applyNumberFormat="1" applyFont="1" applyFill="1" applyBorder="1" applyAlignment="1">
      <alignment horizontal="center"/>
    </xf>
    <xf numFmtId="0" fontId="5" fillId="3" borderId="0" xfId="0" applyFont="1" applyFill="1" applyBorder="1" applyAlignment="1">
      <alignment horizontal="left"/>
    </xf>
    <xf numFmtId="42" fontId="5" fillId="3" borderId="0" xfId="2" applyNumberFormat="1" applyFont="1" applyFill="1" applyBorder="1"/>
    <xf numFmtId="42" fontId="5" fillId="3" borderId="0" xfId="0" applyNumberFormat="1" applyFont="1" applyFill="1" applyBorder="1" applyAlignment="1">
      <alignment horizontal="center"/>
    </xf>
    <xf numFmtId="170" fontId="5" fillId="3" borderId="0" xfId="0" applyNumberFormat="1" applyFont="1" applyFill="1" applyBorder="1" applyAlignment="1">
      <alignment horizontal="center"/>
    </xf>
    <xf numFmtId="10" fontId="5" fillId="3" borderId="0" xfId="0" applyNumberFormat="1" applyFont="1" applyFill="1" applyAlignment="1" applyProtection="1">
      <alignment horizontal="left"/>
    </xf>
    <xf numFmtId="7" fontId="5" fillId="3" borderId="0" xfId="0" applyNumberFormat="1" applyFont="1" applyFill="1"/>
    <xf numFmtId="0" fontId="5" fillId="3" borderId="31" xfId="0" applyFont="1" applyFill="1" applyBorder="1" applyAlignment="1">
      <alignment horizontal="left"/>
    </xf>
    <xf numFmtId="44" fontId="5" fillId="3" borderId="31" xfId="0" applyNumberFormat="1" applyFont="1" applyFill="1" applyBorder="1" applyAlignment="1">
      <alignment horizontal="center"/>
    </xf>
    <xf numFmtId="44" fontId="5" fillId="3" borderId="31" xfId="0" applyNumberFormat="1" applyFont="1" applyFill="1" applyBorder="1"/>
    <xf numFmtId="165" fontId="4" fillId="3" borderId="0" xfId="0" applyNumberFormat="1" applyFont="1" applyFill="1" applyBorder="1"/>
    <xf numFmtId="3" fontId="4" fillId="3" borderId="0" xfId="0" applyNumberFormat="1" applyFont="1" applyFill="1" applyAlignment="1">
      <alignment horizontal="left"/>
    </xf>
    <xf numFmtId="3" fontId="4" fillId="3" borderId="0" xfId="0" applyNumberFormat="1" applyFont="1" applyFill="1" applyAlignment="1">
      <alignment horizontal="center"/>
    </xf>
    <xf numFmtId="168" fontId="4" fillId="3" borderId="0" xfId="0" applyNumberFormat="1" applyFont="1" applyFill="1"/>
    <xf numFmtId="3" fontId="10" fillId="3" borderId="30" xfId="1" applyNumberFormat="1" applyFont="1" applyFill="1" applyBorder="1" applyAlignment="1">
      <alignment horizontal="center"/>
    </xf>
    <xf numFmtId="0" fontId="5" fillId="3" borderId="35" xfId="9" applyFont="1" applyFill="1" applyBorder="1" applyAlignment="1">
      <alignment horizontal="left" vertical="center" wrapText="1"/>
    </xf>
    <xf numFmtId="4" fontId="4" fillId="7" borderId="9" xfId="0" applyNumberFormat="1" applyFont="1" applyFill="1" applyBorder="1" applyAlignment="1">
      <alignment horizontal="center"/>
    </xf>
    <xf numFmtId="3" fontId="10" fillId="3" borderId="0" xfId="1" applyNumberFormat="1" applyFont="1" applyFill="1" applyBorder="1" applyAlignment="1">
      <alignment horizontal="center"/>
    </xf>
    <xf numFmtId="0" fontId="5" fillId="3" borderId="28" xfId="0" applyFont="1" applyFill="1" applyBorder="1" applyAlignment="1">
      <alignment horizontal="center"/>
    </xf>
    <xf numFmtId="175" fontId="4" fillId="7" borderId="13" xfId="0" applyNumberFormat="1" applyFont="1" applyFill="1" applyBorder="1" applyAlignment="1">
      <alignment horizontal="center"/>
    </xf>
    <xf numFmtId="167" fontId="4" fillId="2" borderId="9" xfId="0" applyNumberFormat="1" applyFont="1" applyFill="1" applyBorder="1"/>
    <xf numFmtId="170" fontId="4" fillId="2" borderId="16" xfId="0" applyNumberFormat="1" applyFont="1" applyFill="1" applyBorder="1" applyAlignment="1">
      <alignment horizontal="center"/>
    </xf>
    <xf numFmtId="2" fontId="4" fillId="3" borderId="0" xfId="0" applyNumberFormat="1" applyFont="1" applyFill="1" applyAlignment="1">
      <alignment horizontal="center"/>
    </xf>
    <xf numFmtId="2" fontId="5" fillId="3" borderId="0" xfId="0" applyNumberFormat="1" applyFont="1" applyFill="1" applyAlignment="1">
      <alignment horizontal="center"/>
    </xf>
    <xf numFmtId="2" fontId="4" fillId="3" borderId="1" xfId="0" applyNumberFormat="1" applyFont="1" applyFill="1" applyBorder="1" applyAlignment="1">
      <alignment horizontal="center"/>
    </xf>
    <xf numFmtId="2" fontId="4" fillId="3" borderId="3" xfId="0" applyNumberFormat="1" applyFont="1" applyFill="1" applyBorder="1" applyAlignment="1">
      <alignment horizontal="center"/>
    </xf>
    <xf numFmtId="2" fontId="4" fillId="3" borderId="6" xfId="0" applyNumberFormat="1" applyFont="1" applyFill="1" applyBorder="1" applyAlignment="1">
      <alignment horizontal="center"/>
    </xf>
    <xf numFmtId="2" fontId="5" fillId="3" borderId="28" xfId="0" applyNumberFormat="1" applyFont="1" applyFill="1" applyBorder="1" applyAlignment="1">
      <alignment horizontal="center"/>
    </xf>
    <xf numFmtId="2" fontId="4" fillId="3" borderId="16" xfId="0" applyNumberFormat="1" applyFont="1" applyFill="1" applyBorder="1" applyAlignment="1">
      <alignment horizontal="center"/>
    </xf>
    <xf numFmtId="2" fontId="5" fillId="3" borderId="0" xfId="0" applyNumberFormat="1" applyFont="1" applyFill="1" applyBorder="1" applyAlignment="1">
      <alignment horizontal="center"/>
    </xf>
    <xf numFmtId="2" fontId="5" fillId="3" borderId="0" xfId="0" applyNumberFormat="1" applyFont="1" applyFill="1" applyAlignment="1" applyProtection="1">
      <alignment horizontal="center"/>
    </xf>
    <xf numFmtId="2" fontId="5" fillId="3" borderId="0" xfId="1" applyNumberFormat="1" applyFont="1" applyFill="1" applyAlignment="1" applyProtection="1">
      <alignment horizontal="center"/>
    </xf>
    <xf numFmtId="0" fontId="5" fillId="3" borderId="37" xfId="0" applyFont="1" applyFill="1" applyBorder="1" applyAlignment="1">
      <alignment horizontal="left"/>
    </xf>
    <xf numFmtId="0" fontId="5" fillId="3" borderId="30" xfId="0" applyNumberFormat="1" applyFont="1" applyFill="1" applyBorder="1" applyAlignment="1">
      <alignment horizontal="left"/>
    </xf>
    <xf numFmtId="0" fontId="5" fillId="3" borderId="30" xfId="0" applyFont="1" applyFill="1" applyBorder="1" applyAlignment="1">
      <alignment horizontal="left"/>
    </xf>
    <xf numFmtId="4" fontId="4" fillId="3" borderId="31" xfId="0" applyNumberFormat="1" applyFont="1" applyFill="1" applyBorder="1" applyAlignment="1">
      <alignment horizontal="center"/>
    </xf>
    <xf numFmtId="2" fontId="4" fillId="3" borderId="31" xfId="0" applyNumberFormat="1" applyFont="1" applyFill="1" applyBorder="1" applyAlignment="1">
      <alignment horizontal="center"/>
    </xf>
    <xf numFmtId="0" fontId="5" fillId="3" borderId="28" xfId="0" applyFont="1" applyFill="1" applyBorder="1"/>
    <xf numFmtId="0" fontId="4" fillId="3" borderId="31" xfId="0" applyFont="1" applyFill="1" applyBorder="1" applyAlignment="1">
      <alignment horizontal="center"/>
    </xf>
    <xf numFmtId="2" fontId="5" fillId="3" borderId="31" xfId="1" applyNumberFormat="1" applyFont="1" applyFill="1" applyBorder="1" applyAlignment="1">
      <alignment horizontal="center"/>
    </xf>
    <xf numFmtId="4" fontId="5" fillId="3" borderId="31" xfId="1" applyNumberFormat="1" applyFont="1" applyFill="1" applyBorder="1" applyAlignment="1">
      <alignment horizontal="center"/>
    </xf>
    <xf numFmtId="42" fontId="5" fillId="3" borderId="31" xfId="2" applyNumberFormat="1" applyFont="1" applyFill="1" applyBorder="1"/>
    <xf numFmtId="42" fontId="5" fillId="3" borderId="31" xfId="1" applyNumberFormat="1" applyFont="1" applyFill="1" applyBorder="1" applyAlignment="1">
      <alignment horizontal="center"/>
    </xf>
    <xf numFmtId="170" fontId="5" fillId="3" borderId="31" xfId="0" applyNumberFormat="1" applyFont="1" applyFill="1" applyBorder="1" applyAlignment="1">
      <alignment horizontal="center"/>
    </xf>
    <xf numFmtId="170" fontId="5" fillId="3" borderId="28" xfId="0" applyNumberFormat="1" applyFont="1" applyFill="1" applyBorder="1" applyAlignment="1">
      <alignment horizontal="center"/>
    </xf>
    <xf numFmtId="0" fontId="4" fillId="3" borderId="0" xfId="0" applyFont="1" applyFill="1" applyAlignment="1">
      <alignment horizontal="center"/>
    </xf>
    <xf numFmtId="0" fontId="0" fillId="3" borderId="0" xfId="0" applyFill="1"/>
    <xf numFmtId="172" fontId="0" fillId="3" borderId="0" xfId="0" applyNumberFormat="1" applyFill="1"/>
    <xf numFmtId="44" fontId="5" fillId="3" borderId="31" xfId="2" applyNumberFormat="1" applyFont="1" applyFill="1" applyBorder="1"/>
    <xf numFmtId="0" fontId="4" fillId="0" borderId="0" xfId="3" applyFont="1" applyFill="1" applyAlignment="1">
      <alignment horizontal="center"/>
    </xf>
    <xf numFmtId="0" fontId="4" fillId="0" borderId="0" xfId="3" applyFont="1" applyAlignment="1">
      <alignment horizontal="center"/>
    </xf>
    <xf numFmtId="0" fontId="5" fillId="0" borderId="0" xfId="3" applyFont="1" applyFill="1"/>
    <xf numFmtId="0" fontId="5" fillId="0" borderId="0" xfId="3" applyFont="1"/>
    <xf numFmtId="0" fontId="5" fillId="0" borderId="0" xfId="3" applyFont="1" applyFill="1" applyAlignment="1">
      <alignment horizontal="center"/>
    </xf>
    <xf numFmtId="0" fontId="5" fillId="0" borderId="0" xfId="3" applyFont="1" applyBorder="1" applyAlignment="1">
      <alignment horizontal="center"/>
    </xf>
    <xf numFmtId="0" fontId="5" fillId="0" borderId="0" xfId="3" applyFont="1" applyAlignment="1">
      <alignment horizontal="center"/>
    </xf>
    <xf numFmtId="0" fontId="5" fillId="0" borderId="5" xfId="3" applyFont="1" applyFill="1" applyBorder="1" applyAlignment="1">
      <alignment horizontal="center"/>
    </xf>
    <xf numFmtId="0" fontId="5" fillId="0" borderId="33" xfId="3" applyFont="1" applyFill="1" applyBorder="1" applyAlignment="1">
      <alignment horizontal="center"/>
    </xf>
    <xf numFmtId="0" fontId="5" fillId="0" borderId="0" xfId="14" applyFont="1" applyFill="1"/>
    <xf numFmtId="44" fontId="5" fillId="0" borderId="0" xfId="2" applyFont="1" applyAlignment="1">
      <alignment horizontal="center"/>
    </xf>
    <xf numFmtId="44" fontId="5" fillId="0" borderId="0" xfId="3" applyNumberFormat="1" applyFont="1" applyAlignment="1">
      <alignment horizontal="center"/>
    </xf>
    <xf numFmtId="171" fontId="5" fillId="0" borderId="0" xfId="14" applyNumberFormat="1" applyFont="1" applyFill="1" applyAlignment="1">
      <alignment horizontal="center"/>
    </xf>
    <xf numFmtId="44" fontId="5" fillId="0" borderId="0" xfId="14" applyNumberFormat="1" applyFont="1" applyFill="1" applyAlignment="1">
      <alignment horizontal="center"/>
    </xf>
    <xf numFmtId="9" fontId="5" fillId="0" borderId="0" xfId="4" applyFont="1" applyAlignment="1">
      <alignment horizontal="center"/>
    </xf>
    <xf numFmtId="44" fontId="5" fillId="0" borderId="0" xfId="3" applyNumberFormat="1" applyFont="1" applyFill="1"/>
    <xf numFmtId="10" fontId="5" fillId="0" borderId="0" xfId="14" applyNumberFormat="1" applyFont="1" applyFill="1" applyAlignment="1">
      <alignment horizontal="center"/>
    </xf>
    <xf numFmtId="44" fontId="5" fillId="0" borderId="0" xfId="4" applyNumberFormat="1" applyFont="1" applyFill="1"/>
    <xf numFmtId="174" fontId="5" fillId="0" borderId="0" xfId="4" applyNumberFormat="1" applyFont="1" applyAlignment="1">
      <alignment horizontal="center"/>
    </xf>
    <xf numFmtId="0" fontId="4" fillId="0" borderId="0" xfId="3" applyFont="1" applyFill="1"/>
    <xf numFmtId="169" fontId="5" fillId="0" borderId="0" xfId="4" applyNumberFormat="1" applyFont="1" applyFill="1"/>
    <xf numFmtId="169" fontId="5" fillId="0" borderId="0" xfId="4" applyNumberFormat="1" applyFont="1"/>
    <xf numFmtId="169" fontId="5" fillId="0" borderId="0" xfId="3" applyNumberFormat="1" applyFont="1"/>
    <xf numFmtId="10" fontId="5" fillId="0" borderId="0" xfId="3" applyNumberFormat="1" applyFont="1"/>
    <xf numFmtId="10" fontId="5" fillId="0" borderId="0" xfId="4" applyNumberFormat="1" applyFont="1"/>
    <xf numFmtId="0" fontId="4" fillId="3" borderId="28" xfId="0" applyFont="1" applyFill="1" applyBorder="1" applyAlignment="1">
      <alignment horizontal="center"/>
    </xf>
    <xf numFmtId="0" fontId="4" fillId="3" borderId="32" xfId="0" applyFont="1" applyFill="1" applyBorder="1" applyAlignment="1">
      <alignment horizontal="center"/>
    </xf>
    <xf numFmtId="165" fontId="5" fillId="6" borderId="31" xfId="0" applyNumberFormat="1" applyFont="1" applyFill="1" applyBorder="1"/>
    <xf numFmtId="170" fontId="5" fillId="6" borderId="31" xfId="0" applyNumberFormat="1" applyFont="1" applyFill="1" applyBorder="1" applyAlignment="1">
      <alignment horizontal="center"/>
    </xf>
    <xf numFmtId="165" fontId="5" fillId="5" borderId="31" xfId="0" applyNumberFormat="1" applyFont="1" applyFill="1" applyBorder="1"/>
    <xf numFmtId="165" fontId="5" fillId="2" borderId="31" xfId="0" applyNumberFormat="1" applyFont="1" applyFill="1" applyBorder="1"/>
    <xf numFmtId="44" fontId="5" fillId="3" borderId="31" xfId="1" applyNumberFormat="1" applyFont="1" applyFill="1" applyBorder="1" applyAlignment="1">
      <alignment horizontal="center"/>
    </xf>
    <xf numFmtId="2" fontId="10" fillId="3" borderId="38" xfId="9" applyNumberFormat="1" applyFont="1" applyFill="1" applyBorder="1" applyAlignment="1">
      <alignment horizontal="center" vertical="center" wrapText="1"/>
    </xf>
    <xf numFmtId="1" fontId="5" fillId="3" borderId="38" xfId="0" applyNumberFormat="1" applyFont="1" applyFill="1" applyBorder="1" applyAlignment="1">
      <alignment horizontal="center"/>
    </xf>
    <xf numFmtId="0" fontId="4" fillId="3" borderId="20"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left"/>
    </xf>
    <xf numFmtId="0" fontId="15" fillId="3" borderId="31" xfId="0" applyNumberFormat="1" applyFont="1" applyFill="1" applyBorder="1" applyAlignment="1">
      <alignment horizontal="left"/>
    </xf>
    <xf numFmtId="0" fontId="15" fillId="3" borderId="30" xfId="0" applyNumberFormat="1" applyFont="1" applyFill="1" applyBorder="1" applyAlignment="1">
      <alignment horizontal="left" wrapText="1"/>
    </xf>
    <xf numFmtId="2" fontId="15" fillId="3" borderId="31" xfId="0" applyNumberFormat="1" applyFont="1" applyFill="1" applyBorder="1" applyAlignment="1">
      <alignment horizontal="center"/>
    </xf>
    <xf numFmtId="170" fontId="15" fillId="3" borderId="31" xfId="0" applyNumberFormat="1" applyFont="1" applyFill="1" applyBorder="1" applyAlignment="1">
      <alignment horizontal="center"/>
    </xf>
    <xf numFmtId="3" fontId="15" fillId="3" borderId="31" xfId="1" applyNumberFormat="1" applyFont="1" applyFill="1" applyBorder="1" applyAlignment="1">
      <alignment horizontal="center"/>
    </xf>
    <xf numFmtId="4" fontId="15" fillId="3" borderId="31" xfId="0" applyNumberFormat="1" applyFont="1" applyFill="1" applyBorder="1" applyAlignment="1" applyProtection="1">
      <alignment horizontal="center"/>
      <protection locked="0"/>
    </xf>
    <xf numFmtId="44" fontId="15" fillId="3" borderId="31" xfId="2" applyNumberFormat="1" applyFont="1" applyFill="1" applyBorder="1"/>
    <xf numFmtId="0" fontId="15" fillId="3" borderId="31" xfId="0" applyFont="1" applyFill="1" applyBorder="1" applyAlignment="1">
      <alignment horizontal="center"/>
    </xf>
    <xf numFmtId="44" fontId="15" fillId="3" borderId="31" xfId="0" applyNumberFormat="1" applyFont="1" applyFill="1" applyBorder="1" applyAlignment="1">
      <alignment horizontal="center"/>
    </xf>
    <xf numFmtId="44" fontId="15" fillId="3" borderId="31" xfId="0" applyNumberFormat="1" applyFont="1" applyFill="1" applyBorder="1"/>
    <xf numFmtId="44" fontId="15" fillId="3" borderId="31" xfId="1" applyNumberFormat="1" applyFont="1" applyFill="1" applyBorder="1" applyAlignment="1">
      <alignment horizontal="center"/>
    </xf>
    <xf numFmtId="165" fontId="15" fillId="6" borderId="31" xfId="0" applyNumberFormat="1" applyFont="1" applyFill="1" applyBorder="1"/>
    <xf numFmtId="170" fontId="15" fillId="6" borderId="31" xfId="0" applyNumberFormat="1" applyFont="1" applyFill="1" applyBorder="1" applyAlignment="1">
      <alignment horizontal="center"/>
    </xf>
    <xf numFmtId="2" fontId="0" fillId="0" borderId="0" xfId="0" applyNumberFormat="1"/>
    <xf numFmtId="0" fontId="10" fillId="3" borderId="30" xfId="9" applyFont="1" applyFill="1" applyBorder="1" applyAlignment="1">
      <alignment horizontal="center" vertical="center" wrapText="1"/>
    </xf>
    <xf numFmtId="3" fontId="5" fillId="3" borderId="38" xfId="1" applyNumberFormat="1" applyFont="1" applyFill="1" applyBorder="1" applyAlignment="1" applyProtection="1">
      <alignment horizontal="center"/>
      <protection locked="0"/>
    </xf>
    <xf numFmtId="4" fontId="15" fillId="3" borderId="31" xfId="1" applyNumberFormat="1" applyFont="1" applyFill="1" applyBorder="1" applyAlignment="1">
      <alignment horizontal="center"/>
    </xf>
    <xf numFmtId="4" fontId="10" fillId="3" borderId="0" xfId="5" applyNumberFormat="1" applyFont="1" applyFill="1" applyBorder="1" applyAlignment="1">
      <alignment horizontal="center" vertical="center" wrapText="1"/>
    </xf>
    <xf numFmtId="4" fontId="4" fillId="3" borderId="0" xfId="0" applyNumberFormat="1" applyFont="1" applyFill="1" applyBorder="1" applyAlignment="1">
      <alignment horizontal="center"/>
    </xf>
    <xf numFmtId="4" fontId="17" fillId="3" borderId="0" xfId="0" applyNumberFormat="1" applyFont="1" applyFill="1" applyAlignment="1">
      <alignment horizontal="left"/>
    </xf>
    <xf numFmtId="0" fontId="5" fillId="7" borderId="0" xfId="0" applyFont="1" applyFill="1" applyAlignment="1">
      <alignment horizontal="left"/>
    </xf>
    <xf numFmtId="172" fontId="5" fillId="7" borderId="0" xfId="0" applyNumberFormat="1" applyFont="1" applyFill="1" applyAlignment="1" applyProtection="1">
      <alignment horizontal="center"/>
    </xf>
    <xf numFmtId="0" fontId="4" fillId="7" borderId="0" xfId="0" applyFont="1" applyFill="1" applyAlignment="1">
      <alignment horizontal="left"/>
    </xf>
    <xf numFmtId="3" fontId="4" fillId="7" borderId="0" xfId="0" applyNumberFormat="1" applyFont="1" applyFill="1" applyAlignment="1">
      <alignment horizontal="left"/>
    </xf>
    <xf numFmtId="10" fontId="4" fillId="3" borderId="0" xfId="0" applyNumberFormat="1" applyFont="1" applyFill="1" applyBorder="1" applyAlignment="1" applyProtection="1">
      <alignment horizontal="center"/>
    </xf>
    <xf numFmtId="10" fontId="5" fillId="3" borderId="0" xfId="0" applyNumberFormat="1" applyFont="1" applyFill="1" applyBorder="1" applyAlignment="1" applyProtection="1">
      <alignment horizontal="center"/>
    </xf>
    <xf numFmtId="164" fontId="4" fillId="3" borderId="0" xfId="2" applyNumberFormat="1" applyFont="1" applyFill="1" applyBorder="1" applyAlignment="1">
      <alignment horizontal="center"/>
    </xf>
    <xf numFmtId="164" fontId="4" fillId="3" borderId="0" xfId="2" applyNumberFormat="1" applyFont="1" applyFill="1" applyBorder="1"/>
    <xf numFmtId="170" fontId="4" fillId="3" borderId="0" xfId="0" applyNumberFormat="1" applyFont="1" applyFill="1" applyBorder="1" applyAlignment="1">
      <alignment horizontal="center"/>
    </xf>
    <xf numFmtId="3" fontId="4" fillId="3" borderId="0" xfId="0" applyNumberFormat="1" applyFont="1" applyFill="1" applyBorder="1"/>
    <xf numFmtId="0" fontId="4" fillId="3" borderId="0" xfId="0" applyFont="1" applyFill="1" applyBorder="1"/>
    <xf numFmtId="175" fontId="4" fillId="3" borderId="0" xfId="2" applyNumberFormat="1" applyFont="1" applyFill="1" applyBorder="1" applyAlignment="1">
      <alignment horizontal="center"/>
    </xf>
    <xf numFmtId="176" fontId="4" fillId="3" borderId="0" xfId="1" applyNumberFormat="1" applyFont="1" applyFill="1" applyBorder="1" applyAlignment="1">
      <alignment horizontal="center"/>
    </xf>
    <xf numFmtId="4" fontId="4" fillId="3" borderId="7" xfId="0" applyNumberFormat="1" applyFont="1" applyFill="1" applyBorder="1" applyAlignment="1">
      <alignment horizontal="center"/>
    </xf>
    <xf numFmtId="0" fontId="5" fillId="3" borderId="7" xfId="0" applyFont="1" applyFill="1" applyBorder="1" applyAlignment="1">
      <alignment horizontal="center"/>
    </xf>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8" xfId="0" applyBorder="1"/>
    <xf numFmtId="0" fontId="0" fillId="0" borderId="49" xfId="0" applyBorder="1"/>
    <xf numFmtId="0" fontId="5" fillId="9" borderId="0" xfId="0" applyFont="1" applyFill="1" applyBorder="1"/>
    <xf numFmtId="7" fontId="5" fillId="3" borderId="0" xfId="0" applyNumberFormat="1" applyFont="1" applyFill="1" applyAlignment="1">
      <alignment horizontal="left"/>
    </xf>
    <xf numFmtId="10" fontId="5" fillId="3" borderId="51" xfId="0" applyNumberFormat="1" applyFont="1" applyFill="1" applyBorder="1" applyAlignment="1" applyProtection="1">
      <alignment horizontal="left"/>
    </xf>
    <xf numFmtId="10" fontId="5" fillId="3" borderId="53" xfId="0" applyNumberFormat="1" applyFont="1" applyFill="1" applyBorder="1" applyAlignment="1" applyProtection="1">
      <alignment horizontal="left"/>
    </xf>
    <xf numFmtId="10" fontId="5" fillId="3" borderId="55" xfId="0" applyNumberFormat="1" applyFont="1" applyFill="1" applyBorder="1" applyAlignment="1" applyProtection="1">
      <alignment horizontal="left"/>
    </xf>
    <xf numFmtId="0" fontId="4" fillId="3" borderId="50" xfId="0" applyFont="1" applyFill="1" applyBorder="1" applyAlignment="1">
      <alignment horizontal="left"/>
    </xf>
    <xf numFmtId="0" fontId="4" fillId="3" borderId="52" xfId="0" applyFont="1" applyFill="1" applyBorder="1" applyAlignment="1">
      <alignment horizontal="left"/>
    </xf>
    <xf numFmtId="0" fontId="4" fillId="3" borderId="54" xfId="0" applyFont="1" applyFill="1" applyBorder="1" applyAlignment="1">
      <alignment horizontal="left"/>
    </xf>
    <xf numFmtId="166" fontId="5" fillId="3" borderId="31" xfId="1" applyNumberFormat="1" applyFont="1" applyFill="1" applyBorder="1" applyAlignment="1">
      <alignment horizontal="center"/>
    </xf>
    <xf numFmtId="0" fontId="4" fillId="3" borderId="0" xfId="0" applyFont="1" applyFill="1" applyAlignment="1">
      <alignment horizontal="center"/>
    </xf>
    <xf numFmtId="172" fontId="5" fillId="0" borderId="0" xfId="0" applyNumberFormat="1" applyFont="1" applyFill="1" applyAlignment="1" applyProtection="1">
      <alignment horizontal="left"/>
    </xf>
    <xf numFmtId="4" fontId="4" fillId="0" borderId="15" xfId="0" applyNumberFormat="1" applyFont="1" applyFill="1" applyBorder="1" applyAlignment="1">
      <alignment horizontal="center"/>
    </xf>
    <xf numFmtId="170" fontId="5" fillId="0" borderId="31" xfId="0" applyNumberFormat="1" applyFont="1" applyFill="1" applyBorder="1" applyAlignment="1">
      <alignment horizontal="center"/>
    </xf>
    <xf numFmtId="0" fontId="9" fillId="3" borderId="32" xfId="0" applyFont="1" applyFill="1" applyBorder="1" applyAlignment="1">
      <alignment horizontal="center"/>
    </xf>
    <xf numFmtId="44" fontId="4" fillId="3" borderId="13" xfId="2" applyNumberFormat="1" applyFont="1" applyFill="1" applyBorder="1"/>
    <xf numFmtId="0" fontId="4" fillId="3" borderId="0" xfId="0" applyFont="1" applyFill="1" applyBorder="1" applyAlignment="1">
      <alignment horizontal="left"/>
    </xf>
    <xf numFmtId="44" fontId="5" fillId="3" borderId="0" xfId="0" applyNumberFormat="1" applyFont="1" applyFill="1" applyAlignment="1" applyProtection="1">
      <alignment horizontal="center"/>
    </xf>
    <xf numFmtId="172" fontId="5" fillId="3" borderId="0" xfId="0" applyNumberFormat="1" applyFont="1" applyFill="1" applyAlignment="1" applyProtection="1">
      <alignment horizontal="left"/>
    </xf>
    <xf numFmtId="0" fontId="15" fillId="10" borderId="0" xfId="0" applyFont="1" applyFill="1" applyBorder="1"/>
    <xf numFmtId="0" fontId="5" fillId="10" borderId="31" xfId="0" applyFont="1" applyFill="1" applyBorder="1" applyAlignment="1">
      <alignment horizontal="left"/>
    </xf>
    <xf numFmtId="0" fontId="5" fillId="10" borderId="31" xfId="0" applyNumberFormat="1" applyFont="1" applyFill="1" applyBorder="1" applyAlignment="1">
      <alignment horizontal="left"/>
    </xf>
    <xf numFmtId="0" fontId="5" fillId="10" borderId="30" xfId="0" applyFont="1" applyFill="1" applyBorder="1" applyAlignment="1">
      <alignment horizontal="left"/>
    </xf>
    <xf numFmtId="2" fontId="5" fillId="10" borderId="31" xfId="1" applyNumberFormat="1" applyFont="1" applyFill="1" applyBorder="1" applyAlignment="1">
      <alignment horizontal="center"/>
    </xf>
    <xf numFmtId="170" fontId="5" fillId="10" borderId="31" xfId="0" applyNumberFormat="1" applyFont="1" applyFill="1" applyBorder="1" applyAlignment="1">
      <alignment horizontal="center"/>
    </xf>
    <xf numFmtId="3" fontId="5" fillId="10" borderId="31" xfId="1" applyNumberFormat="1" applyFont="1" applyFill="1" applyBorder="1" applyAlignment="1">
      <alignment horizontal="center"/>
    </xf>
    <xf numFmtId="4" fontId="5" fillId="10" borderId="31" xfId="1" applyNumberFormat="1" applyFont="1" applyFill="1" applyBorder="1" applyAlignment="1">
      <alignment horizontal="center"/>
    </xf>
    <xf numFmtId="166" fontId="5" fillId="10" borderId="31" xfId="2" applyNumberFormat="1" applyFont="1" applyFill="1" applyBorder="1"/>
    <xf numFmtId="44" fontId="5" fillId="10" borderId="31" xfId="2" applyNumberFormat="1" applyFont="1" applyFill="1" applyBorder="1"/>
    <xf numFmtId="42" fontId="5" fillId="10" borderId="31" xfId="2" applyNumberFormat="1" applyFont="1" applyFill="1" applyBorder="1"/>
    <xf numFmtId="0" fontId="5" fillId="10" borderId="31" xfId="0" applyFont="1" applyFill="1" applyBorder="1" applyAlignment="1">
      <alignment horizontal="center"/>
    </xf>
    <xf numFmtId="44" fontId="5" fillId="10" borderId="31" xfId="0" applyNumberFormat="1" applyFont="1" applyFill="1" applyBorder="1" applyAlignment="1">
      <alignment horizontal="center"/>
    </xf>
    <xf numFmtId="44" fontId="5" fillId="10" borderId="31" xfId="0" applyNumberFormat="1" applyFont="1" applyFill="1" applyBorder="1"/>
    <xf numFmtId="42" fontId="5" fillId="10" borderId="31" xfId="1" applyNumberFormat="1" applyFont="1" applyFill="1" applyBorder="1" applyAlignment="1">
      <alignment horizontal="center"/>
    </xf>
    <xf numFmtId="0" fontId="5" fillId="11" borderId="31" xfId="0" applyFont="1" applyFill="1" applyBorder="1" applyAlignment="1">
      <alignment horizontal="left"/>
    </xf>
    <xf numFmtId="0" fontId="5" fillId="11" borderId="31" xfId="0" applyNumberFormat="1" applyFont="1" applyFill="1" applyBorder="1" applyAlignment="1">
      <alignment horizontal="left"/>
    </xf>
    <xf numFmtId="0" fontId="5" fillId="11" borderId="30" xfId="0" applyFont="1" applyFill="1" applyBorder="1" applyAlignment="1">
      <alignment horizontal="left"/>
    </xf>
    <xf numFmtId="2" fontId="5" fillId="11" borderId="31" xfId="1" applyNumberFormat="1" applyFont="1" applyFill="1" applyBorder="1" applyAlignment="1">
      <alignment horizontal="center"/>
    </xf>
    <xf numFmtId="170" fontId="5" fillId="11" borderId="31" xfId="0" applyNumberFormat="1" applyFont="1" applyFill="1" applyBorder="1" applyAlignment="1">
      <alignment horizontal="center"/>
    </xf>
    <xf numFmtId="3" fontId="5" fillId="11" borderId="31" xfId="1" applyNumberFormat="1" applyFont="1" applyFill="1" applyBorder="1" applyAlignment="1">
      <alignment horizontal="center"/>
    </xf>
    <xf numFmtId="4" fontId="5" fillId="11" borderId="31" xfId="1" applyNumberFormat="1" applyFont="1" applyFill="1" applyBorder="1" applyAlignment="1">
      <alignment horizontal="center"/>
    </xf>
    <xf numFmtId="166" fontId="5" fillId="11" borderId="31" xfId="2" applyNumberFormat="1" applyFont="1" applyFill="1" applyBorder="1"/>
    <xf numFmtId="44" fontId="5" fillId="11" borderId="31" xfId="2" applyNumberFormat="1" applyFont="1" applyFill="1" applyBorder="1"/>
    <xf numFmtId="42" fontId="5" fillId="11" borderId="31" xfId="2" applyNumberFormat="1" applyFont="1" applyFill="1" applyBorder="1"/>
    <xf numFmtId="0" fontId="5" fillId="11" borderId="31" xfId="0" applyFont="1" applyFill="1" applyBorder="1" applyAlignment="1">
      <alignment horizontal="center"/>
    </xf>
    <xf numFmtId="44" fontId="5" fillId="11" borderId="31" xfId="0" applyNumberFormat="1" applyFont="1" applyFill="1" applyBorder="1" applyAlignment="1">
      <alignment horizontal="center"/>
    </xf>
    <xf numFmtId="44" fontId="5" fillId="11" borderId="31" xfId="0" applyNumberFormat="1" applyFont="1" applyFill="1" applyBorder="1"/>
    <xf numFmtId="42" fontId="5" fillId="11" borderId="31" xfId="1" applyNumberFormat="1" applyFont="1" applyFill="1" applyBorder="1" applyAlignment="1">
      <alignment horizontal="center"/>
    </xf>
    <xf numFmtId="165" fontId="5" fillId="12" borderId="31" xfId="0" applyNumberFormat="1" applyFont="1" applyFill="1" applyBorder="1"/>
    <xf numFmtId="0" fontId="5" fillId="12" borderId="0" xfId="0" applyFont="1" applyFill="1" applyBorder="1"/>
    <xf numFmtId="0" fontId="18" fillId="0" borderId="0" xfId="3" applyFont="1" applyAlignment="1">
      <alignment horizontal="center"/>
    </xf>
    <xf numFmtId="0" fontId="6" fillId="0" borderId="0" xfId="3" applyAlignment="1">
      <alignment horizontal="center"/>
    </xf>
    <xf numFmtId="0" fontId="6" fillId="0" borderId="33" xfId="3" applyBorder="1" applyAlignment="1">
      <alignment horizontal="center"/>
    </xf>
    <xf numFmtId="0" fontId="1" fillId="0" borderId="36" xfId="18" applyFill="1" applyBorder="1"/>
    <xf numFmtId="0" fontId="6" fillId="0" borderId="0" xfId="19" applyFont="1" applyFill="1"/>
    <xf numFmtId="44" fontId="6" fillId="0" borderId="0" xfId="20" applyFont="1" applyAlignment="1">
      <alignment horizontal="center"/>
    </xf>
    <xf numFmtId="44" fontId="6" fillId="0" borderId="0" xfId="3" applyNumberFormat="1" applyAlignment="1">
      <alignment horizontal="center"/>
    </xf>
    <xf numFmtId="8" fontId="6" fillId="0" borderId="0" xfId="3" applyNumberFormat="1" applyAlignment="1">
      <alignment horizontal="center"/>
    </xf>
    <xf numFmtId="9" fontId="6" fillId="0" borderId="0" xfId="21" applyFont="1" applyAlignment="1">
      <alignment horizontal="center"/>
    </xf>
    <xf numFmtId="177" fontId="5" fillId="0" borderId="0" xfId="22" applyNumberFormat="1" applyFont="1" applyFill="1"/>
    <xf numFmtId="171" fontId="6" fillId="0" borderId="0" xfId="19" applyNumberFormat="1" applyFont="1" applyFill="1" applyAlignment="1">
      <alignment horizontal="center"/>
    </xf>
    <xf numFmtId="44" fontId="6" fillId="0" borderId="0" xfId="19" applyNumberFormat="1" applyFont="1" applyFill="1"/>
    <xf numFmtId="0" fontId="6" fillId="0" borderId="0" xfId="3"/>
    <xf numFmtId="44" fontId="6" fillId="0" borderId="0" xfId="21" applyNumberFormat="1" applyFont="1" applyFill="1"/>
    <xf numFmtId="0" fontId="18" fillId="0" borderId="36" xfId="18" applyFont="1" applyFill="1" applyBorder="1"/>
    <xf numFmtId="174" fontId="6" fillId="0" borderId="0" xfId="21" applyNumberFormat="1" applyFont="1" applyAlignment="1">
      <alignment horizontal="center"/>
    </xf>
    <xf numFmtId="171" fontId="6" fillId="0" borderId="0" xfId="3" applyNumberFormat="1" applyAlignment="1">
      <alignment horizontal="center"/>
    </xf>
    <xf numFmtId="0" fontId="18" fillId="0" borderId="0" xfId="3" applyFont="1"/>
    <xf numFmtId="169" fontId="6" fillId="0" borderId="0" xfId="21" applyNumberFormat="1" applyFont="1"/>
    <xf numFmtId="169" fontId="6" fillId="0" borderId="0" xfId="19" applyNumberFormat="1"/>
    <xf numFmtId="10" fontId="6" fillId="0" borderId="0" xfId="19" applyNumberFormat="1"/>
    <xf numFmtId="10" fontId="6" fillId="0" borderId="0" xfId="21" applyNumberFormat="1" applyFont="1"/>
    <xf numFmtId="0" fontId="4" fillId="0" borderId="0" xfId="0" applyFont="1" applyFill="1"/>
    <xf numFmtId="0" fontId="5" fillId="0" borderId="0" xfId="0" applyFont="1" applyFill="1" applyAlignment="1">
      <alignment horizontal="left"/>
    </xf>
    <xf numFmtId="3" fontId="4" fillId="7" borderId="15" xfId="0" applyNumberFormat="1" applyFont="1" applyFill="1" applyBorder="1" applyAlignment="1">
      <alignment horizontal="center"/>
    </xf>
    <xf numFmtId="44" fontId="4" fillId="7" borderId="15" xfId="0" applyNumberFormat="1" applyFont="1" applyFill="1" applyBorder="1" applyAlignment="1">
      <alignment horizontal="center"/>
    </xf>
    <xf numFmtId="42" fontId="4" fillId="7" borderId="23" xfId="0" applyNumberFormat="1" applyFont="1" applyFill="1" applyBorder="1"/>
    <xf numFmtId="0" fontId="5" fillId="0" borderId="28" xfId="0" applyFont="1" applyFill="1" applyBorder="1"/>
    <xf numFmtId="0" fontId="5" fillId="0" borderId="28" xfId="0" applyFont="1" applyFill="1" applyBorder="1" applyAlignment="1">
      <alignment horizontal="center"/>
    </xf>
    <xf numFmtId="170" fontId="5" fillId="0" borderId="28" xfId="0" applyNumberFormat="1" applyFont="1" applyFill="1" applyBorder="1" applyAlignment="1">
      <alignment horizontal="center"/>
    </xf>
    <xf numFmtId="170" fontId="5" fillId="0" borderId="39" xfId="0" applyNumberFormat="1" applyFont="1" applyFill="1" applyBorder="1" applyAlignment="1">
      <alignment horizontal="center"/>
    </xf>
    <xf numFmtId="4" fontId="4"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left"/>
    </xf>
    <xf numFmtId="2" fontId="4" fillId="0" borderId="0" xfId="0" applyNumberFormat="1" applyFont="1" applyFill="1" applyBorder="1" applyAlignment="1">
      <alignment horizontal="center"/>
    </xf>
    <xf numFmtId="3" fontId="4" fillId="0" borderId="0" xfId="0" applyNumberFormat="1" applyFont="1" applyFill="1" applyBorder="1" applyAlignment="1">
      <alignment horizontal="center"/>
    </xf>
    <xf numFmtId="42" fontId="4" fillId="0" borderId="0" xfId="2" applyNumberFormat="1" applyFont="1" applyFill="1" applyBorder="1"/>
    <xf numFmtId="44" fontId="4" fillId="0" borderId="7" xfId="2" applyNumberFormat="1" applyFont="1" applyFill="1" applyBorder="1"/>
    <xf numFmtId="4" fontId="4" fillId="0" borderId="7" xfId="0" applyNumberFormat="1" applyFont="1" applyFill="1" applyBorder="1" applyAlignment="1">
      <alignment horizontal="center"/>
    </xf>
    <xf numFmtId="37" fontId="4" fillId="0" borderId="0" xfId="2" applyNumberFormat="1" applyFont="1" applyFill="1" applyBorder="1" applyAlignment="1">
      <alignment horizontal="center"/>
    </xf>
    <xf numFmtId="44" fontId="4" fillId="0" borderId="0" xfId="0" applyNumberFormat="1" applyFont="1" applyFill="1" applyBorder="1" applyAlignment="1">
      <alignment horizontal="center"/>
    </xf>
    <xf numFmtId="7" fontId="4" fillId="0" borderId="0" xfId="0" applyNumberFormat="1" applyFont="1" applyFill="1" applyBorder="1"/>
    <xf numFmtId="164" fontId="4" fillId="0" borderId="0" xfId="2" applyNumberFormat="1" applyFont="1" applyFill="1" applyBorder="1" applyAlignment="1">
      <alignment horizontal="center"/>
    </xf>
    <xf numFmtId="164" fontId="4" fillId="0" borderId="0" xfId="2" applyNumberFormat="1" applyFont="1" applyFill="1" applyBorder="1"/>
    <xf numFmtId="170" fontId="4"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167" fontId="4" fillId="0" borderId="0" xfId="0" applyNumberFormat="1" applyFont="1" applyFill="1" applyBorder="1"/>
    <xf numFmtId="0" fontId="5" fillId="11" borderId="0" xfId="0" applyFont="1" applyFill="1"/>
    <xf numFmtId="0" fontId="4" fillId="11" borderId="8" xfId="0" applyFont="1" applyFill="1" applyBorder="1" applyAlignment="1">
      <alignment horizontal="center"/>
    </xf>
    <xf numFmtId="0" fontId="4" fillId="11" borderId="9" xfId="0" applyFont="1" applyFill="1" applyBorder="1" applyAlignment="1">
      <alignment horizontal="left"/>
    </xf>
    <xf numFmtId="2" fontId="4" fillId="11" borderId="16" xfId="0" applyNumberFormat="1" applyFont="1" applyFill="1" applyBorder="1" applyAlignment="1">
      <alignment horizontal="center"/>
    </xf>
    <xf numFmtId="3" fontId="4" fillId="11" borderId="15" xfId="0" applyNumberFormat="1" applyFont="1" applyFill="1" applyBorder="1" applyAlignment="1">
      <alignment horizontal="center"/>
    </xf>
    <xf numFmtId="3" fontId="4" fillId="11" borderId="9" xfId="0" applyNumberFormat="1" applyFont="1" applyFill="1" applyBorder="1" applyAlignment="1">
      <alignment horizontal="center"/>
    </xf>
    <xf numFmtId="3" fontId="4" fillId="11" borderId="16" xfId="0" applyNumberFormat="1" applyFont="1" applyFill="1" applyBorder="1" applyAlignment="1">
      <alignment horizontal="center"/>
    </xf>
    <xf numFmtId="4" fontId="4" fillId="11" borderId="15" xfId="0" applyNumberFormat="1" applyFont="1" applyFill="1" applyBorder="1" applyAlignment="1">
      <alignment horizontal="center"/>
    </xf>
    <xf numFmtId="42" fontId="4" fillId="11" borderId="13" xfId="2" applyNumberFormat="1" applyFont="1" applyFill="1" applyBorder="1"/>
    <xf numFmtId="44" fontId="4" fillId="11" borderId="13" xfId="2" applyNumberFormat="1" applyFont="1" applyFill="1" applyBorder="1"/>
    <xf numFmtId="4" fontId="4" fillId="11" borderId="9" xfId="0" applyNumberFormat="1" applyFont="1" applyFill="1" applyBorder="1" applyAlignment="1">
      <alignment horizontal="center"/>
    </xf>
    <xf numFmtId="37" fontId="4" fillId="11" borderId="9" xfId="2" applyNumberFormat="1" applyFont="1" applyFill="1" applyBorder="1" applyAlignment="1">
      <alignment horizontal="center"/>
    </xf>
    <xf numFmtId="44" fontId="4" fillId="11" borderId="13" xfId="0" applyNumberFormat="1" applyFont="1" applyFill="1" applyBorder="1" applyAlignment="1">
      <alignment horizontal="center"/>
    </xf>
    <xf numFmtId="7" fontId="4" fillId="11" borderId="23" xfId="0" applyNumberFormat="1" applyFont="1" applyFill="1" applyBorder="1"/>
    <xf numFmtId="164" fontId="4" fillId="11" borderId="16" xfId="2" applyNumberFormat="1" applyFont="1" applyFill="1" applyBorder="1" applyAlignment="1">
      <alignment horizontal="center"/>
    </xf>
    <xf numFmtId="164" fontId="4" fillId="11" borderId="15" xfId="2" applyNumberFormat="1" applyFont="1" applyFill="1" applyBorder="1"/>
    <xf numFmtId="170" fontId="4" fillId="11" borderId="16" xfId="0" applyNumberFormat="1" applyFont="1" applyFill="1" applyBorder="1" applyAlignment="1">
      <alignment horizontal="center"/>
    </xf>
    <xf numFmtId="164" fontId="4" fillId="11" borderId="27" xfId="2" applyNumberFormat="1" applyFont="1" applyFill="1" applyBorder="1"/>
    <xf numFmtId="165" fontId="4" fillId="11" borderId="8" xfId="0" applyNumberFormat="1" applyFont="1" applyFill="1" applyBorder="1" applyAlignment="1">
      <alignment horizontal="center"/>
    </xf>
    <xf numFmtId="167" fontId="4" fillId="11" borderId="9" xfId="0" applyNumberFormat="1" applyFont="1" applyFill="1" applyBorder="1"/>
    <xf numFmtId="0" fontId="5" fillId="10" borderId="0" xfId="0" applyFont="1" applyFill="1"/>
    <xf numFmtId="0" fontId="4" fillId="10" borderId="8" xfId="0" applyFont="1" applyFill="1" applyBorder="1" applyAlignment="1">
      <alignment horizontal="center"/>
    </xf>
    <xf numFmtId="0" fontId="4" fillId="10" borderId="9" xfId="0" applyFont="1" applyFill="1" applyBorder="1" applyAlignment="1">
      <alignment horizontal="left"/>
    </xf>
    <xf numFmtId="2" fontId="4" fillId="10" borderId="16" xfId="0" applyNumberFormat="1" applyFont="1" applyFill="1" applyBorder="1" applyAlignment="1">
      <alignment horizontal="center"/>
    </xf>
    <xf numFmtId="3" fontId="4" fillId="10" borderId="15" xfId="0" applyNumberFormat="1" applyFont="1" applyFill="1" applyBorder="1" applyAlignment="1">
      <alignment horizontal="center"/>
    </xf>
    <xf numFmtId="3" fontId="4" fillId="10" borderId="9" xfId="0" applyNumberFormat="1" applyFont="1" applyFill="1" applyBorder="1" applyAlignment="1">
      <alignment horizontal="center"/>
    </xf>
    <xf numFmtId="3" fontId="4" fillId="10" borderId="16" xfId="0" applyNumberFormat="1" applyFont="1" applyFill="1" applyBorder="1" applyAlignment="1">
      <alignment horizontal="center"/>
    </xf>
    <xf numFmtId="4" fontId="4" fillId="10" borderId="15" xfId="0" applyNumberFormat="1" applyFont="1" applyFill="1" applyBorder="1" applyAlignment="1">
      <alignment horizontal="center"/>
    </xf>
    <xf numFmtId="44" fontId="4" fillId="10" borderId="15" xfId="0" applyNumberFormat="1" applyFont="1" applyFill="1" applyBorder="1" applyAlignment="1">
      <alignment horizontal="center"/>
    </xf>
    <xf numFmtId="42" fontId="4" fillId="10" borderId="13" xfId="2" applyNumberFormat="1" applyFont="1" applyFill="1" applyBorder="1"/>
    <xf numFmtId="44" fontId="4" fillId="10" borderId="13" xfId="2" applyNumberFormat="1" applyFont="1" applyFill="1" applyBorder="1"/>
    <xf numFmtId="4" fontId="4" fillId="10" borderId="9" xfId="0" applyNumberFormat="1" applyFont="1" applyFill="1" applyBorder="1" applyAlignment="1">
      <alignment horizontal="center"/>
    </xf>
    <xf numFmtId="37" fontId="4" fillId="10" borderId="9" xfId="2" applyNumberFormat="1" applyFont="1" applyFill="1" applyBorder="1" applyAlignment="1">
      <alignment horizontal="center"/>
    </xf>
    <xf numFmtId="44" fontId="4" fillId="10" borderId="13" xfId="0" applyNumberFormat="1" applyFont="1" applyFill="1" applyBorder="1" applyAlignment="1">
      <alignment horizontal="center"/>
    </xf>
    <xf numFmtId="164" fontId="4" fillId="10" borderId="16" xfId="2" applyNumberFormat="1" applyFont="1" applyFill="1" applyBorder="1" applyAlignment="1">
      <alignment horizontal="center"/>
    </xf>
    <xf numFmtId="164" fontId="4" fillId="10" borderId="15" xfId="2" applyNumberFormat="1" applyFont="1" applyFill="1" applyBorder="1"/>
    <xf numFmtId="170" fontId="4" fillId="10" borderId="16" xfId="0" applyNumberFormat="1" applyFont="1" applyFill="1" applyBorder="1" applyAlignment="1">
      <alignment horizontal="center"/>
    </xf>
    <xf numFmtId="164" fontId="4" fillId="10" borderId="27" xfId="2" applyNumberFormat="1" applyFont="1" applyFill="1" applyBorder="1"/>
    <xf numFmtId="165" fontId="4" fillId="10" borderId="8" xfId="0" applyNumberFormat="1" applyFont="1" applyFill="1" applyBorder="1" applyAlignment="1">
      <alignment horizontal="center"/>
    </xf>
    <xf numFmtId="167" fontId="4" fillId="10" borderId="9" xfId="0" applyNumberFormat="1" applyFont="1" applyFill="1" applyBorder="1"/>
    <xf numFmtId="0" fontId="5" fillId="12" borderId="0" xfId="0" applyFont="1" applyFill="1"/>
    <xf numFmtId="0" fontId="4" fillId="12" borderId="8" xfId="0" applyFont="1" applyFill="1" applyBorder="1" applyAlignment="1">
      <alignment horizontal="center"/>
    </xf>
    <xf numFmtId="0" fontId="4" fillId="12" borderId="9" xfId="0" applyFont="1" applyFill="1" applyBorder="1" applyAlignment="1">
      <alignment horizontal="left"/>
    </xf>
    <xf numFmtId="2" fontId="4" fillId="12" borderId="16" xfId="0" applyNumberFormat="1" applyFont="1" applyFill="1" applyBorder="1" applyAlignment="1">
      <alignment horizontal="center"/>
    </xf>
    <xf numFmtId="3" fontId="4" fillId="12" borderId="15" xfId="0" applyNumberFormat="1" applyFont="1" applyFill="1" applyBorder="1" applyAlignment="1">
      <alignment horizontal="center"/>
    </xf>
    <xf numFmtId="3" fontId="4" fillId="12" borderId="9" xfId="0" applyNumberFormat="1" applyFont="1" applyFill="1" applyBorder="1" applyAlignment="1">
      <alignment horizontal="center"/>
    </xf>
    <xf numFmtId="3" fontId="4" fillId="12" borderId="16" xfId="0" applyNumberFormat="1" applyFont="1" applyFill="1" applyBorder="1" applyAlignment="1">
      <alignment horizontal="center"/>
    </xf>
    <xf numFmtId="4" fontId="4" fillId="12" borderId="15" xfId="0" applyNumberFormat="1" applyFont="1" applyFill="1" applyBorder="1" applyAlignment="1">
      <alignment horizontal="center"/>
    </xf>
    <xf numFmtId="42" fontId="4" fillId="12" borderId="13" xfId="2" applyNumberFormat="1" applyFont="1" applyFill="1" applyBorder="1"/>
    <xf numFmtId="44" fontId="4" fillId="12" borderId="13" xfId="2" applyNumberFormat="1" applyFont="1" applyFill="1" applyBorder="1"/>
    <xf numFmtId="4" fontId="4" fillId="12" borderId="9" xfId="0" applyNumberFormat="1" applyFont="1" applyFill="1" applyBorder="1" applyAlignment="1">
      <alignment horizontal="center"/>
    </xf>
    <xf numFmtId="37" fontId="4" fillId="12" borderId="9" xfId="2" applyNumberFormat="1" applyFont="1" applyFill="1" applyBorder="1" applyAlignment="1">
      <alignment horizontal="center"/>
    </xf>
    <xf numFmtId="44" fontId="4" fillId="12" borderId="13" xfId="0" applyNumberFormat="1" applyFont="1" applyFill="1" applyBorder="1" applyAlignment="1">
      <alignment horizontal="center"/>
    </xf>
    <xf numFmtId="7" fontId="4" fillId="12" borderId="23" xfId="0" applyNumberFormat="1" applyFont="1" applyFill="1" applyBorder="1"/>
    <xf numFmtId="164" fontId="4" fillId="12" borderId="27" xfId="2" applyNumberFormat="1" applyFont="1" applyFill="1" applyBorder="1"/>
    <xf numFmtId="44" fontId="4" fillId="11" borderId="15" xfId="2" applyNumberFormat="1" applyFont="1" applyFill="1" applyBorder="1" applyAlignment="1">
      <alignment horizontal="center"/>
    </xf>
    <xf numFmtId="44" fontId="4" fillId="12" borderId="15" xfId="0" applyNumberFormat="1" applyFont="1" applyFill="1" applyBorder="1" applyAlignment="1">
      <alignment horizontal="center"/>
    </xf>
    <xf numFmtId="7" fontId="4" fillId="10" borderId="23" xfId="0" applyNumberFormat="1" applyFont="1" applyFill="1" applyBorder="1"/>
    <xf numFmtId="165" fontId="5" fillId="0" borderId="31" xfId="0" applyNumberFormat="1" applyFont="1" applyFill="1" applyBorder="1"/>
    <xf numFmtId="170" fontId="5" fillId="0" borderId="20" xfId="0" applyNumberFormat="1" applyFont="1" applyFill="1" applyBorder="1" applyAlignment="1">
      <alignment horizontal="center"/>
    </xf>
    <xf numFmtId="0" fontId="5" fillId="10" borderId="30" xfId="0" applyNumberFormat="1" applyFont="1" applyFill="1" applyBorder="1" applyAlignment="1">
      <alignment horizontal="left"/>
    </xf>
    <xf numFmtId="0" fontId="5" fillId="11" borderId="30" xfId="0" applyNumberFormat="1" applyFont="1" applyFill="1" applyBorder="1" applyAlignment="1">
      <alignment horizontal="left"/>
    </xf>
    <xf numFmtId="4" fontId="5" fillId="11" borderId="31" xfId="0" applyNumberFormat="1" applyFont="1" applyFill="1" applyBorder="1" applyAlignment="1">
      <alignment horizontal="center"/>
    </xf>
    <xf numFmtId="0" fontId="5" fillId="11" borderId="31" xfId="0" applyFont="1" applyFill="1" applyBorder="1" applyAlignment="1">
      <alignment horizontal="left" vertical="center"/>
    </xf>
    <xf numFmtId="0" fontId="5" fillId="11" borderId="30" xfId="0" applyFont="1" applyFill="1" applyBorder="1" applyAlignment="1">
      <alignment horizontal="left" vertical="center"/>
    </xf>
    <xf numFmtId="4" fontId="5" fillId="11" borderId="31" xfId="0" applyNumberFormat="1" applyFont="1" applyFill="1" applyBorder="1" applyAlignment="1">
      <alignment horizontal="center" vertical="center"/>
    </xf>
    <xf numFmtId="0" fontId="5" fillId="11" borderId="31" xfId="0" applyFont="1" applyFill="1" applyBorder="1" applyAlignment="1">
      <alignment horizontal="center" vertical="center"/>
    </xf>
    <xf numFmtId="0" fontId="5" fillId="11" borderId="40" xfId="16" applyFont="1" applyFill="1" applyBorder="1" applyAlignment="1">
      <alignment horizontal="left" vertical="top" wrapText="1"/>
    </xf>
    <xf numFmtId="0" fontId="5" fillId="11" borderId="0" xfId="9" applyFont="1" applyFill="1" applyBorder="1" applyAlignment="1">
      <alignment horizontal="left" vertical="center" wrapText="1"/>
    </xf>
    <xf numFmtId="2" fontId="10" fillId="11" borderId="30" xfId="9" applyNumberFormat="1" applyFont="1" applyFill="1" applyBorder="1" applyAlignment="1">
      <alignment horizontal="center" vertical="center" wrapText="1"/>
    </xf>
    <xf numFmtId="3" fontId="5" fillId="11" borderId="31" xfId="0" applyNumberFormat="1" applyFont="1" applyFill="1" applyBorder="1" applyAlignment="1">
      <alignment horizontal="center"/>
    </xf>
    <xf numFmtId="0" fontId="10" fillId="11" borderId="30" xfId="9" applyFont="1" applyFill="1" applyBorder="1" applyAlignment="1">
      <alignment horizontal="center" vertical="center" wrapText="1"/>
    </xf>
    <xf numFmtId="3" fontId="5" fillId="11" borderId="31" xfId="1" applyNumberFormat="1" applyFont="1" applyFill="1" applyBorder="1" applyAlignment="1" applyProtection="1">
      <alignment horizontal="center"/>
      <protection locked="0"/>
    </xf>
    <xf numFmtId="42" fontId="5" fillId="11" borderId="34" xfId="2" applyNumberFormat="1" applyFont="1" applyFill="1" applyBorder="1"/>
    <xf numFmtId="3" fontId="10" fillId="11" borderId="31" xfId="1" applyNumberFormat="1" applyFont="1" applyFill="1" applyBorder="1" applyAlignment="1">
      <alignment horizontal="center"/>
    </xf>
    <xf numFmtId="175" fontId="5" fillId="11" borderId="31" xfId="1" applyNumberFormat="1" applyFont="1" applyFill="1" applyBorder="1" applyAlignment="1">
      <alignment horizontal="center"/>
    </xf>
    <xf numFmtId="0" fontId="5" fillId="11" borderId="29" xfId="16" applyFont="1" applyFill="1" applyBorder="1" applyAlignment="1">
      <alignment horizontal="left" vertical="top" wrapText="1"/>
    </xf>
    <xf numFmtId="166" fontId="5" fillId="11" borderId="2" xfId="2" applyNumberFormat="1" applyFont="1" applyFill="1" applyBorder="1"/>
    <xf numFmtId="3" fontId="10" fillId="11" borderId="2" xfId="1" applyNumberFormat="1" applyFont="1" applyFill="1" applyBorder="1" applyAlignment="1">
      <alignment horizontal="center"/>
    </xf>
    <xf numFmtId="44" fontId="5" fillId="11" borderId="2" xfId="0" applyNumberFormat="1" applyFont="1" applyFill="1" applyBorder="1"/>
    <xf numFmtId="3" fontId="10" fillId="11" borderId="0" xfId="5" applyNumberFormat="1" applyFont="1" applyFill="1" applyBorder="1" applyAlignment="1">
      <alignment horizontal="center" vertical="center" wrapText="1"/>
    </xf>
    <xf numFmtId="178" fontId="5" fillId="0" borderId="0" xfId="2" applyNumberFormat="1" applyFont="1" applyFill="1" applyAlignment="1">
      <alignment horizontal="center"/>
    </xf>
    <xf numFmtId="178" fontId="5" fillId="8" borderId="0" xfId="2" applyNumberFormat="1" applyFont="1" applyFill="1" applyAlignment="1">
      <alignment horizontal="center"/>
    </xf>
    <xf numFmtId="0" fontId="4" fillId="3" borderId="0" xfId="0" applyFont="1" applyFill="1" applyAlignment="1">
      <alignment horizontal="center"/>
    </xf>
    <xf numFmtId="0" fontId="4" fillId="0" borderId="0" xfId="3" applyFont="1" applyFill="1" applyAlignment="1">
      <alignment horizontal="center"/>
    </xf>
    <xf numFmtId="0" fontId="18" fillId="0" borderId="0" xfId="3" applyFont="1" applyAlignment="1">
      <alignment horizontal="center"/>
    </xf>
  </cellXfs>
  <cellStyles count="23">
    <cellStyle name="Comma" xfId="1" builtinId="3"/>
    <cellStyle name="Comma 2" xfId="6" xr:uid="{00000000-0005-0000-0000-000001000000}"/>
    <cellStyle name="Comma 3" xfId="10" xr:uid="{00000000-0005-0000-0000-000002000000}"/>
    <cellStyle name="Comma 4" xfId="12" xr:uid="{00000000-0005-0000-0000-000003000000}"/>
    <cellStyle name="Currency" xfId="2" builtinId="4"/>
    <cellStyle name="Currency 2" xfId="7" xr:uid="{00000000-0005-0000-0000-000005000000}"/>
    <cellStyle name="Currency 3" xfId="11" xr:uid="{00000000-0005-0000-0000-000006000000}"/>
    <cellStyle name="Currency 3 2" xfId="20" xr:uid="{EAA0960F-72F0-46A3-A667-D531801CCF4D}"/>
    <cellStyle name="Currency 4" xfId="13" xr:uid="{00000000-0005-0000-0000-000007000000}"/>
    <cellStyle name="Currency 4 2" xfId="22" xr:uid="{BB1134D7-7775-448E-9420-F9801D3576A7}"/>
    <cellStyle name="Normal" xfId="0" builtinId="0"/>
    <cellStyle name="Normal 2" xfId="8" xr:uid="{00000000-0005-0000-0000-000009000000}"/>
    <cellStyle name="Normal 3" xfId="5" xr:uid="{00000000-0005-0000-0000-00000A000000}"/>
    <cellStyle name="Normal 3 2" xfId="18" xr:uid="{FC20A1B5-20D6-40A6-9A25-1E24C7899485}"/>
    <cellStyle name="Normal 4" xfId="9" xr:uid="{00000000-0005-0000-0000-00000B000000}"/>
    <cellStyle name="Normal 5" xfId="16" xr:uid="{00000000-0005-0000-0000-00000C000000}"/>
    <cellStyle name="Normal 6" xfId="17" xr:uid="{00000000-0005-0000-0000-00000D000000}"/>
    <cellStyle name="Normal_Copy of Avoided Cost adjusted Final" xfId="3" xr:uid="{00000000-0005-0000-0000-00000E000000}"/>
    <cellStyle name="Normal_Copy of Avoided Cost adjusted Final 2" xfId="14" xr:uid="{00000000-0005-0000-0000-00000F000000}"/>
    <cellStyle name="Normal_Copy of Avoided Cost adjusted Final 2 2" xfId="19" xr:uid="{AC6049AB-A9FA-4FF4-8185-2B0C9D6CF286}"/>
    <cellStyle name="Percent" xfId="4" builtinId="5"/>
    <cellStyle name="Percent 2" xfId="15" xr:uid="{00000000-0005-0000-0000-000011000000}"/>
    <cellStyle name="Percent 2 2" xfId="21" xr:uid="{161E1FCD-921B-4068-A58B-37410B33DD52}"/>
  </cellStyles>
  <dxfs count="7">
    <dxf>
      <numFmt numFmtId="172" formatCode="&quot;$&quot;#,##0.00"/>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
        <color auto="1"/>
        <name val="Times New Roman"/>
        <scheme val="none"/>
      </font>
      <fill>
        <patternFill>
          <fgColor indexed="64"/>
          <bgColor theme="0"/>
        </patternFill>
      </fill>
    </dxf>
  </dxfs>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pt\Rates\Laron%20T\WA%20CPI\Tools_103006\Comml_Measures_C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ept\Rates\Laron%20T\WA%20CPI\Tools_103006\DaveB\loadprofil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allison.spector\Local%20Settings\Temporary%20Internet%20Files\OLKE1\Cost%20Effectiveness%20calculati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pt/Rates/ENERGY%20EFFICIENCY/ANNUAL%20REPORTING/Annual%20Report%202016/Final%20Files%20for%20Report/Excel%20worksheets/CY%202016%20Residential%20Annual%20Repor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allison.spector\Local%20Settings\Temporary%20Internet%20Files\OLKE1\misc%20no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Summary"/>
      <sheetName val="Results"/>
      <sheetName val="ECMs"/>
      <sheetName val="Applicability"/>
      <sheetName val="AppFuelSat"/>
      <sheetName val="Penetration"/>
      <sheetName val="TechPopRat"/>
      <sheetName val="AchievePopRat"/>
      <sheetName val="MeasElecSavings"/>
      <sheetName val="MeasGasSavings"/>
      <sheetName val="MeasureCost"/>
      <sheetName val="O_M"/>
      <sheetName val="SmOffice"/>
      <sheetName val="LgOffice"/>
      <sheetName val="Restaurant"/>
      <sheetName val="Retail"/>
      <sheetName val="Grocery"/>
      <sheetName val="School"/>
      <sheetName val="Warehouse"/>
      <sheetName val="College"/>
      <sheetName val="Hospital"/>
      <sheetName val="OtherHealth"/>
      <sheetName val="Lodging"/>
      <sheetName val="Other"/>
      <sheetName val="Characteristics"/>
      <sheetName val="Population"/>
      <sheetName val="EUIS"/>
      <sheetName val="Constant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5">
          <cell r="A5">
            <v>5.1742837700707422E-2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Profiles"/>
      <sheetName val="loadprofiles"/>
    </sheetNames>
    <sheetDataSet>
      <sheetData sheetId="0">
        <row r="2">
          <cell r="G2" t="str">
            <v>Index</v>
          </cell>
          <cell r="H2" t="str">
            <v>FLAT</v>
          </cell>
          <cell r="I2" t="str">
            <v>ExLgOffGasHt</v>
          </cell>
          <cell r="J2" t="str">
            <v>NewCommLight</v>
          </cell>
          <cell r="K2" t="str">
            <v>Off Peak</v>
          </cell>
          <cell r="M2" t="str">
            <v>ResDHW</v>
          </cell>
          <cell r="N2" t="str">
            <v>ResSpHtHPZ1</v>
          </cell>
          <cell r="O2" t="str">
            <v>ResSH</v>
          </cell>
          <cell r="P2" t="str">
            <v>SmComWX</v>
          </cell>
          <cell r="Q2" t="str">
            <v>SolarDHWZ3W</v>
          </cell>
          <cell r="Y2" t="str">
            <v>Gas Load Profile</v>
          </cell>
        </row>
        <row r="3">
          <cell r="A3" t="str">
            <v>Flat</v>
          </cell>
          <cell r="B3">
            <v>1.1763812993321188E-4</v>
          </cell>
          <cell r="C3">
            <v>1.1763812993321188E-4</v>
          </cell>
          <cell r="D3">
            <v>2</v>
          </cell>
          <cell r="G3" t="str">
            <v>Index</v>
          </cell>
          <cell r="H3" t="str">
            <v>Flat</v>
          </cell>
          <cell r="I3" t="str">
            <v>HVAC</v>
          </cell>
          <cell r="J3" t="str">
            <v>On Peak</v>
          </cell>
          <cell r="K3" t="str">
            <v>Off Peak</v>
          </cell>
          <cell r="L3" t="str">
            <v>Res Cooling</v>
          </cell>
          <cell r="M3" t="str">
            <v>Res DHW</v>
          </cell>
          <cell r="N3" t="str">
            <v>Res HP</v>
          </cell>
          <cell r="O3" t="str">
            <v>ResSH</v>
          </cell>
          <cell r="P3" t="str">
            <v>Shell Wx</v>
          </cell>
          <cell r="Q3" t="str">
            <v>Solar DHW</v>
          </cell>
          <cell r="Y3" t="str">
            <v>Load Profile</v>
          </cell>
          <cell r="Z3" t="str">
            <v>Capacity Factor</v>
          </cell>
          <cell r="AB3">
            <v>2004</v>
          </cell>
          <cell r="AC3">
            <v>0</v>
          </cell>
        </row>
        <row r="4">
          <cell r="A4" t="str">
            <v>HVAC</v>
          </cell>
          <cell r="B4">
            <v>2.4798087477391641E-4</v>
          </cell>
          <cell r="C4">
            <v>2.1597075847529313E-4</v>
          </cell>
          <cell r="D4">
            <v>3</v>
          </cell>
          <cell r="G4">
            <v>1</v>
          </cell>
          <cell r="H4">
            <v>4.5200742747461393E-2</v>
          </cell>
          <cell r="I4">
            <v>5.0832409242958218E-2</v>
          </cell>
          <cell r="J4">
            <v>6.2898578839727964E-2</v>
          </cell>
          <cell r="K4">
            <v>3.233352402940598E-2</v>
          </cell>
          <cell r="L4">
            <v>6.418585588333206E-2</v>
          </cell>
          <cell r="M4">
            <v>5.3929403121569665E-2</v>
          </cell>
          <cell r="N4">
            <v>5.4783675154386841E-2</v>
          </cell>
          <cell r="O4">
            <v>5.1223986971486765E-2</v>
          </cell>
          <cell r="P4">
            <v>4.6085668233944374E-2</v>
          </cell>
          <cell r="Q4">
            <v>5.6024259880257429E-2</v>
          </cell>
          <cell r="Y4" t="str">
            <v>Existing Process</v>
          </cell>
          <cell r="Z4">
            <v>1</v>
          </cell>
          <cell r="AB4">
            <v>2005</v>
          </cell>
          <cell r="AC4">
            <v>1</v>
          </cell>
          <cell r="AD4">
            <v>4.2938147835148658E-3</v>
          </cell>
          <cell r="AE4">
            <v>0.67198576340909832</v>
          </cell>
        </row>
        <row r="5">
          <cell r="A5" t="str">
            <v>On Peak</v>
          </cell>
          <cell r="B5">
            <v>1.369382746367748E-4</v>
          </cell>
          <cell r="C5">
            <v>1.7969293569575331E-4</v>
          </cell>
          <cell r="D5">
            <v>4</v>
          </cell>
          <cell r="G5">
            <v>2</v>
          </cell>
          <cell r="H5">
            <v>9.2800359841590435E-2</v>
          </cell>
          <cell r="I5">
            <v>0.10561538324464102</v>
          </cell>
          <cell r="J5">
            <v>0.13009902431398201</v>
          </cell>
          <cell r="K5">
            <v>6.4526667453299658E-2</v>
          </cell>
          <cell r="L5">
            <v>0.14294269433272935</v>
          </cell>
          <cell r="M5">
            <v>0.1080724123252276</v>
          </cell>
          <cell r="N5">
            <v>0.11274004765260676</v>
          </cell>
          <cell r="O5">
            <v>0.1036505579241048</v>
          </cell>
          <cell r="P5">
            <v>9.2728877179108299E-2</v>
          </cell>
          <cell r="Q5">
            <v>0.1212450513222444</v>
          </cell>
          <cell r="Y5" t="str">
            <v>Existing Space Heat</v>
          </cell>
          <cell r="Z5">
            <v>0.1429</v>
          </cell>
          <cell r="AB5">
            <v>2006</v>
          </cell>
          <cell r="AC5">
            <v>2</v>
          </cell>
          <cell r="AD5">
            <v>8.4625670005195885E-3</v>
          </cell>
          <cell r="AE5">
            <v>1.2925750169972638</v>
          </cell>
        </row>
        <row r="6">
          <cell r="A6" t="str">
            <v>Off Peak</v>
          </cell>
          <cell r="B6">
            <v>0</v>
          </cell>
          <cell r="C6">
            <v>0</v>
          </cell>
          <cell r="D6">
            <v>5</v>
          </cell>
          <cell r="G6">
            <v>3</v>
          </cell>
          <cell r="H6">
            <v>0.14039997693571948</v>
          </cell>
          <cell r="I6">
            <v>0.16039835724632384</v>
          </cell>
          <cell r="J6">
            <v>0.19729946978823609</v>
          </cell>
          <cell r="K6">
            <v>9.6719810877193335E-2</v>
          </cell>
          <cell r="L6">
            <v>0.22169953278212665</v>
          </cell>
          <cell r="M6">
            <v>0.16221542152888554</v>
          </cell>
          <cell r="N6">
            <v>0.17069642015082667</v>
          </cell>
          <cell r="O6">
            <v>0.15607712887672281</v>
          </cell>
          <cell r="P6">
            <v>0.13937208612427221</v>
          </cell>
          <cell r="Q6">
            <v>0.18646584276423139</v>
          </cell>
          <cell r="Y6" t="str">
            <v>New Process</v>
          </cell>
          <cell r="Z6">
            <v>1</v>
          </cell>
          <cell r="AB6">
            <v>2007</v>
          </cell>
          <cell r="AC6">
            <v>3</v>
          </cell>
          <cell r="AD6">
            <v>1.2509899250038739E-2</v>
          </cell>
          <cell r="AE6">
            <v>1.8659192012449919</v>
          </cell>
        </row>
        <row r="7">
          <cell r="A7" t="str">
            <v>Res Cooling</v>
          </cell>
          <cell r="B7">
            <v>0</v>
          </cell>
          <cell r="C7">
            <v>4.560719657729473E-4</v>
          </cell>
          <cell r="D7">
            <v>6</v>
          </cell>
          <cell r="G7">
            <v>4</v>
          </cell>
          <cell r="H7">
            <v>0.18799959402984853</v>
          </cell>
          <cell r="I7">
            <v>0.21518133124800665</v>
          </cell>
          <cell r="J7">
            <v>0.26449991526249017</v>
          </cell>
          <cell r="K7">
            <v>0.12891295430108701</v>
          </cell>
          <cell r="L7">
            <v>0.30045637123152391</v>
          </cell>
          <cell r="M7">
            <v>0.21635843073254349</v>
          </cell>
          <cell r="N7">
            <v>0.22865279264904659</v>
          </cell>
          <cell r="O7">
            <v>0.20850369982934083</v>
          </cell>
          <cell r="P7">
            <v>0.18601529506943615</v>
          </cell>
          <cell r="Q7">
            <v>0.2516866342062184</v>
          </cell>
          <cell r="Y7" t="str">
            <v>New Space Heat</v>
          </cell>
          <cell r="Z7">
            <v>0.13800000000000001</v>
          </cell>
          <cell r="AB7">
            <v>2008</v>
          </cell>
          <cell r="AC7">
            <v>4</v>
          </cell>
          <cell r="AD7">
            <v>1.643934803597966E-2</v>
          </cell>
          <cell r="AE7">
            <v>2.3958274323329798</v>
          </cell>
        </row>
        <row r="8">
          <cell r="A8" t="str">
            <v>Res DHW</v>
          </cell>
          <cell r="B8">
            <v>1.4471686532932781E-4</v>
          </cell>
          <cell r="C8">
            <v>1.2120037471331203E-4</v>
          </cell>
          <cell r="D8">
            <v>7</v>
          </cell>
          <cell r="G8">
            <v>5</v>
          </cell>
          <cell r="H8">
            <v>0.23559921112397758</v>
          </cell>
          <cell r="I8">
            <v>0.26996430524968945</v>
          </cell>
          <cell r="J8">
            <v>0.33170036073674425</v>
          </cell>
          <cell r="K8">
            <v>0.16110609772498069</v>
          </cell>
          <cell r="L8">
            <v>0.3792132096809212</v>
          </cell>
          <cell r="M8">
            <v>0.27050143993620146</v>
          </cell>
          <cell r="N8">
            <v>0.28660916514726653</v>
          </cell>
          <cell r="O8">
            <v>0.26093027078195885</v>
          </cell>
          <cell r="P8">
            <v>0.23265850401460009</v>
          </cell>
          <cell r="Q8">
            <v>0.3169074256482054</v>
          </cell>
          <cell r="Y8" t="str">
            <v>None</v>
          </cell>
          <cell r="Z8">
            <v>0</v>
          </cell>
          <cell r="AB8">
            <v>2009</v>
          </cell>
          <cell r="AC8">
            <v>5</v>
          </cell>
          <cell r="AD8">
            <v>2.0254346857281526E-2</v>
          </cell>
          <cell r="AE8">
            <v>2.885794940481158</v>
          </cell>
        </row>
        <row r="9">
          <cell r="A9" t="str">
            <v>Res HP</v>
          </cell>
          <cell r="B9">
            <v>1.6717097771270541E-4</v>
          </cell>
          <cell r="C9">
            <v>4.1906621115991547E-5</v>
          </cell>
          <cell r="D9">
            <v>8</v>
          </cell>
          <cell r="G9">
            <v>6</v>
          </cell>
          <cell r="H9">
            <v>0.2831988282181066</v>
          </cell>
          <cell r="I9">
            <v>0.32474727925137226</v>
          </cell>
          <cell r="J9">
            <v>0.39890080621099833</v>
          </cell>
          <cell r="K9">
            <v>0.19329924114887437</v>
          </cell>
          <cell r="L9">
            <v>0.4579700481303185</v>
          </cell>
          <cell r="M9">
            <v>0.3246444491398594</v>
          </cell>
          <cell r="N9">
            <v>0.34456553764548647</v>
          </cell>
          <cell r="O9">
            <v>0.3133568417345769</v>
          </cell>
          <cell r="P9">
            <v>0.27930171295976403</v>
          </cell>
          <cell r="Q9">
            <v>0.3821282170901924</v>
          </cell>
          <cell r="AB9">
            <v>2010</v>
          </cell>
          <cell r="AC9">
            <v>6</v>
          </cell>
          <cell r="AD9">
            <v>2.3958229208060039E-2</v>
          </cell>
          <cell r="AE9">
            <v>3.3390291395899805</v>
          </cell>
        </row>
        <row r="10">
          <cell r="A10" t="str">
            <v>Res SH</v>
          </cell>
          <cell r="B10">
            <v>2.5162728156740127E-4</v>
          </cell>
          <cell r="C10">
            <v>6.9906806433752534E-6</v>
          </cell>
          <cell r="D10">
            <v>9</v>
          </cell>
          <cell r="G10">
            <v>7</v>
          </cell>
          <cell r="H10">
            <v>0.33079844531223562</v>
          </cell>
          <cell r="I10">
            <v>0.37953025325305506</v>
          </cell>
          <cell r="J10">
            <v>0.4661012516852524</v>
          </cell>
          <cell r="K10">
            <v>0.22549238457276805</v>
          </cell>
          <cell r="L10">
            <v>0.53672688657971579</v>
          </cell>
          <cell r="M10">
            <v>0.37878745834351735</v>
          </cell>
          <cell r="N10">
            <v>0.40252191014370642</v>
          </cell>
          <cell r="O10">
            <v>0.36578341268719494</v>
          </cell>
          <cell r="P10">
            <v>0.32594492190492796</v>
          </cell>
          <cell r="Q10">
            <v>0.4473490085321794</v>
          </cell>
          <cell r="AB10">
            <v>2011</v>
          </cell>
          <cell r="AC10">
            <v>7</v>
          </cell>
          <cell r="AD10">
            <v>3.004333220015741E-2</v>
          </cell>
          <cell r="AE10">
            <v>3.7757293698351506</v>
          </cell>
        </row>
        <row r="11">
          <cell r="A11" t="str">
            <v>Shell Wx</v>
          </cell>
          <cell r="B11">
            <v>3.4331518021211006E-4</v>
          </cell>
          <cell r="C11">
            <v>3.1101589120941116E-5</v>
          </cell>
          <cell r="D11">
            <v>10</v>
          </cell>
          <cell r="G11">
            <v>8</v>
          </cell>
          <cell r="H11">
            <v>0.37839806240636464</v>
          </cell>
          <cell r="I11">
            <v>0.43431322725473787</v>
          </cell>
          <cell r="J11">
            <v>0.53330169715950648</v>
          </cell>
          <cell r="K11">
            <v>0.25768552799666172</v>
          </cell>
          <cell r="L11">
            <v>0.61548372502911308</v>
          </cell>
          <cell r="M11">
            <v>0.43293046754717529</v>
          </cell>
          <cell r="N11">
            <v>0.46047828264192636</v>
          </cell>
          <cell r="O11">
            <v>0.41820998363981299</v>
          </cell>
          <cell r="P11">
            <v>0.3725881308500919</v>
          </cell>
          <cell r="Q11">
            <v>0.51256979997416641</v>
          </cell>
          <cell r="AB11">
            <v>2012</v>
          </cell>
          <cell r="AC11">
            <v>8</v>
          </cell>
          <cell r="AD11">
            <v>3.5951199182776214E-2</v>
          </cell>
          <cell r="AE11">
            <v>4.1965035689478638</v>
          </cell>
        </row>
        <row r="12">
          <cell r="A12" t="str">
            <v>Solar DHW</v>
          </cell>
          <cell r="B12">
            <v>1.3535404337832553E-4</v>
          </cell>
          <cell r="C12">
            <v>4.2484080028791884E-4</v>
          </cell>
          <cell r="D12">
            <v>11</v>
          </cell>
          <cell r="G12">
            <v>9</v>
          </cell>
          <cell r="H12">
            <v>0.42599767950049366</v>
          </cell>
          <cell r="I12">
            <v>0.48909620125642067</v>
          </cell>
          <cell r="J12">
            <v>0.60050214263376056</v>
          </cell>
          <cell r="K12">
            <v>0.2898786714205554</v>
          </cell>
          <cell r="L12">
            <v>0.69424056347851038</v>
          </cell>
          <cell r="M12">
            <v>0.48707347675083323</v>
          </cell>
          <cell r="N12">
            <v>0.51843465514014631</v>
          </cell>
          <cell r="O12">
            <v>0.47063655459243103</v>
          </cell>
          <cell r="P12">
            <v>0.41923133979525584</v>
          </cell>
          <cell r="Q12">
            <v>0.57779059141615341</v>
          </cell>
          <cell r="AB12">
            <v>2013</v>
          </cell>
          <cell r="AC12">
            <v>9</v>
          </cell>
          <cell r="AD12">
            <v>4.1686992369784764E-2</v>
          </cell>
          <cell r="AE12">
            <v>4.6019371767205355</v>
          </cell>
        </row>
        <row r="13">
          <cell r="A13" t="str">
            <v>None</v>
          </cell>
          <cell r="B13">
            <v>0</v>
          </cell>
          <cell r="C13">
            <v>0</v>
          </cell>
          <cell r="G13">
            <v>10</v>
          </cell>
          <cell r="H13">
            <v>0.47359729659462274</v>
          </cell>
          <cell r="I13">
            <v>0.54387917525810348</v>
          </cell>
          <cell r="J13">
            <v>0.66770258810801453</v>
          </cell>
          <cell r="K13">
            <v>0.32207181484444908</v>
          </cell>
          <cell r="L13">
            <v>0.77299740192790767</v>
          </cell>
          <cell r="M13">
            <v>0.54121648595449112</v>
          </cell>
          <cell r="N13">
            <v>0.57639102763836614</v>
          </cell>
          <cell r="O13">
            <v>0.52306312554504897</v>
          </cell>
          <cell r="P13">
            <v>0.46587454874041967</v>
          </cell>
          <cell r="Q13">
            <v>0.64301138285814019</v>
          </cell>
          <cell r="AB13">
            <v>2014</v>
          </cell>
          <cell r="AC13">
            <v>10</v>
          </cell>
          <cell r="AD13">
            <v>4.7255723619307625E-2</v>
          </cell>
          <cell r="AE13">
            <v>4.9925939719323766</v>
          </cell>
        </row>
        <row r="14">
          <cell r="G14">
            <v>11</v>
          </cell>
          <cell r="H14">
            <v>0.51056452561162924</v>
          </cell>
          <cell r="I14">
            <v>0.58637420810338148</v>
          </cell>
          <cell r="J14">
            <v>0.7193195730327191</v>
          </cell>
          <cell r="K14">
            <v>0.3474697002333077</v>
          </cell>
          <cell r="L14">
            <v>0.83607430640049629</v>
          </cell>
          <cell r="M14">
            <v>0.58313720399169633</v>
          </cell>
          <cell r="N14">
            <v>0.62025291673152338</v>
          </cell>
          <cell r="O14">
            <v>0.562702017066261</v>
          </cell>
          <cell r="P14">
            <v>0.50128141406669102</v>
          </cell>
          <cell r="Q14">
            <v>0.6947101600536506</v>
          </cell>
          <cell r="AB14">
            <v>2015</v>
          </cell>
          <cell r="AC14">
            <v>11</v>
          </cell>
          <cell r="AD14">
            <v>5.2662258813019142E-2</v>
          </cell>
          <cell r="AE14">
            <v>5.3690168780115872</v>
          </cell>
        </row>
        <row r="15">
          <cell r="G15">
            <v>12</v>
          </cell>
          <cell r="H15">
            <v>0.54753175462863579</v>
          </cell>
          <cell r="I15">
            <v>0.62886924094865948</v>
          </cell>
          <cell r="J15">
            <v>0.77093655795742366</v>
          </cell>
          <cell r="K15">
            <v>0.37286758562216632</v>
          </cell>
          <cell r="L15">
            <v>0.89915121087308503</v>
          </cell>
          <cell r="M15">
            <v>0.62505792202890154</v>
          </cell>
          <cell r="N15">
            <v>0.66411480582468063</v>
          </cell>
          <cell r="O15">
            <v>0.60234090858747302</v>
          </cell>
          <cell r="P15">
            <v>0.53668827939296238</v>
          </cell>
          <cell r="Q15">
            <v>0.74640893724916102</v>
          </cell>
          <cell r="AB15">
            <v>2016</v>
          </cell>
          <cell r="AC15">
            <v>12</v>
          </cell>
          <cell r="AD15">
            <v>5.7911322107884695E-2</v>
          </cell>
          <cell r="AE15">
            <v>5.7351786184490807</v>
          </cell>
        </row>
        <row r="16">
          <cell r="G16">
            <v>13</v>
          </cell>
          <cell r="H16">
            <v>0.58449898364564234</v>
          </cell>
          <cell r="I16">
            <v>0.67136427379393748</v>
          </cell>
          <cell r="J16">
            <v>0.82255354288212823</v>
          </cell>
          <cell r="K16">
            <v>0.39826547101102494</v>
          </cell>
          <cell r="L16">
            <v>0.96222811534567376</v>
          </cell>
          <cell r="M16">
            <v>0.66697864006610674</v>
          </cell>
          <cell r="N16">
            <v>0.70797669491783788</v>
          </cell>
          <cell r="O16">
            <v>0.64197980010868505</v>
          </cell>
          <cell r="P16">
            <v>0.57209514471923373</v>
          </cell>
          <cell r="Q16">
            <v>0.79810771444467143</v>
          </cell>
          <cell r="AB16">
            <v>2017</v>
          </cell>
          <cell r="AC16">
            <v>13</v>
          </cell>
          <cell r="AD16">
            <v>7.7967869911907683E-2</v>
          </cell>
          <cell r="AE16">
            <v>6.0913591768809345</v>
          </cell>
        </row>
        <row r="17">
          <cell r="G17">
            <v>14</v>
          </cell>
          <cell r="H17">
            <v>0.6214662126626489</v>
          </cell>
          <cell r="I17">
            <v>0.71385930663921549</v>
          </cell>
          <cell r="J17">
            <v>0.8741705278068328</v>
          </cell>
          <cell r="K17">
            <v>0.42366335639988356</v>
          </cell>
          <cell r="L17">
            <v>1.0253050198182625</v>
          </cell>
          <cell r="M17">
            <v>0.70889935810331195</v>
          </cell>
          <cell r="N17">
            <v>0.75183858401099513</v>
          </cell>
          <cell r="O17">
            <v>0.68161869162989708</v>
          </cell>
          <cell r="P17">
            <v>0.60750201004550508</v>
          </cell>
          <cell r="Q17">
            <v>0.84980649164018185</v>
          </cell>
          <cell r="AB17">
            <v>2018</v>
          </cell>
          <cell r="AC17">
            <v>14</v>
          </cell>
          <cell r="AD17">
            <v>0.13449797051354906</v>
          </cell>
          <cell r="AE17">
            <v>6.4378308896932648</v>
          </cell>
        </row>
        <row r="18">
          <cell r="G18">
            <v>15</v>
          </cell>
          <cell r="H18">
            <v>0.65843344167965545</v>
          </cell>
          <cell r="I18">
            <v>0.75635433948449349</v>
          </cell>
          <cell r="J18">
            <v>0.92578751273153737</v>
          </cell>
          <cell r="K18">
            <v>0.44906124178874218</v>
          </cell>
          <cell r="L18">
            <v>1.0883819242908512</v>
          </cell>
          <cell r="M18">
            <v>0.75082007614051716</v>
          </cell>
          <cell r="N18">
            <v>0.79570047310415237</v>
          </cell>
          <cell r="O18">
            <v>0.72125758315110911</v>
          </cell>
          <cell r="P18">
            <v>0.64290887537177643</v>
          </cell>
          <cell r="Q18">
            <v>0.90150526883569226</v>
          </cell>
          <cell r="AB18">
            <v>2019</v>
          </cell>
          <cell r="AC18">
            <v>15</v>
          </cell>
          <cell r="AD18">
            <v>0.15340319042496672</v>
          </cell>
          <cell r="AE18">
            <v>6.7748586551136309</v>
          </cell>
        </row>
        <row r="19">
          <cell r="G19">
            <v>16</v>
          </cell>
          <cell r="H19">
            <v>0.695400670696662</v>
          </cell>
          <cell r="I19">
            <v>0.79884937232977149</v>
          </cell>
          <cell r="J19">
            <v>0.97740449765624193</v>
          </cell>
          <cell r="K19">
            <v>0.4744591271776008</v>
          </cell>
          <cell r="L19">
            <v>1.15145882876344</v>
          </cell>
          <cell r="M19">
            <v>0.79274079417772236</v>
          </cell>
          <cell r="N19">
            <v>0.83956236219730962</v>
          </cell>
          <cell r="O19">
            <v>0.76089647467232113</v>
          </cell>
          <cell r="P19">
            <v>0.67831574069804779</v>
          </cell>
          <cell r="Q19">
            <v>0.95320404603120268</v>
          </cell>
          <cell r="AB19">
            <v>2020</v>
          </cell>
          <cell r="AC19">
            <v>16</v>
          </cell>
          <cell r="AD19">
            <v>0.20668823199499345</v>
          </cell>
          <cell r="AE19">
            <v>7.1027001365791298</v>
          </cell>
        </row>
        <row r="20">
          <cell r="G20">
            <v>17</v>
          </cell>
          <cell r="H20">
            <v>0.73236789971366856</v>
          </cell>
          <cell r="I20">
            <v>0.84134440517504949</v>
          </cell>
          <cell r="J20">
            <v>1.0290214825809465</v>
          </cell>
          <cell r="K20">
            <v>0.49985701256645942</v>
          </cell>
          <cell r="L20">
            <v>1.2145357332360287</v>
          </cell>
          <cell r="M20">
            <v>0.83466151221492757</v>
          </cell>
          <cell r="N20">
            <v>0.88342425129046687</v>
          </cell>
          <cell r="O20">
            <v>0.80053536619353316</v>
          </cell>
          <cell r="P20">
            <v>0.71372260602431914</v>
          </cell>
          <cell r="Q20">
            <v>1.004902823226713</v>
          </cell>
          <cell r="AB20">
            <v>2021</v>
          </cell>
          <cell r="AC20">
            <v>17</v>
          </cell>
          <cell r="AD20">
            <v>0.22450821494476975</v>
          </cell>
          <cell r="AE20">
            <v>7.4227948163181345</v>
          </cell>
        </row>
        <row r="21">
          <cell r="G21">
            <v>18</v>
          </cell>
          <cell r="H21">
            <v>0.76933512873067511</v>
          </cell>
          <cell r="I21">
            <v>0.88383943802032749</v>
          </cell>
          <cell r="J21">
            <v>1.0806384675056511</v>
          </cell>
          <cell r="K21">
            <v>0.5252548979553181</v>
          </cell>
          <cell r="L21">
            <v>1.2776126377086174</v>
          </cell>
          <cell r="M21">
            <v>0.87658223025213278</v>
          </cell>
          <cell r="N21">
            <v>0.92728614038362411</v>
          </cell>
          <cell r="O21">
            <v>0.84017425771474519</v>
          </cell>
          <cell r="P21">
            <v>0.74912947135059049</v>
          </cell>
          <cell r="Q21">
            <v>1.0566016004222234</v>
          </cell>
          <cell r="AB21">
            <v>2022</v>
          </cell>
          <cell r="AC21">
            <v>18</v>
          </cell>
          <cell r="AD21">
            <v>0.24180916926494087</v>
          </cell>
          <cell r="AE21">
            <v>7.7353277469195625</v>
          </cell>
        </row>
        <row r="22">
          <cell r="G22">
            <v>19</v>
          </cell>
          <cell r="H22">
            <v>0.80630235774768166</v>
          </cell>
          <cell r="I22">
            <v>0.9263344708656055</v>
          </cell>
          <cell r="J22">
            <v>1.1322554524303556</v>
          </cell>
          <cell r="K22">
            <v>0.55065278334417678</v>
          </cell>
          <cell r="L22">
            <v>1.3406895421812062</v>
          </cell>
          <cell r="M22">
            <v>0.91850294828933798</v>
          </cell>
          <cell r="N22">
            <v>0.97114802947678136</v>
          </cell>
          <cell r="O22">
            <v>0.87981314923595721</v>
          </cell>
          <cell r="P22">
            <v>0.78453633667686185</v>
          </cell>
          <cell r="Q22">
            <v>1.1083003776177338</v>
          </cell>
          <cell r="AB22">
            <v>2023</v>
          </cell>
          <cell r="AC22">
            <v>19</v>
          </cell>
          <cell r="AD22">
            <v>0.26705751884615664</v>
          </cell>
          <cell r="AE22">
            <v>8.0404795050484612</v>
          </cell>
        </row>
        <row r="23">
          <cell r="G23">
            <v>20</v>
          </cell>
          <cell r="H23">
            <v>0.84326958676468822</v>
          </cell>
          <cell r="I23">
            <v>0.96882950371088328</v>
          </cell>
          <cell r="J23">
            <v>1.1838724373550606</v>
          </cell>
          <cell r="K23">
            <v>0.57605066873303534</v>
          </cell>
          <cell r="L23">
            <v>1.4037664466537945</v>
          </cell>
          <cell r="M23">
            <v>0.96042366632654363</v>
          </cell>
          <cell r="N23">
            <v>1.0150099185699391</v>
          </cell>
          <cell r="O23">
            <v>0.91945204075716958</v>
          </cell>
          <cell r="P23">
            <v>0.81994320200313342</v>
          </cell>
          <cell r="Q23">
            <v>1.1599991548132442</v>
          </cell>
          <cell r="AB23">
            <v>2024</v>
          </cell>
          <cell r="AC23">
            <v>20</v>
          </cell>
          <cell r="AD23">
            <v>0.29157047960461852</v>
          </cell>
          <cell r="AE23">
            <v>8.3384263012294646</v>
          </cell>
        </row>
        <row r="24">
          <cell r="G24">
            <v>21</v>
          </cell>
          <cell r="H24">
            <v>0.87018472416634374</v>
          </cell>
          <cell r="I24">
            <v>0.99922016042084216</v>
          </cell>
          <cell r="J24">
            <v>1.223325280641723</v>
          </cell>
          <cell r="K24">
            <v>0.59546005345112241</v>
          </cell>
          <cell r="L24">
            <v>1.4474725209441246</v>
          </cell>
          <cell r="M24">
            <v>0.99106243256974846</v>
          </cell>
          <cell r="N24">
            <v>1.0477460661980871</v>
          </cell>
          <cell r="O24">
            <v>0.94926321641552669</v>
          </cell>
          <cell r="P24">
            <v>0.84635832491260798</v>
          </cell>
          <cell r="Q24">
            <v>1.195026692773532</v>
          </cell>
          <cell r="AB24">
            <v>2025</v>
          </cell>
          <cell r="AC24">
            <v>21</v>
          </cell>
          <cell r="AD24">
            <v>0.33753462453919891</v>
          </cell>
          <cell r="AE24">
            <v>8.629340086896244</v>
          </cell>
        </row>
        <row r="25">
          <cell r="G25">
            <v>22</v>
          </cell>
          <cell r="H25">
            <v>0.89709986156799926</v>
          </cell>
          <cell r="I25">
            <v>1.0296108171308009</v>
          </cell>
          <cell r="J25">
            <v>1.2627781239283853</v>
          </cell>
          <cell r="K25">
            <v>0.61486943816920947</v>
          </cell>
          <cell r="L25">
            <v>1.4911785952344547</v>
          </cell>
          <cell r="M25">
            <v>1.0217011988129532</v>
          </cell>
          <cell r="N25">
            <v>1.0804822138262351</v>
          </cell>
          <cell r="O25">
            <v>0.9790743920738838</v>
          </cell>
          <cell r="P25">
            <v>0.87277344782208255</v>
          </cell>
          <cell r="Q25">
            <v>1.2300542307338198</v>
          </cell>
          <cell r="AB25">
            <v>2026</v>
          </cell>
          <cell r="AC25">
            <v>22</v>
          </cell>
          <cell r="AD25">
            <v>0.38216000797083033</v>
          </cell>
          <cell r="AE25">
            <v>8.9133463330074143</v>
          </cell>
        </row>
        <row r="26">
          <cell r="G26">
            <v>23</v>
          </cell>
          <cell r="H26">
            <v>0.92401499896965478</v>
          </cell>
          <cell r="I26">
            <v>1.0600014738407597</v>
          </cell>
          <cell r="J26">
            <v>1.3022309672150476</v>
          </cell>
          <cell r="K26">
            <v>0.63427882288729653</v>
          </cell>
          <cell r="L26">
            <v>1.5348846695247849</v>
          </cell>
          <cell r="M26">
            <v>1.052339965056158</v>
          </cell>
          <cell r="N26">
            <v>1.1132183614543831</v>
          </cell>
          <cell r="O26">
            <v>1.008885567732241</v>
          </cell>
          <cell r="P26">
            <v>0.89918857073155711</v>
          </cell>
          <cell r="Q26">
            <v>1.2650817686941076</v>
          </cell>
          <cell r="AB26">
            <v>2027</v>
          </cell>
          <cell r="AC26">
            <v>23</v>
          </cell>
          <cell r="AD26">
            <v>0.43307905819658699</v>
          </cell>
          <cell r="AE26">
            <v>9.1906006277781138</v>
          </cell>
        </row>
        <row r="27">
          <cell r="G27">
            <v>24</v>
          </cell>
          <cell r="H27">
            <v>0.9509301363713103</v>
          </cell>
          <cell r="I27">
            <v>1.0903921305507185</v>
          </cell>
          <cell r="J27">
            <v>1.3416838105017099</v>
          </cell>
          <cell r="K27">
            <v>0.6536882076053836</v>
          </cell>
          <cell r="L27">
            <v>1.578590743815115</v>
          </cell>
          <cell r="M27">
            <v>1.0829787312993628</v>
          </cell>
          <cell r="N27">
            <v>1.1459545090825312</v>
          </cell>
          <cell r="O27">
            <v>1.0386967433905983</v>
          </cell>
          <cell r="P27">
            <v>0.92560369364103168</v>
          </cell>
          <cell r="Q27">
            <v>1.3001093066543954</v>
          </cell>
          <cell r="AB27">
            <v>2028</v>
          </cell>
          <cell r="AC27">
            <v>24</v>
          </cell>
          <cell r="AD27">
            <v>0.48251502928955464</v>
          </cell>
          <cell r="AE27">
            <v>9.4612553559489747</v>
          </cell>
        </row>
        <row r="28">
          <cell r="G28">
            <v>25</v>
          </cell>
          <cell r="H28">
            <v>0.97784527377296582</v>
          </cell>
          <cell r="I28">
            <v>1.1207827872606773</v>
          </cell>
          <cell r="J28">
            <v>1.3811366537883722</v>
          </cell>
          <cell r="K28">
            <v>0.67309759232347066</v>
          </cell>
          <cell r="L28">
            <v>1.6222968181054451</v>
          </cell>
          <cell r="M28">
            <v>1.1136174975425677</v>
          </cell>
          <cell r="N28">
            <v>1.1786906567106792</v>
          </cell>
          <cell r="O28">
            <v>1.0685079190489555</v>
          </cell>
          <cell r="P28">
            <v>0.95201881655050624</v>
          </cell>
          <cell r="Q28">
            <v>1.3351368446146832</v>
          </cell>
          <cell r="AB28">
            <v>2029</v>
          </cell>
          <cell r="AC28">
            <v>25</v>
          </cell>
          <cell r="AD28">
            <v>0.52335357673244887</v>
          </cell>
          <cell r="AE28">
            <v>9.7254597534051701</v>
          </cell>
        </row>
        <row r="29">
          <cell r="G29">
            <v>26</v>
          </cell>
          <cell r="H29">
            <v>1.0047604111746213</v>
          </cell>
          <cell r="I29">
            <v>1.151173443970636</v>
          </cell>
          <cell r="J29">
            <v>1.4205894970750346</v>
          </cell>
          <cell r="K29">
            <v>0.69250697704155773</v>
          </cell>
          <cell r="L29">
            <v>1.6660028923957753</v>
          </cell>
          <cell r="M29">
            <v>1.1442562637857725</v>
          </cell>
          <cell r="N29">
            <v>1.2114268043388272</v>
          </cell>
          <cell r="O29">
            <v>1.0983190947073127</v>
          </cell>
          <cell r="P29">
            <v>0.97843393945998081</v>
          </cell>
          <cell r="Q29">
            <v>1.370164382574971</v>
          </cell>
          <cell r="AB29">
            <v>2030</v>
          </cell>
          <cell r="AC29">
            <v>26</v>
          </cell>
          <cell r="AD29">
            <v>0.56300265191972465</v>
          </cell>
          <cell r="AE29">
            <v>9.9833599613313648</v>
          </cell>
        </row>
        <row r="30">
          <cell r="G30">
            <v>27</v>
          </cell>
          <cell r="H30">
            <v>1.031675548576277</v>
          </cell>
          <cell r="I30">
            <v>1.1815641006805948</v>
          </cell>
          <cell r="J30">
            <v>1.4600423403616969</v>
          </cell>
          <cell r="K30">
            <v>0.71191636175964479</v>
          </cell>
          <cell r="L30">
            <v>1.7097089666861054</v>
          </cell>
          <cell r="M30">
            <v>1.1748950300289773</v>
          </cell>
          <cell r="N30">
            <v>1.2441629519669752</v>
          </cell>
          <cell r="O30">
            <v>1.1281302703656699</v>
          </cell>
          <cell r="P30">
            <v>1.0048490623694555</v>
          </cell>
          <cell r="Q30">
            <v>1.4051919205352588</v>
          </cell>
          <cell r="AB30">
            <v>2031</v>
          </cell>
          <cell r="AC30">
            <v>27</v>
          </cell>
          <cell r="AD30">
            <v>0.57528187053148494</v>
          </cell>
          <cell r="AE30">
            <v>10.235099079883316</v>
          </cell>
        </row>
        <row r="31">
          <cell r="G31">
            <v>28</v>
          </cell>
          <cell r="H31">
            <v>1.0585906859779326</v>
          </cell>
          <cell r="I31">
            <v>1.2119547573905536</v>
          </cell>
          <cell r="J31">
            <v>1.4994951836483592</v>
          </cell>
          <cell r="K31">
            <v>0.73132574647773185</v>
          </cell>
          <cell r="L31">
            <v>1.7534150409764355</v>
          </cell>
          <cell r="M31">
            <v>1.2055337962721822</v>
          </cell>
          <cell r="N31">
            <v>1.2768990995951233</v>
          </cell>
          <cell r="O31">
            <v>1.1579414460240272</v>
          </cell>
          <cell r="P31">
            <v>1.0312641852789302</v>
          </cell>
          <cell r="Q31">
            <v>1.4402194584955466</v>
          </cell>
          <cell r="AB31">
            <v>2032</v>
          </cell>
          <cell r="AC31">
            <v>28</v>
          </cell>
          <cell r="AD31">
            <v>0.61920509054872108</v>
          </cell>
          <cell r="AE31">
            <v>10.480817221358313</v>
          </cell>
        </row>
        <row r="32">
          <cell r="G32">
            <v>29</v>
          </cell>
          <cell r="H32">
            <v>1.0855058233795882</v>
          </cell>
          <cell r="I32">
            <v>1.2423454141005124</v>
          </cell>
          <cell r="J32">
            <v>1.5389480269350215</v>
          </cell>
          <cell r="K32">
            <v>0.75073513119581892</v>
          </cell>
          <cell r="L32">
            <v>1.7971211152667657</v>
          </cell>
          <cell r="M32">
            <v>1.236172562515387</v>
          </cell>
          <cell r="N32">
            <v>1.3096352472232713</v>
          </cell>
          <cell r="O32">
            <v>1.1877526216823844</v>
          </cell>
          <cell r="P32">
            <v>1.0576793081884048</v>
          </cell>
          <cell r="Q32">
            <v>1.4752469964558343</v>
          </cell>
          <cell r="AB32">
            <v>2033</v>
          </cell>
          <cell r="AC32">
            <v>29</v>
          </cell>
          <cell r="AD32">
            <v>0.66184899347807657</v>
          </cell>
          <cell r="AE32">
            <v>10.720651562848129</v>
          </cell>
        </row>
        <row r="33">
          <cell r="G33">
            <v>30</v>
          </cell>
          <cell r="H33">
            <v>1.1124209607812439</v>
          </cell>
          <cell r="I33">
            <v>1.2727360708104718</v>
          </cell>
          <cell r="J33">
            <v>1.5784008702216847</v>
          </cell>
          <cell r="K33">
            <v>0.77014451591390631</v>
          </cell>
          <cell r="L33">
            <v>1.8408271895570962</v>
          </cell>
          <cell r="M33">
            <v>1.2668113287585916</v>
          </cell>
          <cell r="N33">
            <v>1.34237139485142</v>
          </cell>
          <cell r="O33">
            <v>1.2175637973407409</v>
          </cell>
          <cell r="P33">
            <v>1.0840944310978795</v>
          </cell>
          <cell r="Q33">
            <v>1.5102745344161215</v>
          </cell>
          <cell r="AB33">
            <v>2034</v>
          </cell>
          <cell r="AC33">
            <v>30</v>
          </cell>
          <cell r="AD33">
            <v>0.70325084098230517</v>
          </cell>
          <cell r="AE33">
            <v>10.957323046522811</v>
          </cell>
        </row>
        <row r="34">
          <cell r="G34">
            <v>31</v>
          </cell>
          <cell r="H34">
            <v>1.1324483515795338</v>
          </cell>
          <cell r="I34">
            <v>1.2953495737533849</v>
          </cell>
          <cell r="J34">
            <v>1.6077574893717592</v>
          </cell>
          <cell r="K34">
            <v>0.78458692073467906</v>
          </cell>
          <cell r="L34">
            <v>1.8733486111478757</v>
          </cell>
          <cell r="M34">
            <v>1.2896094479650766</v>
          </cell>
          <cell r="N34">
            <v>1.3667301731857737</v>
          </cell>
          <cell r="O34">
            <v>1.2397461105342309</v>
          </cell>
          <cell r="P34">
            <v>1.1037497627446347</v>
          </cell>
          <cell r="Q34">
            <v>1.5363383127705348</v>
          </cell>
          <cell r="AB34">
            <v>2035</v>
          </cell>
          <cell r="AC34">
            <v>31</v>
          </cell>
          <cell r="AD34">
            <v>0.74344680943301256</v>
          </cell>
          <cell r="AE34">
            <v>11.188759448703577</v>
          </cell>
        </row>
        <row r="35">
          <cell r="G35">
            <v>32</v>
          </cell>
          <cell r="H35">
            <v>1.1524757423778238</v>
          </cell>
          <cell r="I35">
            <v>1.317963076696298</v>
          </cell>
          <cell r="J35">
            <v>1.6371141085218337</v>
          </cell>
          <cell r="K35">
            <v>0.79902932555545181</v>
          </cell>
          <cell r="L35">
            <v>1.9058700327386551</v>
          </cell>
          <cell r="M35">
            <v>1.3124075671715616</v>
          </cell>
          <cell r="N35">
            <v>1.3910889515201275</v>
          </cell>
          <cell r="O35">
            <v>1.2619284237277208</v>
          </cell>
          <cell r="P35">
            <v>1.1234050943913898</v>
          </cell>
          <cell r="Q35">
            <v>1.5624020911249481</v>
          </cell>
          <cell r="AB35">
            <v>2036</v>
          </cell>
          <cell r="AC35">
            <v>32</v>
          </cell>
          <cell r="AD35">
            <v>0.78247202152107798</v>
          </cell>
          <cell r="AE35">
            <v>11.415116950697461</v>
          </cell>
        </row>
        <row r="36">
          <cell r="G36">
            <v>33</v>
          </cell>
          <cell r="H36">
            <v>1.1725031331761138</v>
          </cell>
          <cell r="I36">
            <v>1.3405765796392111</v>
          </cell>
          <cell r="J36">
            <v>1.6664707276719082</v>
          </cell>
          <cell r="K36">
            <v>0.81347173037622456</v>
          </cell>
          <cell r="L36">
            <v>1.9383914543294345</v>
          </cell>
          <cell r="M36">
            <v>1.3352056863780466</v>
          </cell>
          <cell r="N36">
            <v>1.4154477298544812</v>
          </cell>
          <cell r="O36">
            <v>1.2841107369212108</v>
          </cell>
          <cell r="P36">
            <v>1.1430604260381449</v>
          </cell>
          <cell r="Q36">
            <v>1.5884658694793614</v>
          </cell>
          <cell r="AB36">
            <v>2037</v>
          </cell>
          <cell r="AC36">
            <v>33</v>
          </cell>
          <cell r="AD36">
            <v>0.8203605769463842</v>
          </cell>
          <cell r="AE36">
            <v>11.636545562356241</v>
          </cell>
        </row>
        <row r="37">
          <cell r="G37">
            <v>34</v>
          </cell>
          <cell r="H37">
            <v>1.1925305239744037</v>
          </cell>
          <cell r="I37">
            <v>1.3631900825821242</v>
          </cell>
          <cell r="J37">
            <v>1.6958273468219827</v>
          </cell>
          <cell r="K37">
            <v>0.8279141351969973</v>
          </cell>
          <cell r="L37">
            <v>1.9709128759202139</v>
          </cell>
          <cell r="M37">
            <v>1.3580038055845316</v>
          </cell>
          <cell r="N37">
            <v>1.4398065081888349</v>
          </cell>
          <cell r="O37">
            <v>1.3062930501147008</v>
          </cell>
          <cell r="P37">
            <v>1.1627157576849001</v>
          </cell>
          <cell r="Q37">
            <v>1.6145296478337747</v>
          </cell>
          <cell r="AB37">
            <v>2038</v>
          </cell>
          <cell r="AC37">
            <v>34</v>
          </cell>
          <cell r="AD37">
            <v>0.85714558221367176</v>
          </cell>
          <cell r="AE37">
            <v>11.853189393199679</v>
          </cell>
        </row>
        <row r="38">
          <cell r="G38">
            <v>35</v>
          </cell>
          <cell r="H38">
            <v>1.2125579147726937</v>
          </cell>
          <cell r="I38">
            <v>1.3858035855250372</v>
          </cell>
          <cell r="J38">
            <v>1.7251839659720571</v>
          </cell>
          <cell r="K38">
            <v>0.84235654001777005</v>
          </cell>
          <cell r="L38">
            <v>2.0034342975109936</v>
          </cell>
          <cell r="M38">
            <v>1.3808019247910166</v>
          </cell>
          <cell r="N38">
            <v>1.4641652865231887</v>
          </cell>
          <cell r="O38">
            <v>1.3284753633081907</v>
          </cell>
          <cell r="P38">
            <v>1.1823710893316552</v>
          </cell>
          <cell r="Q38">
            <v>1.640593426188188</v>
          </cell>
          <cell r="AB38">
            <v>2039</v>
          </cell>
          <cell r="AC38">
            <v>35</v>
          </cell>
          <cell r="AD38">
            <v>0.89285917956055294</v>
          </cell>
          <cell r="AE38">
            <v>12.065186911695758</v>
          </cell>
        </row>
        <row r="39">
          <cell r="G39">
            <v>36</v>
          </cell>
          <cell r="H39">
            <v>1.2325853055709837</v>
          </cell>
          <cell r="I39">
            <v>1.4084170884679503</v>
          </cell>
          <cell r="J39">
            <v>1.7545405851221316</v>
          </cell>
          <cell r="K39">
            <v>0.8567989448385428</v>
          </cell>
          <cell r="L39">
            <v>2.0359557191017732</v>
          </cell>
          <cell r="M39">
            <v>1.4036000439975016</v>
          </cell>
          <cell r="N39">
            <v>1.4885240648575424</v>
          </cell>
          <cell r="O39">
            <v>1.3506576765016807</v>
          </cell>
          <cell r="P39">
            <v>1.2020264209784104</v>
          </cell>
          <cell r="Q39">
            <v>1.6666572045426014</v>
          </cell>
          <cell r="AB39">
            <v>2040</v>
          </cell>
          <cell r="AC39">
            <v>36</v>
          </cell>
          <cell r="AD39">
            <v>0.92753257504296183</v>
          </cell>
          <cell r="AE39">
            <v>12.272671193195185</v>
          </cell>
        </row>
        <row r="40">
          <cell r="G40">
            <v>37</v>
          </cell>
          <cell r="H40">
            <v>1.2526126963692736</v>
          </cell>
          <cell r="I40">
            <v>1.4310305914108634</v>
          </cell>
          <cell r="J40">
            <v>1.7838972042722061</v>
          </cell>
          <cell r="K40">
            <v>0.87124134965931554</v>
          </cell>
          <cell r="L40">
            <v>2.0684771406925528</v>
          </cell>
          <cell r="M40">
            <v>1.4263981632039866</v>
          </cell>
          <cell r="N40">
            <v>1.5128828431918961</v>
          </cell>
          <cell r="O40">
            <v>1.3728399896951706</v>
          </cell>
          <cell r="P40">
            <v>1.2216817526251655</v>
          </cell>
          <cell r="Q40">
            <v>1.6927209828970147</v>
          </cell>
          <cell r="AB40">
            <v>2041</v>
          </cell>
          <cell r="AC40">
            <v>37</v>
          </cell>
          <cell r="AD40">
            <v>0.9611960658025821</v>
          </cell>
          <cell r="AE40">
            <v>12.475770156997472</v>
          </cell>
        </row>
        <row r="41">
          <cell r="G41">
            <v>38</v>
          </cell>
          <cell r="H41">
            <v>1.2726400871675636</v>
          </cell>
          <cell r="I41">
            <v>1.4536440943537765</v>
          </cell>
          <cell r="J41">
            <v>1.8132538234222806</v>
          </cell>
          <cell r="K41">
            <v>0.88568375448008829</v>
          </cell>
          <cell r="L41">
            <v>2.1009985622833325</v>
          </cell>
          <cell r="M41">
            <v>1.4491962824104716</v>
          </cell>
          <cell r="N41">
            <v>1.5372416215262499</v>
          </cell>
          <cell r="O41">
            <v>1.3950223028886606</v>
          </cell>
          <cell r="P41">
            <v>1.2413370842719207</v>
          </cell>
          <cell r="Q41">
            <v>1.718784761251428</v>
          </cell>
          <cell r="AB41">
            <v>2042</v>
          </cell>
          <cell r="AC41">
            <v>38</v>
          </cell>
          <cell r="AD41">
            <v>0.99387906654007763</v>
          </cell>
          <cell r="AE41">
            <v>12.674606793006642</v>
          </cell>
        </row>
        <row r="42">
          <cell r="G42">
            <v>39</v>
          </cell>
          <cell r="H42">
            <v>1.2926674779658536</v>
          </cell>
          <cell r="I42">
            <v>1.4762575972966896</v>
          </cell>
          <cell r="J42">
            <v>1.8426104425723551</v>
          </cell>
          <cell r="K42">
            <v>0.90012615930086104</v>
          </cell>
          <cell r="L42">
            <v>2.1335199838741121</v>
          </cell>
          <cell r="M42">
            <v>1.4719944016169566</v>
          </cell>
          <cell r="N42">
            <v>1.5616003998606036</v>
          </cell>
          <cell r="O42">
            <v>1.4172046160821505</v>
          </cell>
          <cell r="P42">
            <v>1.2609924159186758</v>
          </cell>
          <cell r="Q42">
            <v>1.7448485396058413</v>
          </cell>
          <cell r="AB42">
            <v>2043</v>
          </cell>
          <cell r="AC42">
            <v>39</v>
          </cell>
          <cell r="AD42">
            <v>1.0256101352172577</v>
          </cell>
          <cell r="AE42">
            <v>12.86929937841612</v>
          </cell>
        </row>
        <row r="43">
          <cell r="G43">
            <v>40</v>
          </cell>
          <cell r="H43">
            <v>1.3126948687641427</v>
          </cell>
          <cell r="I43">
            <v>1.4988711002396033</v>
          </cell>
          <cell r="J43">
            <v>1.8719670617224289</v>
          </cell>
          <cell r="K43">
            <v>0.91456856412163356</v>
          </cell>
          <cell r="L43">
            <v>2.1660414054648909</v>
          </cell>
          <cell r="M43">
            <v>1.4947925208234418</v>
          </cell>
          <cell r="N43">
            <v>1.5859591781949585</v>
          </cell>
          <cell r="O43">
            <v>1.43938692927564</v>
          </cell>
          <cell r="P43">
            <v>1.2806477475654321</v>
          </cell>
          <cell r="Q43">
            <v>1.7709123179602548</v>
          </cell>
          <cell r="AB43">
            <v>2044</v>
          </cell>
          <cell r="AC43">
            <v>40</v>
          </cell>
          <cell r="AD43">
            <v>1.0564169980106364</v>
          </cell>
          <cell r="AE43">
            <v>13.059961684844618</v>
          </cell>
        </row>
        <row r="44">
          <cell r="G44">
            <v>41</v>
          </cell>
          <cell r="H44">
            <v>1.3275971284540824</v>
          </cell>
          <cell r="I44">
            <v>1.5156976717964192</v>
          </cell>
          <cell r="J44">
            <v>1.8938111450643094</v>
          </cell>
          <cell r="K44">
            <v>0.92531506944517217</v>
          </cell>
          <cell r="L44">
            <v>2.1902404025704518</v>
          </cell>
          <cell r="M44">
            <v>1.5117564636626757</v>
          </cell>
          <cell r="N44">
            <v>1.6040843889707095</v>
          </cell>
          <cell r="O44">
            <v>1.4558926568319039</v>
          </cell>
          <cell r="P44">
            <v>1.2952731603289684</v>
          </cell>
          <cell r="Q44">
            <v>1.7903062170109147</v>
          </cell>
          <cell r="AB44">
            <v>2045</v>
          </cell>
          <cell r="AC44">
            <v>41</v>
          </cell>
          <cell r="AD44">
            <v>1.0863265735381884</v>
          </cell>
          <cell r="AE44">
            <v>13.246703176327733</v>
          </cell>
        </row>
        <row r="45">
          <cell r="G45">
            <v>42</v>
          </cell>
          <cell r="H45">
            <v>1.3424993881440221</v>
          </cell>
          <cell r="I45">
            <v>1.5325242433532351</v>
          </cell>
          <cell r="J45">
            <v>1.9156552284061898</v>
          </cell>
          <cell r="K45">
            <v>0.93606157476871077</v>
          </cell>
          <cell r="L45">
            <v>2.2144393996760128</v>
          </cell>
          <cell r="M45">
            <v>1.5287204065019095</v>
          </cell>
          <cell r="N45">
            <v>1.6222095997464605</v>
          </cell>
          <cell r="O45">
            <v>1.4723983843881678</v>
          </cell>
          <cell r="P45">
            <v>1.3098985730925048</v>
          </cell>
          <cell r="Q45">
            <v>1.8097001160615747</v>
          </cell>
          <cell r="AB45">
            <v>2046</v>
          </cell>
          <cell r="AC45">
            <v>42</v>
          </cell>
          <cell r="AD45">
            <v>1.1153649963804719</v>
          </cell>
          <cell r="AE45">
            <v>13.429629198553531</v>
          </cell>
        </row>
        <row r="46">
          <cell r="G46">
            <v>43</v>
          </cell>
          <cell r="H46">
            <v>1.3574016478339619</v>
          </cell>
          <cell r="I46">
            <v>1.549350814910051</v>
          </cell>
          <cell r="J46">
            <v>1.9374993117480703</v>
          </cell>
          <cell r="K46">
            <v>0.94680808009224937</v>
          </cell>
          <cell r="L46">
            <v>2.2386383967815737</v>
          </cell>
          <cell r="M46">
            <v>1.5456843493411434</v>
          </cell>
          <cell r="N46">
            <v>1.6403348105222115</v>
          </cell>
          <cell r="O46">
            <v>1.4889041119444317</v>
          </cell>
          <cell r="P46">
            <v>1.3245239858560411</v>
          </cell>
          <cell r="Q46">
            <v>1.8290940151122346</v>
          </cell>
          <cell r="AB46">
            <v>2047</v>
          </cell>
          <cell r="AC46">
            <v>43</v>
          </cell>
          <cell r="AD46">
            <v>1.1435576399166696</v>
          </cell>
          <cell r="AE46">
            <v>13.608841159714657</v>
          </cell>
        </row>
        <row r="47">
          <cell r="G47">
            <v>44</v>
          </cell>
          <cell r="H47">
            <v>1.3723039075239016</v>
          </cell>
          <cell r="I47">
            <v>1.5661773864668669</v>
          </cell>
          <cell r="J47">
            <v>1.9593433950899508</v>
          </cell>
          <cell r="K47">
            <v>0.95755458541578797</v>
          </cell>
          <cell r="L47">
            <v>2.2628373938871347</v>
          </cell>
          <cell r="M47">
            <v>1.5626482921803773</v>
          </cell>
          <cell r="N47">
            <v>1.6584600212979625</v>
          </cell>
          <cell r="O47">
            <v>1.5054098395006956</v>
          </cell>
          <cell r="P47">
            <v>1.3391493986195775</v>
          </cell>
          <cell r="Q47">
            <v>1.8484879141628945</v>
          </cell>
          <cell r="AB47">
            <v>2048</v>
          </cell>
          <cell r="AC47">
            <v>44</v>
          </cell>
          <cell r="AD47">
            <v>1.1709291384955023</v>
          </cell>
          <cell r="AE47">
            <v>13.784436703334352</v>
          </cell>
        </row>
        <row r="48">
          <cell r="G48">
            <v>45</v>
          </cell>
          <cell r="H48">
            <v>1.3872061672138414</v>
          </cell>
          <cell r="I48">
            <v>1.5830039580236828</v>
          </cell>
          <cell r="J48">
            <v>1.9811874784318313</v>
          </cell>
          <cell r="K48">
            <v>0.96830109073932658</v>
          </cell>
          <cell r="L48">
            <v>2.2870363909926956</v>
          </cell>
          <cell r="M48">
            <v>1.5796122350196111</v>
          </cell>
          <cell r="N48">
            <v>1.6765852320737136</v>
          </cell>
          <cell r="O48">
            <v>1.5219155670569595</v>
          </cell>
          <cell r="P48">
            <v>1.3537748113831138</v>
          </cell>
          <cell r="Q48">
            <v>1.8678818132135544</v>
          </cell>
          <cell r="AB48">
            <v>2049</v>
          </cell>
          <cell r="AC48">
            <v>45</v>
          </cell>
          <cell r="AD48">
            <v>1.1975034089603884</v>
          </cell>
          <cell r="AE48">
            <v>13.95650987340915</v>
          </cell>
        </row>
        <row r="49">
          <cell r="G49">
            <v>46</v>
          </cell>
          <cell r="H49">
            <v>1.4021084269037811</v>
          </cell>
          <cell r="I49">
            <v>1.5998305295804987</v>
          </cell>
          <cell r="J49">
            <v>2.0030315617737116</v>
          </cell>
          <cell r="K49">
            <v>0.97904759606286518</v>
          </cell>
          <cell r="L49">
            <v>2.3112353880982566</v>
          </cell>
          <cell r="M49">
            <v>1.596576177858845</v>
          </cell>
          <cell r="N49">
            <v>1.6947104428494646</v>
          </cell>
          <cell r="O49">
            <v>1.5384212946132234</v>
          </cell>
          <cell r="P49">
            <v>1.3684002241466502</v>
          </cell>
          <cell r="Q49">
            <v>1.8872757122642143</v>
          </cell>
          <cell r="AB49">
            <v>2050</v>
          </cell>
          <cell r="AC49">
            <v>46</v>
          </cell>
          <cell r="AD49">
            <v>1.2233036715476564</v>
          </cell>
          <cell r="AE49">
            <v>14.125151272197067</v>
          </cell>
        </row>
        <row r="50">
          <cell r="G50">
            <v>47</v>
          </cell>
          <cell r="H50">
            <v>1.4170106865937209</v>
          </cell>
          <cell r="I50">
            <v>1.6166571011373145</v>
          </cell>
          <cell r="J50">
            <v>2.0248756451155918</v>
          </cell>
          <cell r="K50">
            <v>0.98979410138640378</v>
          </cell>
          <cell r="L50">
            <v>2.3354343852038175</v>
          </cell>
          <cell r="M50">
            <v>1.6135401206980788</v>
          </cell>
          <cell r="N50">
            <v>1.7128356536252156</v>
          </cell>
          <cell r="O50">
            <v>1.5549270221694873</v>
          </cell>
          <cell r="P50">
            <v>1.3830256369101865</v>
          </cell>
          <cell r="Q50">
            <v>1.9066696113148742</v>
          </cell>
          <cell r="AB50">
            <v>2051</v>
          </cell>
          <cell r="AC50">
            <v>47</v>
          </cell>
          <cell r="AD50">
            <v>1.248352470176072</v>
          </cell>
          <cell r="AE50">
            <v>14.290448210966655</v>
          </cell>
        </row>
        <row r="51">
          <cell r="G51">
            <v>48</v>
          </cell>
          <cell r="H51">
            <v>1.4319129462836606</v>
          </cell>
          <cell r="I51">
            <v>1.6334836726941304</v>
          </cell>
          <cell r="J51">
            <v>2.0467197284574721</v>
          </cell>
          <cell r="K51">
            <v>1.0005406067099425</v>
          </cell>
          <cell r="L51">
            <v>2.3596333823093785</v>
          </cell>
          <cell r="M51">
            <v>1.6305040635373127</v>
          </cell>
          <cell r="N51">
            <v>1.7309608644009666</v>
          </cell>
          <cell r="O51">
            <v>1.5714327497257512</v>
          </cell>
          <cell r="P51">
            <v>1.3976510496737229</v>
          </cell>
          <cell r="Q51">
            <v>1.9260635103655341</v>
          </cell>
          <cell r="AB51">
            <v>2052</v>
          </cell>
          <cell r="AC51">
            <v>48</v>
          </cell>
          <cell r="AD51">
            <v>1.2726716921454075</v>
          </cell>
          <cell r="AE51">
            <v>14.45248485400934</v>
          </cell>
        </row>
        <row r="52">
          <cell r="G52">
            <v>49</v>
          </cell>
          <cell r="H52">
            <v>1.4468152059736004</v>
          </cell>
          <cell r="I52">
            <v>1.6503102442509463</v>
          </cell>
          <cell r="J52">
            <v>2.0685638117993523</v>
          </cell>
          <cell r="K52">
            <v>1.0112871120334812</v>
          </cell>
          <cell r="L52">
            <v>2.3838323794149394</v>
          </cell>
          <cell r="M52">
            <v>1.6474680063765466</v>
          </cell>
          <cell r="N52">
            <v>1.7490860751767177</v>
          </cell>
          <cell r="O52">
            <v>1.5879384772820151</v>
          </cell>
          <cell r="P52">
            <v>1.4122764624372592</v>
          </cell>
          <cell r="Q52">
            <v>1.9454574094161941</v>
          </cell>
          <cell r="AB52">
            <v>2053</v>
          </cell>
          <cell r="AC52">
            <v>49</v>
          </cell>
          <cell r="AD52">
            <v>1.2962825872612673</v>
          </cell>
          <cell r="AE52">
            <v>14.611342356205071</v>
          </cell>
        </row>
        <row r="53">
          <cell r="G53">
            <v>50</v>
          </cell>
          <cell r="H53">
            <v>1.4617174656635397</v>
          </cell>
          <cell r="I53">
            <v>1.6671368158077626</v>
          </cell>
          <cell r="J53">
            <v>2.090407895141233</v>
          </cell>
          <cell r="K53">
            <v>1.0220336173570197</v>
          </cell>
          <cell r="L53">
            <v>2.4080313765204981</v>
          </cell>
          <cell r="M53">
            <v>1.6644319492157797</v>
          </cell>
          <cell r="N53">
            <v>1.7672112859524687</v>
          </cell>
          <cell r="O53">
            <v>1.6044442048382794</v>
          </cell>
          <cell r="P53">
            <v>1.4269018752007956</v>
          </cell>
          <cell r="Q53">
            <v>1.9648513084668549</v>
          </cell>
          <cell r="AB53">
            <v>2054</v>
          </cell>
          <cell r="AC53">
            <v>50</v>
          </cell>
          <cell r="AD53">
            <v>1.3192057864028788</v>
          </cell>
          <cell r="AE53">
            <v>14.767098994419424</v>
          </cell>
        </row>
        <row r="54">
          <cell r="G54">
            <v>51</v>
          </cell>
          <cell r="H54">
            <v>1.4728061458109447</v>
          </cell>
          <cell r="I54">
            <v>1.6796573640695842</v>
          </cell>
          <cell r="J54">
            <v>2.1066619445384736</v>
          </cell>
          <cell r="K54">
            <v>1.0300300267741571</v>
          </cell>
          <cell r="L54">
            <v>2.4260376930721765</v>
          </cell>
          <cell r="M54">
            <v>1.6770547123335282</v>
          </cell>
          <cell r="N54">
            <v>1.7806981428778381</v>
          </cell>
          <cell r="O54">
            <v>1.616726013096955</v>
          </cell>
          <cell r="P54">
            <v>1.4377845550413613</v>
          </cell>
          <cell r="Q54">
            <v>1.9792821890333725</v>
          </cell>
          <cell r="AB54">
            <v>2055</v>
          </cell>
          <cell r="AC54">
            <v>51</v>
          </cell>
          <cell r="AD54">
            <v>1.3414613195500742</v>
          </cell>
          <cell r="AE54">
            <v>14.91983029299875</v>
          </cell>
        </row>
        <row r="55">
          <cell r="G55">
            <v>52</v>
          </cell>
          <cell r="H55">
            <v>1.4838948259583498</v>
          </cell>
          <cell r="I55">
            <v>1.6921779123314058</v>
          </cell>
          <cell r="J55">
            <v>2.1229159939357141</v>
          </cell>
          <cell r="K55">
            <v>1.0380264361912945</v>
          </cell>
          <cell r="L55">
            <v>2.4440440096238549</v>
          </cell>
          <cell r="M55">
            <v>1.6896774754512767</v>
          </cell>
          <cell r="N55">
            <v>1.7941849998032076</v>
          </cell>
          <cell r="O55">
            <v>1.6290078213556307</v>
          </cell>
          <cell r="P55">
            <v>1.4486672348819269</v>
          </cell>
          <cell r="Q55">
            <v>1.9937130695998901</v>
          </cell>
          <cell r="AB55">
            <v>2056</v>
          </cell>
          <cell r="AC55">
            <v>52</v>
          </cell>
          <cell r="AD55">
            <v>1.3630686332852155</v>
          </cell>
          <cell r="AE55">
            <v>15.069609143619083</v>
          </cell>
        </row>
        <row r="56">
          <cell r="G56">
            <v>53</v>
          </cell>
          <cell r="H56">
            <v>1.4949835061057548</v>
          </cell>
          <cell r="I56">
            <v>1.7046984605932274</v>
          </cell>
          <cell r="J56">
            <v>2.1391700433329546</v>
          </cell>
          <cell r="K56">
            <v>1.046022845608432</v>
          </cell>
          <cell r="L56">
            <v>2.4620503261755333</v>
          </cell>
          <cell r="M56">
            <v>1.7023002385690251</v>
          </cell>
          <cell r="N56">
            <v>1.807671856728577</v>
          </cell>
          <cell r="O56">
            <v>1.6412896296143065</v>
          </cell>
          <cell r="P56">
            <v>1.4595499147224926</v>
          </cell>
          <cell r="Q56">
            <v>2.0081439501664078</v>
          </cell>
          <cell r="AB56">
            <v>2057</v>
          </cell>
          <cell r="AC56">
            <v>53</v>
          </cell>
          <cell r="AD56">
            <v>1.3840466077853526</v>
          </cell>
          <cell r="AE56">
            <v>15.216505919733851</v>
          </cell>
        </row>
        <row r="57">
          <cell r="G57">
            <v>54</v>
          </cell>
          <cell r="H57">
            <v>1.5060721862531599</v>
          </cell>
          <cell r="I57">
            <v>1.717219008855049</v>
          </cell>
          <cell r="J57">
            <v>2.1554240927301951</v>
          </cell>
          <cell r="K57">
            <v>1.0540192550255694</v>
          </cell>
          <cell r="L57">
            <v>2.4800566427272117</v>
          </cell>
          <cell r="M57">
            <v>1.7149230016867736</v>
          </cell>
          <cell r="N57">
            <v>1.8211587136539464</v>
          </cell>
          <cell r="O57">
            <v>1.6535714378729822</v>
          </cell>
          <cell r="P57">
            <v>1.4704325945630583</v>
          </cell>
          <cell r="Q57">
            <v>2.0225748307329252</v>
          </cell>
          <cell r="AB57">
            <v>2058</v>
          </cell>
          <cell r="AC57">
            <v>54</v>
          </cell>
          <cell r="AD57">
            <v>1.4044135733194665</v>
          </cell>
          <cell r="AE57">
            <v>15.360588585855382</v>
          </cell>
        </row>
        <row r="58">
          <cell r="G58">
            <v>55</v>
          </cell>
          <cell r="H58">
            <v>1.5171608664005649</v>
          </cell>
          <cell r="I58">
            <v>1.7297395571168706</v>
          </cell>
          <cell r="J58">
            <v>2.1716781421274356</v>
          </cell>
          <cell r="K58">
            <v>1.0620156644427068</v>
          </cell>
          <cell r="L58">
            <v>2.4980629592788901</v>
          </cell>
          <cell r="M58">
            <v>1.727545764804522</v>
          </cell>
          <cell r="N58">
            <v>1.8346455705793159</v>
          </cell>
          <cell r="O58">
            <v>1.665853246131658</v>
          </cell>
          <cell r="P58">
            <v>1.481315274403624</v>
          </cell>
          <cell r="Q58">
            <v>2.0370057112994426</v>
          </cell>
          <cell r="AB58">
            <v>2059</v>
          </cell>
          <cell r="AC58">
            <v>55</v>
          </cell>
          <cell r="AD58">
            <v>1.4241873262652081</v>
          </cell>
          <cell r="AE58">
            <v>15.501922801895329</v>
          </cell>
        </row>
        <row r="59">
          <cell r="G59">
            <v>56</v>
          </cell>
          <cell r="H59">
            <v>1.52824954654797</v>
          </cell>
          <cell r="I59">
            <v>1.7422601053786921</v>
          </cell>
          <cell r="J59">
            <v>2.1879321915246761</v>
          </cell>
          <cell r="K59">
            <v>1.0700120738598442</v>
          </cell>
          <cell r="L59">
            <v>2.5160692758305685</v>
          </cell>
          <cell r="M59">
            <v>1.7401685279222705</v>
          </cell>
          <cell r="N59">
            <v>1.8481324275046853</v>
          </cell>
          <cell r="O59">
            <v>1.6781350543903337</v>
          </cell>
          <cell r="P59">
            <v>1.4921979542441897</v>
          </cell>
          <cell r="Q59">
            <v>2.0514365918659601</v>
          </cell>
          <cell r="AB59">
            <v>2060</v>
          </cell>
          <cell r="AC59">
            <v>56</v>
          </cell>
          <cell r="AD59">
            <v>1.4433851446591319</v>
          </cell>
          <cell r="AE59">
            <v>15.640572022779946</v>
          </cell>
        </row>
        <row r="60">
          <cell r="G60">
            <v>57</v>
          </cell>
          <cell r="H60">
            <v>1.539338226695375</v>
          </cell>
          <cell r="I60">
            <v>1.7547806536405137</v>
          </cell>
          <cell r="J60">
            <v>2.2041862409219166</v>
          </cell>
          <cell r="K60">
            <v>1.0780084832769816</v>
          </cell>
          <cell r="L60">
            <v>2.5340755923822469</v>
          </cell>
          <cell r="M60">
            <v>1.752791291040019</v>
          </cell>
          <cell r="N60">
            <v>1.8616192844300548</v>
          </cell>
          <cell r="O60">
            <v>1.6904168626490095</v>
          </cell>
          <cell r="P60">
            <v>1.5030806340847553</v>
          </cell>
          <cell r="Q60">
            <v>2.0658674724324775</v>
          </cell>
          <cell r="AB60">
            <v>2061</v>
          </cell>
          <cell r="AC60">
            <v>57</v>
          </cell>
          <cell r="AD60">
            <v>1.4620238032940094</v>
          </cell>
          <cell r="AE60">
            <v>15.776597593546995</v>
          </cell>
        </row>
        <row r="61">
          <cell r="G61">
            <v>58</v>
          </cell>
          <cell r="H61">
            <v>1.5504269068427801</v>
          </cell>
          <cell r="I61">
            <v>1.7673012019023353</v>
          </cell>
          <cell r="J61">
            <v>2.2204402903191571</v>
          </cell>
          <cell r="K61">
            <v>1.086004892694119</v>
          </cell>
          <cell r="L61">
            <v>2.5520819089339253</v>
          </cell>
          <cell r="M61">
            <v>1.7654140541577674</v>
          </cell>
          <cell r="N61">
            <v>1.8751061413554242</v>
          </cell>
          <cell r="O61">
            <v>1.7026986709076852</v>
          </cell>
          <cell r="P61">
            <v>1.513963313925321</v>
          </cell>
          <cell r="Q61">
            <v>2.0802983529989949</v>
          </cell>
          <cell r="AB61">
            <v>2062</v>
          </cell>
          <cell r="AC61">
            <v>58</v>
          </cell>
          <cell r="AD61">
            <v>1.4801195883764147</v>
          </cell>
          <cell r="AE61">
            <v>15.910058840122545</v>
          </cell>
        </row>
        <row r="62">
          <cell r="G62">
            <v>59</v>
          </cell>
          <cell r="H62">
            <v>1.5615155869901851</v>
          </cell>
          <cell r="I62">
            <v>1.7798217501641569</v>
          </cell>
          <cell r="J62">
            <v>2.2366943397163976</v>
          </cell>
          <cell r="K62">
            <v>1.0940013021112565</v>
          </cell>
          <cell r="L62">
            <v>2.5700882254856037</v>
          </cell>
          <cell r="M62">
            <v>1.7780368172755159</v>
          </cell>
          <cell r="N62">
            <v>1.8885929982807936</v>
          </cell>
          <cell r="O62">
            <v>1.714980479166361</v>
          </cell>
          <cell r="P62">
            <v>1.5248459937658867</v>
          </cell>
          <cell r="Q62">
            <v>2.0947292335655123</v>
          </cell>
          <cell r="AB62">
            <v>2063</v>
          </cell>
          <cell r="AC62">
            <v>59</v>
          </cell>
          <cell r="AD62">
            <v>1.4976883117573907</v>
          </cell>
          <cell r="AE62">
            <v>16.041013155967622</v>
          </cell>
        </row>
        <row r="63">
          <cell r="G63">
            <v>60</v>
          </cell>
          <cell r="H63">
            <v>1.5726042671375908</v>
          </cell>
          <cell r="I63">
            <v>1.7923422984259791</v>
          </cell>
          <cell r="J63">
            <v>2.2529483891136377</v>
          </cell>
          <cell r="K63">
            <v>1.101997711528393</v>
          </cell>
          <cell r="L63">
            <v>2.5880945420372816</v>
          </cell>
          <cell r="M63">
            <v>1.7906595803932654</v>
          </cell>
          <cell r="N63">
            <v>1.9020798552061629</v>
          </cell>
          <cell r="O63">
            <v>1.7272622874250358</v>
          </cell>
          <cell r="P63">
            <v>1.5357286736064515</v>
          </cell>
          <cell r="Q63">
            <v>2.1091601141320306</v>
          </cell>
          <cell r="AB63">
            <v>2064</v>
          </cell>
          <cell r="AC63">
            <v>60</v>
          </cell>
          <cell r="AD63">
            <v>1.5147453247486296</v>
          </cell>
          <cell r="AE63">
            <v>16.169516084776674</v>
          </cell>
        </row>
        <row r="64">
          <cell r="G64">
            <v>61</v>
          </cell>
          <cell r="H64">
            <v>1.580855287566709</v>
          </cell>
          <cell r="I64">
            <v>1.8016587614695805</v>
          </cell>
          <cell r="J64">
            <v>2.2650429269098589</v>
          </cell>
          <cell r="K64">
            <v>1.1079477908328321</v>
          </cell>
          <cell r="L64">
            <v>2.6014929345410573</v>
          </cell>
          <cell r="M64">
            <v>1.800052103715017</v>
          </cell>
          <cell r="N64">
            <v>1.9121153458220792</v>
          </cell>
          <cell r="O64">
            <v>1.7364011118980802</v>
          </cell>
          <cell r="P64">
            <v>1.5438264119137151</v>
          </cell>
          <cell r="Q64">
            <v>2.1198980468024176</v>
          </cell>
          <cell r="AB64">
            <v>2065</v>
          </cell>
          <cell r="AC64">
            <v>61</v>
          </cell>
          <cell r="AD64">
            <v>1.53130553153624</v>
          </cell>
          <cell r="AE64">
            <v>16.295621399402215</v>
          </cell>
        </row>
        <row r="65">
          <cell r="G65">
            <v>62</v>
          </cell>
          <cell r="H65">
            <v>1.5891063079958272</v>
          </cell>
          <cell r="I65">
            <v>1.8109752245131818</v>
          </cell>
          <cell r="J65">
            <v>2.27713746470608</v>
          </cell>
          <cell r="K65">
            <v>1.1138978701372713</v>
          </cell>
          <cell r="L65">
            <v>2.6148913270448331</v>
          </cell>
          <cell r="M65">
            <v>1.8094446270367686</v>
          </cell>
          <cell r="N65">
            <v>1.9221508364379956</v>
          </cell>
          <cell r="O65">
            <v>1.7455399363711246</v>
          </cell>
          <cell r="P65">
            <v>1.5519241502209786</v>
          </cell>
          <cell r="Q65">
            <v>2.1306359794728045</v>
          </cell>
          <cell r="AB65">
            <v>2066</v>
          </cell>
          <cell r="AC65">
            <v>62</v>
          </cell>
          <cell r="AD65">
            <v>1.5473834022038231</v>
          </cell>
          <cell r="AE65">
            <v>16.41938117717271</v>
          </cell>
        </row>
        <row r="66">
          <cell r="G66">
            <v>63</v>
          </cell>
          <cell r="H66">
            <v>1.5973573284249454</v>
          </cell>
          <cell r="I66">
            <v>1.8202916875567832</v>
          </cell>
          <cell r="J66">
            <v>2.2892320025023012</v>
          </cell>
          <cell r="K66">
            <v>1.1198479494417104</v>
          </cell>
          <cell r="L66">
            <v>2.6282897195486088</v>
          </cell>
          <cell r="M66">
            <v>1.8188371503585201</v>
          </cell>
          <cell r="N66">
            <v>1.9321863270539119</v>
          </cell>
          <cell r="O66">
            <v>1.754678760844169</v>
          </cell>
          <cell r="P66">
            <v>1.5600218885282422</v>
          </cell>
          <cell r="Q66">
            <v>2.1413739121431914</v>
          </cell>
          <cell r="AB66">
            <v>2067</v>
          </cell>
          <cell r="AC66">
            <v>63</v>
          </cell>
          <cell r="AD66">
            <v>1.5629929853762339</v>
          </cell>
          <cell r="AE66">
            <v>16.540845871763661</v>
          </cell>
        </row>
        <row r="67">
          <cell r="G67">
            <v>64</v>
          </cell>
          <cell r="H67">
            <v>1.6056083488540636</v>
          </cell>
          <cell r="I67">
            <v>1.8296081506003845</v>
          </cell>
          <cell r="J67">
            <v>2.3013265402985223</v>
          </cell>
          <cell r="K67">
            <v>1.1257980287461495</v>
          </cell>
          <cell r="L67">
            <v>2.6416881120523845</v>
          </cell>
          <cell r="M67">
            <v>1.8282296736802717</v>
          </cell>
          <cell r="N67">
            <v>1.9422218176698283</v>
          </cell>
          <cell r="O67">
            <v>1.7638175853172133</v>
          </cell>
          <cell r="P67">
            <v>1.5681196268355058</v>
          </cell>
          <cell r="Q67">
            <v>2.1521118448135783</v>
          </cell>
          <cell r="AB67">
            <v>2068</v>
          </cell>
          <cell r="AC67">
            <v>64</v>
          </cell>
          <cell r="AD67">
            <v>1.5781479204950792</v>
          </cell>
          <cell r="AE67">
            <v>16.660064381775157</v>
          </cell>
        </row>
        <row r="68">
          <cell r="G68">
            <v>65</v>
          </cell>
          <cell r="H68">
            <v>1.6138593692831817</v>
          </cell>
          <cell r="I68">
            <v>1.8389246136439859</v>
          </cell>
          <cell r="J68">
            <v>2.3134210780947435</v>
          </cell>
          <cell r="K68">
            <v>1.1317481080505887</v>
          </cell>
          <cell r="L68">
            <v>2.6550865045561602</v>
          </cell>
          <cell r="M68">
            <v>1.8376221970020232</v>
          </cell>
          <cell r="N68">
            <v>1.9522573082857446</v>
          </cell>
          <cell r="O68">
            <v>1.7729564097902577</v>
          </cell>
          <cell r="P68">
            <v>1.5762173651427693</v>
          </cell>
          <cell r="Q68">
            <v>2.1628497774839652</v>
          </cell>
          <cell r="AB68">
            <v>2069</v>
          </cell>
          <cell r="AC68">
            <v>65</v>
          </cell>
          <cell r="AD68">
            <v>1.5928614497366766</v>
          </cell>
          <cell r="AE68">
            <v>16.777084116162651</v>
          </cell>
        </row>
        <row r="69">
          <cell r="G69">
            <v>66</v>
          </cell>
          <cell r="H69">
            <v>1.6221103897122999</v>
          </cell>
          <cell r="I69">
            <v>1.8482410766875872</v>
          </cell>
          <cell r="J69">
            <v>2.3255156158909647</v>
          </cell>
          <cell r="K69">
            <v>1.1376981873550278</v>
          </cell>
          <cell r="L69">
            <v>2.668484897059936</v>
          </cell>
          <cell r="M69">
            <v>1.8470147203237748</v>
          </cell>
          <cell r="N69">
            <v>1.962292798901661</v>
          </cell>
          <cell r="O69">
            <v>1.7820952342633021</v>
          </cell>
          <cell r="P69">
            <v>1.5843151034500329</v>
          </cell>
          <cell r="Q69">
            <v>2.1735877101543521</v>
          </cell>
          <cell r="AB69">
            <v>2070</v>
          </cell>
          <cell r="AC69">
            <v>66</v>
          </cell>
          <cell r="AD69">
            <v>1.6071464295828877</v>
          </cell>
          <cell r="AE69">
            <v>16.891951056661519</v>
          </cell>
        </row>
        <row r="70">
          <cell r="G70">
            <v>67</v>
          </cell>
          <cell r="H70">
            <v>1.6303614101414181</v>
          </cell>
          <cell r="I70">
            <v>1.8575575397311885</v>
          </cell>
          <cell r="J70">
            <v>2.3376101536871858</v>
          </cell>
          <cell r="K70">
            <v>1.1436482666594669</v>
          </cell>
          <cell r="L70">
            <v>2.6818832895637117</v>
          </cell>
          <cell r="M70">
            <v>1.8564072436455263</v>
          </cell>
          <cell r="N70">
            <v>1.9723282895175773</v>
          </cell>
          <cell r="O70">
            <v>1.7912340587363464</v>
          </cell>
          <cell r="P70">
            <v>1.5924128417572965</v>
          </cell>
          <cell r="Q70">
            <v>2.1843256428247391</v>
          </cell>
          <cell r="AB70">
            <v>2071</v>
          </cell>
          <cell r="AC70">
            <v>67</v>
          </cell>
          <cell r="AD70">
            <v>1.6210153420549374</v>
          </cell>
          <cell r="AE70">
            <v>17.004709817339968</v>
          </cell>
        </row>
        <row r="71">
          <cell r="G71">
            <v>68</v>
          </cell>
          <cell r="H71">
            <v>1.6386124305705363</v>
          </cell>
          <cell r="I71">
            <v>1.8668740027747899</v>
          </cell>
          <cell r="J71">
            <v>2.349704691483407</v>
          </cell>
          <cell r="K71">
            <v>1.1495983459639061</v>
          </cell>
          <cell r="L71">
            <v>2.6952816820674874</v>
          </cell>
          <cell r="M71">
            <v>1.8657997669672779</v>
          </cell>
          <cell r="N71">
            <v>1.9823637801334937</v>
          </cell>
          <cell r="O71">
            <v>1.8003728832093908</v>
          </cell>
          <cell r="P71">
            <v>1.60051058006456</v>
          </cell>
          <cell r="Q71">
            <v>2.195063575495126</v>
          </cell>
          <cell r="AB71">
            <v>2072</v>
          </cell>
          <cell r="AC71">
            <v>68</v>
          </cell>
          <cell r="AD71">
            <v>1.6344803056200341</v>
          </cell>
          <cell r="AE71">
            <v>17.115403701409186</v>
          </cell>
        </row>
        <row r="72">
          <cell r="G72">
            <v>69</v>
          </cell>
          <cell r="H72">
            <v>1.6468634509996545</v>
          </cell>
          <cell r="I72">
            <v>1.8761904658183912</v>
          </cell>
          <cell r="J72">
            <v>2.3617992292796282</v>
          </cell>
          <cell r="K72">
            <v>1.1555484252683452</v>
          </cell>
          <cell r="L72">
            <v>2.7086800745712631</v>
          </cell>
          <cell r="M72">
            <v>1.8751922902890295</v>
          </cell>
          <cell r="N72">
            <v>1.99239927074941</v>
          </cell>
          <cell r="O72">
            <v>1.8095117076824352</v>
          </cell>
          <cell r="P72">
            <v>1.6086083183718236</v>
          </cell>
          <cell r="Q72">
            <v>2.2058015081655129</v>
          </cell>
          <cell r="AB72">
            <v>2073</v>
          </cell>
          <cell r="AC72">
            <v>69</v>
          </cell>
          <cell r="AD72">
            <v>1.6475530857803222</v>
          </cell>
          <cell r="AE72">
            <v>17.22407475541403</v>
          </cell>
        </row>
        <row r="73">
          <cell r="G73">
            <v>70</v>
          </cell>
          <cell r="H73">
            <v>1.6551144714287733</v>
          </cell>
          <cell r="I73">
            <v>1.8855069288619923</v>
          </cell>
          <cell r="J73">
            <v>2.3738937670758498</v>
          </cell>
          <cell r="K73">
            <v>1.1614985045727844</v>
          </cell>
          <cell r="L73">
            <v>2.7220784670750406</v>
          </cell>
          <cell r="M73">
            <v>1.8845848136107806</v>
          </cell>
          <cell r="N73">
            <v>2.0024347613653259</v>
          </cell>
          <cell r="O73">
            <v>1.8186505321554804</v>
          </cell>
          <cell r="P73">
            <v>1.6167060566790872</v>
          </cell>
          <cell r="Q73">
            <v>2.2165394408359003</v>
          </cell>
          <cell r="AB73">
            <v>2074</v>
          </cell>
          <cell r="AC73">
            <v>70</v>
          </cell>
          <cell r="AD73">
            <v>1.6602451053534175</v>
          </cell>
          <cell r="AE73">
            <v>17.330763820922417</v>
          </cell>
        </row>
        <row r="74">
          <cell r="G74">
            <v>71</v>
          </cell>
          <cell r="H74">
            <v>1.6633654918578922</v>
          </cell>
          <cell r="I74">
            <v>1.8948233919055935</v>
          </cell>
          <cell r="J74">
            <v>2.3859883048720714</v>
          </cell>
          <cell r="K74">
            <v>1.1674485838772235</v>
          </cell>
          <cell r="L74">
            <v>2.7354768595788181</v>
          </cell>
          <cell r="M74">
            <v>1.8939773369325317</v>
          </cell>
          <cell r="N74">
            <v>2.0124702519812416</v>
          </cell>
          <cell r="O74">
            <v>1.8277893566285257</v>
          </cell>
          <cell r="P74">
            <v>1.6248037949863507</v>
          </cell>
          <cell r="Q74">
            <v>2.2272773735062876</v>
          </cell>
          <cell r="AB74">
            <v>2075</v>
          </cell>
          <cell r="AC74">
            <v>71</v>
          </cell>
          <cell r="AD74">
            <v>1.6725674544535098</v>
          </cell>
          <cell r="AE74">
            <v>17.435510583826421</v>
          </cell>
        </row>
        <row r="75">
          <cell r="AB75">
            <v>2076</v>
          </cell>
          <cell r="AC75">
            <v>72</v>
          </cell>
          <cell r="AD75">
            <v>1.6845309001817552</v>
          </cell>
          <cell r="AE75">
            <v>17.538353621363228</v>
          </cell>
        </row>
        <row r="76">
          <cell r="AB76">
            <v>2077</v>
          </cell>
          <cell r="AC76">
            <v>73</v>
          </cell>
          <cell r="AD76">
            <v>1.6961458960344202</v>
          </cell>
          <cell r="AE76">
            <v>17.63933044695958</v>
          </cell>
        </row>
        <row r="77">
          <cell r="AB77">
            <v>2078</v>
          </cell>
          <cell r="AC77">
            <v>74</v>
          </cell>
          <cell r="AD77">
            <v>1.707422591037008</v>
          </cell>
          <cell r="AE77">
            <v>17.738477552998674</v>
          </cell>
        </row>
        <row r="78">
          <cell r="AB78">
            <v>2079</v>
          </cell>
          <cell r="AC78">
            <v>75</v>
          </cell>
          <cell r="AD78">
            <v>1.7183708386123357</v>
          </cell>
          <cell r="AE78">
            <v>17.835830451604359</v>
          </cell>
        </row>
        <row r="79">
          <cell r="AB79">
            <v>2080</v>
          </cell>
          <cell r="AC79">
            <v>76</v>
          </cell>
          <cell r="AD79">
            <v>1.7290002051903237</v>
          </cell>
          <cell r="AE79">
            <v>17.890024195993831</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FF BY MEASURE"/>
      <sheetName val="TOTAL FIRST YEAR"/>
      <sheetName val="Rates&amp;NEB"/>
      <sheetName val="Insulation Calcs"/>
      <sheetName val="Equations"/>
    </sheetNames>
    <sheetDataSet>
      <sheetData sheetId="0" refreshError="1"/>
      <sheetData sheetId="1" refreshError="1"/>
      <sheetData sheetId="2" refreshError="1">
        <row r="5">
          <cell r="B5">
            <v>7.6310000000000003E-2</v>
          </cell>
        </row>
        <row r="7">
          <cell r="B7">
            <v>3.32E-2</v>
          </cell>
        </row>
        <row r="9">
          <cell r="B9">
            <v>4.1700000000000001E-2</v>
          </cell>
        </row>
        <row r="13">
          <cell r="B13">
            <v>0.1</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IRST YEAR"/>
      <sheetName val="Rates&amp;NEB"/>
      <sheetName val="APP 2885"/>
    </sheetNames>
    <sheetDataSet>
      <sheetData sheetId="0" refreshError="1"/>
      <sheetData sheetId="1">
        <row r="11">
          <cell r="B11">
            <v>0.1</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s>
    <sheetDataSet>
      <sheetData sheetId="0">
        <row r="5">
          <cell r="A5" t="str">
            <v>CEILING</v>
          </cell>
          <cell r="B5" t="str">
            <v>CEILING INSULATION ZONE 1</v>
          </cell>
          <cell r="C5">
            <v>101.631</v>
          </cell>
          <cell r="D5">
            <v>1007.7348066298341</v>
          </cell>
          <cell r="E5">
            <v>45</v>
          </cell>
          <cell r="F5" t="str">
            <v>Ceiling Insulation</v>
          </cell>
          <cell r="G5" t="str">
            <v>Equal to or Greater than R-38</v>
          </cell>
        </row>
        <row r="6">
          <cell r="A6" t="str">
            <v>CEILING</v>
          </cell>
          <cell r="B6" t="str">
            <v>CEILING INSULATION ZONE 2</v>
          </cell>
          <cell r="C6">
            <v>98.064999999999998</v>
          </cell>
          <cell r="D6">
            <v>1005.7142857142857</v>
          </cell>
          <cell r="E6">
            <v>45</v>
          </cell>
          <cell r="F6" t="str">
            <v>Ceiling Insulation</v>
          </cell>
          <cell r="G6" t="str">
            <v>Equal to or Greater than R-39</v>
          </cell>
        </row>
        <row r="7">
          <cell r="A7" t="str">
            <v>CEILING</v>
          </cell>
          <cell r="B7" t="str">
            <v>CEILING INSULATION ZONE 3</v>
          </cell>
          <cell r="C7">
            <v>115.89500000000001</v>
          </cell>
          <cell r="D7">
            <v>1009.7087378640778</v>
          </cell>
          <cell r="E7">
            <v>45</v>
          </cell>
          <cell r="F7" t="str">
            <v>Ceiling Insulation</v>
          </cell>
          <cell r="G7" t="str">
            <v>Equal to or Greater than R-40</v>
          </cell>
        </row>
        <row r="8">
          <cell r="A8" t="str">
            <v>FLOOR</v>
          </cell>
          <cell r="B8" t="str">
            <v>FLOOR INSULATION ZONE 1</v>
          </cell>
          <cell r="C8">
            <v>101.631</v>
          </cell>
          <cell r="D8">
            <v>1007.7348066298341</v>
          </cell>
          <cell r="E8">
            <v>45</v>
          </cell>
          <cell r="F8" t="str">
            <v>Floor Insulation</v>
          </cell>
          <cell r="G8" t="str">
            <v>Equal to or Greater than R-30 or to fill cavity</v>
          </cell>
        </row>
        <row r="9">
          <cell r="A9" t="str">
            <v>FLOOR</v>
          </cell>
          <cell r="B9" t="str">
            <v>FLOOR INSULATION ZONE 2</v>
          </cell>
          <cell r="C9">
            <v>98.064999999999998</v>
          </cell>
          <cell r="D9">
            <v>1005.7142857142857</v>
          </cell>
          <cell r="E9">
            <v>45</v>
          </cell>
          <cell r="F9" t="str">
            <v>Floor Insulation</v>
          </cell>
          <cell r="G9" t="str">
            <v>Equal to or Greater than R-30 or to fill cavity</v>
          </cell>
        </row>
        <row r="10">
          <cell r="A10" t="str">
            <v>FLOOR</v>
          </cell>
          <cell r="B10" t="str">
            <v>FLOOR INSULATION ZONE 3</v>
          </cell>
          <cell r="C10">
            <v>115.89500000000001</v>
          </cell>
          <cell r="D10">
            <v>1009.7087378640778</v>
          </cell>
          <cell r="E10">
            <v>45</v>
          </cell>
          <cell r="F10" t="str">
            <v>Floor Insulation</v>
          </cell>
          <cell r="G10" t="str">
            <v>Equal to or Greater than R-30 or to fill cavity</v>
          </cell>
        </row>
        <row r="11">
          <cell r="A11" t="str">
            <v>N-A102</v>
          </cell>
          <cell r="B11" t="str">
            <v>MEF 2.0 Washer</v>
          </cell>
          <cell r="C11">
            <v>2.9701291199999935</v>
          </cell>
          <cell r="D11">
            <v>33.200000000000003</v>
          </cell>
          <cell r="E11">
            <v>12</v>
          </cell>
        </row>
        <row r="12">
          <cell r="A12" t="str">
            <v>N-A103</v>
          </cell>
          <cell r="B12" t="str">
            <v>Estar Dishwasher</v>
          </cell>
          <cell r="C12">
            <v>2.5504325100000003</v>
          </cell>
          <cell r="D12">
            <v>38</v>
          </cell>
          <cell r="E12">
            <v>12</v>
          </cell>
        </row>
        <row r="13">
          <cell r="A13" t="str">
            <v>N-A105</v>
          </cell>
          <cell r="B13" t="str">
            <v>Hi-eff Washer</v>
          </cell>
          <cell r="C13">
            <v>3.510152596363632</v>
          </cell>
          <cell r="D13">
            <v>49.8</v>
          </cell>
          <cell r="E13">
            <v>12</v>
          </cell>
        </row>
        <row r="14">
          <cell r="A14" t="str">
            <v>N-DG101</v>
          </cell>
          <cell r="B14" t="str">
            <v>Tank upgrade (50 gal gas)</v>
          </cell>
          <cell r="C14">
            <v>13.125695216907701</v>
          </cell>
          <cell r="D14">
            <v>350</v>
          </cell>
          <cell r="E14">
            <v>15</v>
          </cell>
        </row>
        <row r="15">
          <cell r="A15" t="str">
            <v>N-DG102</v>
          </cell>
          <cell r="B15" t="str">
            <v>Tank upgrade (50 gal gas) condensing</v>
          </cell>
          <cell r="C15">
            <v>66.238973536487578</v>
          </cell>
          <cell r="D15">
            <v>2500</v>
          </cell>
          <cell r="E15">
            <v>15</v>
          </cell>
        </row>
        <row r="16">
          <cell r="A16" t="str">
            <v>N-DG103</v>
          </cell>
          <cell r="B16" t="str">
            <v>Solar hot water heater (50 gal) - Solar Zone 2.  With gas backup.</v>
          </cell>
          <cell r="C16">
            <v>112.67904509283822</v>
          </cell>
          <cell r="D16">
            <v>3850</v>
          </cell>
          <cell r="E16">
            <v>20</v>
          </cell>
        </row>
        <row r="17">
          <cell r="A17" t="str">
            <v>N-DG104</v>
          </cell>
          <cell r="B17" t="str">
            <v>Tankless Gas heater</v>
          </cell>
          <cell r="C17">
            <v>42.714932126696823</v>
          </cell>
          <cell r="D17">
            <v>800</v>
          </cell>
          <cell r="E17">
            <v>20</v>
          </cell>
          <cell r="F17" t="str">
            <v>.81 Tankless W.H.  (new const. upgrade)</v>
          </cell>
          <cell r="G17" t="str">
            <v>0.81 EF Above Energy Star Home</v>
          </cell>
        </row>
        <row r="18">
          <cell r="A18" t="str">
            <v>N-GD106</v>
          </cell>
          <cell r="B18" t="str">
            <v>Tank upgrade (50 gal gas) Hi Eff Alternative</v>
          </cell>
          <cell r="C18">
            <v>76.847290640394107</v>
          </cell>
          <cell r="D18">
            <v>585</v>
          </cell>
          <cell r="E18">
            <v>15</v>
          </cell>
        </row>
        <row r="19">
          <cell r="A19" t="str">
            <v>N-GD107</v>
          </cell>
          <cell r="B19" t="str">
            <v>Solar hot water heater (50 gal) - With gas backup.</v>
          </cell>
          <cell r="C19">
            <v>116.78425531914893</v>
          </cell>
          <cell r="D19">
            <v>6430.2853608247415</v>
          </cell>
          <cell r="E19">
            <v>20</v>
          </cell>
        </row>
        <row r="20">
          <cell r="A20" t="str">
            <v>N-GD108</v>
          </cell>
          <cell r="B20" t="str">
            <v>Tankless Gas heater</v>
          </cell>
          <cell r="C20">
            <v>94.117647058823479</v>
          </cell>
          <cell r="D20">
            <v>1050</v>
          </cell>
          <cell r="E20">
            <v>20</v>
          </cell>
        </row>
        <row r="21">
          <cell r="A21" t="str">
            <v>N-GD109</v>
          </cell>
          <cell r="B21" t="str">
            <v>Upgrade to Navien Tankless Gas heater</v>
          </cell>
          <cell r="C21">
            <v>13.747521480502304</v>
          </cell>
          <cell r="D21">
            <v>150</v>
          </cell>
          <cell r="E21">
            <v>20</v>
          </cell>
        </row>
        <row r="22">
          <cell r="A22" t="str">
            <v>N-GH129</v>
          </cell>
          <cell r="B22" t="str">
            <v>E* Insulation, Ducts, DHW, Lights (Gas Z 3)</v>
          </cell>
          <cell r="C22">
            <v>172.78918815544239</v>
          </cell>
          <cell r="D22">
            <v>1398</v>
          </cell>
          <cell r="E22">
            <v>45</v>
          </cell>
        </row>
        <row r="23">
          <cell r="A23" t="str">
            <v>N-GH130</v>
          </cell>
          <cell r="B23" t="str">
            <v>Heating upgrade (AFUE 90) (Z 3)</v>
          </cell>
          <cell r="C23">
            <v>84.103236843220017</v>
          </cell>
          <cell r="D23">
            <v>150</v>
          </cell>
          <cell r="E23">
            <v>15</v>
          </cell>
        </row>
        <row r="24">
          <cell r="A24" t="str">
            <v>N-GH131</v>
          </cell>
          <cell r="B24" t="str">
            <v>Window U=.3 (Gas Z 3)</v>
          </cell>
          <cell r="C24">
            <v>19.434999999999999</v>
          </cell>
          <cell r="D24">
            <v>183</v>
          </cell>
          <cell r="E24">
            <v>45</v>
          </cell>
        </row>
        <row r="25">
          <cell r="A25" t="str">
            <v>N-GH132</v>
          </cell>
          <cell r="B25" t="str">
            <v>HRV, E* (Gas Z 3)</v>
          </cell>
          <cell r="C25">
            <v>125.58</v>
          </cell>
          <cell r="D25">
            <v>300</v>
          </cell>
          <cell r="E25">
            <v>15</v>
          </cell>
        </row>
        <row r="26">
          <cell r="A26" t="str">
            <v>N-GH133</v>
          </cell>
          <cell r="B26" t="str">
            <v>Ducts Indoor, DHW, Lights (Gas Z 3)</v>
          </cell>
          <cell r="C26">
            <v>163.10284751802882</v>
          </cell>
          <cell r="D26">
            <v>775</v>
          </cell>
          <cell r="E26">
            <v>45</v>
          </cell>
        </row>
        <row r="27">
          <cell r="A27" t="str">
            <v>N-GH134</v>
          </cell>
          <cell r="B27" t="str">
            <v>E* Insulation, Ducts, DHW, Lights (Gas Z 4)</v>
          </cell>
          <cell r="C27">
            <v>123.52440659565997</v>
          </cell>
          <cell r="D27">
            <v>1398</v>
          </cell>
          <cell r="E27">
            <v>45</v>
          </cell>
        </row>
        <row r="28">
          <cell r="A28" t="str">
            <v>N-GH135</v>
          </cell>
          <cell r="B28" t="str">
            <v>Heating upgrade (AFUE 90) (Z 4)</v>
          </cell>
          <cell r="C28">
            <v>63.400901620273551</v>
          </cell>
          <cell r="D28">
            <v>150</v>
          </cell>
          <cell r="E28">
            <v>15</v>
          </cell>
        </row>
        <row r="29">
          <cell r="A29" t="str">
            <v>N-GH136</v>
          </cell>
          <cell r="B29" t="str">
            <v>Window U=.3 (Gas Z 4)</v>
          </cell>
          <cell r="C29">
            <v>14.651</v>
          </cell>
          <cell r="D29">
            <v>183</v>
          </cell>
          <cell r="E29">
            <v>45</v>
          </cell>
        </row>
        <row r="30">
          <cell r="A30" t="str">
            <v>N-GH137</v>
          </cell>
          <cell r="B30" t="str">
            <v>HRV, E* (Gas Z 4)</v>
          </cell>
          <cell r="C30">
            <v>94.668000000000006</v>
          </cell>
          <cell r="D30">
            <v>300</v>
          </cell>
          <cell r="E30">
            <v>15</v>
          </cell>
        </row>
        <row r="31">
          <cell r="A31" t="str">
            <v>N-GH138</v>
          </cell>
          <cell r="B31" t="str">
            <v>Ducts Indoor, DHW, Lights (Gas Z 4)</v>
          </cell>
          <cell r="C31">
            <v>122.95445428282173</v>
          </cell>
          <cell r="D31">
            <v>775</v>
          </cell>
          <cell r="E31">
            <v>45</v>
          </cell>
        </row>
        <row r="32">
          <cell r="A32" t="str">
            <v>N-GH139</v>
          </cell>
          <cell r="B32" t="str">
            <v>Tank upgrade (50 gal gas)</v>
          </cell>
          <cell r="C32">
            <v>28.921023359288096</v>
          </cell>
          <cell r="D32">
            <v>200</v>
          </cell>
          <cell r="E32">
            <v>15</v>
          </cell>
        </row>
        <row r="33">
          <cell r="A33" t="str">
            <v>N-H101</v>
          </cell>
          <cell r="B33" t="str">
            <v>E* Insulation, Ducts, Zone 1</v>
          </cell>
          <cell r="C33">
            <v>94.5</v>
          </cell>
          <cell r="D33">
            <v>1000</v>
          </cell>
          <cell r="E33">
            <v>30</v>
          </cell>
          <cell r="F33" t="str">
            <v>Energy * Qualified Gas</v>
          </cell>
          <cell r="G33" t="str">
            <v>90% AFUE Rating</v>
          </cell>
        </row>
        <row r="34">
          <cell r="A34" t="str">
            <v>N-H102</v>
          </cell>
          <cell r="B34" t="str">
            <v>E* Insulation, Ducts, Zone 2</v>
          </cell>
          <cell r="C34">
            <v>101.7</v>
          </cell>
          <cell r="D34">
            <v>1000</v>
          </cell>
          <cell r="E34">
            <v>30</v>
          </cell>
          <cell r="F34" t="str">
            <v>Energy * Qualified Gas</v>
          </cell>
          <cell r="G34" t="str">
            <v>90% AFUE Rating</v>
          </cell>
        </row>
        <row r="35">
          <cell r="A35" t="str">
            <v>N-H103</v>
          </cell>
          <cell r="B35" t="str">
            <v>E* Insulation, Ducts, Zone 3</v>
          </cell>
          <cell r="C35">
            <v>126</v>
          </cell>
          <cell r="D35">
            <v>1000</v>
          </cell>
          <cell r="E35">
            <v>30</v>
          </cell>
          <cell r="F35" t="str">
            <v>Energy * Qualified Gas</v>
          </cell>
          <cell r="G35" t="str">
            <v>90% AFUE Rating</v>
          </cell>
        </row>
        <row r="36">
          <cell r="A36" t="str">
            <v>N-H104</v>
          </cell>
          <cell r="B36" t="str">
            <v>Heating upgrade (AFUE 90), Zone 1</v>
          </cell>
          <cell r="C36">
            <v>61.2</v>
          </cell>
          <cell r="D36">
            <v>500</v>
          </cell>
          <cell r="E36">
            <v>18</v>
          </cell>
          <cell r="F36" t="str">
            <v>90% AFUE New Gas Furnace (New)</v>
          </cell>
          <cell r="G36" t="str">
            <v>90% AFUE Rating</v>
          </cell>
        </row>
        <row r="37">
          <cell r="A37" t="str">
            <v>N-H105</v>
          </cell>
          <cell r="B37" t="str">
            <v>Heating upgrade (AFUE 90), Zone 2</v>
          </cell>
          <cell r="C37">
            <v>81</v>
          </cell>
          <cell r="D37">
            <v>500</v>
          </cell>
          <cell r="E37">
            <v>18</v>
          </cell>
          <cell r="F37" t="str">
            <v>90% AFUE New Gas Furnace (New)</v>
          </cell>
          <cell r="G37" t="str">
            <v>90% AFUE Rating</v>
          </cell>
        </row>
        <row r="38">
          <cell r="A38" t="str">
            <v>N-H106</v>
          </cell>
          <cell r="B38" t="str">
            <v>Heating upgrade (AFUE 90), Zone 3</v>
          </cell>
          <cell r="C38">
            <v>64.8</v>
          </cell>
          <cell r="D38">
            <v>500</v>
          </cell>
          <cell r="E38">
            <v>18</v>
          </cell>
          <cell r="F38" t="str">
            <v>90% AFUE New Gas Furnace (New)</v>
          </cell>
          <cell r="G38" t="str">
            <v>90% AFUE Rating</v>
          </cell>
        </row>
        <row r="39">
          <cell r="A39" t="str">
            <v>N-H107</v>
          </cell>
          <cell r="B39" t="str">
            <v>Window U=.3, Zone 1</v>
          </cell>
          <cell r="C39">
            <v>28.8</v>
          </cell>
          <cell r="D39">
            <v>720</v>
          </cell>
          <cell r="E39">
            <v>45</v>
          </cell>
        </row>
        <row r="40">
          <cell r="A40" t="str">
            <v>N-H108</v>
          </cell>
          <cell r="B40" t="str">
            <v>Window U=.3, Zone 2</v>
          </cell>
          <cell r="C40">
            <v>31.5</v>
          </cell>
          <cell r="D40">
            <v>720</v>
          </cell>
          <cell r="E40">
            <v>45</v>
          </cell>
        </row>
        <row r="41">
          <cell r="A41" t="str">
            <v>N-H109</v>
          </cell>
          <cell r="B41" t="str">
            <v>Window U=.3, Zone 3</v>
          </cell>
          <cell r="C41">
            <v>36</v>
          </cell>
          <cell r="D41">
            <v>720</v>
          </cell>
          <cell r="E41">
            <v>45</v>
          </cell>
        </row>
        <row r="42">
          <cell r="A42" t="str">
            <v>N-H110</v>
          </cell>
          <cell r="B42" t="str">
            <v>HRV, E*, Zone 1</v>
          </cell>
          <cell r="C42">
            <v>76.5</v>
          </cell>
          <cell r="D42">
            <v>1500</v>
          </cell>
          <cell r="E42">
            <v>45</v>
          </cell>
        </row>
        <row r="43">
          <cell r="A43" t="str">
            <v>N-H111</v>
          </cell>
          <cell r="B43" t="str">
            <v>HRV, E*, Zone 2</v>
          </cell>
          <cell r="C43">
            <v>81</v>
          </cell>
          <cell r="D43">
            <v>1500</v>
          </cell>
          <cell r="E43">
            <v>45</v>
          </cell>
        </row>
        <row r="44">
          <cell r="A44" t="str">
            <v>N-H112</v>
          </cell>
          <cell r="B44" t="str">
            <v>HRV, E*, Zone 3</v>
          </cell>
          <cell r="C44">
            <v>93.6</v>
          </cell>
          <cell r="D44">
            <v>1500</v>
          </cell>
          <cell r="E44">
            <v>45</v>
          </cell>
        </row>
        <row r="45">
          <cell r="A45" t="str">
            <v>N-H113</v>
          </cell>
          <cell r="B45" t="str">
            <v>E* Plus (FTC) Insulation, Zone 1</v>
          </cell>
          <cell r="C45">
            <v>220.5</v>
          </cell>
          <cell r="D45">
            <v>3700</v>
          </cell>
          <cell r="E45">
            <v>30</v>
          </cell>
          <cell r="F45" t="str">
            <v>Energy * Plus</v>
          </cell>
          <cell r="G45" t="str">
            <v>Federal Tax Credit Eligible</v>
          </cell>
        </row>
        <row r="46">
          <cell r="A46" t="str">
            <v>N-H114</v>
          </cell>
          <cell r="B46" t="str">
            <v>E* Plus (FTC) Insulation, Zone 2</v>
          </cell>
          <cell r="C46">
            <v>234.9</v>
          </cell>
          <cell r="D46">
            <v>3700</v>
          </cell>
          <cell r="E46">
            <v>30</v>
          </cell>
          <cell r="F46" t="str">
            <v>Energy * Plus</v>
          </cell>
          <cell r="G46" t="str">
            <v>Federal Tax Credit Eligible</v>
          </cell>
        </row>
        <row r="47">
          <cell r="A47" t="str">
            <v>N-H115</v>
          </cell>
          <cell r="B47" t="str">
            <v>E* Plus (FTC) Insulation, Zone 3</v>
          </cell>
          <cell r="C47">
            <v>296.10000000000002</v>
          </cell>
          <cell r="D47">
            <v>3700</v>
          </cell>
          <cell r="E47">
            <v>30</v>
          </cell>
          <cell r="F47" t="str">
            <v>Energy * Plus</v>
          </cell>
          <cell r="G47" t="str">
            <v>Federal Tax Credit Eligible</v>
          </cell>
        </row>
        <row r="48">
          <cell r="A48" t="str">
            <v>R-A102</v>
          </cell>
          <cell r="B48" t="str">
            <v>MEF 2.0 Washer</v>
          </cell>
          <cell r="C48">
            <v>5.6</v>
          </cell>
          <cell r="D48">
            <v>113</v>
          </cell>
          <cell r="E48">
            <v>12</v>
          </cell>
          <cell r="F48" t="str">
            <v>2.0 MEF E* Clothes Washer</v>
          </cell>
          <cell r="G48" t="str">
            <v>2.0 MEF</v>
          </cell>
        </row>
        <row r="49">
          <cell r="A49" t="str">
            <v>R-A103</v>
          </cell>
          <cell r="B49" t="str">
            <v>Estar Dishwasher</v>
          </cell>
          <cell r="C49">
            <v>2.1501899999999998</v>
          </cell>
          <cell r="D49">
            <v>38</v>
          </cell>
          <cell r="E49">
            <v>12</v>
          </cell>
        </row>
        <row r="50">
          <cell r="A50" t="str">
            <v>R-DG101</v>
          </cell>
          <cell r="B50" t="str">
            <v>Tank upgrade (50 gal gas)</v>
          </cell>
          <cell r="C50">
            <v>13.125695216907701</v>
          </cell>
          <cell r="D50">
            <v>350</v>
          </cell>
          <cell r="E50">
            <v>15</v>
          </cell>
          <cell r="F50" t="str">
            <v>.62 Water Heater</v>
          </cell>
          <cell r="G50" t="str">
            <v>0.62 Energy Factor or Greater</v>
          </cell>
        </row>
        <row r="51">
          <cell r="A51" t="str">
            <v>R-DG102</v>
          </cell>
          <cell r="B51" t="str">
            <v>Tank upgrade (50 gal gas) condensing</v>
          </cell>
          <cell r="C51">
            <v>66.238973536487578</v>
          </cell>
          <cell r="D51">
            <v>2500</v>
          </cell>
          <cell r="E51">
            <v>15</v>
          </cell>
        </row>
        <row r="52">
          <cell r="A52" t="str">
            <v>R-DG103</v>
          </cell>
          <cell r="B52" t="str">
            <v>Solar hot water heater (50 gal) - Solar Zone 2.  With gas backup.</v>
          </cell>
          <cell r="C52">
            <v>112.67904509283822</v>
          </cell>
          <cell r="D52">
            <v>3850</v>
          </cell>
          <cell r="E52">
            <v>20</v>
          </cell>
        </row>
        <row r="53">
          <cell r="A53" t="str">
            <v>R-DG104</v>
          </cell>
          <cell r="B53" t="str">
            <v>Tankless Gas heater</v>
          </cell>
          <cell r="C53">
            <v>42.714932126696823</v>
          </cell>
          <cell r="D53">
            <v>800</v>
          </cell>
          <cell r="E53">
            <v>20</v>
          </cell>
          <cell r="F53" t="str">
            <v>.81 Tankless Water Heater (replace)</v>
          </cell>
          <cell r="G53" t="str">
            <v>0.81 Energy Factor</v>
          </cell>
        </row>
        <row r="54">
          <cell r="A54" t="str">
            <v>R-GD110</v>
          </cell>
          <cell r="B54" t="str">
            <v>Tankless Gas heater replace</v>
          </cell>
          <cell r="C54">
            <v>94.117647058823479</v>
          </cell>
          <cell r="D54">
            <v>800</v>
          </cell>
          <cell r="E54">
            <v>20</v>
          </cell>
        </row>
        <row r="55">
          <cell r="A55" t="str">
            <v>R-GD111</v>
          </cell>
          <cell r="B55" t="str">
            <v>Tank upgrade (50 gal gas) Hi Eff Alternative</v>
          </cell>
          <cell r="C55">
            <v>76.847290640394107</v>
          </cell>
          <cell r="D55">
            <v>585</v>
          </cell>
          <cell r="E55">
            <v>15</v>
          </cell>
        </row>
        <row r="56">
          <cell r="A56" t="str">
            <v>R-GD112</v>
          </cell>
          <cell r="B56" t="str">
            <v>Upgrade to Navien Tankless Gas heater</v>
          </cell>
          <cell r="C56">
            <v>13.747521480502304</v>
          </cell>
          <cell r="D56">
            <v>150</v>
          </cell>
          <cell r="E56">
            <v>20</v>
          </cell>
        </row>
        <row r="57">
          <cell r="A57" t="str">
            <v>R-GD113</v>
          </cell>
          <cell r="B57" t="str">
            <v>Solar hot water heater (50 gal) - With gas backup.</v>
          </cell>
          <cell r="C57">
            <v>116.78425531914893</v>
          </cell>
          <cell r="D57">
            <v>6430.2853608247415</v>
          </cell>
          <cell r="E57">
            <v>20</v>
          </cell>
        </row>
        <row r="58">
          <cell r="A58" t="str">
            <v>R-GH114</v>
          </cell>
          <cell r="B58" t="str">
            <v>Duct Sealing,  Z 3</v>
          </cell>
          <cell r="C58">
            <v>160.60137954288945</v>
          </cell>
          <cell r="D58">
            <v>619</v>
          </cell>
          <cell r="E58">
            <v>20</v>
          </cell>
        </row>
        <row r="59">
          <cell r="A59" t="str">
            <v>R-GH115</v>
          </cell>
          <cell r="B59" t="str">
            <v>AFUE 90 to hydrocoil combo, Z 3</v>
          </cell>
          <cell r="C59">
            <v>171.60567326367018</v>
          </cell>
          <cell r="D59">
            <v>300</v>
          </cell>
          <cell r="E59">
            <v>45</v>
          </cell>
        </row>
        <row r="60">
          <cell r="A60" t="str">
            <v>R-GH116</v>
          </cell>
          <cell r="B60" t="str">
            <v>Boiler to Polaris Combo radiant, Z 3</v>
          </cell>
          <cell r="C60">
            <v>398.56802919597578</v>
          </cell>
          <cell r="D60">
            <v>4400</v>
          </cell>
          <cell r="E60">
            <v>45</v>
          </cell>
        </row>
        <row r="61">
          <cell r="A61" t="str">
            <v>R-GH117</v>
          </cell>
          <cell r="B61" t="str">
            <v>Duct Sealing,  Z 4</v>
          </cell>
          <cell r="C61">
            <v>151.29711399304443</v>
          </cell>
          <cell r="D61">
            <v>619</v>
          </cell>
          <cell r="E61">
            <v>20</v>
          </cell>
        </row>
        <row r="62">
          <cell r="A62" t="str">
            <v>R-GH118</v>
          </cell>
          <cell r="B62" t="str">
            <v>AFUE 90 to hydrocoil combo, Z 4</v>
          </cell>
          <cell r="C62">
            <v>168.58131406305466</v>
          </cell>
          <cell r="D62">
            <v>300</v>
          </cell>
          <cell r="E62">
            <v>45</v>
          </cell>
        </row>
        <row r="63">
          <cell r="A63" t="str">
            <v>R-GH119</v>
          </cell>
          <cell r="B63" t="str">
            <v>Boiler to Polaris Combo radiant, Z 4</v>
          </cell>
          <cell r="C63">
            <v>381.35511159032558</v>
          </cell>
          <cell r="D63">
            <v>4400</v>
          </cell>
          <cell r="E63">
            <v>45</v>
          </cell>
        </row>
        <row r="64">
          <cell r="A64" t="str">
            <v>R-GH122</v>
          </cell>
          <cell r="B64" t="str">
            <v>AFUE 90+ Furnace, Z 3</v>
          </cell>
          <cell r="C64">
            <v>77.143331535369825</v>
          </cell>
          <cell r="D64">
            <v>300</v>
          </cell>
          <cell r="E64">
            <v>18</v>
          </cell>
        </row>
        <row r="65">
          <cell r="A65" t="str">
            <v>R-GH123</v>
          </cell>
          <cell r="B65" t="str">
            <v>Duct Sealing and AFUE 90+ , Z 3</v>
          </cell>
          <cell r="C65">
            <v>160.60137954288945</v>
          </cell>
          <cell r="D65">
            <v>1600</v>
          </cell>
          <cell r="E65">
            <v>20</v>
          </cell>
        </row>
        <row r="66">
          <cell r="A66" t="str">
            <v>R-GH124</v>
          </cell>
          <cell r="B66" t="str">
            <v>AFUE 90+ Furnace, Z 4</v>
          </cell>
          <cell r="C66">
            <v>77.143331535369825</v>
          </cell>
          <cell r="D66">
            <v>300</v>
          </cell>
          <cell r="E66">
            <v>18</v>
          </cell>
        </row>
        <row r="67">
          <cell r="A67" t="str">
            <v>R-GH125</v>
          </cell>
          <cell r="B67" t="str">
            <v>Duct Sealing and AFUE 90+ , Z 4</v>
          </cell>
          <cell r="C67">
            <v>151.29711399304443</v>
          </cell>
          <cell r="D67">
            <v>1600</v>
          </cell>
          <cell r="E67">
            <v>20</v>
          </cell>
        </row>
        <row r="68">
          <cell r="A68" t="str">
            <v>R-GW117</v>
          </cell>
          <cell r="B68" t="str">
            <v>Wx insulation (ceiling, floor), Z 1-2</v>
          </cell>
          <cell r="C68">
            <v>322.22636417500001</v>
          </cell>
          <cell r="D68">
            <v>2099</v>
          </cell>
          <cell r="E68">
            <v>45</v>
          </cell>
        </row>
        <row r="69">
          <cell r="A69" t="str">
            <v>R-GW118</v>
          </cell>
          <cell r="B69" t="str">
            <v>Wx insulation (add walls), Z 1-2</v>
          </cell>
          <cell r="C69">
            <v>260.71676622499996</v>
          </cell>
          <cell r="D69">
            <v>1305</v>
          </cell>
          <cell r="E69">
            <v>45</v>
          </cell>
        </row>
        <row r="70">
          <cell r="A70" t="str">
            <v>R-GW119</v>
          </cell>
          <cell r="B70" t="str">
            <v>Window, retro (U=.35), Z 1-2</v>
          </cell>
          <cell r="C70">
            <v>154.92191476249997</v>
          </cell>
          <cell r="D70">
            <v>4500</v>
          </cell>
          <cell r="E70">
            <v>45</v>
          </cell>
        </row>
        <row r="71">
          <cell r="A71" t="str">
            <v>R-GW120</v>
          </cell>
          <cell r="B71" t="str">
            <v>Window replace (U=.35), Z 1-2</v>
          </cell>
          <cell r="C71">
            <v>19.365239345312496</v>
          </cell>
          <cell r="D71">
            <v>350</v>
          </cell>
          <cell r="E71">
            <v>45</v>
          </cell>
        </row>
        <row r="72">
          <cell r="A72" t="str">
            <v>R-GW121</v>
          </cell>
          <cell r="B72" t="str">
            <v>HRV, Z 1-2</v>
          </cell>
          <cell r="C72">
            <v>58.700080343749981</v>
          </cell>
          <cell r="D72">
            <v>2000</v>
          </cell>
          <cell r="E72">
            <v>36</v>
          </cell>
        </row>
        <row r="73">
          <cell r="A73" t="str">
            <v>R-GW122</v>
          </cell>
          <cell r="B73" t="str">
            <v>Wx insulation (ceiling, floor), Z 3</v>
          </cell>
          <cell r="C73">
            <v>450.30187691249995</v>
          </cell>
          <cell r="D73">
            <v>2099</v>
          </cell>
          <cell r="E73">
            <v>45</v>
          </cell>
        </row>
        <row r="74">
          <cell r="A74" t="str">
            <v>R-GW123</v>
          </cell>
          <cell r="B74" t="str">
            <v>Wx insulation (add walls), Z 3</v>
          </cell>
          <cell r="C74">
            <v>379.38024886249991</v>
          </cell>
          <cell r="D74">
            <v>1305</v>
          </cell>
          <cell r="E74">
            <v>45</v>
          </cell>
        </row>
        <row r="75">
          <cell r="A75" t="str">
            <v>R-GW124</v>
          </cell>
          <cell r="B75" t="str">
            <v>Window, retro (U=.35), Z 3</v>
          </cell>
          <cell r="C75">
            <v>223.63618506250003</v>
          </cell>
          <cell r="D75">
            <v>4500</v>
          </cell>
          <cell r="E75">
            <v>45</v>
          </cell>
        </row>
        <row r="76">
          <cell r="A76" t="str">
            <v>R-GW125</v>
          </cell>
          <cell r="B76" t="str">
            <v>Window replace (U=.35), Z 3</v>
          </cell>
          <cell r="C76">
            <v>27.954523132812504</v>
          </cell>
          <cell r="D76">
            <v>350</v>
          </cell>
          <cell r="E76">
            <v>45</v>
          </cell>
        </row>
        <row r="77">
          <cell r="A77" t="str">
            <v>R-GW126</v>
          </cell>
          <cell r="B77" t="str">
            <v>HRV, Z 3</v>
          </cell>
          <cell r="C77">
            <v>89.166715462499965</v>
          </cell>
          <cell r="D77">
            <v>2000</v>
          </cell>
          <cell r="E77">
            <v>18</v>
          </cell>
        </row>
        <row r="78">
          <cell r="A78" t="str">
            <v>R-GW127</v>
          </cell>
          <cell r="B78" t="str">
            <v>Wx insulation (ceiling, floor), Z 4</v>
          </cell>
          <cell r="C78">
            <v>450.30187691249995</v>
          </cell>
          <cell r="D78">
            <v>2099</v>
          </cell>
          <cell r="E78">
            <v>45</v>
          </cell>
        </row>
        <row r="79">
          <cell r="A79" t="str">
            <v>R-GW128</v>
          </cell>
          <cell r="B79" t="str">
            <v>Wx insulation (add walls), Z 4</v>
          </cell>
          <cell r="C79">
            <v>379.38024886249991</v>
          </cell>
          <cell r="D79">
            <v>1305</v>
          </cell>
          <cell r="E79">
            <v>45</v>
          </cell>
        </row>
        <row r="80">
          <cell r="A80" t="str">
            <v>R-GW129</v>
          </cell>
          <cell r="B80" t="str">
            <v>Window, retro (U=.35), Z 4</v>
          </cell>
          <cell r="C80">
            <v>223.63618506250003</v>
          </cell>
          <cell r="D80">
            <v>4500</v>
          </cell>
          <cell r="E80">
            <v>45</v>
          </cell>
        </row>
        <row r="81">
          <cell r="A81" t="str">
            <v>R-GW130</v>
          </cell>
          <cell r="B81" t="str">
            <v>Window replace (U=.35), Z 4</v>
          </cell>
          <cell r="C81">
            <v>27.954523132812504</v>
          </cell>
          <cell r="D81">
            <v>350</v>
          </cell>
          <cell r="E81">
            <v>45</v>
          </cell>
        </row>
        <row r="82">
          <cell r="A82" t="str">
            <v>R-GW131</v>
          </cell>
          <cell r="B82" t="str">
            <v>HRV, Z 4</v>
          </cell>
          <cell r="C82">
            <v>89.166715462499965</v>
          </cell>
          <cell r="D82">
            <v>2000</v>
          </cell>
          <cell r="E82">
            <v>18</v>
          </cell>
        </row>
        <row r="83">
          <cell r="A83" t="str">
            <v>R-H101</v>
          </cell>
          <cell r="B83" t="str">
            <v>Duct Sealing, Zone 1</v>
          </cell>
          <cell r="C83">
            <v>87.5</v>
          </cell>
          <cell r="D83">
            <v>800</v>
          </cell>
          <cell r="E83">
            <v>20</v>
          </cell>
          <cell r="F83" t="str">
            <v>PTCS Duct Sealing</v>
          </cell>
          <cell r="G83" t="str">
            <v>PTCS Certified Duct Sealing</v>
          </cell>
        </row>
        <row r="84">
          <cell r="A84" t="str">
            <v>R-H102</v>
          </cell>
          <cell r="B84" t="str">
            <v>Duct Sealing, Zone 2</v>
          </cell>
          <cell r="C84">
            <v>77</v>
          </cell>
          <cell r="D84">
            <v>800</v>
          </cell>
          <cell r="E84">
            <v>20</v>
          </cell>
          <cell r="F84" t="str">
            <v>PTCS Duct Sealing</v>
          </cell>
          <cell r="G84" t="str">
            <v>PTCS Certified Duct Sealing</v>
          </cell>
        </row>
        <row r="85">
          <cell r="A85" t="str">
            <v>R-H103</v>
          </cell>
          <cell r="B85" t="str">
            <v>Duct Sealing, Zone 3</v>
          </cell>
          <cell r="C85">
            <v>113.4</v>
          </cell>
          <cell r="D85">
            <v>800</v>
          </cell>
          <cell r="E85">
            <v>20</v>
          </cell>
          <cell r="F85" t="str">
            <v>PTCS Duct Sealing</v>
          </cell>
          <cell r="G85" t="str">
            <v>PTCS Certified Duct Sealing</v>
          </cell>
        </row>
        <row r="86">
          <cell r="A86" t="str">
            <v>R-H104</v>
          </cell>
          <cell r="B86" t="str">
            <v>AFUE 90+ Furnace, Zone 1</v>
          </cell>
          <cell r="C86">
            <v>81.207699999999988</v>
          </cell>
          <cell r="D86">
            <v>800</v>
          </cell>
          <cell r="E86">
            <v>18</v>
          </cell>
          <cell r="F86" t="str">
            <v>90% AFUE New Gas Furnace (Existing)</v>
          </cell>
          <cell r="G86" t="str">
            <v>90% AFUE Rating</v>
          </cell>
        </row>
        <row r="87">
          <cell r="A87" t="str">
            <v>R-H105</v>
          </cell>
          <cell r="B87" t="str">
            <v>AFUE 90+ Furnace, Zone 2</v>
          </cell>
          <cell r="C87">
            <v>75.167400000000015</v>
          </cell>
          <cell r="D87">
            <v>800</v>
          </cell>
          <cell r="E87">
            <v>18</v>
          </cell>
          <cell r="F87" t="str">
            <v>90% AFUE New Gas Furnace (Existing)</v>
          </cell>
          <cell r="G87" t="str">
            <v>90% AFUE Rating</v>
          </cell>
        </row>
        <row r="88">
          <cell r="A88" t="str">
            <v>R-H106</v>
          </cell>
          <cell r="B88" t="str">
            <v>AFUE 90+ Furnace, Zone 3</v>
          </cell>
          <cell r="C88">
            <v>98.611099999999993</v>
          </cell>
          <cell r="D88">
            <v>800</v>
          </cell>
          <cell r="E88">
            <v>18</v>
          </cell>
          <cell r="F88" t="str">
            <v>90% AFUE New Gas Furnace (Existing)</v>
          </cell>
          <cell r="G88" t="str">
            <v>90% AFUE Rating</v>
          </cell>
        </row>
        <row r="89">
          <cell r="A89" t="str">
            <v>R-H107</v>
          </cell>
          <cell r="B89" t="str">
            <v>AFUE 85 DHW combo, Zone 1</v>
          </cell>
          <cell r="C89">
            <v>109.17087126137841</v>
          </cell>
          <cell r="D89">
            <v>2150</v>
          </cell>
          <cell r="E89">
            <v>18</v>
          </cell>
        </row>
        <row r="90">
          <cell r="A90" t="str">
            <v>R-H108</v>
          </cell>
          <cell r="B90" t="str">
            <v>AFUE 85 DHW combo, Zone 2</v>
          </cell>
          <cell r="C90">
            <v>101.45812743823147</v>
          </cell>
          <cell r="D90">
            <v>2150</v>
          </cell>
          <cell r="E90">
            <v>18</v>
          </cell>
        </row>
        <row r="91">
          <cell r="A91" t="str">
            <v>R-H109</v>
          </cell>
          <cell r="B91" t="str">
            <v>AFUE 85 DHW combo, Zone 3</v>
          </cell>
          <cell r="C91">
            <v>115.20416124837449</v>
          </cell>
          <cell r="D91">
            <v>2150</v>
          </cell>
          <cell r="E91">
            <v>18</v>
          </cell>
        </row>
        <row r="92">
          <cell r="A92" t="str">
            <v>R-H110</v>
          </cell>
          <cell r="B92" t="str">
            <v>Combo with Hot Water delivery, Zone 1</v>
          </cell>
          <cell r="C92">
            <v>297.25877763328992</v>
          </cell>
          <cell r="D92">
            <v>4000</v>
          </cell>
          <cell r="E92">
            <v>30</v>
          </cell>
        </row>
        <row r="93">
          <cell r="A93" t="str">
            <v>R-H111</v>
          </cell>
          <cell r="B93" t="str">
            <v>Combo with Hot Water delivery, Zone 2</v>
          </cell>
          <cell r="C93">
            <v>287.83198959687905</v>
          </cell>
          <cell r="D93">
            <v>4000</v>
          </cell>
          <cell r="E93">
            <v>30</v>
          </cell>
        </row>
        <row r="94">
          <cell r="A94" t="str">
            <v>R-H112</v>
          </cell>
          <cell r="B94" t="str">
            <v>Combo with Hot Water delivery, Zone 3</v>
          </cell>
          <cell r="C94">
            <v>326.50729999999999</v>
          </cell>
          <cell r="D94">
            <v>4000</v>
          </cell>
          <cell r="E94">
            <v>30</v>
          </cell>
        </row>
        <row r="95">
          <cell r="A95" t="str">
            <v>R-H113</v>
          </cell>
          <cell r="B95" t="str">
            <v>Duct Sealing and AFUE 90+, Zone 1</v>
          </cell>
          <cell r="C95">
            <v>172.73549999999997</v>
          </cell>
          <cell r="D95">
            <v>1250</v>
          </cell>
          <cell r="E95">
            <v>20</v>
          </cell>
          <cell r="F95" t="str">
            <v>90% Furnace &amp; PTCS Duct Sealing</v>
          </cell>
          <cell r="G95" t="str">
            <v>90% AFUE Rating</v>
          </cell>
        </row>
        <row r="96">
          <cell r="A96" t="str">
            <v>R-H114</v>
          </cell>
          <cell r="B96" t="str">
            <v>Duct Sealing and AFUE 90+, Zone 2</v>
          </cell>
          <cell r="C96">
            <v>160.37629999999999</v>
          </cell>
          <cell r="D96">
            <v>1250</v>
          </cell>
          <cell r="E96">
            <v>20</v>
          </cell>
          <cell r="F96" t="str">
            <v>90% Furnace &amp; PTCS Duct Sealing</v>
          </cell>
          <cell r="G96" t="str">
            <v>90% AFUE Rating</v>
          </cell>
        </row>
        <row r="97">
          <cell r="A97" t="str">
            <v>R-H115</v>
          </cell>
          <cell r="B97" t="str">
            <v>Duct Sealing and AFUE 90+, Zone 3</v>
          </cell>
          <cell r="C97">
            <v>210.43959999999998</v>
          </cell>
          <cell r="D97">
            <v>1250</v>
          </cell>
          <cell r="E97">
            <v>20</v>
          </cell>
          <cell r="F97" t="str">
            <v>90% Furnace &amp; PTCS Duct Sealing</v>
          </cell>
          <cell r="G97" t="str">
            <v>90% AFUE Rating</v>
          </cell>
        </row>
        <row r="98">
          <cell r="A98" t="str">
            <v>R-WG101</v>
          </cell>
          <cell r="B98" t="str">
            <v>Wx insulation 2 measures Zone 1</v>
          </cell>
          <cell r="C98">
            <v>228.30149999999998</v>
          </cell>
          <cell r="D98">
            <v>2400</v>
          </cell>
          <cell r="E98">
            <v>45</v>
          </cell>
        </row>
        <row r="99">
          <cell r="A99" t="str">
            <v>R-WG102</v>
          </cell>
          <cell r="B99" t="str">
            <v>Wx insulation 2 measures Zone 2</v>
          </cell>
          <cell r="C99">
            <v>221.84399999999997</v>
          </cell>
          <cell r="D99">
            <v>2400</v>
          </cell>
          <cell r="E99">
            <v>45</v>
          </cell>
        </row>
        <row r="100">
          <cell r="A100" t="str">
            <v>R-WG103</v>
          </cell>
          <cell r="B100" t="str">
            <v>Wx insulation 2 measures Zone 3</v>
          </cell>
          <cell r="C100">
            <v>258.29090000000002</v>
          </cell>
          <cell r="D100">
            <v>2400</v>
          </cell>
          <cell r="E100">
            <v>45</v>
          </cell>
        </row>
        <row r="101">
          <cell r="A101" t="str">
            <v>R-WG104</v>
          </cell>
          <cell r="B101" t="str">
            <v>Wx insulation 1 added measure Zone 1</v>
          </cell>
          <cell r="C101">
            <v>323.0514</v>
          </cell>
          <cell r="D101">
            <v>800</v>
          </cell>
          <cell r="E101">
            <v>45</v>
          </cell>
        </row>
        <row r="102">
          <cell r="A102" t="str">
            <v>R-WG105</v>
          </cell>
          <cell r="B102" t="str">
            <v>Wx insulation 1 added measure Zone 2</v>
          </cell>
          <cell r="C102">
            <v>313.69240000000002</v>
          </cell>
          <cell r="D102">
            <v>800</v>
          </cell>
          <cell r="E102">
            <v>45</v>
          </cell>
        </row>
        <row r="103">
          <cell r="A103" t="str">
            <v>R-WG106</v>
          </cell>
          <cell r="B103" t="str">
            <v>Wx insulation 1 added measure Zone 3</v>
          </cell>
          <cell r="C103">
            <v>367.34949999999998</v>
          </cell>
          <cell r="D103">
            <v>800</v>
          </cell>
          <cell r="E103">
            <v>45</v>
          </cell>
        </row>
        <row r="104">
          <cell r="A104" t="str">
            <v>R-WG107</v>
          </cell>
          <cell r="B104" t="str">
            <v>Window, replacement (U=.35) Zone 1</v>
          </cell>
          <cell r="C104">
            <v>474.95419999999996</v>
          </cell>
          <cell r="D104">
            <v>4500</v>
          </cell>
          <cell r="E104">
            <v>45</v>
          </cell>
        </row>
        <row r="105">
          <cell r="A105" t="str">
            <v>R-WG108</v>
          </cell>
          <cell r="B105" t="str">
            <v>Window, replacement (U=.35) Zone 2</v>
          </cell>
          <cell r="C105">
            <v>457.34780000000001</v>
          </cell>
          <cell r="D105">
            <v>4500</v>
          </cell>
          <cell r="E105">
            <v>45</v>
          </cell>
        </row>
        <row r="106">
          <cell r="A106" t="str">
            <v>R-WG109</v>
          </cell>
          <cell r="B106" t="str">
            <v>Window, replacement (U=.35) Zone 3</v>
          </cell>
          <cell r="C106">
            <v>543.73900000000003</v>
          </cell>
          <cell r="D106">
            <v>4500</v>
          </cell>
          <cell r="E106">
            <v>45</v>
          </cell>
        </row>
        <row r="107">
          <cell r="A107" t="str">
            <v>R-WG110</v>
          </cell>
          <cell r="B107" t="str">
            <v>Window upgrade (U=.4 to U=.35) Zone 1</v>
          </cell>
          <cell r="C107">
            <v>17.281599999999994</v>
          </cell>
          <cell r="D107">
            <v>350</v>
          </cell>
          <cell r="E107">
            <v>45</v>
          </cell>
        </row>
        <row r="108">
          <cell r="A108" t="str">
            <v>R-WG111</v>
          </cell>
          <cell r="B108" t="str">
            <v>Window upgrade (U=.4 to U=.35) Zone 2</v>
          </cell>
          <cell r="C108">
            <v>16.938599999999997</v>
          </cell>
          <cell r="D108">
            <v>350</v>
          </cell>
          <cell r="E108">
            <v>45</v>
          </cell>
        </row>
        <row r="109">
          <cell r="A109" t="str">
            <v>R-WG112</v>
          </cell>
          <cell r="B109" t="str">
            <v>Window upgrade (U=.4 to U=.35) Zone 3</v>
          </cell>
          <cell r="C109">
            <v>20.067599999999999</v>
          </cell>
          <cell r="D109">
            <v>350</v>
          </cell>
          <cell r="E109">
            <v>45</v>
          </cell>
        </row>
        <row r="110">
          <cell r="A110" t="str">
            <v>R-WG113</v>
          </cell>
          <cell r="B110" t="str">
            <v>HRV Zone 1</v>
          </cell>
          <cell r="C110">
            <v>65.181899999999999</v>
          </cell>
          <cell r="D110">
            <v>2000</v>
          </cell>
          <cell r="E110">
            <v>18</v>
          </cell>
        </row>
        <row r="111">
          <cell r="A111" t="str">
            <v>R-WG114</v>
          </cell>
          <cell r="B111" t="str">
            <v>HRV Zone 2</v>
          </cell>
          <cell r="C111">
            <v>63.179900000000011</v>
          </cell>
          <cell r="D111">
            <v>2000</v>
          </cell>
          <cell r="E111">
            <v>18</v>
          </cell>
        </row>
        <row r="112">
          <cell r="A112" t="str">
            <v>R-WG115</v>
          </cell>
          <cell r="B112" t="str">
            <v>HRV Zone 3</v>
          </cell>
          <cell r="C112">
            <v>73.857699999999994</v>
          </cell>
          <cell r="D112">
            <v>2000</v>
          </cell>
          <cell r="E112">
            <v>18</v>
          </cell>
        </row>
        <row r="113">
          <cell r="A113" t="str">
            <v>WALL</v>
          </cell>
          <cell r="B113" t="str">
            <v>WALL INSULATION ZONE 1</v>
          </cell>
          <cell r="C113">
            <v>119.46100000000001</v>
          </cell>
          <cell r="D113">
            <v>1184.5303867403316</v>
          </cell>
          <cell r="E113">
            <v>45</v>
          </cell>
          <cell r="F113" t="str">
            <v>Wall Insulation</v>
          </cell>
          <cell r="G113" t="str">
            <v>Equal to or Greater than R-11 to fill cavity</v>
          </cell>
        </row>
        <row r="114">
          <cell r="A114" t="str">
            <v>WALL</v>
          </cell>
          <cell r="B114" t="str">
            <v>WALL INSULATION ZONE 2</v>
          </cell>
          <cell r="C114">
            <v>115.89500000000001</v>
          </cell>
          <cell r="D114">
            <v>1188.5714285714289</v>
          </cell>
          <cell r="E114">
            <v>45</v>
          </cell>
          <cell r="F114" t="str">
            <v>Wall Insulation</v>
          </cell>
          <cell r="G114" t="str">
            <v>Equal to or Greater than R-11 to fill cavity</v>
          </cell>
        </row>
        <row r="115">
          <cell r="A115" t="str">
            <v>WALL</v>
          </cell>
          <cell r="B115" t="str">
            <v>WALL INSULATION ZONE3</v>
          </cell>
          <cell r="C115">
            <v>135.50800000000001</v>
          </cell>
          <cell r="D115">
            <v>1180.5825242718447</v>
          </cell>
          <cell r="E115">
            <v>45</v>
          </cell>
          <cell r="F115" t="str">
            <v>Wall Insulation</v>
          </cell>
          <cell r="G115" t="str">
            <v>Equal to or Greater than R-11 to fill cavity</v>
          </cell>
        </row>
      </sheetData>
      <sheetData sheetId="1" refreshError="1"/>
      <sheetData sheetId="2" refreshError="1"/>
      <sheetData sheetId="3"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Farnsworth" refreshedDate="43139.450665972225" createdVersion="5" refreshedVersion="5" minRefreshableVersion="3" recordCount="156" xr:uid="{00000000-000A-0000-FFFF-FFFF00000000}">
  <cacheSource type="worksheet">
    <worksheetSource name="Table3"/>
  </cacheSource>
  <cacheFields count="23">
    <cacheField name="Program" numFmtId="0">
      <sharedItems containsBlank="1"/>
    </cacheField>
    <cacheField name="Project Number (Parent Project)" numFmtId="0">
      <sharedItems containsBlank="1"/>
    </cacheField>
    <cacheField name="Project Description (Parent Project)" numFmtId="0">
      <sharedItems containsBlank="1"/>
    </cacheField>
    <cacheField name="Payee Company (Parent Project)" numFmtId="0">
      <sharedItems containsBlank="1"/>
    </cacheField>
    <cacheField name="BD Lead (Parent Project)" numFmtId="0">
      <sharedItems containsBlank="1"/>
    </cacheField>
    <cacheField name="Address 1 (Parent Site)" numFmtId="0">
      <sharedItems containsBlank="1"/>
    </cacheField>
    <cacheField name="City (Parent Site)" numFmtId="0">
      <sharedItems containsBlank="1"/>
    </cacheField>
    <cacheField name="Address 2 (Parent Site)" numFmtId="0">
      <sharedItems containsBlank="1"/>
    </cacheField>
    <cacheField name="Measure Code" numFmtId="0">
      <sharedItems containsBlank="1"/>
    </cacheField>
    <cacheField name="Measure Life" numFmtId="0">
      <sharedItems containsString="0" containsBlank="1" containsNumber="1" containsInteger="1" minValue="0" maxValue="30"/>
    </cacheField>
    <cacheField name="Current Savings thm" numFmtId="0">
      <sharedItems containsString="0" containsBlank="1" containsNumber="1" minValue="0" maxValue="14436"/>
    </cacheField>
    <cacheField name="Current Inc Total" numFmtId="0">
      <sharedItems containsString="0" containsBlank="1" containsNumber="1" minValue="50" maxValue="38496"/>
    </cacheField>
    <cacheField name="Project Status (Parent Project)" numFmtId="0">
      <sharedItems containsBlank="1"/>
    </cacheField>
    <cacheField name="Pending Milestone (Parent Project)" numFmtId="0">
      <sharedItems containsBlank="1"/>
    </cacheField>
    <cacheField name="End Date (Parent Project)" numFmtId="0">
      <sharedItems containsNonDate="0" containsDate="1" containsString="0" containsBlank="1" minDate="2017-01-03T01:00:00" maxDate="2017-12-21T01:00:00"/>
    </cacheField>
    <cacheField name="Install Date" numFmtId="0">
      <sharedItems containsNonDate="0" containsDate="1" containsString="0" containsBlank="1" minDate="2016-01-01T00:00:00" maxDate="2017-11-16T00:00:00"/>
    </cacheField>
    <cacheField name="Zone" numFmtId="0">
      <sharedItems containsBlank="1"/>
    </cacheField>
    <cacheField name="Installer/Trade Ally" numFmtId="0">
      <sharedItems containsBlank="1"/>
    </cacheField>
    <cacheField name="Base Equip Descr" numFmtId="0">
      <sharedItems containsBlank="1"/>
    </cacheField>
    <cacheField name="Account Number" numFmtId="0">
      <sharedItems containsBlank="1"/>
    </cacheField>
    <cacheField name="Revenue Code (Parent Site)" numFmtId="0">
      <sharedItems containsBlank="1"/>
    </cacheField>
    <cacheField name="Current Units" numFmtId="0">
      <sharedItems containsString="0" containsBlank="1" containsNumber="1" minValue="1" maxValue="40100"/>
    </cacheField>
    <cacheField name="Per Unit thm" numFmtId="0">
      <sharedItems containsString="0" containsBlank="1" containsNumber="1" minValue="0" maxValue="68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56">
  <r>
    <s v="COM Standard"/>
    <s v="007370-C-Abraham Lincoln Elem"/>
    <s v="Abraham Lincoln Elementary Boilers and Tanked DHW"/>
    <s v="Wenatchee School District No. 246"/>
    <s v="Brian Farnsworth"/>
    <s v="1224 Methow St"/>
    <s v="Wenatchee"/>
    <s v=""/>
    <s v="COMBOILERS"/>
    <n v="20"/>
    <n v="2400"/>
    <n v="6400"/>
    <s v="7-Completed"/>
    <s v=""/>
    <d v="2017-01-09T01:00:00"/>
    <d v="2016-01-01T00:00:00"/>
    <s v="Zone 3"/>
    <s v=""/>
    <s v="NA - New Construction"/>
    <s v="8670020000"/>
    <s v="504"/>
    <n v="1600"/>
    <n v="1.5"/>
  </r>
  <r>
    <s v="COM Standard"/>
    <s v="007370-C-Abraham Lincoln Elem"/>
    <s v="Abraham Lincoln Elementary Boilers and Tanked DHW"/>
    <s v="Wenatchee School District No. 246"/>
    <s v="Brian Farnsworth"/>
    <s v="1224 Methow St"/>
    <s v="Wenatchee"/>
    <s v=""/>
    <s v="COMBOILERS"/>
    <n v="20"/>
    <n v="2400"/>
    <n v="6400"/>
    <s v="7-Completed"/>
    <s v=""/>
    <d v="2017-01-09T01:00:00"/>
    <d v="2016-01-01T00:00:00"/>
    <s v="Zone 3"/>
    <s v=""/>
    <s v="NA - New Construction"/>
    <s v="8670020000"/>
    <s v="504"/>
    <n v="1600"/>
    <n v="1.5"/>
  </r>
  <r>
    <s v="COM Standard"/>
    <s v="007415-C-Oak Harbor School Di"/>
    <s v="Oak Harbor School District Boilers"/>
    <s v="Oak Harbor School District No.201"/>
    <s v="Brian Farnsworth"/>
    <s v="67 NE Izett Rd"/>
    <s v="Oak Harbor"/>
    <s v=""/>
    <s v="COMBOILERS"/>
    <n v="20"/>
    <n v="2250"/>
    <n v="6000"/>
    <s v="7-Completed"/>
    <s v=""/>
    <d v="2017-01-09T01:00:00"/>
    <d v="2016-08-31T00:00:00"/>
    <s v="Zone 1"/>
    <s v="Blythe Plumbing &amp; Heating, Inc."/>
    <s v="80% Ajax Boilers"/>
    <s v="3943400000"/>
    <s v="504"/>
    <n v="1500"/>
    <n v="1.5"/>
  </r>
  <r>
    <s v="COM Standard"/>
    <s v="007415-C-Oak Harbor School Di"/>
    <s v="Oak Harbor School District Boilers"/>
    <s v="Oak Harbor School District No.201"/>
    <s v="Brian Farnsworth"/>
    <s v="67 NE Izett Rd"/>
    <s v="Oak Harbor"/>
    <s v=""/>
    <s v="COMBOILERS"/>
    <n v="20"/>
    <n v="2250"/>
    <n v="6000"/>
    <s v="7-Completed"/>
    <s v=""/>
    <d v="2017-01-09T01:00:00"/>
    <d v="2016-08-31T00:00:00"/>
    <s v="Zone 1"/>
    <s v="Blythe Plumbing &amp; Heating, Inc."/>
    <s v="80% Ajax Boilers"/>
    <s v="3943400000"/>
    <s v="504"/>
    <n v="1500"/>
    <n v="1.5"/>
  </r>
  <r>
    <s v="COM Standard"/>
    <s v="007437-C-Olympic College - Po"/>
    <s v="Olympic College (Poulsbo Campus) Boiler"/>
    <s v="Olympic College"/>
    <s v="Brian Farnsworth"/>
    <s v="1000 NW Olympic College Way #Campus"/>
    <s v="Poulsbo"/>
    <s v=""/>
    <s v="COMBOILERS"/>
    <n v="20"/>
    <n v="1275"/>
    <n v="3400"/>
    <s v="7-Completed"/>
    <s v=""/>
    <d v="2017-04-21T01:00:00"/>
    <d v="2017-01-25T00:00:00"/>
    <s v="Zone 2"/>
    <s v="General Mechanical"/>
    <s v="80% Burnham Boiler"/>
    <s v="7026310000"/>
    <s v="504"/>
    <n v="850"/>
    <n v="1.5"/>
  </r>
  <r>
    <s v="COM Standard"/>
    <s v="007445-C-Columbia Basin Colle"/>
    <s v="Columbia Basin College Standard Projects"/>
    <s v="Columbia Basin College"/>
    <s v="Brian Farnsworth"/>
    <s v="2600 N 20th Ave"/>
    <s v="Pasco"/>
    <s v=""/>
    <s v="COMBOILERS"/>
    <n v="20"/>
    <n v="3750"/>
    <n v="10000"/>
    <s v="7-Completed"/>
    <s v=""/>
    <d v="2017-05-17T01:00:00"/>
    <d v="2016-11-28T00:00:00"/>
    <s v="Zone 3"/>
    <s v="Cutting Edge Plumbing &amp; Mechanical, Inc."/>
    <s v="NA - New Construction"/>
    <s v="7537787987"/>
    <s v="504"/>
    <n v="2500"/>
    <n v="1.5"/>
  </r>
  <r>
    <s v="COM Standard"/>
    <s v="007445-C-Columbia Basin Colle"/>
    <s v="Columbia Basin College Standard Projects"/>
    <s v="Columbia Basin College"/>
    <s v="Brian Farnsworth"/>
    <s v="2600 N 20th Ave"/>
    <s v="Pasco"/>
    <s v=""/>
    <s v="COMBOILERS"/>
    <n v="20"/>
    <n v="3750"/>
    <n v="10000"/>
    <s v="7-Completed"/>
    <s v=""/>
    <d v="2017-05-17T01:00:00"/>
    <d v="2016-11-28T00:00:00"/>
    <s v="Zone 3"/>
    <s v="Cutting Edge Plumbing &amp; Mechanical, Inc."/>
    <s v="NA - New Construction"/>
    <s v="7537787987"/>
    <s v="504"/>
    <n v="2500"/>
    <n v="1.5"/>
  </r>
  <r>
    <s v="COM Standard"/>
    <s v="007463-C-Kennewick School Dis"/>
    <s v="Kennewick School District No.17 Boilers, Tanked DHW"/>
    <s v="Kennewick School District No.17"/>
    <s v="Brian Farnsworth"/>
    <s v="2514 W 4th Ave"/>
    <s v="Kennewick"/>
    <s v=""/>
    <s v="COMBOILERS"/>
    <n v="20"/>
    <n v="2250"/>
    <n v="6000"/>
    <s v="7-Completed"/>
    <s v=""/>
    <d v="2017-07-10T01:00:00"/>
    <d v="2017-05-10T00:00:00"/>
    <s v="Zone 3"/>
    <s v="Apollo Heating &amp; Air Conditioning"/>
    <s v="NA - New Construction"/>
    <s v="0516431925"/>
    <s v="504"/>
    <n v="1500"/>
    <n v="1.5"/>
  </r>
  <r>
    <s v="COM Standard"/>
    <s v="007463-C-Kennewick School Dis"/>
    <s v="Kennewick School District No.17 Boilers, Tanked DHW"/>
    <s v="Kennewick School District No.17"/>
    <s v="Brian Farnsworth"/>
    <s v="2514 W 4th Ave"/>
    <s v="Kennewick"/>
    <s v=""/>
    <s v="COMBOILERS"/>
    <n v="20"/>
    <n v="2250"/>
    <n v="6000"/>
    <s v="7-Completed"/>
    <s v=""/>
    <d v="2017-07-10T01:00:00"/>
    <d v="2017-05-10T00:00:00"/>
    <s v="Zone 3"/>
    <s v="Apollo Heating &amp; Air Conditioning"/>
    <s v="NA - New Construction"/>
    <s v="0516431925"/>
    <s v="504"/>
    <n v="1500"/>
    <n v="1.5"/>
  </r>
  <r>
    <s v="COM Standard"/>
    <s v="007441-C-West Richland Middle"/>
    <s v="West Richland Middle School Standard"/>
    <s v="Richland School District No.400"/>
    <s v="Brian Farnsworth"/>
    <s v="3259 Belmont Blvd"/>
    <s v="West Richland"/>
    <s v=""/>
    <s v="COMBOILERS"/>
    <n v="20"/>
    <n v="4500"/>
    <n v="12000"/>
    <s v="7-Completed"/>
    <s v=""/>
    <d v="2017-08-22T01:00:00"/>
    <d v="2017-01-01T00:00:00"/>
    <s v="Zone 3"/>
    <s v="Columbia Hydronics Company"/>
    <s v=""/>
    <s v="2299703430"/>
    <s v="504"/>
    <n v="3000"/>
    <n v="1.5"/>
  </r>
  <r>
    <s v="COM Standard"/>
    <s v="007441-C-West Richland Middle"/>
    <s v="West Richland Middle School Standard"/>
    <s v="Richland School District No.400"/>
    <s v="Brian Farnsworth"/>
    <s v="3259 Belmont Blvd"/>
    <s v="West Richland"/>
    <s v=""/>
    <s v="COMBOILERS"/>
    <n v="20"/>
    <n v="4500"/>
    <n v="12000"/>
    <s v="7-Completed"/>
    <s v=""/>
    <d v="2017-08-22T01:00:00"/>
    <d v="2017-01-01T00:00:00"/>
    <s v="Zone 3"/>
    <s v="Columbia Hydronics Company"/>
    <s v=""/>
    <s v="2299703430"/>
    <s v="504"/>
    <n v="3000"/>
    <n v="1.5"/>
  </r>
  <r>
    <s v="COM Standard"/>
    <s v="007454-C-Lynden School Distri"/>
    <s v="Lynden School District (Fisher Elementary) Custom and Standard"/>
    <s v="Lynden School District No.504"/>
    <s v="Brian Farnsworth"/>
    <s v="501 N 14th St"/>
    <s v="Lynden"/>
    <s v=""/>
    <s v="COMBOILERS"/>
    <n v="20"/>
    <n v="2400"/>
    <n v="6400"/>
    <s v="7-Completed"/>
    <s v=""/>
    <d v="2017-09-13T01:00:00"/>
    <d v="2017-07-15T00:00:00"/>
    <s v="Zone 1"/>
    <s v="Blythe Plumbing &amp; Heating, Inc."/>
    <s v="NA - New"/>
    <s v="5409800000"/>
    <s v="504"/>
    <n v="1600"/>
    <n v="1.5"/>
  </r>
  <r>
    <s v="COM Standard"/>
    <s v="007454-C-Lynden School Distri"/>
    <s v="Lynden School District (Fisher Elementary) Custom and Standard"/>
    <s v="Lynden School District No.504"/>
    <s v="Brian Farnsworth"/>
    <s v="501 N 14th St"/>
    <s v="Lynden"/>
    <s v=""/>
    <s v="COMBOILERS"/>
    <n v="20"/>
    <n v="2400"/>
    <n v="6400"/>
    <s v="7-Completed"/>
    <s v=""/>
    <d v="2017-09-13T01:00:00"/>
    <d v="2017-07-15T00:00:00"/>
    <s v="Zone 1"/>
    <s v="Blythe Plumbing &amp; Heating, Inc."/>
    <s v="NA - New"/>
    <s v="5409800000"/>
    <s v="504"/>
    <n v="1600"/>
    <n v="1.5"/>
  </r>
  <r>
    <s v="COM Standard"/>
    <s v="007494-C-Bellingham School Di"/>
    <s v="Bellingham School District (Options HS) Standard"/>
    <s v="Bellingham School District No.501"/>
    <s v="Bob Cuti"/>
    <s v="2015 Franklin St"/>
    <s v="Bellingham"/>
    <s v=""/>
    <s v="COMBOILERS"/>
    <n v="20"/>
    <n v="2400"/>
    <n v="6400"/>
    <s v="7-Completed"/>
    <s v=""/>
    <d v="2017-11-27T01:00:00"/>
    <d v="2017-01-01T00:00:00"/>
    <s v="Zone 1"/>
    <s v=""/>
    <s v=""/>
    <s v="9188721255"/>
    <s v="504"/>
    <n v="1600"/>
    <n v="1.5"/>
  </r>
  <r>
    <s v="COM Standard"/>
    <s v="007494-C-Bellingham School Di"/>
    <s v="Bellingham School District (Options HS) Standard"/>
    <s v="Bellingham School District No.501"/>
    <s v="Bob Cuti"/>
    <s v="2015 Franklin St"/>
    <s v="Bellingham"/>
    <s v=""/>
    <s v="COMBOILERS"/>
    <n v="20"/>
    <n v="2400"/>
    <n v="6400"/>
    <s v="7-Completed"/>
    <s v=""/>
    <d v="2017-11-27T01:00:00"/>
    <d v="2017-01-01T00:00:00"/>
    <s v="Zone 1"/>
    <s v=""/>
    <s v=""/>
    <s v="9188721255"/>
    <s v="504"/>
    <n v="1600"/>
    <n v="1.5"/>
  </r>
  <r>
    <s v="COM Standard"/>
    <s v="007494-C-Bellingham School Di"/>
    <s v="Bellingham School District (Options HS) Standard"/>
    <s v="Bellingham School District No.501"/>
    <s v="Bob Cuti"/>
    <s v="2015 Franklin St"/>
    <s v="Bellingham"/>
    <s v=""/>
    <s v="COMBOILERS"/>
    <n v="20"/>
    <n v="2400"/>
    <n v="6400"/>
    <s v="7-Completed"/>
    <s v=""/>
    <d v="2017-11-27T01:00:00"/>
    <d v="2017-01-01T00:00:00"/>
    <s v="Zone 1"/>
    <s v=""/>
    <s v=""/>
    <s v="9188721255"/>
    <s v="504"/>
    <n v="1600"/>
    <n v="1.5"/>
  </r>
  <r>
    <s v="COM Standard"/>
    <s v="007495-C-Lower Columbia Colle"/>
    <s v="Lower Columbia College Boilers"/>
    <s v="Lower Columbia College"/>
    <s v="Brian Farnsworth"/>
    <s v="1600 Maple St #F"/>
    <s v="Longview"/>
    <s v=""/>
    <s v="COMBOILERS"/>
    <n v="20"/>
    <n v="2250"/>
    <n v="6000"/>
    <s v="7-Completed"/>
    <s v=""/>
    <d v="2017-11-27T01:00:00"/>
    <d v="2017-01-01T00:00:00"/>
    <s v="Zone 2"/>
    <s v=""/>
    <s v=""/>
    <s v="3813410000"/>
    <s v="504"/>
    <n v="1500"/>
    <n v="1.5"/>
  </r>
  <r>
    <s v="COM Standard"/>
    <s v="007495-C-Lower Columbia Colle"/>
    <s v="Lower Columbia College Boilers"/>
    <s v="Lower Columbia College"/>
    <s v="Brian Farnsworth"/>
    <s v="1600 Maple St #F"/>
    <s v="Longview"/>
    <s v=""/>
    <s v="COMBOILERS"/>
    <n v="20"/>
    <n v="2250"/>
    <n v="6000"/>
    <s v="7-Completed"/>
    <s v=""/>
    <d v="2017-11-27T01:00:00"/>
    <d v="2017-01-01T00:00:00"/>
    <s v="Zone 2"/>
    <s v=""/>
    <s v=""/>
    <s v="3813410000"/>
    <s v="504"/>
    <n v="1500"/>
    <n v="1.5"/>
  </r>
  <r>
    <s v="COM Standard"/>
    <s v="007425-C-Casa Grande LLC"/>
    <s v="Casa Grande Clothes Washers"/>
    <s v="Casa Grande LLC"/>
    <s v="Brian Farnsworth"/>
    <s v="1008 S 2nd St"/>
    <s v="Mount Vernon"/>
    <s v=""/>
    <s v="COMCLOTHES"/>
    <n v="10"/>
    <n v="270"/>
    <n v="540"/>
    <s v="7-Completed"/>
    <s v=""/>
    <d v="2017-02-28T01:00:00"/>
    <d v="2016-11-08T00:00:00"/>
    <s v="Zone 1"/>
    <s v="Self"/>
    <s v="Unknown"/>
    <s v="8176049198"/>
    <s v="504"/>
    <n v="3"/>
    <n v="90"/>
  </r>
  <r>
    <s v="COM Standard"/>
    <s v="007370-C-Abraham Lincoln Elem"/>
    <s v="Abraham Lincoln Elementary Boilers and Tanked DHW"/>
    <s v="Wenatchee School District No. 246"/>
    <s v="Brian Farnsworth"/>
    <s v="1224 Methow St"/>
    <s v="Wenatchee"/>
    <s v=""/>
    <s v="COMDHWTSCT"/>
    <n v="15"/>
    <n v="157.91999999999999"/>
    <n v="499.75"/>
    <s v="7-Completed"/>
    <s v=""/>
    <d v="2017-01-09T01:00:00"/>
    <d v="2016-01-01T00:00:00"/>
    <s v="Zone 3"/>
    <s v=""/>
    <s v="NA - New Construction"/>
    <s v="8670020000"/>
    <s v="504"/>
    <n v="199.9"/>
    <n v="0.79"/>
  </r>
  <r>
    <s v="COM Standard"/>
    <s v="007370-C-Abraham Lincoln Elem"/>
    <s v="Abraham Lincoln Elementary Boilers and Tanked DHW"/>
    <s v="Wenatchee School District No. 246"/>
    <s v="Brian Farnsworth"/>
    <s v="1224 Methow St"/>
    <s v="Wenatchee"/>
    <s v=""/>
    <s v="COMDHWTSCT"/>
    <n v="15"/>
    <n v="157.91999999999999"/>
    <n v="499.75"/>
    <s v="7-Completed"/>
    <s v=""/>
    <d v="2017-01-09T01:00:00"/>
    <d v="2016-01-01T00:00:00"/>
    <s v="Zone 3"/>
    <s v=""/>
    <s v="NA - New Construction"/>
    <s v="8670020000"/>
    <s v="504"/>
    <n v="199.9"/>
    <n v="0.79"/>
  </r>
  <r>
    <s v="COM Standard"/>
    <s v="007410-C-Sun Towers Retiremen"/>
    <s v="Sun Towers Retirement Tanked DHW"/>
    <s v="Beacon Communities, Inc."/>
    <s v="William Prillaman"/>
    <s v="6 N 6th St"/>
    <s v="Yakima"/>
    <s v=""/>
    <s v="COMDHWTSCT"/>
    <n v="15"/>
    <n v="315.99"/>
    <n v="999.98"/>
    <s v="7-Completed"/>
    <s v=""/>
    <d v="2017-01-09T01:00:00"/>
    <d v="2016-09-26T00:00:00"/>
    <s v="Zone 3"/>
    <s v="Apollo Heating &amp; Air Conditioning"/>
    <s v="Unknown"/>
    <s v="0063020000"/>
    <s v="504"/>
    <n v="399.99"/>
    <n v="0.79"/>
  </r>
  <r>
    <s v="COM Standard"/>
    <s v="007410-C-Sun Towers Retiremen"/>
    <s v="Sun Towers Retirement Tanked DHW"/>
    <s v="Beacon Communities, Inc."/>
    <s v="William Prillaman"/>
    <s v="6 N 6th St"/>
    <s v="Yakima"/>
    <s v=""/>
    <s v="COMDHWTSCT"/>
    <n v="15"/>
    <n v="315.99"/>
    <n v="999.98"/>
    <s v="7-Completed"/>
    <s v=""/>
    <d v="2017-01-09T01:00:00"/>
    <d v="2016-09-26T00:00:00"/>
    <s v="Zone 3"/>
    <s v="Apollo Heating &amp; Air Conditioning"/>
    <s v="Unknown"/>
    <s v="0063020000"/>
    <s v="504"/>
    <n v="399.99"/>
    <n v="0.79"/>
  </r>
  <r>
    <s v="COM Standard"/>
    <s v="007410-C-Sun Towers Retiremen"/>
    <s v="Sun Towers Retirement Tanked DHW"/>
    <s v="Beacon Communities, Inc."/>
    <s v="William Prillaman"/>
    <s v="6 N 6th St"/>
    <s v="Yakima"/>
    <s v=""/>
    <s v="COMDHWTSCT"/>
    <n v="15"/>
    <n v="315.99"/>
    <n v="999.98"/>
    <s v="7-Completed"/>
    <s v=""/>
    <d v="2017-01-09T01:00:00"/>
    <d v="2016-09-26T00:00:00"/>
    <s v="Zone 3"/>
    <s v="Apollo Heating &amp; Air Conditioning"/>
    <s v="Unknown"/>
    <s v="0063020000"/>
    <s v="504"/>
    <n v="399.99"/>
    <n v="0.79"/>
  </r>
  <r>
    <s v="COM Standard"/>
    <s v="007420-C-Hawkins Middle Schoo"/>
    <s v="Hawkins Middle School Standard"/>
    <s v="North Mason School District No.403"/>
    <s v="Brian Farnsworth"/>
    <s v="200 E Campus Dr"/>
    <s v="Belfair"/>
    <s v=""/>
    <s v="COMDHWTSCT"/>
    <n v="15"/>
    <n v="671.5"/>
    <n v="2125"/>
    <s v="7-Completed"/>
    <s v=""/>
    <d v="2017-02-28T01:00:00"/>
    <d v="2016-11-08T00:00:00"/>
    <s v="Zone 2"/>
    <s v=""/>
    <s v="NA - New Construction"/>
    <s v="5383315305"/>
    <s v="504"/>
    <n v="850"/>
    <n v="0.79"/>
  </r>
  <r>
    <s v="COM Standard"/>
    <s v="007434-C-Stafford Creek Corre"/>
    <s v="Stafford Creek Corrections Water Heating Boiler"/>
    <s v="Washington State Department of Corrections"/>
    <s v="William Prillaman"/>
    <s v="791 SR 105"/>
    <s v="Aberdeen"/>
    <s v=""/>
    <s v="COMDHWTSCT"/>
    <n v="15"/>
    <n v="1579.92"/>
    <n v="4999.75"/>
    <s v="7-Completed"/>
    <s v=""/>
    <d v="2017-02-28T01:00:00"/>
    <d v="2016-10-26T00:00:00"/>
    <s v="Zone 2"/>
    <s v="Self"/>
    <s v="Burnham Steam Boiler"/>
    <s v="5508310000"/>
    <s v="511"/>
    <n v="1999.9"/>
    <n v="0.79"/>
  </r>
  <r>
    <s v="COM Standard"/>
    <s v="007439-C-Oxford Suites"/>
    <s v="Oxford Suites Tanked DHW Standard"/>
    <s v="Baney Corporation"/>
    <s v="William Prillaman"/>
    <s v="9550 NW Silverdale Way"/>
    <s v="Silverdale"/>
    <s v=""/>
    <s v="COMDHWTSCT"/>
    <n v="15"/>
    <n v="157.91999999999999"/>
    <n v="499.75"/>
    <s v="7-Completed"/>
    <s v=""/>
    <d v="2017-05-17T01:00:00"/>
    <d v="2016-07-15T00:00:00"/>
    <s v="Zone 2"/>
    <s v="Mayda Mechanical"/>
    <s v="AO Smith Cyclone"/>
    <s v="8104310000"/>
    <s v="504"/>
    <n v="199.9"/>
    <n v="0.79"/>
  </r>
  <r>
    <s v="COM Standard"/>
    <s v="007443-C-Silverado Senior Liv"/>
    <s v="Silverado Senior Living Standard Project"/>
    <s v="Silverado Bellingham, LLC"/>
    <s v="William Prillaman"/>
    <s v="4400 Columbine Dr"/>
    <s v="Bellingham"/>
    <s v=""/>
    <s v="COMDHWTSCT"/>
    <n v="15"/>
    <n v="628.84"/>
    <n v="1990"/>
    <s v="7-Completed"/>
    <s v=""/>
    <d v="2017-05-17T01:00:00"/>
    <d v="2016-07-14T00:00:00"/>
    <s v="Zone 1"/>
    <s v=""/>
    <s v="Unknown"/>
    <s v="4958360975"/>
    <s v="504"/>
    <n v="796"/>
    <n v="0.79"/>
  </r>
  <r>
    <s v="COM Standard"/>
    <s v="007445-C-Columbia Basin Colle"/>
    <s v="Columbia Basin College Standard Projects"/>
    <s v="Columbia Basin College"/>
    <s v="Brian Farnsworth"/>
    <s v="2600 N 20th Ave"/>
    <s v="Pasco"/>
    <s v=""/>
    <s v="COMDHWTSCT"/>
    <n v="15"/>
    <n v="157.91999999999999"/>
    <n v="499.75"/>
    <s v="7-Completed"/>
    <s v=""/>
    <d v="2017-05-17T01:00:00"/>
    <d v="2016-11-28T00:00:00"/>
    <s v="Zone 3"/>
    <s v="Cutting Edge Plumbing &amp; Mechanical, Inc."/>
    <s v="NA - New Construction"/>
    <s v="7537787987"/>
    <s v="504"/>
    <n v="199.9"/>
    <n v="0.79"/>
  </r>
  <r>
    <s v="COM Standard"/>
    <s v="007438-C-YMCA of Snohomish Co"/>
    <s v="Stanwood/Camano Island YMCA Standard"/>
    <s v="YMCA of Snohomish County"/>
    <s v="William Prillaman"/>
    <s v="7213 267th St NW"/>
    <s v="Stanwood"/>
    <s v=""/>
    <s v="COMDHWTSCT"/>
    <n v="15"/>
    <n v="1580"/>
    <n v="5000"/>
    <s v="7-Completed"/>
    <s v=""/>
    <d v="2017-06-12T01:00:00"/>
    <d v="2017-03-27T00:00:00"/>
    <s v="Zone 1"/>
    <s v=""/>
    <s v="Unknown"/>
    <s v="5766962694"/>
    <s v="504"/>
    <n v="2000"/>
    <n v="0.79"/>
  </r>
  <r>
    <s v="COM Standard"/>
    <s v="007438-C-YMCA of Snohomish Co"/>
    <s v="Stanwood/Camano Island YMCA Standard"/>
    <s v="YMCA of Snohomish County"/>
    <s v="William Prillaman"/>
    <s v="7213 267th St NW"/>
    <s v="Stanwood"/>
    <s v=""/>
    <s v="COMDHWTSCT"/>
    <n v="15"/>
    <n v="1580"/>
    <n v="5000"/>
    <s v="7-Completed"/>
    <s v=""/>
    <d v="2017-06-12T01:00:00"/>
    <d v="2017-03-27T00:00:00"/>
    <s v="Zone 1"/>
    <s v=""/>
    <s v="Unknown"/>
    <s v="5766962694"/>
    <s v="504"/>
    <n v="2000"/>
    <n v="0.79"/>
  </r>
  <r>
    <s v="COM Standard"/>
    <s v="007453-C-Walla Walla Public S"/>
    <s v="Walla Walla Public Schools - Garrison Boiler Room standard"/>
    <s v="Walla Walla School District No.140"/>
    <s v="Brian Farnsworth"/>
    <s v="906 Chase Ave"/>
    <s v="Walla Walla"/>
    <s v=""/>
    <s v="COMDHWTSCT"/>
    <n v="15"/>
    <n v="157.91999999999999"/>
    <n v="499.75"/>
    <s v="7-Completed"/>
    <s v=""/>
    <d v="2017-07-10T01:00:00"/>
    <d v="2017-04-28T00:00:00"/>
    <s v="Zone 3"/>
    <s v="Self"/>
    <s v="50% efficient AO Smith"/>
    <s v="6984910000"/>
    <s v="504"/>
    <n v="199.9"/>
    <n v="0.79"/>
  </r>
  <r>
    <s v="COM Standard"/>
    <s v="007463-C-Kennewick School Dis"/>
    <s v="Kennewick School District No.17 Boilers, Tanked DHW"/>
    <s v="Kennewick School District No.17"/>
    <s v="Brian Farnsworth"/>
    <s v="2514 W 4th Ave"/>
    <s v="Kennewick"/>
    <s v=""/>
    <s v="COMDHWTSCT"/>
    <n v="15"/>
    <n v="157.91999999999999"/>
    <n v="499.75"/>
    <s v="7-Completed"/>
    <s v=""/>
    <d v="2017-07-10T01:00:00"/>
    <d v="2017-05-10T00:00:00"/>
    <s v="Zone 3"/>
    <s v="Apollo Heating &amp; Air Conditioning"/>
    <s v="NA - New Construction"/>
    <s v="0516431925"/>
    <s v="504"/>
    <n v="199.9"/>
    <n v="0.79"/>
  </r>
  <r>
    <s v="COM Standard"/>
    <s v="007463-C-Kennewick School Dis"/>
    <s v="Kennewick School District No.17 Boilers, Tanked DHW"/>
    <s v="Kennewick School District No.17"/>
    <s v="Brian Farnsworth"/>
    <s v="2514 W 4th Ave"/>
    <s v="Kennewick"/>
    <s v=""/>
    <s v="COMDHWTSCT"/>
    <n v="15"/>
    <n v="157.91999999999999"/>
    <n v="499.75"/>
    <s v="7-Completed"/>
    <s v=""/>
    <d v="2017-07-10T01:00:00"/>
    <d v="2017-05-10T00:00:00"/>
    <s v="Zone 3"/>
    <s v="Apollo Heating &amp; Air Conditioning"/>
    <s v="NA - New Construction"/>
    <s v="0516431925"/>
    <s v="504"/>
    <n v="199.9"/>
    <n v="0.79"/>
  </r>
  <r>
    <s v="COM Standard"/>
    <s v="007441-C-West Richland Middle"/>
    <s v="West Richland Middle School Standard"/>
    <s v="Richland School District No.400"/>
    <s v="Brian Farnsworth"/>
    <s v="3259 Belmont Blvd"/>
    <s v="West Richland"/>
    <s v=""/>
    <s v="COMDHWTSCT"/>
    <n v="15"/>
    <n v="315.99"/>
    <n v="999.98"/>
    <s v="7-Completed"/>
    <s v=""/>
    <d v="2017-08-22T01:00:00"/>
    <d v="2017-06-08T00:00:00"/>
    <s v="Zone 3"/>
    <s v="Columbia Hydronics Company"/>
    <s v=""/>
    <s v="2299703430"/>
    <s v="504"/>
    <n v="399.99"/>
    <n v="0.79"/>
  </r>
  <r>
    <s v="COM Standard"/>
    <s v="007441-C-West Richland Middle"/>
    <s v="West Richland Middle School Standard"/>
    <s v="Richland School District No.400"/>
    <s v="Brian Farnsworth"/>
    <s v="3259 Belmont Blvd"/>
    <s v="West Richland"/>
    <s v=""/>
    <s v="COMDHWTSCT"/>
    <n v="15"/>
    <n v="157.99"/>
    <n v="499.98"/>
    <s v="7-Completed"/>
    <s v=""/>
    <d v="2017-08-22T01:00:00"/>
    <d v="2017-06-08T00:00:00"/>
    <s v="Zone 3"/>
    <s v="Columbia Hydronics Company"/>
    <s v=""/>
    <s v="2299703430"/>
    <s v="504"/>
    <n v="199.99"/>
    <n v="0.79"/>
  </r>
  <r>
    <s v="COM Standard"/>
    <s v="007464-C-The Sandcastle Resor"/>
    <s v="The Sandcastle Resort Water Heaters"/>
    <s v="Sandcastle Condominium Association"/>
    <s v="Brian Farnsworth"/>
    <s v="7854 Birch Bay Drive"/>
    <s v="Blaine"/>
    <s v=""/>
    <s v="COMDHWTSCT"/>
    <n v="15"/>
    <n v="631.97"/>
    <n v="1999.9"/>
    <s v="7-Completed"/>
    <s v=""/>
    <d v="2017-08-22T01:00:00"/>
    <d v="2017-01-01T00:00:00"/>
    <s v="Zone 1"/>
    <s v=""/>
    <s v="Unknown"/>
    <s v="0176900000"/>
    <s v="504"/>
    <n v="799.96"/>
    <n v="0.79"/>
  </r>
  <r>
    <s v="COM Standard"/>
    <s v="007441-C-West Richland Middle"/>
    <s v="West Richland Middle School Standard"/>
    <s v="Richland School District No.400"/>
    <s v="Brian Farnsworth"/>
    <s v="3259 Belmont Blvd"/>
    <s v="West Richland"/>
    <s v=""/>
    <s v="COMDHWTSCT"/>
    <n v="15"/>
    <n v="157.99"/>
    <n v="499.98"/>
    <s v="7-Completed"/>
    <s v=""/>
    <d v="2017-08-22T01:00:00"/>
    <d v="2017-06-08T00:00:00"/>
    <s v="Zone 3"/>
    <s v="Columbia Hydronics Company"/>
    <s v="Unknown"/>
    <s v="2299703430"/>
    <s v="504"/>
    <n v="199.99"/>
    <n v="0.79"/>
  </r>
  <r>
    <s v="COM Standard"/>
    <s v="007454-C-Lynden School Distri"/>
    <s v="Lynden School District (Fisher Elementary) Custom and Standard"/>
    <s v="Lynden School District No.504"/>
    <s v="Brian Farnsworth"/>
    <s v="501 N 14th St"/>
    <s v="Lynden"/>
    <s v=""/>
    <s v="COMDHWTSCT"/>
    <n v="15"/>
    <n v="102.7"/>
    <n v="325"/>
    <s v="7-Completed"/>
    <s v=""/>
    <d v="2017-09-13T01:00:00"/>
    <d v="2017-07-15T00:00:00"/>
    <s v="Zone 1"/>
    <s v="Blythe Plumbing &amp; Heating, Inc."/>
    <s v="NA - New"/>
    <s v="5409800000"/>
    <s v="504"/>
    <n v="130"/>
    <n v="0.79"/>
  </r>
  <r>
    <s v="COM Standard"/>
    <s v="007454-C-Lynden School Distri"/>
    <s v="Lynden School District (Fisher Elementary) Custom and Standard"/>
    <s v="Lynden School District No.504"/>
    <s v="Brian Farnsworth"/>
    <s v="501 N 14th St"/>
    <s v="Lynden"/>
    <s v=""/>
    <s v="COMDHWTSCT"/>
    <n v="15"/>
    <n v="157.91999999999999"/>
    <n v="499.75"/>
    <s v="7-Completed"/>
    <s v=""/>
    <d v="2017-09-13T01:00:00"/>
    <d v="2017-07-15T00:00:00"/>
    <s v="Zone 1"/>
    <s v="Blythe Plumbing &amp; Heating, Inc."/>
    <s v="NA - New"/>
    <s v="5409800000"/>
    <s v="504"/>
    <n v="199.9"/>
    <n v="0.79"/>
  </r>
  <r>
    <s v="COM Standard"/>
    <s v="007454-C-Lynden School Distri"/>
    <s v="Lynden School District (Fisher Elementary) Custom and Standard"/>
    <s v="Lynden School District No.504"/>
    <s v="Brian Farnsworth"/>
    <s v="501 N 14th St"/>
    <s v="Lynden"/>
    <s v=""/>
    <s v="COMDHWTSCT"/>
    <n v="15"/>
    <n v="157.91999999999999"/>
    <n v="499.75"/>
    <s v="7-Completed"/>
    <s v=""/>
    <d v="2017-09-13T01:00:00"/>
    <d v="2017-07-15T00:00:00"/>
    <s v="Zone 1"/>
    <s v="Blythe Plumbing &amp; Heating, Inc."/>
    <s v="NA - New"/>
    <s v="5409800000"/>
    <s v="504"/>
    <n v="199.9"/>
    <n v="0.79"/>
  </r>
  <r>
    <s v="COM Standard"/>
    <s v="007489-C-Pasco School Distric"/>
    <s v="Pasco School District Water Heater"/>
    <s v="Pasco School District No.1"/>
    <s v="Bob Cuti"/>
    <s v="1108 N 10th Ave"/>
    <s v="Pasco"/>
    <s v=""/>
    <s v="COMDHWTSCT"/>
    <n v="15"/>
    <n v="118.5"/>
    <n v="375"/>
    <s v="7-Completed"/>
    <s v=""/>
    <d v="2017-10-24T01:00:00"/>
    <d v="2017-04-04T00:00:00"/>
    <s v="Zone 3"/>
    <s v="Apollo Heating &amp; Air Conditioning"/>
    <s v="Unknown"/>
    <s v="9976710000"/>
    <s v="511"/>
    <n v="150"/>
    <n v="0.79"/>
  </r>
  <r>
    <s v="COM Standard"/>
    <s v="007494-C-Bellingham School Di"/>
    <s v="Bellingham School District (Options HS) Standard"/>
    <s v="Bellingham School District No.501"/>
    <s v="Bob Cuti"/>
    <s v="2015 Franklin St"/>
    <s v="Bellingham"/>
    <s v=""/>
    <s v="COMDHWTSCT"/>
    <n v="15"/>
    <n v="157.91999999999999"/>
    <n v="499.75"/>
    <s v="7-Completed"/>
    <s v=""/>
    <d v="2017-11-27T01:00:00"/>
    <d v="2017-01-01T00:00:00"/>
    <s v="Zone 1"/>
    <s v=""/>
    <s v=""/>
    <s v="9188721255"/>
    <s v="504"/>
    <n v="199.9"/>
    <n v="0.79"/>
  </r>
  <r>
    <s v="COM Standard"/>
    <s v="007494-C-Bellingham School Di"/>
    <s v="Bellingham School District (Options HS) Standard"/>
    <s v="Bellingham School District No.501"/>
    <s v="Bob Cuti"/>
    <s v="2015 Franklin St"/>
    <s v="Bellingham"/>
    <s v=""/>
    <s v="COMDHWTSCT"/>
    <n v="15"/>
    <n v="157.91999999999999"/>
    <n v="499.75"/>
    <s v="7-Completed"/>
    <s v=""/>
    <d v="2017-11-27T01:00:00"/>
    <d v="2017-01-01T00:00:00"/>
    <s v="Zone 1"/>
    <s v=""/>
    <s v=""/>
    <s v="9188721255"/>
    <s v="504"/>
    <n v="199.9"/>
    <n v="0.79"/>
  </r>
  <r>
    <s v="COM Standard"/>
    <s v="007494-C-Bellingham School Di"/>
    <s v="Bellingham School District (Options HS) Standard"/>
    <s v="Bellingham School District No.501"/>
    <s v="Bob Cuti"/>
    <s v="2015 Franklin St"/>
    <s v="Bellingham"/>
    <s v=""/>
    <s v="COMDHWTSCT"/>
    <n v="15"/>
    <n v="157.91999999999999"/>
    <n v="499.75"/>
    <s v="7-Completed"/>
    <s v=""/>
    <d v="2017-11-27T01:00:00"/>
    <d v="2017-01-01T00:00:00"/>
    <s v="Zone 1"/>
    <s v=""/>
    <s v=""/>
    <s v="9188721255"/>
    <s v="504"/>
    <n v="199.9"/>
    <n v="0.79"/>
  </r>
  <r>
    <s v="COM Standard"/>
    <s v="007474-C-Nooksack Valley High"/>
    <s v="Nooksack Valley High School Standard"/>
    <s v="Nooksack Valley School District"/>
    <s v="Brian Farnsworth"/>
    <s v="3326 E Badger Rd"/>
    <s v="Everson"/>
    <s v=""/>
    <s v="COMDHWTSCT"/>
    <n v="15"/>
    <n v="157.99"/>
    <n v="499.98"/>
    <s v="7-Completed"/>
    <s v=""/>
    <d v="2017-12-21T01:00:00"/>
    <d v="2017-11-15T00:00:00"/>
    <s v="Zone 1"/>
    <s v="Feller Heating &amp; AC"/>
    <s v="NA - New"/>
    <s v="3888700000"/>
    <s v="511"/>
    <n v="199.99"/>
    <n v="0.79"/>
  </r>
  <r>
    <s v="COM Standard"/>
    <s v="007484-C-Nooksack Valley Scho"/>
    <s v="Nooksack Valley School District Standard"/>
    <s v="Nooksack Valley School District"/>
    <s v="Bob Cuti"/>
    <s v="404 W Columbia"/>
    <s v="Nooksack"/>
    <s v=""/>
    <s v="COMDHWTSCT"/>
    <n v="15"/>
    <n v="157.91999999999999"/>
    <n v="499.75"/>
    <s v="7-Completed"/>
    <s v=""/>
    <d v="2017-12-21T01:00:00"/>
    <d v="2017-11-15T00:00:00"/>
    <s v="Zone 1"/>
    <s v="Feller Heating &amp; AC"/>
    <s v="NA - New"/>
    <s v="9483900000"/>
    <s v="504"/>
    <n v="199.9"/>
    <n v="0.79"/>
  </r>
  <r>
    <s v="COM Standard"/>
    <s v="007484-C-Nooksack Valley Scho"/>
    <s v="Nooksack Valley School District Standard"/>
    <s v="Nooksack Valley School District"/>
    <s v="Bob Cuti"/>
    <s v="404 W Columbia"/>
    <s v="Nooksack"/>
    <s v=""/>
    <s v="COMDHWTSCT"/>
    <n v="15"/>
    <n v="157.91999999999999"/>
    <n v="499.75"/>
    <s v="7-Completed"/>
    <s v=""/>
    <d v="2017-12-21T01:00:00"/>
    <d v="2017-11-15T00:00:00"/>
    <s v="Zone 1"/>
    <s v="Feller Heating &amp; AC"/>
    <s v="NA - New"/>
    <s v="9483900000"/>
    <s v="504"/>
    <n v="199.9"/>
    <n v="0.79"/>
  </r>
  <r>
    <s v="COM Standard"/>
    <s v="007484-C-Nooksack Valley Scho"/>
    <s v="Nooksack Valley School District Standard"/>
    <s v="Nooksack Valley School District"/>
    <s v="Bob Cuti"/>
    <s v="404 W Columbia"/>
    <s v="Nooksack"/>
    <s v=""/>
    <s v="COMDHWTSCT"/>
    <n v="15"/>
    <n v="157.91999999999999"/>
    <n v="499.75"/>
    <s v="7-Completed"/>
    <s v=""/>
    <d v="2017-12-21T01:00:00"/>
    <d v="2017-11-15T00:00:00"/>
    <s v="Zone 1"/>
    <s v="Feller Heating &amp; AC"/>
    <s v="NA - New"/>
    <s v="9483900000"/>
    <s v="504"/>
    <n v="199.9"/>
    <n v="0.79"/>
  </r>
  <r>
    <s v="COM Standard"/>
    <s v="007474-C-Nooksack Valley High"/>
    <s v="Nooksack Valley High School Standard"/>
    <s v="Nooksack Valley School District"/>
    <s v="Brian Farnsworth"/>
    <s v="3326 E Badger Rd"/>
    <s v="Everson"/>
    <s v=""/>
    <s v="COMDHWTSCT"/>
    <n v="15"/>
    <n v="316"/>
    <n v="1000"/>
    <s v="7-Completed"/>
    <s v=""/>
    <d v="2017-12-21T01:00:00"/>
    <d v="2017-11-15T00:00:00"/>
    <s v="Zone 1"/>
    <s v="Feller Heating &amp; AC"/>
    <s v="NA - New"/>
    <s v="3888700000"/>
    <s v="511"/>
    <n v="400"/>
    <n v="0.79"/>
  </r>
  <r>
    <m/>
    <m/>
    <m/>
    <m/>
    <m/>
    <m/>
    <m/>
    <m/>
    <m/>
    <m/>
    <m/>
    <m/>
    <m/>
    <m/>
    <m/>
    <m/>
    <m/>
    <m/>
    <m/>
    <m/>
    <m/>
    <m/>
    <m/>
  </r>
  <r>
    <m/>
    <m/>
    <m/>
    <m/>
    <m/>
    <m/>
    <m/>
    <m/>
    <m/>
    <m/>
    <m/>
    <m/>
    <m/>
    <m/>
    <m/>
    <m/>
    <m/>
    <m/>
    <m/>
    <m/>
    <m/>
    <m/>
    <m/>
  </r>
  <r>
    <m/>
    <m/>
    <m/>
    <m/>
    <m/>
    <m/>
    <m/>
    <m/>
    <m/>
    <m/>
    <m/>
    <m/>
    <m/>
    <m/>
    <m/>
    <m/>
    <m/>
    <m/>
    <m/>
    <m/>
    <m/>
    <m/>
    <m/>
  </r>
  <r>
    <m/>
    <m/>
    <m/>
    <m/>
    <m/>
    <m/>
    <m/>
    <m/>
    <m/>
    <m/>
    <m/>
    <m/>
    <m/>
    <m/>
    <m/>
    <m/>
    <m/>
    <m/>
    <m/>
    <m/>
    <m/>
    <m/>
    <m/>
  </r>
  <r>
    <m/>
    <m/>
    <m/>
    <m/>
    <m/>
    <m/>
    <m/>
    <m/>
    <m/>
    <m/>
    <m/>
    <m/>
    <m/>
    <m/>
    <m/>
    <m/>
    <m/>
    <m/>
    <m/>
    <m/>
    <m/>
    <m/>
    <m/>
  </r>
  <r>
    <m/>
    <m/>
    <m/>
    <m/>
    <m/>
    <m/>
    <m/>
    <m/>
    <m/>
    <m/>
    <m/>
    <m/>
    <m/>
    <m/>
    <m/>
    <m/>
    <m/>
    <m/>
    <m/>
    <m/>
    <m/>
    <m/>
    <m/>
  </r>
  <r>
    <m/>
    <m/>
    <m/>
    <m/>
    <m/>
    <m/>
    <m/>
    <m/>
    <m/>
    <m/>
    <m/>
    <m/>
    <m/>
    <m/>
    <m/>
    <m/>
    <m/>
    <m/>
    <m/>
    <m/>
    <m/>
    <m/>
    <m/>
  </r>
  <r>
    <s v="COM Standard"/>
    <s v="007459-C-The Slider Cafe"/>
    <s v="The Slider Cafe Fryer and Low Temp Dishwasher"/>
    <s v="The Slider Cafe"/>
    <s v="Brian Farnsworth"/>
    <s v="315 Morris St"/>
    <s v="La Conner"/>
    <s v=""/>
    <s v="COMFSDISDL-NT"/>
    <n v="12"/>
    <n v="448"/>
    <n v="650"/>
    <s v="7-Completed"/>
    <s v=""/>
    <d v="2017-07-10T01:00:00"/>
    <d v="2017-02-22T00:00:00"/>
    <s v="Zone 1"/>
    <s v="Self"/>
    <s v="NA - New Construction"/>
    <s v="1003075360"/>
    <s v="504"/>
    <n v="1"/>
    <n v="448"/>
  </r>
  <r>
    <s v="COM Standard"/>
    <s v="007487-C-Orca Inn Suites"/>
    <s v="Orca Inn Suites Fryer"/>
    <s v="Dick's Restaurant Supply North, LLC"/>
    <s v="Brian Farnsworth"/>
    <s v="5370 Barrett Road"/>
    <s v="Ferndale"/>
    <s v=""/>
    <s v="COMFSFRYERLODGE"/>
    <n v="12"/>
    <n v="231"/>
    <n v="600"/>
    <s v="7-Completed"/>
    <s v=""/>
    <d v="2017-09-13T01:00:00"/>
    <d v="2017-06-26T00:00:00"/>
    <s v="Zone 1"/>
    <s v="Self"/>
    <s v="Unknown"/>
    <s v="8182818616"/>
    <s v="504"/>
    <n v="1"/>
    <n v="231"/>
  </r>
  <r>
    <s v="COM Standard"/>
    <s v="007419-C-Oak Tree Restaurant"/>
    <s v="Oak Tree Restaurant Fryer"/>
    <s v="Lucky 21 Casino, LLC"/>
    <s v="Brian Farnsworth"/>
    <s v="1020 Atlantic Ave"/>
    <s v="Woodland"/>
    <s v=""/>
    <s v="COMFSFRYERREST"/>
    <n v="12"/>
    <n v="685"/>
    <n v="600"/>
    <s v="7-Completed"/>
    <s v=""/>
    <d v="2017-01-09T01:00:00"/>
    <d v="2016-11-18T00:00:00"/>
    <s v="Zone 2"/>
    <s v="Self"/>
    <s v="Frymaster, Doesn't work"/>
    <s v="0071044556"/>
    <s v="504"/>
    <n v="1"/>
    <n v="685"/>
  </r>
  <r>
    <s v="COM Standard"/>
    <s v="007423-C-La Conner Pub"/>
    <s v="La Conner Pub Fryer"/>
    <s v="Dick's Restaurant Supply"/>
    <s v="Autumn Marks"/>
    <s v="702 S 1st St"/>
    <s v="La Conner"/>
    <s v=""/>
    <s v="COMFSFRYERREST"/>
    <n v="12"/>
    <n v="685"/>
    <n v="600"/>
    <s v="7-Completed"/>
    <s v=""/>
    <d v="2017-02-28T01:00:00"/>
    <d v="2016-11-29T00:00:00"/>
    <s v="Zone 1"/>
    <s v="Self"/>
    <s v="Unknown"/>
    <s v="2665200000"/>
    <s v="504"/>
    <n v="1"/>
    <n v="685"/>
  </r>
  <r>
    <s v="COM Standard"/>
    <s v="007428-C-El Gitano"/>
    <s v="El Gitano Fryer"/>
    <s v="Dick's Restaurant Supply North, LLC"/>
    <s v="Brian Farnsworth"/>
    <s v="624 E Fairhaven Ave"/>
    <s v="Burlington"/>
    <s v=""/>
    <s v="COMFSFRYERREST"/>
    <n v="12"/>
    <n v="685"/>
    <n v="600"/>
    <s v="7-Completed"/>
    <s v=""/>
    <d v="2017-02-28T01:00:00"/>
    <d v="2016-10-24T00:00:00"/>
    <s v="Zone 1"/>
    <s v="Self"/>
    <s v="Unknown"/>
    <s v="7072100000"/>
    <s v="504"/>
    <n v="1"/>
    <n v="685"/>
  </r>
  <r>
    <s v="COM Standard"/>
    <s v="007429-C-Jeda's Thai Kitchen"/>
    <s v="Jeda's Thai Kitchen Fryer"/>
    <s v="Dick's Restaurant Supply"/>
    <s v="Brian Farnsworth"/>
    <s v="270 SE Cabot Dr #3"/>
    <s v="Oak Harbor"/>
    <s v=""/>
    <s v="COMFSFRYERREST"/>
    <n v="12"/>
    <n v="685"/>
    <n v="600"/>
    <s v="7-Completed"/>
    <s v=""/>
    <d v="2017-02-28T01:00:00"/>
    <d v="2016-12-13T00:00:00"/>
    <s v="Zone 1"/>
    <s v="Self"/>
    <s v="Unknown"/>
    <s v="8505348924"/>
    <s v="504"/>
    <n v="1"/>
    <n v="685"/>
  </r>
  <r>
    <s v="COM Standard"/>
    <s v="007430-C-Billy's Cafe"/>
    <s v="Billy's Cafe Fryer"/>
    <s v="Dick's Restaurant Supply"/>
    <s v="Brian Farnsworth"/>
    <s v="316 E Fairhaven Ave"/>
    <s v="Burlington"/>
    <s v=""/>
    <s v="COMFSFRYERREST"/>
    <n v="12"/>
    <n v="685"/>
    <n v="600"/>
    <s v="7-Completed"/>
    <s v=""/>
    <d v="2017-02-28T01:00:00"/>
    <d v="2016-11-11T00:00:00"/>
    <s v="Zone 1"/>
    <s v="Self"/>
    <s v="Unknown"/>
    <s v="6289032467"/>
    <s v="504"/>
    <n v="1"/>
    <n v="685"/>
  </r>
  <r>
    <s v="COM Standard"/>
    <s v="007431-C-Swinomish Northern L"/>
    <s v="Swinomish Chevron Fryer"/>
    <s v="Dick's Restaurant Supply"/>
    <s v="Brian Farnsworth"/>
    <s v="12939 Casino Dr"/>
    <s v="Anacortes"/>
    <s v=""/>
    <s v="COMFSFRYERREST"/>
    <n v="12"/>
    <n v="685"/>
    <n v="600"/>
    <s v="7-Completed"/>
    <s v=""/>
    <d v="2017-02-28T01:00:00"/>
    <d v="2016-11-17T00:00:00"/>
    <s v="Zone 1"/>
    <s v="Self"/>
    <s v="Unknown"/>
    <s v="3009000000"/>
    <s v="504"/>
    <n v="1"/>
    <n v="685"/>
  </r>
  <r>
    <s v="COM Standard"/>
    <s v="007432-C-Swamp Daddy's BBQ"/>
    <s v="Swamp Daddy's BBQ Fryers"/>
    <s v="Dick's Restaurant Supply"/>
    <s v="Brian Farnsworth"/>
    <s v="108 W Moore St"/>
    <s v="Sedro Woolley"/>
    <s v=""/>
    <s v="COMFSFRYERREST"/>
    <n v="12"/>
    <n v="1370"/>
    <n v="1200"/>
    <s v="7-Completed"/>
    <s v=""/>
    <d v="2017-02-28T01:00:00"/>
    <d v="2016-12-22T00:00:00"/>
    <s v="Zone 1"/>
    <s v="Self"/>
    <s v="Unknown"/>
    <s v="6257220077"/>
    <s v="504"/>
    <n v="2"/>
    <n v="685"/>
  </r>
  <r>
    <s v="COM Standard"/>
    <s v="007449-C-Shiki Japanese"/>
    <s v="Shiki Japanese Fryers"/>
    <s v="Shiki Sushi"/>
    <s v="Brian Farnsworth"/>
    <s v="1408 N Louisiana St"/>
    <s v="Kennewick"/>
    <s v="Ste 108"/>
    <s v="COMFSFRYERREST"/>
    <n v="12"/>
    <n v="1370"/>
    <n v="1200"/>
    <s v="7-Completed"/>
    <s v=""/>
    <d v="2017-06-12T01:00:00"/>
    <d v="2016-08-01T00:00:00"/>
    <s v="Zone 3"/>
    <s v="Self"/>
    <s v="Unknown"/>
    <s v="3852265107"/>
    <s v="504"/>
    <n v="2"/>
    <n v="685"/>
  </r>
  <r>
    <s v="COM Standard"/>
    <s v="007461-C-San Juan Lanes"/>
    <s v="San Juan Lanes Fryer"/>
    <s v="Dick's Restaurant Supply"/>
    <s v="Brian Farnsworth"/>
    <s v="2821 Commercial"/>
    <s v="Anacortes"/>
    <s v=""/>
    <s v="COMFSFRYERREST"/>
    <n v="12"/>
    <n v="685"/>
    <n v="600"/>
    <s v="7-Completed"/>
    <s v=""/>
    <d v="2017-07-09T22:00:00"/>
    <d v="2017-03-14T00:00:00"/>
    <s v="Zone 1"/>
    <s v="Self"/>
    <s v="Unknown"/>
    <s v="2660565111"/>
    <s v="504"/>
    <n v="1"/>
    <n v="685"/>
  </r>
  <r>
    <s v="COM Standard"/>
    <s v="007458-C-Belmont Loop Enterpr"/>
    <s v="Belmont Loop Enterprises Fryer"/>
    <s v="Belmont Loop Enterprises"/>
    <s v="Brian Farnsworth"/>
    <s v="1955 Belmont Loop #A"/>
    <s v="Woodland"/>
    <s v=""/>
    <s v="COMFSFRYERREST"/>
    <n v="12"/>
    <n v="685"/>
    <n v="600"/>
    <s v="7-Completed"/>
    <s v=""/>
    <d v="2017-07-10T01:00:00"/>
    <d v="2017-02-08T00:00:00"/>
    <s v="Zone 2"/>
    <s v="Self"/>
    <s v="Unknown"/>
    <s v="8239686569"/>
    <s v="504"/>
    <n v="1"/>
    <n v="685"/>
  </r>
  <r>
    <s v="COM Standard"/>
    <s v="007459-C-The Slider Cafe"/>
    <s v="The Slider Cafe Fryer and Low Temp Dishwasher"/>
    <s v="The Slider Cafe"/>
    <s v="Brian Farnsworth"/>
    <s v="315 Morris St"/>
    <s v="La Conner"/>
    <s v=""/>
    <s v="COMFSFRYERREST"/>
    <n v="12"/>
    <n v="685"/>
    <n v="600"/>
    <s v="7-Completed"/>
    <s v=""/>
    <d v="2017-07-10T01:00:00"/>
    <d v="2017-02-22T00:00:00"/>
    <s v="Zone 1"/>
    <s v="Self"/>
    <s v="NA - New Construction"/>
    <s v="1003075360"/>
    <s v="504"/>
    <n v="1"/>
    <n v="685"/>
  </r>
  <r>
    <s v="COM Standard"/>
    <s v="007460-C-Outback Steakhouse"/>
    <s v="Outback Steakhouse Standard"/>
    <s v="Evergreen Restaurant LLC 4628"/>
    <s v="Brian Farnsworth"/>
    <s v="2537 172nd St NE"/>
    <s v="Marysville"/>
    <s v=""/>
    <s v="COMFSFRYERREST"/>
    <n v="12"/>
    <n v="1370"/>
    <n v="1200"/>
    <s v="7-Completed"/>
    <s v=""/>
    <d v="2017-07-10T01:00:00"/>
    <d v="2016-06-17T00:00:00"/>
    <s v="Zone 1"/>
    <s v="Self"/>
    <s v="NA - New Construction"/>
    <s v="4900115403"/>
    <s v="504"/>
    <n v="2"/>
    <n v="685"/>
  </r>
  <r>
    <s v="COM Standard"/>
    <s v="007460-C-Outback Steakhouse"/>
    <s v="Outback Steakhouse Standard"/>
    <s v="Evergreen Restaurant LLC 4628"/>
    <s v="Brian Farnsworth"/>
    <s v="2537 172nd St NE"/>
    <s v="Marysville"/>
    <s v=""/>
    <s v="COMFSFRYERREST"/>
    <n v="12"/>
    <n v="1370"/>
    <n v="1200"/>
    <s v="7-Completed"/>
    <s v=""/>
    <d v="2017-07-10T01:00:00"/>
    <d v="2016-06-17T00:00:00"/>
    <s v="Zone 1"/>
    <s v="Self"/>
    <s v="NA - New Construction"/>
    <s v="4900115403"/>
    <s v="504"/>
    <n v="2"/>
    <n v="685"/>
  </r>
  <r>
    <s v="COM Standard"/>
    <s v="007467-C-Buzz Inn"/>
    <s v="Buzz Inn Fryer"/>
    <s v="Dick's Restaurant Supply"/>
    <s v="Brian Farnsworth"/>
    <s v="1112 N Wenatchee Blvd"/>
    <s v="Wenatchee"/>
    <s v=""/>
    <s v="COMFSFRYERREST"/>
    <n v="12"/>
    <n v="685"/>
    <n v="600"/>
    <s v="7-Completed"/>
    <s v=""/>
    <d v="2017-08-22T01:00:00"/>
    <d v="2017-04-25T00:00:00"/>
    <s v="Zone 3"/>
    <s v="Self"/>
    <s v="Unknown"/>
    <s v="7910020000"/>
    <s v="504"/>
    <n v="1"/>
    <n v="685"/>
  </r>
  <r>
    <s v="COM Standard"/>
    <s v="007468-C-Olive Garden #1487"/>
    <s v="Olive Garden Fryer"/>
    <s v="GMRI, Inc."/>
    <s v="Brian Farnsworth"/>
    <s v="4276 Meridian Rd"/>
    <s v="Bellingham"/>
    <s v=""/>
    <s v="COMFSFRYERREST"/>
    <n v="12"/>
    <n v="1370"/>
    <n v="1200"/>
    <s v="7-Completed"/>
    <s v=""/>
    <d v="2017-08-22T01:00:00"/>
    <d v="2017-05-10T00:00:00"/>
    <s v="Zone 1"/>
    <s v="Self"/>
    <s v="Model unknown, 45% efficient"/>
    <s v="5278600000"/>
    <s v="504"/>
    <n v="2"/>
    <n v="685"/>
  </r>
  <r>
    <s v="COM Standard"/>
    <s v="007482-C-Red Robin Internatio"/>
    <s v="Red Robin Fryer"/>
    <s v="Red Robin International, Inc."/>
    <s v="Brian Farnsworth"/>
    <s v="10455 NW Silverdale Way"/>
    <s v="Silverdale"/>
    <s v=""/>
    <s v="COMFSFRYERREST"/>
    <n v="12"/>
    <n v="685"/>
    <n v="600"/>
    <s v="7-Completed"/>
    <s v=""/>
    <d v="2017-09-13T01:00:00"/>
    <d v="2017-05-19T00:00:00"/>
    <s v="Zone 2"/>
    <s v="Self"/>
    <s v="Inefficient Fryer"/>
    <s v="3614310000"/>
    <s v="504"/>
    <n v="1"/>
    <n v="685"/>
  </r>
  <r>
    <s v="COM Standard"/>
    <s v="007483-C-Magnolia Grill"/>
    <s v="Magnolia Grill Fryer"/>
    <s v="Dick's Restaurant Supply North, LLC"/>
    <s v="Brian Farnsworth"/>
    <s v="206 Ferry St"/>
    <s v="Sedro Woolley"/>
    <s v=""/>
    <s v="COMFSFRYERREST"/>
    <n v="12"/>
    <n v="685"/>
    <n v="600"/>
    <s v="7-Completed"/>
    <s v=""/>
    <d v="2017-09-13T01:00:00"/>
    <d v="2017-06-30T00:00:00"/>
    <s v="Zone 1"/>
    <s v="Self"/>
    <s v="Unknown"/>
    <s v="2701849910"/>
    <s v="504"/>
    <n v="1"/>
    <n v="685"/>
  </r>
  <r>
    <s v="COM Standard"/>
    <s v="007488-C-Towne Crier (Yellaha"/>
    <s v="Towne Crier Fryer"/>
    <s v="Yellahammer, Inc (Towne Crier)"/>
    <s v="Brian Farnsworth"/>
    <s v="1319 George Washington Way"/>
    <s v="Richland"/>
    <s v=""/>
    <s v="COMFSFRYERREST"/>
    <n v="12"/>
    <n v="685"/>
    <n v="600"/>
    <s v="7-Completed"/>
    <s v=""/>
    <d v="2017-10-24T01:00:00"/>
    <d v="2017-06-22T00:00:00"/>
    <s v="Zone 3"/>
    <s v="Self"/>
    <s v="Electric Henny Penny model"/>
    <s v="3213810000"/>
    <s v="504"/>
    <n v="1"/>
    <n v="685"/>
  </r>
  <r>
    <s v="COM Standard"/>
    <s v="007490-C-The Local"/>
    <s v="The Local Fryer"/>
    <s v="Thomas Raden"/>
    <s v="Brian Farnsworth"/>
    <s v="1427 Railroad Ave #A"/>
    <s v="Bellingham"/>
    <s v=""/>
    <s v="COMFSFRYERREST"/>
    <n v="12"/>
    <n v="685"/>
    <n v="600"/>
    <s v="7-Completed"/>
    <s v=""/>
    <d v="2017-10-24T01:00:00"/>
    <d v="2017-08-10T00:00:00"/>
    <s v="Zone 1"/>
    <s v="Self"/>
    <s v="American Range unit"/>
    <s v="7553725585"/>
    <s v="504"/>
    <n v="1"/>
    <n v="685"/>
  </r>
  <r>
    <s v="COM Standard"/>
    <s v="007497-C-Naung Mai Thai"/>
    <s v="Naung Mai Thai Fryer"/>
    <s v="Dick's Restaurant Supply"/>
    <s v="Brian Farnsworth"/>
    <s v="3015 Commercial Ave #C"/>
    <s v="Anacortes"/>
    <s v=""/>
    <s v="COMFSFRYERREST"/>
    <n v="12"/>
    <n v="685"/>
    <n v="600"/>
    <s v="7-Completed"/>
    <s v=""/>
    <d v="2017-11-27T01:00:00"/>
    <d v="2017-05-17T00:00:00"/>
    <s v="Zone 1"/>
    <s v="Self"/>
    <s v="Unknown"/>
    <s v="6534368472"/>
    <s v="504"/>
    <n v="1"/>
    <n v="685"/>
  </r>
  <r>
    <s v="COM Standard"/>
    <s v="007498-C-Ixtapa Stanwood"/>
    <s v="Ixtapa Stanwood Fryer"/>
    <s v="Dick's Restaurant Supply"/>
    <s v="Brian Farnsworth"/>
    <s v="9200 271st St NW"/>
    <s v="Stanwood"/>
    <s v=""/>
    <s v="COMFSFRYERREST"/>
    <n v="12"/>
    <n v="685"/>
    <n v="600"/>
    <s v="7-Completed"/>
    <s v=""/>
    <d v="2017-11-27T01:00:00"/>
    <d v="2017-09-11T00:00:00"/>
    <s v="Zone 1"/>
    <s v="Self"/>
    <s v="Unknown"/>
    <s v="7455119338"/>
    <s v="504"/>
    <n v="1"/>
    <n v="685"/>
  </r>
  <r>
    <s v="COM Standard"/>
    <s v="007442-C-Cedar Springs Christ"/>
    <s v="Cedar Springs Christian Retreat Center"/>
    <s v="Cedar Springs Christian Retreat Center"/>
    <s v="Brian Farnsworth"/>
    <s v="4700 Minaker Rd &quot;Chalet&quot;"/>
    <s v="Sumas"/>
    <s v=""/>
    <s v="COMFSOVENLODGE"/>
    <n v="12"/>
    <n v="438"/>
    <n v="900"/>
    <s v="7-Completed"/>
    <s v=""/>
    <d v="2017-05-17T01:00:00"/>
    <d v="2017-02-17T00:00:00"/>
    <s v="Zone 1"/>
    <s v="Self"/>
    <s v="Electric Convection Oven"/>
    <s v="9007127841"/>
    <s v="504"/>
    <n v="2"/>
    <n v="219"/>
  </r>
  <r>
    <s v="COM Standard"/>
    <s v="007443-C-Silverado Senior Liv"/>
    <s v="Silverado Senior Living Standard Project"/>
    <s v="Silverado Bellingham, LLC"/>
    <s v="William Prillaman"/>
    <s v="4400 Columbine Dr"/>
    <s v="Bellingham"/>
    <s v=""/>
    <s v="COMFSOVENLODGE"/>
    <n v="12"/>
    <n v="438"/>
    <n v="900"/>
    <s v="7-Completed"/>
    <s v=""/>
    <d v="2017-05-17T01:00:00"/>
    <d v="2016-07-14T00:00:00"/>
    <s v="Zone 1"/>
    <s v="Self"/>
    <s v="Unknown"/>
    <s v="4958360975"/>
    <s v="504"/>
    <n v="2"/>
    <n v="219"/>
  </r>
  <r>
    <s v="COM Standard"/>
    <s v="007435-C-Fishin' Hole Restaur"/>
    <s v="Fishin' Hole Restaurant Convection Oven"/>
    <s v="The Fishin Hole Family Restaurant"/>
    <s v="Brian Farnsworth"/>
    <s v="103 Brumfield Ave"/>
    <s v="Montesano"/>
    <s v=""/>
    <s v="COMFSOVENREST"/>
    <n v="12"/>
    <n v="649"/>
    <n v="450"/>
    <s v="7-Completed"/>
    <s v=""/>
    <d v="2017-04-21T01:00:00"/>
    <d v="2016-06-13T00:00:00"/>
    <s v="Zone 2"/>
    <s v="Self"/>
    <s v="NA - New Restaurant"/>
    <s v="6628428747"/>
    <s v="504"/>
    <n v="1"/>
    <n v="649"/>
  </r>
  <r>
    <s v="COM Standard"/>
    <s v="007460-C-Outback Steakhouse"/>
    <s v="Outback Steakhouse Standard"/>
    <s v="Evergreen Restaurant LLC 4628"/>
    <s v="Brian Farnsworth"/>
    <s v="2537 172nd St NE"/>
    <s v="Marysville"/>
    <s v=""/>
    <s v="COMFSOVENREST"/>
    <n v="12"/>
    <n v="649"/>
    <n v="450"/>
    <s v="7-Completed"/>
    <s v=""/>
    <d v="2017-07-10T01:00:00"/>
    <d v="2016-06-17T00:00:00"/>
    <s v="Zone 1"/>
    <s v="Self"/>
    <s v="NA - New Construction"/>
    <s v="4900115403"/>
    <s v="504"/>
    <n v="1"/>
    <n v="649"/>
  </r>
  <r>
    <s v="COM Standard"/>
    <s v="007462-C-Royal Star Buffet"/>
    <s v="Royal Star Buffet Convection Oven"/>
    <s v="Dick's Restaurant Supply"/>
    <s v="Autumn Marks"/>
    <s v="2300 Freeway Dr"/>
    <s v="Mount Vernon"/>
    <s v=""/>
    <s v="COMFSOVENREST"/>
    <n v="12"/>
    <n v="649"/>
    <n v="450"/>
    <s v="7-Completed"/>
    <s v=""/>
    <d v="2017-07-10T01:00:00"/>
    <d v="2017-02-22T00:00:00"/>
    <s v="Zone 1"/>
    <s v="Self"/>
    <s v="Unknown"/>
    <s v="5554147389"/>
    <s v="504"/>
    <n v="1"/>
    <n v="649"/>
  </r>
  <r>
    <s v="COM Standard"/>
    <s v="007514-C-The BBQ Joint"/>
    <s v="The BBQ Joint Convection Oven"/>
    <s v="The BBQ Joint LLC"/>
    <s v="Bradey Day"/>
    <s v="601 NE Midway Blvd"/>
    <s v="Oak Harbor"/>
    <s v=""/>
    <s v="COMFSOVENREST-7-17"/>
    <n v="12"/>
    <n v="649"/>
    <n v="500"/>
    <s v="7-Completed"/>
    <s v=""/>
    <d v="2017-12-21T01:00:00"/>
    <d v="2017-10-30T00:00:00"/>
    <s v="Zone 1"/>
    <s v="Self"/>
    <s v="Unknown"/>
    <s v="6772400000"/>
    <s v="504"/>
    <n v="1"/>
    <n v="649"/>
  </r>
  <r>
    <s v="COM Standard"/>
    <s v="007420-C-Hawkins Middle Schoo"/>
    <s v="Hawkins Middle School Standard"/>
    <s v="North Mason School District No.403"/>
    <s v="Brian Farnsworth"/>
    <s v="200 E Campus Dr"/>
    <s v="Belfair"/>
    <s v=""/>
    <s v="COMFSOVENSCHO"/>
    <n v="12"/>
    <n v="141"/>
    <n v="450"/>
    <s v="7-Completed"/>
    <s v=""/>
    <d v="2017-02-28T01:00:00"/>
    <d v="2016-11-08T00:00:00"/>
    <s v="Zone 2"/>
    <s v=""/>
    <s v="NA - New Construction"/>
    <s v="5383315305"/>
    <s v="504"/>
    <n v="1"/>
    <n v="141"/>
  </r>
  <r>
    <s v="COM Standard"/>
    <s v="007486-C-Mount Vernon School "/>
    <s v="Mount Vernon School District Convection Ovens"/>
    <s v="City of Mount Vernon School District 320"/>
    <s v="Brian Farnsworth"/>
    <s v="1200 N Laventure Road "/>
    <s v="Mount Vernon"/>
    <s v=""/>
    <s v="COMFSOVENSCHO"/>
    <n v="12"/>
    <n v="564"/>
    <n v="1800"/>
    <s v="7-Completed"/>
    <s v=""/>
    <d v="2017-09-13T01:00:00"/>
    <d v="2017-05-18T00:00:00"/>
    <s v="Zone 1"/>
    <s v="Self"/>
    <s v="Unknown"/>
    <s v="2437300000"/>
    <s v="504"/>
    <n v="4"/>
    <n v="141"/>
  </r>
  <r>
    <s v="COM Standard"/>
    <s v="007499-C-Sedro-Woolley High S"/>
    <s v="Sedro-Woolley School District Double Convection Oven"/>
    <s v="City of Sedro-Woolley School District No.101"/>
    <s v="Brian Farnsworth"/>
    <s v="1235 3rd St"/>
    <s v="Sedro Woolley"/>
    <s v=""/>
    <s v="COMFSOVENSCHO-7-17"/>
    <n v="12"/>
    <n v="282"/>
    <n v="1000"/>
    <s v="7-Completed"/>
    <s v=""/>
    <d v="2017-11-27T01:00:00"/>
    <d v="2017-07-20T00:00:00"/>
    <s v="Zone 1"/>
    <s v="Self"/>
    <s v="Unknown"/>
    <s v="3258100000"/>
    <s v="504"/>
    <n v="2"/>
    <n v="141"/>
  </r>
  <r>
    <s v="COM Standard"/>
    <s v="007331-C-City of Toppenish"/>
    <s v="City of Toppenish (City Hall) Furnaces"/>
    <s v="City of Toppenish"/>
    <s v="Brian Farnsworth"/>
    <s v="21 W 1st Ave"/>
    <s v="Toppenish"/>
    <s v=""/>
    <s v="COMFURNACE"/>
    <n v="18"/>
    <n v="132"/>
    <n v="360"/>
    <s v="7-Completed"/>
    <s v=""/>
    <d v="2017-02-28T01:00:00"/>
    <d v="2016-12-06T00:00:00"/>
    <s v="Zone 3"/>
    <s v="Apollo Heating &amp; Air Conditioning"/>
    <s v="80% furnaces"/>
    <s v="7517510000"/>
    <s v="504"/>
    <n v="120"/>
    <n v="1.1000000000000001"/>
  </r>
  <r>
    <s v="COM Standard"/>
    <s v="007331-C-City of Toppenish"/>
    <s v="City of Toppenish (City Hall) Furnaces"/>
    <s v="City of Toppenish"/>
    <s v="Brian Farnsworth"/>
    <s v="21 W 1st Ave"/>
    <s v="Toppenish"/>
    <s v=""/>
    <s v="COMFURNACE"/>
    <n v="18"/>
    <n v="132"/>
    <n v="360"/>
    <s v="7-Completed"/>
    <s v=""/>
    <d v="2017-02-28T01:00:00"/>
    <d v="2016-12-06T00:00:00"/>
    <s v="Zone 3"/>
    <s v="Apollo Heating &amp; Air Conditioning"/>
    <s v="80% furnaces"/>
    <s v="7517510000"/>
    <s v="504"/>
    <n v="120"/>
    <n v="1.1000000000000001"/>
  </r>
  <r>
    <s v="COM Standard"/>
    <s v="007331-C-City of Toppenish"/>
    <s v="City of Toppenish (City Hall) Furnaces"/>
    <s v="City of Toppenish"/>
    <s v="Brian Farnsworth"/>
    <s v="21 W 1st Ave"/>
    <s v="Toppenish"/>
    <s v=""/>
    <s v="COMFURNACE"/>
    <n v="18"/>
    <n v="88"/>
    <n v="240"/>
    <s v="7-Completed"/>
    <s v=""/>
    <d v="2017-02-28T01:00:00"/>
    <d v="2016-12-06T00:00:00"/>
    <s v="Zone 3"/>
    <s v="Apollo Heating &amp; Air Conditioning"/>
    <s v="80% furnaces"/>
    <s v="7517510000"/>
    <s v="504"/>
    <n v="80"/>
    <n v="1.1000000000000001"/>
  </r>
  <r>
    <s v="COM Standard"/>
    <s v="007424-C-Farmers Insurance"/>
    <s v="Farmers Insurance Furnace"/>
    <s v="Sam Houston"/>
    <s v="Brian Farnsworth"/>
    <s v="2136 James St"/>
    <s v="Bellingham"/>
    <s v=""/>
    <s v="COMFURNACE"/>
    <n v="18"/>
    <n v="72.599999999999994"/>
    <n v="198"/>
    <s v="7-Completed"/>
    <s v=""/>
    <d v="2017-02-28T01:00:00"/>
    <d v="2016-10-28T00:00:00"/>
    <s v="Zone 1"/>
    <s v="AirTech Heating and Hydro Mechanical, Inc."/>
    <s v="60% efficient Lennox"/>
    <s v="6188035694"/>
    <s v="504"/>
    <n v="66"/>
    <n v="1.1000000000000001"/>
  </r>
  <r>
    <s v="COM Standard"/>
    <s v="007426-C-Sustainable Connecti"/>
    <s v="Sustainable Connections Furnace"/>
    <s v="Sustainable Connections"/>
    <s v="Brian Farnsworth"/>
    <s v="1701 Ellis St #C"/>
    <s v="Bellingham"/>
    <s v=""/>
    <s v="COMFURNACE"/>
    <n v="18"/>
    <n v="110"/>
    <n v="300"/>
    <s v="7-Completed"/>
    <s v=""/>
    <d v="2017-02-28T01:00:00"/>
    <d v="2016-11-30T00:00:00"/>
    <s v="Zone 1"/>
    <s v="Feller Heating &amp; AC"/>
    <s v="DC90 Furnace"/>
    <s v="8219700000"/>
    <s v="504"/>
    <n v="100"/>
    <n v="1.1000000000000001"/>
  </r>
  <r>
    <s v="COM Standard"/>
    <s v="007443-C-Silverado Senior Liv"/>
    <s v="Silverado Senior Living Standard Project"/>
    <s v="Silverado Bellingham, LLC"/>
    <s v="William Prillaman"/>
    <s v="4400 Columbine Dr"/>
    <s v="Bellingham"/>
    <s v=""/>
    <s v="COMFURNACE"/>
    <n v="18"/>
    <n v="330"/>
    <n v="900"/>
    <s v="7-Completed"/>
    <s v=""/>
    <d v="2017-05-17T01:00:00"/>
    <d v="2016-07-14T00:00:00"/>
    <s v="Zone 1"/>
    <s v=""/>
    <s v="Unknwon"/>
    <s v="4958360975"/>
    <s v="504"/>
    <n v="300"/>
    <n v="1.1000000000000001"/>
  </r>
  <r>
    <s v="COM Standard"/>
    <s v="007444-C-Cowlitz Way Baptist"/>
    <s v="Cowlitz Way Baptist Furnace"/>
    <s v="Cowlitz Way Baptist Church"/>
    <s v="Brian Farnsworth"/>
    <s v="600 Cowlitz Way"/>
    <s v="Kelso"/>
    <s v=""/>
    <s v="COMFURNACE"/>
    <n v="18"/>
    <n v="132"/>
    <n v="360"/>
    <s v="7-Completed"/>
    <s v=""/>
    <d v="2017-05-17T01:00:00"/>
    <d v="2017-02-25T00:00:00"/>
    <s v="Zone 2"/>
    <s v="Diversified Mechanical Services, Inc."/>
    <s v="80% Efficient Furnace"/>
    <s v="4735410000"/>
    <s v="504"/>
    <n v="120"/>
    <n v="1.1000000000000001"/>
  </r>
  <r>
    <s v="COM Standard"/>
    <s v="007455-C-LB Stone Property"/>
    <s v="LB Stone Properties Group Furnace"/>
    <s v="LB Stone Properties #104"/>
    <s v="William Prillaman"/>
    <s v="1606 E Nob Hill Blvd"/>
    <s v="Yakima"/>
    <s v=""/>
    <s v="COMFURNACE"/>
    <n v="18"/>
    <n v="66"/>
    <n v="180"/>
    <s v="7-Completed"/>
    <s v=""/>
    <d v="2017-07-10T01:00:00"/>
    <d v="2017-04-01T00:00:00"/>
    <s v="Zone 3"/>
    <s v="All Seasons Heating and AC"/>
    <s v="NA - New"/>
    <s v="4456373489"/>
    <s v="504"/>
    <n v="60"/>
    <n v="1.1000000000000001"/>
  </r>
  <r>
    <s v="COM Standard"/>
    <s v="007469-C-Skagit Co Historical"/>
    <s v="Skagit Co Historical Museum Furnace"/>
    <s v="Skagit County Historical Society"/>
    <s v="Brian Farnsworth"/>
    <s v="501 S 4th St"/>
    <s v="La Conner"/>
    <s v=""/>
    <s v="COMFURNACE"/>
    <n v="18"/>
    <n v="88"/>
    <n v="240"/>
    <s v="7-Completed"/>
    <s v=""/>
    <d v="2017-08-22T01:00:00"/>
    <d v="2017-05-10T00:00:00"/>
    <s v="Zone 1"/>
    <s v="Handy's Heating, Inc."/>
    <s v="Unknown"/>
    <s v="7695200000"/>
    <s v="504"/>
    <n v="80"/>
    <n v="1.1000000000000001"/>
  </r>
  <r>
    <s v="COM Standard"/>
    <s v="007347-C-City of Wapato - Fir"/>
    <s v="City of Wapato Fire Station Standard and Custom"/>
    <s v="City of Wapato"/>
    <s v="Brian Farnsworth"/>
    <s v="205 S Frontage Rd"/>
    <s v="Wapato"/>
    <s v=""/>
    <s v="COMFURNACE"/>
    <n v="18"/>
    <n v="132"/>
    <n v="360"/>
    <s v="7-Completed"/>
    <s v=""/>
    <d v="2017-09-13T01:00:00"/>
    <d v="2017-07-01T00:00:00"/>
    <s v="Zone 3"/>
    <s v="Sunset Air"/>
    <s v="80% efficient unit"/>
    <s v="4297510000"/>
    <s v="504"/>
    <n v="120"/>
    <n v="1.1000000000000001"/>
  </r>
  <r>
    <s v="COM Standard"/>
    <s v="007348-C-City of Wapato - Com"/>
    <s v="City of Wapato Community Center Standard and Custom"/>
    <s v="City of Wapato"/>
    <s v="Brian Farnsworth"/>
    <s v="1109 S Camas Ave"/>
    <s v="Wapato"/>
    <s v=""/>
    <s v="COMFURNACE"/>
    <n v="18"/>
    <n v="132"/>
    <n v="360"/>
    <s v="7-Completed"/>
    <s v=""/>
    <d v="2017-09-13T01:00:00"/>
    <d v="2017-07-15T00:00:00"/>
    <s v="Zone 3"/>
    <s v="Sunset Air"/>
    <s v="80% efficient unit"/>
    <s v="4608032765"/>
    <s v="504"/>
    <n v="120"/>
    <n v="1.1000000000000001"/>
  </r>
  <r>
    <s v="COM Standard"/>
    <s v="007348-C-City of Wapato - Com"/>
    <s v="City of Wapato Community Center Standard and Custom"/>
    <s v="City of Wapato"/>
    <s v="Brian Farnsworth"/>
    <s v="1109 S Camas Ave"/>
    <s v="Wapato"/>
    <s v=""/>
    <s v="COMFURNACE"/>
    <n v="18"/>
    <n v="132"/>
    <n v="360"/>
    <s v="7-Completed"/>
    <s v=""/>
    <d v="2017-09-13T01:00:00"/>
    <d v="2017-07-01T00:00:00"/>
    <s v="Zone 3"/>
    <s v="Sunset Air"/>
    <s v="80% units"/>
    <s v="4608032765"/>
    <s v="504"/>
    <n v="120"/>
    <n v="1.1000000000000001"/>
  </r>
  <r>
    <s v="COM Standard"/>
    <s v="007348-C-City of Wapato - Com"/>
    <s v="City of Wapato Community Center Standard and Custom"/>
    <s v="City of Wapato"/>
    <s v="Brian Farnsworth"/>
    <s v="1109 S Camas Ave"/>
    <s v="Wapato"/>
    <s v=""/>
    <s v="COMFURNACE"/>
    <n v="18"/>
    <n v="132"/>
    <n v="360"/>
    <s v="7-Completed"/>
    <s v=""/>
    <d v="2017-09-13T01:00:00"/>
    <d v="2017-07-01T00:00:00"/>
    <s v="Zone 3"/>
    <s v="Sunset Air"/>
    <s v="80% units"/>
    <s v="4608032765"/>
    <s v="504"/>
    <n v="120"/>
    <n v="1.1000000000000001"/>
  </r>
  <r>
    <s v="COM Standard"/>
    <s v="007348-C-City of Wapato - Com"/>
    <s v="City of Wapato Community Center Standard and Custom"/>
    <s v="City of Wapato"/>
    <s v="Brian Farnsworth"/>
    <s v="1109 S Camas Ave"/>
    <s v="Wapato"/>
    <s v=""/>
    <s v="COMFURNACE"/>
    <n v="18"/>
    <n v="132"/>
    <n v="360"/>
    <s v="7-Completed"/>
    <s v=""/>
    <d v="2017-09-13T01:00:00"/>
    <d v="2017-07-01T00:00:00"/>
    <s v="Zone 3"/>
    <s v="Sunset Air"/>
    <s v="80% units"/>
    <s v="4608032765"/>
    <s v="504"/>
    <n v="120"/>
    <n v="1.1000000000000001"/>
  </r>
  <r>
    <s v="COM Standard"/>
    <s v="007348-C-City of Wapato - Com"/>
    <s v="City of Wapato Community Center Standard and Custom"/>
    <s v="City of Wapato"/>
    <s v="Brian Farnsworth"/>
    <s v="1109 S Camas Ave"/>
    <s v="Wapato"/>
    <s v=""/>
    <s v="COMFURNACE"/>
    <n v="18"/>
    <n v="110"/>
    <n v="300"/>
    <s v="7-Completed"/>
    <s v=""/>
    <d v="2017-09-13T01:00:00"/>
    <d v="2017-07-01T00:00:00"/>
    <s v="Zone 3"/>
    <s v="Sunset Air"/>
    <s v="80% units"/>
    <s v="4608032765"/>
    <s v="504"/>
    <n v="100"/>
    <n v="1.1000000000000001"/>
  </r>
  <r>
    <s v="COM Standard"/>
    <s v="007348-C-City of Wapato - Com"/>
    <s v="City of Wapato Community Center Standard and Custom"/>
    <s v="City of Wapato"/>
    <s v="Brian Farnsworth"/>
    <s v="1109 S Camas Ave"/>
    <s v="Wapato"/>
    <s v=""/>
    <s v="COMFURNACE"/>
    <n v="18"/>
    <n v="110"/>
    <n v="300"/>
    <s v="7-Completed"/>
    <s v=""/>
    <d v="2017-09-13T01:00:00"/>
    <d v="2017-07-01T00:00:00"/>
    <s v="Zone 3"/>
    <s v="Sunset Air"/>
    <s v="80% units"/>
    <s v="4608032765"/>
    <s v="504"/>
    <n v="100"/>
    <n v="1.1000000000000001"/>
  </r>
  <r>
    <s v="COM Standard"/>
    <s v="007492-C-Alpine Dental"/>
    <s v="Alpine Dental Furnace"/>
    <s v="Raman K Patel"/>
    <s v="Brian Farnsworth"/>
    <s v="120 S 15th St #A"/>
    <s v="Mount Vernon"/>
    <s v=""/>
    <s v="COMFURNACE"/>
    <n v="18"/>
    <n v="66"/>
    <n v="180"/>
    <s v="7-Completed"/>
    <s v=""/>
    <d v="2017-10-24T01:00:00"/>
    <d v="2017-05-11T00:00:00"/>
    <s v="Zone 1"/>
    <s v="Foss Heating and Cooling"/>
    <s v="Lennox system"/>
    <s v="8922300000"/>
    <s v="504"/>
    <n v="60"/>
    <n v="1.1000000000000001"/>
  </r>
  <r>
    <s v="COM Standard"/>
    <s v="007501-C-GH EMS"/>
    <s v="Grays Harbor EMS Furnace"/>
    <s v="Grays Harbor EMS Council"/>
    <s v="Brian Farnsworth"/>
    <s v="2421 Sumner"/>
    <s v="Aberdeen"/>
    <s v=""/>
    <s v="COMFURNACE"/>
    <n v="18"/>
    <n v="88"/>
    <n v="240"/>
    <s v="7-Completed"/>
    <s v=""/>
    <d v="2017-11-27T01:00:00"/>
    <d v="2017-05-31T00:00:00"/>
    <s v="Zone 2"/>
    <s v="Actionaire Inc"/>
    <s v="Unknown make and model"/>
    <s v="5669310000"/>
    <s v="504"/>
    <n v="80"/>
    <n v="1.1000000000000001"/>
  </r>
  <r>
    <s v="COM Standard"/>
    <s v="007474-C-Nooksack Valley High"/>
    <s v="Nooksack Valley High School Standard"/>
    <s v="Nooksack Valley School District"/>
    <s v="Brian Farnsworth"/>
    <s v="3326 E Badger Rd"/>
    <s v="Everson"/>
    <s v=""/>
    <s v="COMFURNACE"/>
    <n v="18"/>
    <n v="1012"/>
    <n v="2760"/>
    <s v="7-Completed"/>
    <s v=""/>
    <d v="2017-12-21T01:00:00"/>
    <d v="2017-11-15T00:00:00"/>
    <s v="Zone 1"/>
    <s v="Feller Heating &amp; AC"/>
    <s v="Unknown"/>
    <s v="3888700000"/>
    <s v="511"/>
    <n v="920"/>
    <n v="1.1000000000000001"/>
  </r>
  <r>
    <s v="COM Standard"/>
    <s v="007484-C-Nooksack Valley Scho"/>
    <s v="Nooksack Valley School District Standard"/>
    <s v="Nooksack Valley School District"/>
    <s v="Bob Cuti"/>
    <s v="404 W Columbia"/>
    <s v="Nooksack"/>
    <s v=""/>
    <s v="COMFURNACE"/>
    <n v="18"/>
    <n v="3212"/>
    <n v="8760"/>
    <s v="7-Completed"/>
    <s v=""/>
    <d v="2017-12-21T01:00:00"/>
    <d v="2017-11-15T00:00:00"/>
    <s v="Zone 1"/>
    <s v="Feller Heating &amp; AC"/>
    <s v="NA - New Construction"/>
    <s v="9483900000"/>
    <s v="504"/>
    <n v="2920"/>
    <n v="1.1000000000000001"/>
  </r>
  <r>
    <s v="COM Standard"/>
    <s v="007484-C-Nooksack Valley Scho"/>
    <s v="Nooksack Valley School District Standard"/>
    <s v="Nooksack Valley School District"/>
    <s v="Bob Cuti"/>
    <s v="404 W Columbia"/>
    <s v="Nooksack"/>
    <s v=""/>
    <s v="COMFURNACE"/>
    <n v="18"/>
    <n v="2854.5"/>
    <n v="7785"/>
    <s v="7-Completed"/>
    <s v=""/>
    <d v="2017-12-21T01:00:00"/>
    <d v="2017-11-15T00:00:00"/>
    <s v="Zone 1"/>
    <s v="Feller Heating &amp; AC"/>
    <s v="NA - New Construction"/>
    <s v="9483900000"/>
    <s v="504"/>
    <n v="2595"/>
    <n v="1.1000000000000001"/>
  </r>
  <r>
    <s v="COM Standard"/>
    <s v="007502-C-Whidbey-Seatac Shutt"/>
    <s v="Whidbey-Seatac Shuttle Furnace and Insulation"/>
    <s v="Feet Wet Partners LLC"/>
    <s v="Brian Farnsworth"/>
    <s v="639 Industrial Ave #A"/>
    <s v="Oak Harbor"/>
    <s v=""/>
    <s v="COMFURNACE"/>
    <n v="18"/>
    <n v="110"/>
    <n v="300"/>
    <s v="7-Completed"/>
    <s v=""/>
    <d v="2017-12-21T01:00:00"/>
    <d v="2017-08-17T00:00:00"/>
    <s v="Zone 1"/>
    <s v="Barron Heating and Air Conditioning Inc"/>
    <s v="Old Reznor heaters"/>
    <s v="8573405675"/>
    <s v="504"/>
    <n v="100"/>
    <n v="1.1000000000000001"/>
  </r>
  <r>
    <s v="COM Standard"/>
    <s v="007479-C-Valley Transit"/>
    <s v="Valley Transit Furnaces"/>
    <s v="Valley Transit"/>
    <s v=""/>
    <s v="1401 W Rose Street"/>
    <s v="Walla Walla"/>
    <s v=""/>
    <s v="COMFURNACE"/>
    <n v="18"/>
    <n v="88"/>
    <n v="240"/>
    <s v="7-Completed"/>
    <s v=""/>
    <d v="2017-12-21T01:00:00"/>
    <d v="2017-08-24T00:00:00"/>
    <s v="Zone 3"/>
    <s v="Grassi Refrigeration Sales &amp; Service"/>
    <s v="1989 Std. Equipment"/>
    <s v=""/>
    <s v="504"/>
    <n v="80"/>
    <n v="1.1000000000000001"/>
  </r>
  <r>
    <s v="COM Standard"/>
    <s v="007479-C-Valley Transit"/>
    <s v="Valley Transit Furnaces"/>
    <s v="Valley Transit"/>
    <s v=""/>
    <s v="1401 W Rose Street"/>
    <s v="Walla Walla"/>
    <s v=""/>
    <s v="COMFURNACE"/>
    <n v="18"/>
    <n v="88"/>
    <n v="240"/>
    <s v="7-Completed"/>
    <s v=""/>
    <d v="2017-12-21T01:00:00"/>
    <d v="2017-08-24T00:00:00"/>
    <s v="Zone 3"/>
    <s v="Grassi Refrigeration Sales &amp; Service"/>
    <s v="1989 Std. Equipment"/>
    <s v=""/>
    <s v="504"/>
    <n v="80"/>
    <n v="1.1000000000000001"/>
  </r>
  <r>
    <s v="COM Standard"/>
    <s v="007479-C-Valley Transit"/>
    <s v="Valley Transit Furnaces"/>
    <s v="Valley Transit"/>
    <s v=""/>
    <s v="1401 W Rose Street"/>
    <s v="Walla Walla"/>
    <s v=""/>
    <s v="COMFURNACE"/>
    <n v="18"/>
    <n v="110"/>
    <n v="300"/>
    <s v="7-Completed"/>
    <s v=""/>
    <d v="2017-12-21T01:00:00"/>
    <d v="2017-08-24T00:00:00"/>
    <s v="Zone 3"/>
    <s v="Grassi Refrigeration Sales &amp; Service"/>
    <s v="1989 Std. Equipment"/>
    <s v=""/>
    <s v="504"/>
    <n v="100"/>
    <n v="1.1000000000000001"/>
  </r>
  <r>
    <s v="COM Standard"/>
    <s v="007513-C-Two Green Holdings L"/>
    <s v="Two Green Holdings LLC (Traho Architects) Furnace, Tankless DHW &amp; Insulation"/>
    <s v="Two Green Holdings LLC"/>
    <s v="Brian Farnsworth"/>
    <s v="9 N 11th Ave"/>
    <s v="Yakima"/>
    <s v=""/>
    <s v="COMFURNACE"/>
    <n v="18"/>
    <n v="88"/>
    <n v="240"/>
    <s v="7-Completed"/>
    <s v=""/>
    <d v="2017-12-21T01:00:00"/>
    <d v="2017-04-04T00:00:00"/>
    <s v="Zone 3"/>
    <s v="All Seasons Heating and AC"/>
    <s v="1984 Heat Pump"/>
    <s v="8864724057"/>
    <s v="504"/>
    <n v="80"/>
    <n v="1.1000000000000001"/>
  </r>
  <r>
    <s v="COM Both"/>
    <s v="007424-C-Farmers Insurance"/>
    <s v="Farmers Insurance Furnace"/>
    <s v="Sam Houston"/>
    <s v="Brian Farnsworth"/>
    <s v="2136 James St"/>
    <s v="Bellingham"/>
    <s v=""/>
    <s v="COMHVACBNS2012"/>
    <n v="0"/>
    <n v="0"/>
    <n v="50"/>
    <s v="7-Completed"/>
    <s v=""/>
    <d v="2017-02-28T01:00:00"/>
    <d v="2016-10-28T00:00:00"/>
    <s v="Zone 1"/>
    <s v="AirTech Heating and Hydro Mechanical, Inc."/>
    <s v="NA"/>
    <s v="6188035694"/>
    <s v="504"/>
    <n v="1"/>
    <n v="0"/>
  </r>
  <r>
    <s v="COM Standard"/>
    <s v="007433-C-Andrew J Jewell Insu"/>
    <s v="Andrew J Jewell Insurance Insulation"/>
    <s v="Andrew J Jewell Insurance Agency"/>
    <s v="Brian Farnsworth"/>
    <s v="510 Front St Downstairs"/>
    <s v="Lynden"/>
    <s v=""/>
    <s v="COMIAT1"/>
    <n v="30"/>
    <n v="1415.15"/>
    <n v="2282.5"/>
    <s v="7-Completed"/>
    <s v=""/>
    <d v="2017-02-28T01:00:00"/>
    <d v="2016-10-08T00:00:00"/>
    <s v="Zone 1"/>
    <s v="Coast Insulation"/>
    <s v="R8 Beginning R-Value"/>
    <s v="1927506076"/>
    <s v="504"/>
    <n v="4565"/>
    <n v="0.31"/>
  </r>
  <r>
    <s v="COM Standard"/>
    <s v="007447-C-Nelson Irrigation Co"/>
    <s v="Nelson Irrigation Co. Insulation"/>
    <s v="Nelson Irrigation Corporation"/>
    <s v="Brian Farnsworth"/>
    <s v="850 Airport Road"/>
    <s v="Walla Walla"/>
    <s v=""/>
    <s v="COMIAT1"/>
    <n v="30"/>
    <n v="1289.5999999999999"/>
    <n v="2080"/>
    <s v="7-Completed"/>
    <s v=""/>
    <d v="2017-07-10T01:00:00"/>
    <d v="2016-09-22T00:00:00"/>
    <s v="Zone 3"/>
    <s v="Smith Insulation, Inc."/>
    <s v="R0-R10 Beginning"/>
    <s v="7372058603"/>
    <s v="504"/>
    <n v="4160"/>
    <n v="0.31"/>
  </r>
  <r>
    <s v="COM Standard"/>
    <s v="007466-C-Pedigo-Loney Buildin"/>
    <s v="Pedigo-Loney Building (11 N Second) Attic Insulation"/>
    <s v="Pedigo-Loney Building, LLC"/>
    <s v="Brian Farnsworth"/>
    <s v="11 N Second Street"/>
    <s v="Walla Walla"/>
    <s v=""/>
    <s v="COMIAT1"/>
    <n v="30"/>
    <n v="545.6"/>
    <n v="880"/>
    <s v="7-Completed"/>
    <s v=""/>
    <d v="2017-08-22T01:00:00"/>
    <d v="2017-04-27T00:00:00"/>
    <s v="Zone 3"/>
    <s v="Smith Insulation, Inc."/>
    <s v="NA - R0 existing"/>
    <s v="3076731867"/>
    <s v="504"/>
    <n v="1760"/>
    <n v="0.31"/>
  </r>
  <r>
    <s v="COM Standard"/>
    <s v="007513-C-Two Green Holdings L"/>
    <s v="Two Green Holdings LLC (Traho Architects) Furnace, Tankless DHW &amp; Insulation"/>
    <s v="Two Green Holdings LLC"/>
    <s v="Brian Farnsworth"/>
    <s v="9 N 11th Ave"/>
    <s v="Yakima"/>
    <s v=""/>
    <s v="COMIAT1"/>
    <n v="30"/>
    <n v="162.44"/>
    <n v="262"/>
    <s v="7-Completed"/>
    <s v=""/>
    <d v="2017-12-21T01:00:00"/>
    <d v="2017-04-04T00:00:00"/>
    <s v=""/>
    <s v="Intermountain West Insulation"/>
    <s v="NA - R0"/>
    <s v="8864724057"/>
    <s v="504"/>
    <n v="524"/>
    <n v="0.31"/>
  </r>
  <r>
    <s v="COM Standard"/>
    <s v="007447-C-Nelson Irrigation Co"/>
    <s v="Nelson Irrigation Co. Insulation"/>
    <s v="Nelson Irrigation Corporation"/>
    <s v="Brian Farnsworth"/>
    <s v="850 Airport Road"/>
    <s v="Walla Walla"/>
    <s v=""/>
    <s v="COMIAT2"/>
    <n v="30"/>
    <n v="1280"/>
    <n v="2600"/>
    <s v="7-Completed"/>
    <s v=""/>
    <d v="2017-07-10T01:00:00"/>
    <d v="2016-09-22T00:00:00"/>
    <s v="Zone 3"/>
    <s v="Smith Insulation, Inc."/>
    <s v="R0-R10"/>
    <s v="7372058603"/>
    <s v="504"/>
    <n v="4000"/>
    <n v="0.32"/>
  </r>
  <r>
    <s v="COM Standard"/>
    <s v="007513-C-Two Green Holdings L"/>
    <s v="Two Green Holdings LLC (Traho Architects) Furnace, Tankless DHW &amp; Insulation"/>
    <s v="Two Green Holdings LLC"/>
    <s v="Brian Farnsworth"/>
    <s v="9 N 11th Ave"/>
    <s v="Yakima"/>
    <s v=""/>
    <s v="COMIAT2"/>
    <n v="30"/>
    <n v="415.36"/>
    <n v="843.7"/>
    <s v="7-Completed"/>
    <s v=""/>
    <d v="2017-12-21T01:00:00"/>
    <d v="2017-04-04T00:00:00"/>
    <s v="Zone 3"/>
    <s v="Intermountain West Insulation"/>
    <s v="NA - R0"/>
    <s v="8864724057"/>
    <s v="504"/>
    <n v="1298"/>
    <n v="0.32"/>
  </r>
  <r>
    <s v="COM Standard"/>
    <s v="007502-C-Whidbey-Seatac Shutt"/>
    <s v="Whidbey-Seatac Shuttle Furnace and Insulation"/>
    <s v="Feet Wet Partners LLC"/>
    <s v="Brian Farnsworth"/>
    <s v="639 Industrial Ave #A"/>
    <s v="Oak Harbor"/>
    <s v=""/>
    <s v="COMIAT2-7-17"/>
    <n v="30"/>
    <n v="1280"/>
    <n v="5000"/>
    <s v="7-Completed"/>
    <s v=""/>
    <d v="2017-12-21T01:00:00"/>
    <d v="2017-09-10T00:00:00"/>
    <s v="Zone 1"/>
    <s v="A &amp; E Insulation, Inc."/>
    <s v="R0 - No existing insulation"/>
    <s v="8573405675"/>
    <s v="504"/>
    <n v="4000"/>
    <n v="0.32"/>
  </r>
  <r>
    <s v="COM Standard"/>
    <s v="007417-C-Ingeniux Corporation"/>
    <s v="Ingeniux Corporation Insulation Standard"/>
    <s v="Ingeniux Corporation"/>
    <s v="William Prillaman"/>
    <s v="115 W Alder St"/>
    <s v="Walla Walla"/>
    <s v=""/>
    <s v="COMIAT2PROMO"/>
    <n v="30"/>
    <n v="1497.6"/>
    <n v="3650.4"/>
    <s v="7-Completed"/>
    <s v=""/>
    <d v="2017-01-03T01:00:00"/>
    <d v="2016-09-26T00:00:00"/>
    <s v="Zone 3"/>
    <s v="Smith Insulation, Inc."/>
    <s v="NA - RO starting"/>
    <s v="3245994717"/>
    <s v="504"/>
    <n v="4680"/>
    <n v="0.32"/>
  </r>
  <r>
    <s v="COM Standard"/>
    <s v="007511-C-New Life Church on t"/>
    <s v="New Life Church Insulation"/>
    <s v="New Life Church on the Peninsula"/>
    <s v="Brian Farnsworth"/>
    <s v="9923 Poplars Ave NW"/>
    <s v="Silverdale"/>
    <s v=""/>
    <s v="COMIRT2"/>
    <n v="30"/>
    <n v="6840"/>
    <n v="15200"/>
    <s v="7-Completed"/>
    <s v=""/>
    <d v="2017-12-21T01:00:00"/>
    <d v="2017-05-05T00:00:00"/>
    <s v="Zone 2"/>
    <s v="Insulation 4 Less Inc"/>
    <s v="NA - No existing"/>
    <s v="0371041355"/>
    <s v="504"/>
    <n v="19000"/>
    <n v="0.36"/>
  </r>
  <r>
    <s v="COM Standard"/>
    <s v="007481-C-Pasco School Distric"/>
    <s v="Pasco School District Roof Insulation"/>
    <s v="Pasco School District No.1"/>
    <s v="Bob Cuti"/>
    <s v="1108 N 10th Ave"/>
    <s v="Pasco"/>
    <s v=""/>
    <s v="COMIRT2-7-17"/>
    <n v="30"/>
    <n v="7560"/>
    <n v="33600"/>
    <s v="7-Completed"/>
    <s v=""/>
    <d v="2017-11-27T01:00:00"/>
    <d v="2017-08-31T00:00:00"/>
    <s v="Zone 3"/>
    <s v=""/>
    <s v="RO "/>
    <s v="9976710000"/>
    <s v="511"/>
    <n v="21000"/>
    <n v="0.36"/>
  </r>
  <r>
    <s v="COM Standard"/>
    <s v="007484-C-Nooksack Valley Scho"/>
    <s v="Nooksack Valley School District Standard"/>
    <s v="Nooksack Valley School District"/>
    <s v="Bob Cuti"/>
    <s v="404 W Columbia"/>
    <s v="Nooksack"/>
    <s v=""/>
    <s v="COMIRT2-7-17"/>
    <n v="30"/>
    <n v="4068"/>
    <n v="18080"/>
    <s v="7-Completed"/>
    <s v=""/>
    <d v="2017-12-21T01:00:00"/>
    <d v="2017-11-15T00:00:00"/>
    <s v="Zone 1"/>
    <s v="Environmental Insulation"/>
    <s v="Retrofit"/>
    <s v="9483900000"/>
    <s v="504"/>
    <n v="11300"/>
    <n v="0.36"/>
  </r>
  <r>
    <s v="COM Standard"/>
    <s v="007418-C-Pasco Airport"/>
    <s v="Pasco Airport (Port of Pasco) Insulation Standard"/>
    <s v="Port of Pasco"/>
    <s v="Brian Farnsworth"/>
    <s v="3601 N 20th Ave"/>
    <s v="Pasco"/>
    <s v=""/>
    <s v="COMIRT2PROMO"/>
    <n v="30"/>
    <n v="14436"/>
    <n v="38496"/>
    <s v="7-Completed"/>
    <s v=""/>
    <d v="2017-01-03T01:00:00"/>
    <d v="2016-10-15T00:00:00"/>
    <s v="Zone 3"/>
    <s v="I.W.I. Insulation Inc."/>
    <s v="Non-functional insulation"/>
    <s v="5186710000"/>
    <s v="504"/>
    <n v="40100"/>
    <n v="0.36"/>
  </r>
  <r>
    <s v="COM Standard"/>
    <s v="007436-C-Harold Properties -"/>
    <s v="Harold Properties Roof Insulation"/>
    <s v="Harold Properties"/>
    <s v="William Prillaman"/>
    <s v="212 E Alder St"/>
    <s v="Walla Walla"/>
    <s v=""/>
    <s v="COMIRT2PROMO"/>
    <n v="30"/>
    <n v="281.52"/>
    <n v="750.72"/>
    <s v="7-Completed"/>
    <s v=""/>
    <d v="2017-04-21T01:00:00"/>
    <d v="2016-09-22T00:00:00"/>
    <s v="Zone 3"/>
    <s v="Elsom Roofing, Inc."/>
    <s v="Various Roofing Layers removed prior to installation"/>
    <s v="4246269441"/>
    <s v="504"/>
    <n v="782"/>
    <n v="0.36"/>
  </r>
  <r>
    <s v="COM Standard"/>
    <s v="007513-C-Two Green Holdings L"/>
    <s v="Two Green Holdings LLC (Traho Architects) Furnace, Tankless DHW &amp; Insulation"/>
    <s v="Two Green Holdings LLC"/>
    <s v="Brian Farnsworth"/>
    <s v="9 N 11th Ave"/>
    <s v="Yakima"/>
    <s v=""/>
    <s v="COMIWT1"/>
    <n v="30"/>
    <n v="316.32"/>
    <n v="988.5"/>
    <s v="7-Completed"/>
    <s v=""/>
    <d v="2017-12-21T01:00:00"/>
    <d v="2017-04-04T00:00:00"/>
    <s v="Zone 3"/>
    <s v="Intermountain West Insulation"/>
    <s v="NA - R0"/>
    <s v="8864724057"/>
    <s v="504"/>
    <n v="1977"/>
    <n v="0.16"/>
  </r>
  <r>
    <s v="COM Standard"/>
    <s v="007400-C-Washington State Mil"/>
    <s v="Washington State Military Dept. Insulation"/>
    <s v="State of Washington Military Department"/>
    <s v="Brian Farnsworth"/>
    <s v="1230 5th St"/>
    <s v="Wenatchee"/>
    <s v=""/>
    <s v="COMIWT1PROMO"/>
    <n v="30"/>
    <n v="1251.2"/>
    <n v="4692"/>
    <s v="7-Completed"/>
    <s v=""/>
    <d v="2017-01-09T01:00:00"/>
    <d v="2016-11-30T00:00:00"/>
    <s v="Zone 3"/>
    <s v=""/>
    <s v="NA - R0"/>
    <s v="2359910000"/>
    <s v="504"/>
    <n v="7820"/>
    <n v="0.16"/>
  </r>
  <r>
    <s v="COM Standard"/>
    <s v="007401-C-New Life Church on t"/>
    <s v="New Life Church on the Peninsula Upgrades"/>
    <s v="New Life Church on the Peninsula"/>
    <s v="Brian Farnsworth"/>
    <s v="9923 Poplars Ave NW"/>
    <s v="Silverdale"/>
    <s v=""/>
    <s v="COMIWT2"/>
    <n v="30"/>
    <n v="2154.6"/>
    <n v="6350.4"/>
    <s v="7-Completed"/>
    <s v=""/>
    <d v="2017-06-11T22:00:00"/>
    <d v="2016-09-15T00:00:00"/>
    <s v="Zone 2"/>
    <s v=""/>
    <s v="No existing - RO"/>
    <s v="0371041355"/>
    <s v="504"/>
    <n v="11340"/>
    <n v="0.19"/>
  </r>
  <r>
    <s v="COM Standard"/>
    <s v="007447-C-Nelson Irrigation Co"/>
    <s v="Nelson Irrigation Co. Insulation"/>
    <s v="Nelson Irrigation Corporation"/>
    <s v="Brian Farnsworth"/>
    <s v="850 Airport Road"/>
    <s v="Walla Walla"/>
    <s v=""/>
    <s v="COMIWT2"/>
    <n v="30"/>
    <n v="615.6"/>
    <n v="1814.4"/>
    <s v="7-Completed"/>
    <s v=""/>
    <d v="2017-07-10T01:00:00"/>
    <d v="2016-09-22T00:00:00"/>
    <s v="Zone 3"/>
    <s v="Smith Insulation, Inc."/>
    <s v="R0-R10"/>
    <s v="7372058603"/>
    <s v="504"/>
    <n v="3240"/>
    <n v="0.19"/>
  </r>
  <r>
    <s v="COM Standard"/>
    <s v="007465-C-Tom and Cindy Mathes"/>
    <s v="Tom Matheson Insulation"/>
    <s v="Thomas R Matheson"/>
    <s v="Brian Farnsworth"/>
    <s v="815 N Oregon Ave"/>
    <s v="Pasco"/>
    <s v=""/>
    <s v="COMIWT2"/>
    <n v="30"/>
    <n v="1487.32"/>
    <n v="4383.68"/>
    <s v="7-Completed"/>
    <s v=""/>
    <d v="2017-09-13T01:00:00"/>
    <d v="2017-04-12T00:00:00"/>
    <s v="Zone 3"/>
    <s v="Intermountain West Insulation"/>
    <s v="NA - R0"/>
    <s v="3636710000"/>
    <s v="504"/>
    <n v="7828"/>
    <n v="0.19"/>
  </r>
  <r>
    <s v="COM Standard"/>
    <s v="007513-C-Two Green Holdings L"/>
    <s v="Two Green Holdings LLC (Traho Architects) Furnace, Tankless DHW &amp; Insulation"/>
    <s v="Two Green Holdings LLC"/>
    <s v="Brian Farnsworth"/>
    <s v="9 N 11th Ave"/>
    <s v="Yakima"/>
    <s v=""/>
    <s v="COMIWT2"/>
    <n v="30"/>
    <n v="34.58"/>
    <n v="101.92"/>
    <s v="7-Completed"/>
    <s v=""/>
    <d v="2017-12-21T01:00:00"/>
    <d v="2017-04-04T00:00:00"/>
    <s v="Zone 3"/>
    <s v="Intermountain West Insulation"/>
    <s v="NA - R0"/>
    <s v="8864724057"/>
    <s v="504"/>
    <n v="182"/>
    <n v="0.19"/>
  </r>
  <r>
    <s v="COM Standard"/>
    <s v="007484-C-Nooksack Valley Scho"/>
    <s v="Nooksack Valley School District Standard"/>
    <s v="Nooksack Valley School District"/>
    <s v="Bob Cuti"/>
    <s v="404 W Columbia"/>
    <s v="Nooksack"/>
    <s v=""/>
    <s v="COMIWT2-7-17"/>
    <n v="30"/>
    <n v="701.1"/>
    <n v="4612.5"/>
    <s v="7-Completed"/>
    <s v=""/>
    <d v="2017-12-21T01:00:00"/>
    <d v="2017-11-15T00:00:00"/>
    <s v="Zone 1"/>
    <s v="Environmental Insulation"/>
    <s v="Retrofit"/>
    <s v="9483900000"/>
    <s v="504"/>
    <n v="3690"/>
    <n v="0.19"/>
  </r>
  <r>
    <s v="COM Standard"/>
    <s v="007417-C-Ingeniux Corporation"/>
    <s v="Ingeniux Corporation Insulation Standard"/>
    <s v="Ingeniux Corporation"/>
    <s v="William Prillaman"/>
    <s v="115 W Alder St"/>
    <s v="Walla Walla"/>
    <s v=""/>
    <s v="COMIWT2PROMO"/>
    <n v="30"/>
    <n v="80.180000000000007"/>
    <n v="282.74"/>
    <s v="7-Completed"/>
    <s v=""/>
    <d v="2017-01-03T01:00:00"/>
    <d v="2016-09-26T00:00:00"/>
    <s v="Zone 3"/>
    <s v="Smith Insulation, Inc."/>
    <s v="NA - RO Beginning"/>
    <s v="3245994717"/>
    <s v="504"/>
    <n v="422"/>
    <n v="0.19"/>
  </r>
  <r>
    <s v="COM Standard"/>
    <s v="007418-C-Pasco Airport"/>
    <s v="Pasco Airport (Port of Pasco) Insulation Standard"/>
    <s v="Port of Pasco"/>
    <s v="Brian Farnsworth"/>
    <s v="3601 N 20th Ave"/>
    <s v="Pasco"/>
    <s v=""/>
    <s v="COMIWT2PROMO"/>
    <n v="30"/>
    <n v="2390.1999999999998"/>
    <n v="8428.6"/>
    <s v="7-Completed"/>
    <s v=""/>
    <d v="2017-01-03T01:00:00"/>
    <d v="2016-10-15T00:00:00"/>
    <s v="Zone 3"/>
    <s v="I.W.I. Insulation Inc."/>
    <s v="Non-functional Insulation"/>
    <s v="5186710000"/>
    <s v="504"/>
    <n v="12580"/>
    <n v="0.19"/>
  </r>
  <r>
    <s v="COM Standard"/>
    <s v="007445-C-Columbia Basin Colle"/>
    <s v="Columbia Basin College Standard Projects"/>
    <s v="Columbia Basin College"/>
    <s v="Brian Farnsworth"/>
    <s v="2600 N 20th Ave"/>
    <s v="Pasco"/>
    <s v=""/>
    <s v="COMMTNFCTR"/>
    <n v="5"/>
    <n v="3536"/>
    <n v="2730"/>
    <s v="7-Completed"/>
    <s v=""/>
    <d v="2017-05-17T01:00:00"/>
    <d v="2016-11-28T00:00:00"/>
    <s v="Zone 3"/>
    <s v="Cutting Edge Plumbing &amp; Mechanical, Inc."/>
    <s v="NA - New Construction"/>
    <s v="7537787987"/>
    <s v="504"/>
    <n v="26"/>
    <n v="136"/>
  </r>
  <r>
    <s v="COM Standard"/>
    <s v="007438-C-YMCA of Snohomish Co"/>
    <s v="Stanwood/Camano Island YMCA Standard"/>
    <s v="YMCA of Snohomish County"/>
    <s v="William Prillaman"/>
    <s v="7213 267th St NW"/>
    <s v="Stanwood"/>
    <s v=""/>
    <s v="COMMTNFCTR"/>
    <n v="5"/>
    <n v="2040"/>
    <n v="1575"/>
    <s v="7-Completed"/>
    <s v=""/>
    <d v="2017-06-12T01:00:00"/>
    <d v="2017-01-01T00:00:00"/>
    <s v="Zone 1"/>
    <s v=""/>
    <s v="Unknown"/>
    <s v="5766962694"/>
    <s v="504"/>
    <n v="15"/>
    <n v="136"/>
  </r>
  <r>
    <s v="COM Standard"/>
    <s v="007454-C-Lynden School Distri"/>
    <s v="Lynden School District (Fisher Elementary) Custom and Standard"/>
    <s v="Lynden School District No.504"/>
    <s v="Brian Farnsworth"/>
    <s v="501 N 14th St"/>
    <s v="Lynden"/>
    <s v=""/>
    <s v="COMMTNFCTR"/>
    <n v="5"/>
    <n v="816"/>
    <n v="630"/>
    <s v="7-Completed"/>
    <s v=""/>
    <d v="2017-09-13T01:00:00"/>
    <d v="2017-07-15T00:00:00"/>
    <s v="Zone 1"/>
    <s v="Blythe Plumbing &amp; Heating, Inc."/>
    <s v="NA - New"/>
    <s v="5409800000"/>
    <s v="504"/>
    <n v="6"/>
    <n v="136"/>
  </r>
  <r>
    <s v="COM Standard"/>
    <s v="007446-C-Columbia Point Hospi"/>
    <s v="Columbia Point Hospitality Tankless"/>
    <s v="Columbia River Plumbing"/>
    <s v="Brian Farnsworth"/>
    <s v="530 Columbia Point Dr."/>
    <s v="Richland"/>
    <s v=""/>
    <s v="COMTANKLESS"/>
    <n v="18"/>
    <n v="203"/>
    <n v="348"/>
    <s v="7-Completed"/>
    <s v=""/>
    <d v="2017-06-12T01:00:00"/>
    <d v="2017-02-01T00:00:00"/>
    <s v="Zone 3"/>
    <s v="Self"/>
    <s v="Unknown"/>
    <s v="4790702379"/>
    <s v="504"/>
    <n v="5.8"/>
    <n v="35"/>
  </r>
  <r>
    <s v="COM Standard"/>
    <s v="007446-C-Columbia Point Hospi"/>
    <s v="Columbia Point Hospitality Tankless"/>
    <s v="Columbia River Plumbing"/>
    <s v="Brian Farnsworth"/>
    <s v="530 Columbia Point Dr."/>
    <s v="Richland"/>
    <s v=""/>
    <s v="COMTANKLESS"/>
    <n v="18"/>
    <n v="203"/>
    <n v="348"/>
    <s v="7-Completed"/>
    <s v=""/>
    <d v="2017-06-12T01:00:00"/>
    <d v="2017-02-01T00:00:00"/>
    <s v="Zone 3"/>
    <s v="Self"/>
    <s v="Unknown"/>
    <s v="4790702379"/>
    <s v="504"/>
    <n v="5.8"/>
    <n v="35"/>
  </r>
  <r>
    <s v="COM Standard"/>
    <s v="007446-C-Columbia Point Hospi"/>
    <s v="Columbia Point Hospitality Tankless"/>
    <s v="Columbia River Plumbing"/>
    <s v="Brian Farnsworth"/>
    <s v="530 Columbia Point Dr."/>
    <s v="Richland"/>
    <s v=""/>
    <s v="COMTANKLESS"/>
    <n v="18"/>
    <n v="203"/>
    <n v="348"/>
    <s v="7-Completed"/>
    <s v=""/>
    <d v="2017-06-12T01:00:00"/>
    <d v="2017-02-01T00:00:00"/>
    <s v="Zone 3"/>
    <s v="Self"/>
    <s v="Unknown"/>
    <s v="4790702379"/>
    <s v="504"/>
    <n v="5.8"/>
    <n v="35"/>
  </r>
  <r>
    <s v="COM Standard"/>
    <s v="007446-C-Columbia Point Hospi"/>
    <s v="Columbia Point Hospitality Tankless"/>
    <s v="Columbia River Plumbing"/>
    <s v="Brian Farnsworth"/>
    <s v="530 Columbia Point Dr."/>
    <s v="Richland"/>
    <s v=""/>
    <s v="COMTANKLESS"/>
    <n v="18"/>
    <n v="203"/>
    <n v="348"/>
    <s v="7-Completed"/>
    <s v=""/>
    <d v="2017-06-12T01:00:00"/>
    <d v="2017-02-01T00:00:00"/>
    <s v="Zone 3"/>
    <s v="Self"/>
    <s v="Unknown"/>
    <s v="4790702379"/>
    <s v="504"/>
    <n v="5.8"/>
    <n v="35"/>
  </r>
  <r>
    <s v="COM Standard"/>
    <s v="007446-C-Columbia Point Hospi"/>
    <s v="Columbia Point Hospitality Tankless"/>
    <s v="Columbia River Plumbing"/>
    <s v="Brian Farnsworth"/>
    <s v="530 Columbia Point Dr."/>
    <s v="Richland"/>
    <s v=""/>
    <s v="COMTANKLESS"/>
    <n v="18"/>
    <n v="203"/>
    <n v="348"/>
    <s v="7-Completed"/>
    <s v=""/>
    <d v="2017-06-12T01:00:00"/>
    <d v="2017-02-01T00:00:00"/>
    <s v="Zone 3"/>
    <s v="Self"/>
    <s v="Unknown"/>
    <s v="4790702379"/>
    <s v="504"/>
    <n v="5.8"/>
    <n v="35"/>
  </r>
  <r>
    <s v="COM Standard"/>
    <s v="007450-C-Crista Ministries"/>
    <s v="Crista Ministries Tankless"/>
    <s v="CRISTA Ministries"/>
    <s v="William Prillaman"/>
    <s v="1600 NW Crista Shores LN"/>
    <s v="Silverdale"/>
    <s v=""/>
    <s v="COMTANKLESS"/>
    <n v="18"/>
    <n v="210"/>
    <n v="360"/>
    <s v="7-Completed"/>
    <s v=""/>
    <d v="2017-07-10T01:00:00"/>
    <d v="2017-05-01T00:00:00"/>
    <s v="Zone 2"/>
    <s v="Swift Plumbing &amp; Heating"/>
    <s v="80% efficient Ajax Water Heaters"/>
    <s v="0174310000"/>
    <s v="504"/>
    <n v="6"/>
    <n v="35"/>
  </r>
  <r>
    <s v="COM Standard"/>
    <s v="007450-C-Crista Ministries"/>
    <s v="Crista Ministries Tankless"/>
    <s v="CRISTA Ministries"/>
    <s v="William Prillaman"/>
    <s v="1600 NW Crista Shores LN"/>
    <s v="Silverdale"/>
    <s v=""/>
    <s v="COMTANKLESS"/>
    <n v="18"/>
    <n v="210"/>
    <n v="360"/>
    <s v="7-Completed"/>
    <s v=""/>
    <d v="2017-07-10T01:00:00"/>
    <d v="2017-05-01T00:00:00"/>
    <s v="Zone 2"/>
    <s v="Swift Plumbing &amp; Heating"/>
    <s v="80% efficient Ajax Water Heaters"/>
    <s v="0174310000"/>
    <s v="504"/>
    <n v="6"/>
    <n v="35"/>
  </r>
  <r>
    <s v="COM Standard"/>
    <s v="007450-C-Crista Ministries"/>
    <s v="Crista Ministries Tankless"/>
    <s v="CRISTA Ministries"/>
    <s v="William Prillaman"/>
    <s v="1600 NW Crista Shores LN"/>
    <s v="Silverdale"/>
    <s v=""/>
    <s v="COMTANKLESS"/>
    <n v="18"/>
    <n v="210"/>
    <n v="360"/>
    <s v="7-Completed"/>
    <s v=""/>
    <d v="2017-07-10T01:00:00"/>
    <d v="2017-05-01T00:00:00"/>
    <s v="Zone 2"/>
    <s v="Swift Plumbing &amp; Heating"/>
    <s v="80% efficient Ajax water heaters"/>
    <s v="0174310000"/>
    <s v="504"/>
    <n v="6"/>
    <n v="35"/>
  </r>
  <r>
    <s v="COM Standard"/>
    <s v="007450-C-Crista Ministries"/>
    <s v="Crista Ministries Tankless"/>
    <s v="CRISTA Ministries"/>
    <s v="William Prillaman"/>
    <s v="1600 NW Crista Shores LN"/>
    <s v="Silverdale"/>
    <s v=""/>
    <s v="COMTANKLESS"/>
    <n v="18"/>
    <n v="210"/>
    <n v="360"/>
    <s v="7-Completed"/>
    <s v=""/>
    <d v="2017-07-10T01:00:00"/>
    <d v="2017-05-01T00:00:00"/>
    <s v="Zone 2"/>
    <s v="Swift Plumbing &amp; Heating"/>
    <s v="80% efficient Ajax water heaters"/>
    <s v="0174310000"/>
    <s v="504"/>
    <n v="6"/>
    <n v="35"/>
  </r>
  <r>
    <s v="COM Standard"/>
    <s v="007450-C-Crista Ministries"/>
    <s v="Crista Ministries Tankless"/>
    <s v="CRISTA Ministries"/>
    <s v="William Prillaman"/>
    <s v="1600 NW Crista Shores LN"/>
    <s v="Silverdale"/>
    <s v=""/>
    <s v="COMTANKLESS"/>
    <n v="18"/>
    <n v="210"/>
    <n v="360"/>
    <s v="7-Completed"/>
    <s v=""/>
    <d v="2017-07-10T01:00:00"/>
    <d v="2017-05-01T00:00:00"/>
    <s v="Zone 2"/>
    <s v="Swift Plumbing &amp; Heating"/>
    <s v="80% efficient Ajax water heaters"/>
    <s v="0174310000"/>
    <s v="504"/>
    <n v="6"/>
    <n v="35"/>
  </r>
  <r>
    <s v="COM Standard"/>
    <s v="007450-C-Crista Ministries"/>
    <s v="Crista Ministries Tankless"/>
    <s v="CRISTA Ministries"/>
    <s v="William Prillaman"/>
    <s v="1600 NW Crista Shores LN"/>
    <s v="Silverdale"/>
    <s v=""/>
    <s v="COMTANKLESS"/>
    <n v="18"/>
    <n v="210"/>
    <n v="360"/>
    <s v="7-Completed"/>
    <s v=""/>
    <d v="2017-07-10T01:00:00"/>
    <d v="2017-05-01T00:00:00"/>
    <s v="Zone 2"/>
    <s v="Swift Plumbing &amp; Heating"/>
    <s v="80% efficient Ajax water heaters"/>
    <s v="0174310000"/>
    <s v="504"/>
    <n v="6"/>
    <n v="35"/>
  </r>
  <r>
    <s v="COM Standard"/>
    <s v="007470-C-Han Chae"/>
    <s v="Han Chae Water Heater"/>
    <s v="Han Chae"/>
    <s v="Brian Farnsworth"/>
    <s v="1742 Front St"/>
    <s v="Lynden"/>
    <s v=""/>
    <s v="COMTANKLESS"/>
    <n v="18"/>
    <n v="203"/>
    <n v="348"/>
    <s v="7-Completed"/>
    <s v=""/>
    <d v="2017-08-22T01:00:00"/>
    <d v="2017-06-06T00:00:00"/>
    <s v="Zone 1"/>
    <s v=""/>
    <s v="Unknown"/>
    <s v="5013586975"/>
    <s v="504"/>
    <n v="5.8"/>
    <n v="35"/>
  </r>
  <r>
    <s v="COM Standard"/>
    <s v="007348-C-City of Wapato - Com"/>
    <s v="City of Wapato Community Center Standard and Custom"/>
    <s v="City of Wapato"/>
    <s v="Brian Farnsworth"/>
    <s v="1109 S Camas Ave"/>
    <s v="Wapato"/>
    <s v=""/>
    <s v="COMTANKLESS"/>
    <n v="18"/>
    <n v="192.5"/>
    <n v="330"/>
    <s v="7-Completed"/>
    <s v=""/>
    <d v="2017-09-13T01:00:00"/>
    <d v="2017-07-01T00:00:00"/>
    <s v="Zone 3"/>
    <s v="Sunset Air"/>
    <s v="Unknown"/>
    <s v="4608032765"/>
    <s v="504"/>
    <n v="5.5"/>
    <n v="35"/>
  </r>
  <r>
    <s v="COM Standard"/>
    <s v="007485-C-Zen Holdings"/>
    <s v="Zen Holdings Tankless"/>
    <s v="Zen Holdings, LLC"/>
    <s v="Brian Farnsworth"/>
    <s v="3221 W Kennewick Ave"/>
    <s v="Kennewick"/>
    <s v=""/>
    <s v="COMTANKLESS"/>
    <n v="18"/>
    <n v="210"/>
    <n v="360"/>
    <s v="7-Completed"/>
    <s v=""/>
    <d v="2017-09-13T01:00:00"/>
    <d v="2017-06-06T00:00:00"/>
    <s v="Zone 3"/>
    <s v="Mix Plumbing"/>
    <s v="Unknown"/>
    <s v="9940608366"/>
    <s v="504"/>
    <n v="6"/>
    <n v="35"/>
  </r>
  <r>
    <s v="COM Standard"/>
    <s v="007513-C-Two Green Holdings L"/>
    <s v="Two Green Holdings LLC (Traho Architects) Furnace, Tankless DHW &amp; Insulation"/>
    <s v="Two Green Holdings LLC"/>
    <s v="Brian Farnsworth"/>
    <s v="9 N 11th Ave"/>
    <s v="Yakima"/>
    <s v=""/>
    <s v="COMTANKLESS"/>
    <n v="18"/>
    <n v="348.95"/>
    <n v="598.20000000000005"/>
    <s v="7-Completed"/>
    <s v=""/>
    <d v="2017-12-21T01:00:00"/>
    <d v="2017-04-04T00:00:00"/>
    <s v="Zone 3"/>
    <s v="Shephard Plumbing"/>
    <s v="Unknown"/>
    <s v="8864724057"/>
    <s v="504"/>
    <n v="9.9700000000000006"/>
    <n v="3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20" firstHeaderRow="1" firstDataRow="1" firstDataCol="0"/>
  <pivotFields count="23">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defaultSubtotal="0"/>
    <pivotField showAll="0" defaultSubtotal="0"/>
    <pivotField showAll="0"/>
    <pivotField showAll="0" defaultSubtotal="0"/>
    <pivotField showAll="0" defaultSubtotal="0"/>
    <pivotField showAll="0" defaultSubtota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2:C23" totalsRowCount="1" headerRowDxfId="6" dataDxfId="5" totalsRowDxfId="4">
  <autoFilter ref="B2:C22" xr:uid="{00000000-0009-0000-0100-000001000000}"/>
  <tableColumns count="2">
    <tableColumn id="1" xr3:uid="{00000000-0010-0000-0400-000001000000}" name="Measures" dataDxfId="3" totalsRowDxfId="2"/>
    <tableColumn id="2" xr3:uid="{00000000-0010-0000-0400-000002000000}" name="Incentive" totalsRowFunction="sum" dataDxfId="1" totalsRowDxfId="0">
      <calculatedColumnFormula>SUMIFS(#REF!,#REF!,Table1[[#This Row],[Measures]])</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indexed="41"/>
    <pageSetUpPr fitToPage="1"/>
  </sheetPr>
  <dimension ref="A1:DG524"/>
  <sheetViews>
    <sheetView tabSelected="1" showOutlineSymbols="0" zoomScale="75" zoomScaleNormal="75" workbookViewId="0">
      <pane xSplit="2" ySplit="7" topLeftCell="K8" activePane="bottomRight" state="frozen"/>
      <selection pane="topRight" activeCell="C1" sqref="C1"/>
      <selection pane="bottomLeft" activeCell="A8" sqref="A8"/>
      <selection pane="bottomRight" activeCell="O15" sqref="O15"/>
    </sheetView>
  </sheetViews>
  <sheetFormatPr defaultColWidth="216.5" defaultRowHeight="13" outlineLevelCol="1" x14ac:dyDescent="0.3"/>
  <cols>
    <col min="1" max="1" width="8.796875" style="1" hidden="1" customWidth="1" outlineLevel="1"/>
    <col min="2" max="2" width="54" style="8" bestFit="1" customWidth="1" collapsed="1"/>
    <col min="3" max="3" width="21.296875" style="27" customWidth="1"/>
    <col min="4" max="4" width="16.69921875" style="27" customWidth="1"/>
    <col min="5" max="5" width="14.19921875" style="97" customWidth="1"/>
    <col min="6" max="6" width="22.19921875" style="28" customWidth="1"/>
    <col min="7" max="7" width="9.5" style="28" bestFit="1" customWidth="1"/>
    <col min="8" max="8" width="12.69921875" style="119" bestFit="1" customWidth="1"/>
    <col min="9" max="9" width="22" style="119" bestFit="1" customWidth="1"/>
    <col min="10" max="10" width="15.296875" style="8" bestFit="1" customWidth="1"/>
    <col min="11" max="11" width="20.796875" style="8" bestFit="1" customWidth="1"/>
    <col min="12" max="12" width="14.796875" style="8" bestFit="1" customWidth="1"/>
    <col min="13" max="13" width="15" style="8" bestFit="1" customWidth="1"/>
    <col min="14" max="14" width="19.296875" style="8" bestFit="1" customWidth="1"/>
    <col min="15" max="15" width="8.69921875" style="8" bestFit="1" customWidth="1"/>
    <col min="16" max="16" width="18.69921875" style="8" bestFit="1" customWidth="1"/>
    <col min="17" max="17" width="19.69921875" style="28" bestFit="1" customWidth="1"/>
    <col min="18" max="18" width="15" style="28" bestFit="1" customWidth="1"/>
    <col min="19" max="19" width="18.796875" style="23" bestFit="1" customWidth="1"/>
    <col min="20" max="20" width="12" style="2" bestFit="1" customWidth="1"/>
    <col min="21" max="22" width="12.296875" style="2" bestFit="1" customWidth="1"/>
    <col min="23" max="23" width="216.5" style="2" hidden="1" customWidth="1"/>
    <col min="24" max="24" width="16" style="2" bestFit="1" customWidth="1"/>
    <col min="25" max="25" width="12.296875" style="2" bestFit="1" customWidth="1"/>
    <col min="26" max="26" width="12.296875" style="1" bestFit="1" customWidth="1"/>
    <col min="27" max="27" width="216.5" style="1"/>
    <col min="28" max="111" width="216.5" style="8"/>
    <col min="112" max="16384" width="216.5" style="1"/>
  </cols>
  <sheetData>
    <row r="1" spans="1:27" s="8" customFormat="1" x14ac:dyDescent="0.3">
      <c r="B1" s="23" t="s">
        <v>101</v>
      </c>
      <c r="C1" s="383" t="s">
        <v>2</v>
      </c>
      <c r="D1" s="383"/>
      <c r="E1" s="383"/>
      <c r="F1" s="383"/>
      <c r="G1" s="383"/>
      <c r="H1" s="383"/>
      <c r="I1" s="383"/>
      <c r="J1" s="383"/>
      <c r="K1" s="383"/>
      <c r="L1" s="383"/>
      <c r="M1" s="383"/>
      <c r="N1" s="383"/>
      <c r="O1" s="383"/>
      <c r="P1" s="383"/>
      <c r="Q1" s="383"/>
      <c r="R1" s="383"/>
      <c r="S1" s="383"/>
      <c r="T1" s="383"/>
      <c r="U1" s="383"/>
      <c r="V1" s="383"/>
      <c r="W1" s="383"/>
      <c r="X1" s="383"/>
      <c r="Y1" s="383"/>
      <c r="Z1" s="383"/>
      <c r="AA1" s="1"/>
    </row>
    <row r="2" spans="1:27" s="8" customFormat="1" x14ac:dyDescent="0.3">
      <c r="B2" s="24">
        <v>42736</v>
      </c>
      <c r="C2" s="383" t="s">
        <v>75</v>
      </c>
      <c r="D2" s="383"/>
      <c r="E2" s="383"/>
      <c r="F2" s="383"/>
      <c r="G2" s="383"/>
      <c r="H2" s="383"/>
      <c r="I2" s="383"/>
      <c r="J2" s="383"/>
      <c r="K2" s="383"/>
      <c r="L2" s="383"/>
      <c r="M2" s="383"/>
      <c r="N2" s="383"/>
      <c r="O2" s="383"/>
      <c r="P2" s="383"/>
      <c r="Q2" s="383"/>
      <c r="R2" s="383"/>
      <c r="S2" s="383"/>
      <c r="T2" s="383"/>
      <c r="U2" s="383"/>
      <c r="V2" s="383"/>
      <c r="W2" s="383"/>
      <c r="X2" s="383"/>
      <c r="Y2" s="383"/>
      <c r="Z2" s="383"/>
      <c r="AA2" s="1"/>
    </row>
    <row r="3" spans="1:27" s="8" customFormat="1" x14ac:dyDescent="0.3">
      <c r="B3" s="25">
        <v>41274</v>
      </c>
      <c r="C3" s="26"/>
      <c r="D3" s="26"/>
      <c r="E3" s="96"/>
      <c r="F3" s="119"/>
      <c r="G3" s="119"/>
      <c r="H3" s="119"/>
      <c r="I3" s="119"/>
      <c r="J3" s="119"/>
      <c r="K3" s="213"/>
      <c r="L3" s="119"/>
      <c r="M3" s="119"/>
      <c r="N3" s="119"/>
      <c r="O3" s="119"/>
      <c r="P3" s="119"/>
      <c r="Q3" s="119"/>
      <c r="R3" s="119"/>
      <c r="S3" s="119"/>
      <c r="T3" s="119"/>
      <c r="U3" s="119"/>
      <c r="V3" s="119"/>
      <c r="W3" s="119"/>
      <c r="X3" s="119"/>
      <c r="Y3" s="119"/>
      <c r="Z3" s="119"/>
      <c r="AA3" s="1"/>
    </row>
    <row r="4" spans="1:27" s="8" customFormat="1" ht="13.5" thickBot="1" x14ac:dyDescent="0.35">
      <c r="C4" s="27"/>
      <c r="D4" s="27"/>
      <c r="E4" s="97"/>
      <c r="F4" s="28"/>
      <c r="G4" s="28"/>
      <c r="H4" s="119"/>
      <c r="I4" s="119"/>
      <c r="Q4" s="28"/>
      <c r="R4" s="28"/>
      <c r="S4" s="23"/>
      <c r="T4" s="28"/>
      <c r="U4" s="28"/>
      <c r="V4" s="28"/>
      <c r="W4" s="29"/>
      <c r="X4" s="29"/>
      <c r="Y4" s="29"/>
      <c r="AA4" s="1"/>
    </row>
    <row r="5" spans="1:27" s="23" customFormat="1" x14ac:dyDescent="0.3">
      <c r="B5" s="30"/>
      <c r="C5" s="31"/>
      <c r="D5" s="32"/>
      <c r="E5" s="98" t="s">
        <v>5</v>
      </c>
      <c r="F5" s="33"/>
      <c r="G5" s="34"/>
      <c r="H5" s="35"/>
      <c r="I5" s="33" t="s">
        <v>5</v>
      </c>
      <c r="J5" s="36" t="s">
        <v>3</v>
      </c>
      <c r="K5" s="36" t="s">
        <v>5</v>
      </c>
      <c r="L5" s="148" t="s">
        <v>124</v>
      </c>
      <c r="M5" s="148" t="s">
        <v>126</v>
      </c>
      <c r="N5" s="36" t="s">
        <v>127</v>
      </c>
      <c r="O5" s="36"/>
      <c r="P5" s="36" t="s">
        <v>4</v>
      </c>
      <c r="Q5" s="36" t="s">
        <v>10</v>
      </c>
      <c r="R5" s="37"/>
      <c r="S5" s="38" t="s">
        <v>5</v>
      </c>
      <c r="T5" s="58"/>
      <c r="U5" s="35" t="s">
        <v>123</v>
      </c>
      <c r="V5" s="35" t="s">
        <v>0</v>
      </c>
      <c r="W5" s="35"/>
      <c r="X5" s="39" t="s">
        <v>5</v>
      </c>
      <c r="Y5" s="40" t="s">
        <v>123</v>
      </c>
      <c r="Z5" s="38" t="s">
        <v>0</v>
      </c>
      <c r="AA5" s="275"/>
    </row>
    <row r="6" spans="1:27" s="23" customFormat="1" x14ac:dyDescent="0.3">
      <c r="B6" s="41"/>
      <c r="C6" s="42"/>
      <c r="D6" s="43"/>
      <c r="E6" s="99" t="s">
        <v>3</v>
      </c>
      <c r="F6" s="44" t="s">
        <v>6</v>
      </c>
      <c r="G6" s="45"/>
      <c r="H6" s="46" t="s">
        <v>41</v>
      </c>
      <c r="I6" s="44" t="s">
        <v>6</v>
      </c>
      <c r="J6" s="47" t="s">
        <v>128</v>
      </c>
      <c r="K6" s="47" t="s">
        <v>128</v>
      </c>
      <c r="L6" s="112" t="s">
        <v>125</v>
      </c>
      <c r="M6" s="112" t="s">
        <v>125</v>
      </c>
      <c r="N6" s="47" t="s">
        <v>7</v>
      </c>
      <c r="O6" s="47"/>
      <c r="P6" s="47" t="s">
        <v>8</v>
      </c>
      <c r="Q6" s="47" t="s">
        <v>116</v>
      </c>
      <c r="R6" s="47" t="s">
        <v>10</v>
      </c>
      <c r="S6" s="10" t="s">
        <v>42</v>
      </c>
      <c r="T6" s="46" t="s">
        <v>11</v>
      </c>
      <c r="U6" s="46" t="s">
        <v>45</v>
      </c>
      <c r="V6" s="46" t="s">
        <v>14</v>
      </c>
      <c r="W6" s="46"/>
      <c r="X6" s="48" t="s">
        <v>9</v>
      </c>
      <c r="Y6" s="10" t="s">
        <v>44</v>
      </c>
      <c r="Z6" s="157" t="s">
        <v>14</v>
      </c>
      <c r="AA6" s="275"/>
    </row>
    <row r="7" spans="1:27" s="23" customFormat="1" x14ac:dyDescent="0.3">
      <c r="A7" s="23" t="s">
        <v>12</v>
      </c>
      <c r="B7" s="9" t="s">
        <v>3</v>
      </c>
      <c r="C7" s="49" t="s">
        <v>23</v>
      </c>
      <c r="D7" s="50" t="s">
        <v>31</v>
      </c>
      <c r="E7" s="100" t="s">
        <v>74</v>
      </c>
      <c r="F7" s="51" t="s">
        <v>71</v>
      </c>
      <c r="G7" s="52" t="s">
        <v>41</v>
      </c>
      <c r="H7" s="53" t="s">
        <v>7</v>
      </c>
      <c r="I7" s="51" t="s">
        <v>13</v>
      </c>
      <c r="J7" s="54" t="s">
        <v>14</v>
      </c>
      <c r="K7" s="54" t="s">
        <v>14</v>
      </c>
      <c r="L7" s="149"/>
      <c r="M7" s="149"/>
      <c r="N7" s="54" t="s">
        <v>14</v>
      </c>
      <c r="O7" s="54" t="s">
        <v>15</v>
      </c>
      <c r="P7" s="54" t="s">
        <v>13</v>
      </c>
      <c r="Q7" s="47" t="s">
        <v>43</v>
      </c>
      <c r="R7" s="54" t="s">
        <v>16</v>
      </c>
      <c r="S7" s="55" t="s">
        <v>14</v>
      </c>
      <c r="T7" s="53" t="s">
        <v>14</v>
      </c>
      <c r="U7" s="53"/>
      <c r="V7" s="53" t="s">
        <v>1</v>
      </c>
      <c r="W7" s="53"/>
      <c r="X7" s="9" t="s">
        <v>14</v>
      </c>
      <c r="Y7" s="55"/>
      <c r="Z7" s="158" t="s">
        <v>1</v>
      </c>
      <c r="AA7" s="275"/>
    </row>
    <row r="8" spans="1:27" s="8" customFormat="1" ht="18.649999999999999" customHeight="1" x14ac:dyDescent="0.3">
      <c r="B8" s="159" t="s">
        <v>247</v>
      </c>
      <c r="C8" s="61"/>
      <c r="D8" s="106"/>
      <c r="E8" s="101"/>
      <c r="F8" s="118"/>
      <c r="G8" s="64"/>
      <c r="H8" s="109"/>
      <c r="I8" s="110"/>
      <c r="J8" s="64"/>
      <c r="K8" s="64"/>
      <c r="L8" s="92"/>
      <c r="M8" s="64"/>
      <c r="N8" s="64"/>
      <c r="O8" s="64"/>
      <c r="P8" s="64"/>
      <c r="Q8" s="64"/>
      <c r="R8" s="111"/>
      <c r="S8" s="148"/>
      <c r="T8" s="280"/>
      <c r="U8" s="281"/>
      <c r="V8" s="282"/>
      <c r="W8" s="281"/>
      <c r="X8" s="281"/>
      <c r="Y8" s="281"/>
      <c r="Z8" s="283"/>
      <c r="AA8" s="1"/>
    </row>
    <row r="9" spans="1:27" s="252" customFormat="1" x14ac:dyDescent="0.3">
      <c r="A9" s="222"/>
      <c r="B9" s="223" t="s">
        <v>177</v>
      </c>
      <c r="C9" s="224" t="s">
        <v>29</v>
      </c>
      <c r="D9" s="225" t="s">
        <v>111</v>
      </c>
      <c r="E9" s="226">
        <v>1</v>
      </c>
      <c r="F9" s="227">
        <v>649</v>
      </c>
      <c r="G9" s="228" t="s">
        <v>137</v>
      </c>
      <c r="H9" s="229">
        <v>1</v>
      </c>
      <c r="I9" s="228">
        <f>H9*F9</f>
        <v>649</v>
      </c>
      <c r="J9" s="230">
        <v>900</v>
      </c>
      <c r="K9" s="231">
        <f>J9*H9</f>
        <v>900</v>
      </c>
      <c r="L9" s="231">
        <f>0.5*0.9*$F9+PV($C$110,$O9,-(0.116*$F9))</f>
        <v>1018.6889136198049</v>
      </c>
      <c r="M9" s="230">
        <f>0.1*$F9+PV($C$110,$O9,(-0.05*0.9*$F9))</f>
        <v>346.78578545595883</v>
      </c>
      <c r="N9" s="232">
        <f>MAX(0,H9*(J9-L9-M9))</f>
        <v>0</v>
      </c>
      <c r="O9" s="233">
        <v>12</v>
      </c>
      <c r="P9" s="228">
        <f>PV($C$110,O9,-I9)</f>
        <v>6264.1285656879718</v>
      </c>
      <c r="Q9" s="234">
        <f>$B$114*I9/$I$106</f>
        <v>2227.667992519755</v>
      </c>
      <c r="R9" s="235">
        <v>500</v>
      </c>
      <c r="S9" s="236">
        <f>H9*R9</f>
        <v>500</v>
      </c>
      <c r="T9" s="150">
        <f>IF(ISERROR(S9/P9),0,S9/P9)</f>
        <v>7.9819562251447249E-2</v>
      </c>
      <c r="U9" s="150">
        <f>IF(P9=0,0,(S9+Q9)/P9)</f>
        <v>0.43544253026042146</v>
      </c>
      <c r="V9" s="151">
        <f>(VLOOKUP($O9,'2016 Avoided Costs'!$B$10:$H$54,7)*$I9)/($S9+$Q9)</f>
        <v>1.6888616696141538</v>
      </c>
      <c r="W9" s="251"/>
      <c r="X9" s="153">
        <f>IF(ISERROR(N9/P9),0,N9/P9)</f>
        <v>0</v>
      </c>
      <c r="Y9" s="153">
        <f>IF(P9=0,0,(N9+Q9)/P9)</f>
        <v>0.35562296800897419</v>
      </c>
      <c r="Z9" s="4">
        <f>VLOOKUP($O9,'2016 Avoided Costs'!$B$10:$H$54,5)*(($I9)/(N9+Q9))</f>
        <v>1.879933281827616</v>
      </c>
      <c r="AA9" s="3"/>
    </row>
    <row r="10" spans="1:27" s="252" customFormat="1" x14ac:dyDescent="0.3">
      <c r="A10" s="222"/>
      <c r="B10" s="223" t="s">
        <v>178</v>
      </c>
      <c r="C10" s="224" t="s">
        <v>29</v>
      </c>
      <c r="D10" s="225" t="s">
        <v>111</v>
      </c>
      <c r="E10" s="226">
        <v>1</v>
      </c>
      <c r="F10" s="227">
        <v>141</v>
      </c>
      <c r="G10" s="228" t="s">
        <v>137</v>
      </c>
      <c r="H10" s="229">
        <v>2</v>
      </c>
      <c r="I10" s="228">
        <f>H10*F10</f>
        <v>282</v>
      </c>
      <c r="J10" s="230">
        <v>900</v>
      </c>
      <c r="K10" s="231">
        <f>J10*H10</f>
        <v>1800</v>
      </c>
      <c r="L10" s="231">
        <f>0.5*0.9*$F10+PV($C$110,$O10,-(0.116*$F10))</f>
        <v>221.31762221940289</v>
      </c>
      <c r="M10" s="230">
        <f>0.1*$F10+PV($C$110,$O10,(-0.05*0.9*$F10))</f>
        <v>75.341749998906295</v>
      </c>
      <c r="N10" s="232">
        <f>MAX(0,H10*(J10-L10-M10))</f>
        <v>1206.6812555633817</v>
      </c>
      <c r="O10" s="233">
        <v>12</v>
      </c>
      <c r="P10" s="228">
        <f>PV($C$110,O10,-I10)</f>
        <v>2721.8555555069465</v>
      </c>
      <c r="Q10" s="234">
        <f t="shared" ref="Q10:Q13" si="0">$B$114*I10/$I$106</f>
        <v>967.95435114109534</v>
      </c>
      <c r="R10" s="235">
        <v>500</v>
      </c>
      <c r="S10" s="236">
        <f>H10*R10</f>
        <v>1000</v>
      </c>
      <c r="T10" s="150">
        <f>IF(ISERROR(S10/P10),0,S10/P10)</f>
        <v>0.36739642483112944</v>
      </c>
      <c r="U10" s="150">
        <f>IF(P10=0,0,(S10+Q10)/P10)</f>
        <v>0.72301939284010353</v>
      </c>
      <c r="V10" s="151">
        <f>(VLOOKUP($O10,'2016 Avoided Costs'!$B$10:$H$54,7)*$I10)/($S10+$Q10)</f>
        <v>1.0171265196468413</v>
      </c>
      <c r="W10" s="251"/>
      <c r="X10" s="153">
        <f>IF(ISERROR(N10/P10),0,N10/P10)</f>
        <v>0.4433303792047249</v>
      </c>
      <c r="Y10" s="153">
        <f>IF(P10=0,0,(N10+Q10)/P10)</f>
        <v>0.79895334721369904</v>
      </c>
      <c r="Z10" s="4">
        <f>VLOOKUP($O10,'2016 Avoided Costs'!$B$10:$H$54,5)*(($I10)/(N10+Q10))</f>
        <v>0.83677908813312607</v>
      </c>
      <c r="AA10" s="3"/>
    </row>
    <row r="11" spans="1:27" s="252" customFormat="1" x14ac:dyDescent="0.3">
      <c r="A11" s="222"/>
      <c r="B11" s="223" t="s">
        <v>179</v>
      </c>
      <c r="C11" s="224" t="s">
        <v>174</v>
      </c>
      <c r="D11" s="360" t="s">
        <v>69</v>
      </c>
      <c r="E11" s="226">
        <v>1</v>
      </c>
      <c r="F11" s="227">
        <v>0.32</v>
      </c>
      <c r="G11" s="228" t="s">
        <v>135</v>
      </c>
      <c r="H11" s="229">
        <v>4000</v>
      </c>
      <c r="I11" s="228">
        <f>H11*F11</f>
        <v>1280</v>
      </c>
      <c r="J11" s="230">
        <v>1.63</v>
      </c>
      <c r="K11" s="231">
        <f>J11*H11</f>
        <v>6520</v>
      </c>
      <c r="L11" s="231">
        <f>0.5*0.9*$F11+PV($C$110,$O11,-(0.116*$F11))</f>
        <v>0.82500520521651455</v>
      </c>
      <c r="M11" s="230">
        <f>0.1*$F11+PV($C$110,$O11,(-0.05*0.9*$F11))</f>
        <v>0.29618305374778586</v>
      </c>
      <c r="N11" s="232">
        <f t="shared" ref="N11:N13" si="1">MAX(0,H11*(J11-L11-M11))</f>
        <v>2035.2469641427979</v>
      </c>
      <c r="O11" s="233">
        <v>30</v>
      </c>
      <c r="P11" s="228">
        <f>PV($C$110,O11,-I11)</f>
        <v>23482.938110914292</v>
      </c>
      <c r="Q11" s="234">
        <f t="shared" si="0"/>
        <v>4393.551664753908</v>
      </c>
      <c r="R11" s="235">
        <v>1.25</v>
      </c>
      <c r="S11" s="236">
        <f>H11*R11</f>
        <v>5000</v>
      </c>
      <c r="T11" s="150">
        <f>IF(ISERROR(S11/P11),0,S11/P11)</f>
        <v>0.2129205458185883</v>
      </c>
      <c r="U11" s="150">
        <f>IF(P11=0,0,(S11+Q11)/P11)</f>
        <v>0.40001602952690218</v>
      </c>
      <c r="V11" s="151">
        <f>(VLOOKUP($O11,'2016 Avoided Costs'!$B$10:$H$54,7)*$I11)/($S11+$Q11)</f>
        <v>3.0059053646733278</v>
      </c>
      <c r="W11" s="251"/>
      <c r="X11" s="153">
        <f>IF(ISERROR(N11/P11),0,N11/P11)</f>
        <v>8.6669178896181864E-2</v>
      </c>
      <c r="Y11" s="153">
        <f>IF(P11=0,0,(N11+Q11)/P11)</f>
        <v>0.27376466260449572</v>
      </c>
      <c r="Z11" s="4">
        <f>VLOOKUP($O11,'2016 Avoided Costs'!$B$10:$H$54,5)*(($I11)/(N11+Q11))</f>
        <v>3.7379840404993314</v>
      </c>
      <c r="AA11" s="3"/>
    </row>
    <row r="12" spans="1:27" s="252" customFormat="1" x14ac:dyDescent="0.3">
      <c r="A12" s="222"/>
      <c r="B12" s="223" t="s">
        <v>181</v>
      </c>
      <c r="C12" s="224" t="s">
        <v>175</v>
      </c>
      <c r="D12" s="360" t="s">
        <v>68</v>
      </c>
      <c r="E12" s="226">
        <v>2</v>
      </c>
      <c r="F12" s="227">
        <v>0.36</v>
      </c>
      <c r="G12" s="228" t="s">
        <v>135</v>
      </c>
      <c r="H12" s="229">
        <v>32300</v>
      </c>
      <c r="I12" s="228">
        <f>H12*F12</f>
        <v>11628</v>
      </c>
      <c r="J12" s="230">
        <v>2.15</v>
      </c>
      <c r="K12" s="231">
        <f>J12*H12</f>
        <v>69445</v>
      </c>
      <c r="L12" s="231">
        <f>0.5*0.9*$F12+PV($C$110,$O12,-(0.116*$F12))</f>
        <v>0.9281308558685788</v>
      </c>
      <c r="M12" s="230">
        <f>0.1*$F12+PV($C$110,$O12,(-0.05*0.9*$F12))</f>
        <v>0.33320593546625904</v>
      </c>
      <c r="N12" s="232">
        <f t="shared" si="1"/>
        <v>28703.821639884733</v>
      </c>
      <c r="O12" s="233">
        <v>30</v>
      </c>
      <c r="P12" s="228">
        <f>PV($C$110,O12,-I12)</f>
        <v>213327.81590133705</v>
      </c>
      <c r="Q12" s="234">
        <f t="shared" si="0"/>
        <v>39912.67090449878</v>
      </c>
      <c r="R12" s="235">
        <v>1.6</v>
      </c>
      <c r="S12" s="236">
        <f>H12*R12</f>
        <v>51680</v>
      </c>
      <c r="T12" s="150">
        <f>IF(ISERROR(S12/P12),0,S12/P12)</f>
        <v>0.24225626546470488</v>
      </c>
      <c r="U12" s="150">
        <f>IF(P12=0,0,(S12+Q12)/P12)</f>
        <v>0.42935174917301872</v>
      </c>
      <c r="V12" s="151">
        <f>(VLOOKUP($O12,'2016 Avoided Costs'!$B$10:$H$54,7)*$I12)/($S12+$Q12)</f>
        <v>2.8005250506751658</v>
      </c>
      <c r="W12" s="251"/>
      <c r="X12" s="153">
        <f>IF(ISERROR(N12/P12),0,N12/P12)</f>
        <v>0.13455264386693994</v>
      </c>
      <c r="Y12" s="153">
        <f>IF(P12=0,0,(N12+Q12)/P12)</f>
        <v>0.32164812757525379</v>
      </c>
      <c r="Z12" s="4">
        <f>VLOOKUP($O12,'2016 Avoided Costs'!$B$10:$H$54,5)*(($I12)/(N12+Q12))</f>
        <v>3.1815137472823252</v>
      </c>
      <c r="AA12" s="3"/>
    </row>
    <row r="13" spans="1:27" s="252" customFormat="1" ht="13.5" thickBot="1" x14ac:dyDescent="0.35">
      <c r="A13" s="222"/>
      <c r="B13" s="223" t="s">
        <v>180</v>
      </c>
      <c r="C13" s="224" t="s">
        <v>176</v>
      </c>
      <c r="D13" s="360" t="s">
        <v>36</v>
      </c>
      <c r="E13" s="226">
        <v>1</v>
      </c>
      <c r="F13" s="227">
        <v>0.19</v>
      </c>
      <c r="G13" s="228" t="s">
        <v>135</v>
      </c>
      <c r="H13" s="229">
        <v>3690</v>
      </c>
      <c r="I13" s="228">
        <f>H13*F13</f>
        <v>701.1</v>
      </c>
      <c r="J13" s="230">
        <v>1.7</v>
      </c>
      <c r="K13" s="231">
        <f>J13*H13</f>
        <v>6273</v>
      </c>
      <c r="L13" s="231">
        <f>0.5*0.9*$F13+PV($C$110,$O13,-(0.116*$F13))</f>
        <v>0.48984684059730554</v>
      </c>
      <c r="M13" s="230">
        <f>0.1*$F13+PV($C$110,$O13,(-0.05*0.9*$F13))</f>
        <v>0.17585868816274786</v>
      </c>
      <c r="N13" s="232">
        <f t="shared" si="1"/>
        <v>3816.5465988754031</v>
      </c>
      <c r="O13" s="233">
        <v>30</v>
      </c>
      <c r="P13" s="228">
        <f>PV($C$110,O13,-I13)</f>
        <v>12862.412429345324</v>
      </c>
      <c r="Q13" s="234">
        <f t="shared" si="0"/>
        <v>2406.4992751241916</v>
      </c>
      <c r="R13" s="235">
        <v>1.25</v>
      </c>
      <c r="S13" s="236">
        <f>H13*R13</f>
        <v>4612.5</v>
      </c>
      <c r="T13" s="150">
        <f>IF(ISERROR(S13/P13),0,S13/P13)</f>
        <v>0.35860302453656967</v>
      </c>
      <c r="U13" s="150">
        <f>IF(P13=0,0,(S13+Q13)/P13)</f>
        <v>0.54569850824488353</v>
      </c>
      <c r="V13" s="151">
        <f>(VLOOKUP($O13,'2016 Avoided Costs'!$B$10:$H$54,7)*$I13)/($S13+$Q13)</f>
        <v>2.2034334177997326</v>
      </c>
      <c r="W13" s="251"/>
      <c r="X13" s="153">
        <f>IF(ISERROR(N13/P13),0,N13/P13)</f>
        <v>0.29672090051847755</v>
      </c>
      <c r="Y13" s="153">
        <f>IF(P13=0,0,(N13+Q13)/P13)</f>
        <v>0.48381638422679141</v>
      </c>
      <c r="Z13" s="4">
        <f>VLOOKUP($O13,'2016 Avoided Costs'!$B$10:$H$54,5)*(($I13)/(N13+Q13))</f>
        <v>2.115116339649628</v>
      </c>
      <c r="AA13" s="3"/>
    </row>
    <row r="14" spans="1:27" ht="13.5" thickBot="1" x14ac:dyDescent="0.35">
      <c r="B14" s="14" t="s">
        <v>249</v>
      </c>
      <c r="C14" s="15"/>
      <c r="D14" s="15"/>
      <c r="E14" s="102"/>
      <c r="F14" s="16"/>
      <c r="G14" s="17"/>
      <c r="H14" s="18"/>
      <c r="I14" s="277">
        <f>SUM(I9:I13)</f>
        <v>14540.1</v>
      </c>
      <c r="J14" s="215"/>
      <c r="K14" s="278">
        <f>SUM(K9:K13)</f>
        <v>84938</v>
      </c>
      <c r="L14" s="19"/>
      <c r="M14" s="19"/>
      <c r="N14" s="218">
        <f>SUM(N9:N13)</f>
        <v>35762.296458466313</v>
      </c>
      <c r="O14" s="90">
        <f>SUMPRODUCT(I9:I13,O9:O13)/SUM(I9:I13)</f>
        <v>28.847463222398744</v>
      </c>
      <c r="P14" s="20">
        <f>SUM(P9:P13)</f>
        <v>258659.15056279159</v>
      </c>
      <c r="Q14" s="93">
        <f>SUM(Q9:Q13)</f>
        <v>49908.344188037736</v>
      </c>
      <c r="R14" s="21"/>
      <c r="S14" s="279">
        <f>SUM(S9:S13)</f>
        <v>62792.5</v>
      </c>
      <c r="T14" s="70">
        <f>S14/P14</f>
        <v>0.24276156425696069</v>
      </c>
      <c r="U14" s="71">
        <f>(S14+Q14)/P14</f>
        <v>0.43571180042470098</v>
      </c>
      <c r="V14" s="72">
        <f>(VLOOKUP($O14,'2016 Avoided Costs'!$B$10:$I$54,7)*$I14)/($S14+$Q14)</f>
        <v>2.6195284169456325</v>
      </c>
      <c r="W14" s="73"/>
      <c r="X14" s="74">
        <f>(N14)/P14</f>
        <v>0.13826031818574586</v>
      </c>
      <c r="Y14" s="94">
        <f>(N14+Q14)/P14</f>
        <v>0.33121055435348618</v>
      </c>
      <c r="Z14" s="95">
        <f>(VLOOKUP($O14,'2016 Avoided Costs'!$B$10:$I$54,5)*$I14)/($N14+Q14)</f>
        <v>2.9327861862937361</v>
      </c>
    </row>
    <row r="15" spans="1:27" s="8" customFormat="1" ht="18.649999999999999" customHeight="1" x14ac:dyDescent="0.3">
      <c r="B15" s="159" t="s">
        <v>248</v>
      </c>
      <c r="C15" s="61"/>
      <c r="D15" s="106"/>
      <c r="E15" s="101"/>
      <c r="F15" s="118"/>
      <c r="G15" s="64"/>
      <c r="H15" s="109"/>
      <c r="I15" s="110"/>
      <c r="J15" s="64"/>
      <c r="K15" s="64"/>
      <c r="L15" s="92"/>
      <c r="M15" s="64"/>
      <c r="N15" s="64"/>
      <c r="O15" s="64"/>
      <c r="P15" s="64"/>
      <c r="Q15" s="64"/>
      <c r="R15" s="111"/>
      <c r="S15" s="148"/>
      <c r="T15" s="280"/>
      <c r="U15" s="281"/>
      <c r="V15" s="282"/>
      <c r="W15" s="281"/>
      <c r="X15" s="281"/>
      <c r="Y15" s="281"/>
      <c r="Z15" s="283"/>
      <c r="AA15" s="1"/>
    </row>
    <row r="16" spans="1:27" s="8" customFormat="1" hidden="1" x14ac:dyDescent="0.3">
      <c r="A16" s="8" t="e">
        <f>#REF!</f>
        <v>#REF!</v>
      </c>
      <c r="B16" s="81" t="s">
        <v>22</v>
      </c>
      <c r="C16" s="60" t="s">
        <v>118</v>
      </c>
      <c r="D16" s="107" t="s">
        <v>32</v>
      </c>
      <c r="E16" s="113">
        <v>0</v>
      </c>
      <c r="F16" s="114">
        <v>0.61</v>
      </c>
      <c r="G16" s="62" t="s">
        <v>134</v>
      </c>
      <c r="H16" s="114">
        <v>0</v>
      </c>
      <c r="I16" s="114">
        <f>H16*F16</f>
        <v>0</v>
      </c>
      <c r="J16" s="63">
        <v>3.26</v>
      </c>
      <c r="K16" s="63"/>
      <c r="L16" s="122">
        <f t="shared" ref="L16:L47" si="2">0.5*0.9*$F16+PV($C$110,$O16,-(0.116*$F16))</f>
        <v>1.2062563982192733</v>
      </c>
      <c r="M16" s="63">
        <f t="shared" ref="M16:M44" si="3">0.1*$F16+PV($C$110,$O16,(-0.05*0.9*$F16))</f>
        <v>0.42245722344713188</v>
      </c>
      <c r="N16" s="115">
        <f>H16*(J16-L16-M16)</f>
        <v>0</v>
      </c>
      <c r="O16" s="64">
        <v>18</v>
      </c>
      <c r="P16" s="62">
        <f t="shared" ref="P16:P47" si="4">PV($C$110,O16,-I16)</f>
        <v>0</v>
      </c>
      <c r="Q16" s="82">
        <f>$B$118*I16/SUM($I$16:$I$47)</f>
        <v>0</v>
      </c>
      <c r="R16" s="83">
        <v>1.5</v>
      </c>
      <c r="S16" s="116">
        <f t="shared" ref="S16:S43" si="5">H16*R16</f>
        <v>0</v>
      </c>
      <c r="T16" s="150">
        <f t="shared" ref="T16:T43" si="6">IF(ISERROR(S16/P16),0,S16/P16)</f>
        <v>0</v>
      </c>
      <c r="U16" s="150">
        <f t="shared" ref="U16:U43" si="7">IF(P16=0,0,(S16+Q16)/P16)</f>
        <v>0</v>
      </c>
      <c r="V16" s="151" t="str">
        <f t="shared" ref="V16:V17" si="8">IF($S16=0,"-",(VLOOKUP($O16,AC,7)*$I16)/($S16+$Q16))</f>
        <v>-</v>
      </c>
      <c r="W16" s="152"/>
      <c r="X16" s="153">
        <f>IF(ISERROR(N16/P16),0,N16/P16)</f>
        <v>0</v>
      </c>
      <c r="Y16" s="153">
        <f t="shared" ref="Y16:Y43" si="9">IF(P16=0,0,(N16+Q16)/P16)</f>
        <v>0</v>
      </c>
      <c r="Z16" s="4" t="str">
        <f t="shared" ref="Z16:Z17" si="10">IF($N16=0,"-",(VLOOKUP($O16,AC,5)*$I16)/(N16+Q16))</f>
        <v>-</v>
      </c>
      <c r="AA16" s="1"/>
    </row>
    <row r="17" spans="1:28" s="8" customFormat="1" hidden="1" x14ac:dyDescent="0.3">
      <c r="A17" s="8" t="e">
        <f>#REF!</f>
        <v>#REF!</v>
      </c>
      <c r="B17" s="81" t="s">
        <v>22</v>
      </c>
      <c r="C17" s="60" t="s">
        <v>72</v>
      </c>
      <c r="D17" s="107" t="s">
        <v>33</v>
      </c>
      <c r="E17" s="113">
        <v>0</v>
      </c>
      <c r="F17" s="114">
        <v>1.1000000000000001</v>
      </c>
      <c r="G17" s="62" t="s">
        <v>134</v>
      </c>
      <c r="H17" s="114">
        <v>0</v>
      </c>
      <c r="I17" s="114">
        <f t="shared" ref="I17:I47" si="11">H17*F17</f>
        <v>0</v>
      </c>
      <c r="J17" s="63">
        <v>5.23</v>
      </c>
      <c r="K17" s="63"/>
      <c r="L17" s="122">
        <f t="shared" si="2"/>
        <v>2.1752164558052471</v>
      </c>
      <c r="M17" s="63">
        <f t="shared" si="3"/>
        <v>0.7618081078554837</v>
      </c>
      <c r="N17" s="115">
        <f t="shared" ref="N17" si="12">H17*(J17-L17-M17)</f>
        <v>0</v>
      </c>
      <c r="O17" s="64">
        <v>18</v>
      </c>
      <c r="P17" s="62">
        <f t="shared" si="4"/>
        <v>0</v>
      </c>
      <c r="Q17" s="82">
        <f>$B$118*I17/SUM($I$16:$I$47)</f>
        <v>0</v>
      </c>
      <c r="R17" s="83">
        <v>3</v>
      </c>
      <c r="S17" s="116">
        <f t="shared" si="5"/>
        <v>0</v>
      </c>
      <c r="T17" s="150">
        <f t="shared" si="6"/>
        <v>0</v>
      </c>
      <c r="U17" s="150">
        <f t="shared" si="7"/>
        <v>0</v>
      </c>
      <c r="V17" s="151" t="str">
        <f t="shared" si="8"/>
        <v>-</v>
      </c>
      <c r="W17" s="152"/>
      <c r="X17" s="153">
        <f t="shared" ref="X17:X43" si="13">IF(ISERROR(N17/P17),0,N17/P17)</f>
        <v>0</v>
      </c>
      <c r="Y17" s="153">
        <f t="shared" si="9"/>
        <v>0</v>
      </c>
      <c r="Z17" s="4" t="str">
        <f t="shared" si="10"/>
        <v>-</v>
      </c>
      <c r="AA17" s="1"/>
    </row>
    <row r="18" spans="1:28" s="8" customFormat="1" x14ac:dyDescent="0.3">
      <c r="A18" s="8" t="e">
        <f>#REF!</f>
        <v>#REF!</v>
      </c>
      <c r="B18" s="237" t="s">
        <v>73</v>
      </c>
      <c r="C18" s="238" t="s">
        <v>24</v>
      </c>
      <c r="D18" s="361" t="s">
        <v>34</v>
      </c>
      <c r="E18" s="240">
        <v>26</v>
      </c>
      <c r="F18" s="243">
        <v>1.1000000000000001</v>
      </c>
      <c r="G18" s="242" t="s">
        <v>134</v>
      </c>
      <c r="H18" s="243">
        <v>8861</v>
      </c>
      <c r="I18" s="243">
        <f t="shared" si="11"/>
        <v>9747.1</v>
      </c>
      <c r="J18" s="244">
        <v>6.72</v>
      </c>
      <c r="K18" s="244">
        <f>J18*H18</f>
        <v>59545.919999999998</v>
      </c>
      <c r="L18" s="245">
        <f t="shared" si="2"/>
        <v>2.1752164558052471</v>
      </c>
      <c r="M18" s="244">
        <f t="shared" si="3"/>
        <v>0.7618081078554837</v>
      </c>
      <c r="N18" s="246">
        <f>MAX(0,H18*(J18-L18-M18))</f>
        <v>33520.945341402257</v>
      </c>
      <c r="O18" s="247">
        <v>18</v>
      </c>
      <c r="P18" s="242">
        <f t="shared" si="4"/>
        <v>128348.25874905424</v>
      </c>
      <c r="Q18" s="248">
        <f>$B$114*I18/$I$106</f>
        <v>33456.552680877197</v>
      </c>
      <c r="R18" s="249">
        <v>3</v>
      </c>
      <c r="S18" s="250">
        <f t="shared" si="5"/>
        <v>26583</v>
      </c>
      <c r="T18" s="150">
        <f t="shared" si="6"/>
        <v>0.20711617172754113</v>
      </c>
      <c r="U18" s="150">
        <f t="shared" si="7"/>
        <v>0.4677862657900656</v>
      </c>
      <c r="V18" s="151">
        <f>(VLOOKUP($O18,'2014 Avoided Costs'!$B$10:$H$54,6)*$I18)/($S18+$Q18)</f>
        <v>0.93348172158935472</v>
      </c>
      <c r="W18" s="152"/>
      <c r="X18" s="153">
        <f t="shared" si="13"/>
        <v>0.26117179670463792</v>
      </c>
      <c r="Y18" s="153">
        <f>IF(P18=0,0,(N18+Q18)/P18)</f>
        <v>0.52184189076716236</v>
      </c>
      <c r="Z18" s="4">
        <f>(VLOOKUP($O18,'2014 Avoided Costs'!$B$10:$H$54,4)*$I18)/($N18+$Q18)</f>
        <v>0.74364797836180641</v>
      </c>
      <c r="AA18" s="1"/>
    </row>
    <row r="19" spans="1:28" s="8" customFormat="1" ht="12" hidden="1" customHeight="1" x14ac:dyDescent="0.3">
      <c r="A19" s="12" t="e">
        <f>#REF!</f>
        <v>#REF!</v>
      </c>
      <c r="B19" s="237" t="s">
        <v>19</v>
      </c>
      <c r="C19" s="238" t="s">
        <v>25</v>
      </c>
      <c r="D19" s="361" t="s">
        <v>35</v>
      </c>
      <c r="E19" s="240">
        <v>0</v>
      </c>
      <c r="F19" s="243">
        <v>4.3280000000000003</v>
      </c>
      <c r="G19" s="242" t="s">
        <v>134</v>
      </c>
      <c r="H19" s="243">
        <v>0</v>
      </c>
      <c r="I19" s="243">
        <f t="shared" si="11"/>
        <v>0</v>
      </c>
      <c r="J19" s="244">
        <v>21</v>
      </c>
      <c r="K19" s="244">
        <f t="shared" ref="K19:K64" si="14">J19*H19</f>
        <v>0</v>
      </c>
      <c r="L19" s="245">
        <f t="shared" si="2"/>
        <v>8.5584880188410075</v>
      </c>
      <c r="M19" s="244">
        <f t="shared" si="3"/>
        <v>2.9973686279986671</v>
      </c>
      <c r="N19" s="246">
        <f t="shared" ref="N19:N64" si="15">MAX(0,H19*(J19-L19-M19))</f>
        <v>0</v>
      </c>
      <c r="O19" s="247">
        <v>18</v>
      </c>
      <c r="P19" s="242">
        <f t="shared" si="4"/>
        <v>0</v>
      </c>
      <c r="Q19" s="248">
        <f t="shared" ref="Q19:Q64" si="16">$B$114*I19/$I$106</f>
        <v>0</v>
      </c>
      <c r="R19" s="249">
        <v>6.5</v>
      </c>
      <c r="S19" s="250">
        <f t="shared" si="5"/>
        <v>0</v>
      </c>
      <c r="T19" s="150">
        <f t="shared" si="6"/>
        <v>0</v>
      </c>
      <c r="U19" s="150">
        <f t="shared" si="7"/>
        <v>0</v>
      </c>
      <c r="V19" s="151" t="e">
        <f>(VLOOKUP($O19,'2014 Avoided Costs'!$B$10:$H$54,6)*$I19)/($S19+$Q19)</f>
        <v>#DIV/0!</v>
      </c>
      <c r="W19" s="152"/>
      <c r="X19" s="153">
        <f t="shared" si="13"/>
        <v>0</v>
      </c>
      <c r="Y19" s="153">
        <f t="shared" si="9"/>
        <v>0</v>
      </c>
      <c r="Z19" s="4" t="e">
        <f>(VLOOKUP($O19,'2014 Avoided Costs'!$B$10:$H$54,4)*$I19)/($N19+$Q19)</f>
        <v>#DIV/0!</v>
      </c>
      <c r="AA19" s="1"/>
    </row>
    <row r="20" spans="1:28" s="8" customFormat="1" hidden="1" x14ac:dyDescent="0.3">
      <c r="A20" s="8" t="e">
        <f>#REF!</f>
        <v>#REF!</v>
      </c>
      <c r="B20" s="237" t="s">
        <v>76</v>
      </c>
      <c r="C20" s="238" t="s">
        <v>80</v>
      </c>
      <c r="D20" s="361" t="s">
        <v>68</v>
      </c>
      <c r="E20" s="240">
        <v>0</v>
      </c>
      <c r="F20" s="243">
        <v>0.39900000000000002</v>
      </c>
      <c r="G20" s="242" t="s">
        <v>135</v>
      </c>
      <c r="H20" s="243">
        <v>0</v>
      </c>
      <c r="I20" s="243">
        <f t="shared" si="11"/>
        <v>0</v>
      </c>
      <c r="J20" s="244">
        <v>1.35</v>
      </c>
      <c r="K20" s="244">
        <f t="shared" si="14"/>
        <v>0</v>
      </c>
      <c r="L20" s="245">
        <f t="shared" si="2"/>
        <v>1.0286783652543419</v>
      </c>
      <c r="M20" s="244">
        <f t="shared" si="3"/>
        <v>0.36930324514177049</v>
      </c>
      <c r="N20" s="246">
        <f t="shared" si="15"/>
        <v>0</v>
      </c>
      <c r="O20" s="247">
        <v>30</v>
      </c>
      <c r="P20" s="242">
        <f t="shared" si="4"/>
        <v>0</v>
      </c>
      <c r="Q20" s="248">
        <f t="shared" si="16"/>
        <v>0</v>
      </c>
      <c r="R20" s="249">
        <v>0.5</v>
      </c>
      <c r="S20" s="250">
        <f t="shared" si="5"/>
        <v>0</v>
      </c>
      <c r="T20" s="150">
        <f t="shared" si="6"/>
        <v>0</v>
      </c>
      <c r="U20" s="150">
        <f t="shared" si="7"/>
        <v>0</v>
      </c>
      <c r="V20" s="151" t="e">
        <f>(VLOOKUP($O20,'2014 Avoided Costs'!$B$10:$H$54,6)*$I20)/($S20+$Q20)</f>
        <v>#DIV/0!</v>
      </c>
      <c r="W20" s="152"/>
      <c r="X20" s="153">
        <f t="shared" si="13"/>
        <v>0</v>
      </c>
      <c r="Y20" s="153">
        <f t="shared" si="9"/>
        <v>0</v>
      </c>
      <c r="Z20" s="4" t="e">
        <f>(VLOOKUP($O20,'2014 Avoided Costs'!$B$10:$H$54,4)*$I20)/($N20+$Q20)</f>
        <v>#DIV/0!</v>
      </c>
      <c r="AA20" s="1"/>
    </row>
    <row r="21" spans="1:28" s="8" customFormat="1" hidden="1" x14ac:dyDescent="0.3">
      <c r="A21" s="8" t="e">
        <f>#REF!</f>
        <v>#REF!</v>
      </c>
      <c r="B21" s="237" t="s">
        <v>76</v>
      </c>
      <c r="C21" s="238" t="s">
        <v>81</v>
      </c>
      <c r="D21" s="361" t="s">
        <v>68</v>
      </c>
      <c r="E21" s="240">
        <v>0</v>
      </c>
      <c r="F21" s="243">
        <v>0.22</v>
      </c>
      <c r="G21" s="242" t="s">
        <v>135</v>
      </c>
      <c r="H21" s="243">
        <v>0</v>
      </c>
      <c r="I21" s="243">
        <f t="shared" si="11"/>
        <v>0</v>
      </c>
      <c r="J21" s="244">
        <v>1.35</v>
      </c>
      <c r="K21" s="244">
        <f t="shared" si="14"/>
        <v>0</v>
      </c>
      <c r="L21" s="245">
        <f t="shared" si="2"/>
        <v>0.56719107858635376</v>
      </c>
      <c r="M21" s="244">
        <f t="shared" si="3"/>
        <v>0.20362584945160275</v>
      </c>
      <c r="N21" s="246">
        <f t="shared" si="15"/>
        <v>0</v>
      </c>
      <c r="O21" s="247">
        <v>30</v>
      </c>
      <c r="P21" s="242">
        <f t="shared" si="4"/>
        <v>0</v>
      </c>
      <c r="Q21" s="248">
        <f t="shared" si="16"/>
        <v>0</v>
      </c>
      <c r="R21" s="249">
        <v>0.5</v>
      </c>
      <c r="S21" s="250">
        <f t="shared" si="5"/>
        <v>0</v>
      </c>
      <c r="T21" s="150">
        <f t="shared" si="6"/>
        <v>0</v>
      </c>
      <c r="U21" s="150">
        <f t="shared" si="7"/>
        <v>0</v>
      </c>
      <c r="V21" s="151" t="e">
        <f>(VLOOKUP($O21,'2014 Avoided Costs'!$B$10:$H$54,6)*$I21)/($S21+$Q21)</f>
        <v>#DIV/0!</v>
      </c>
      <c r="W21" s="152"/>
      <c r="X21" s="153">
        <f t="shared" si="13"/>
        <v>0</v>
      </c>
      <c r="Y21" s="153">
        <f t="shared" si="9"/>
        <v>0</v>
      </c>
      <c r="Z21" s="4" t="e">
        <f>(VLOOKUP($O21,'2014 Avoided Costs'!$B$10:$H$54,4)*$I21)/($N21+$Q21)</f>
        <v>#DIV/0!</v>
      </c>
      <c r="AA21" s="1"/>
    </row>
    <row r="22" spans="1:28" s="8" customFormat="1" hidden="1" x14ac:dyDescent="0.3">
      <c r="A22" s="8" t="e">
        <f>#REF!</f>
        <v>#REF!</v>
      </c>
      <c r="B22" s="237" t="s">
        <v>76</v>
      </c>
      <c r="C22" s="238" t="s">
        <v>82</v>
      </c>
      <c r="D22" s="361" t="s">
        <v>69</v>
      </c>
      <c r="E22" s="240">
        <v>0</v>
      </c>
      <c r="F22" s="243">
        <v>0.40699999999999997</v>
      </c>
      <c r="G22" s="242" t="s">
        <v>135</v>
      </c>
      <c r="H22" s="243">
        <v>0</v>
      </c>
      <c r="I22" s="243">
        <f t="shared" si="11"/>
        <v>0</v>
      </c>
      <c r="J22" s="244">
        <v>1.63</v>
      </c>
      <c r="K22" s="244">
        <f t="shared" si="14"/>
        <v>0</v>
      </c>
      <c r="L22" s="245">
        <f t="shared" si="2"/>
        <v>1.0493034953847544</v>
      </c>
      <c r="M22" s="244">
        <f t="shared" si="3"/>
        <v>0.37670782148546517</v>
      </c>
      <c r="N22" s="246">
        <f t="shared" si="15"/>
        <v>0</v>
      </c>
      <c r="O22" s="247">
        <v>30</v>
      </c>
      <c r="P22" s="242">
        <f t="shared" si="4"/>
        <v>0</v>
      </c>
      <c r="Q22" s="248">
        <f t="shared" si="16"/>
        <v>0</v>
      </c>
      <c r="R22" s="249">
        <v>0.65</v>
      </c>
      <c r="S22" s="250">
        <f t="shared" si="5"/>
        <v>0</v>
      </c>
      <c r="T22" s="150">
        <f t="shared" si="6"/>
        <v>0</v>
      </c>
      <c r="U22" s="150">
        <f t="shared" si="7"/>
        <v>0</v>
      </c>
      <c r="V22" s="151" t="e">
        <f>(VLOOKUP($O22,'2014 Avoided Costs'!$B$10:$H$54,6)*$I22)/($S22+$Q22)</f>
        <v>#DIV/0!</v>
      </c>
      <c r="W22" s="152"/>
      <c r="X22" s="153">
        <f t="shared" si="13"/>
        <v>0</v>
      </c>
      <c r="Y22" s="153">
        <f t="shared" si="9"/>
        <v>0</v>
      </c>
      <c r="Z22" s="4" t="e">
        <f>(VLOOKUP($O22,'2014 Avoided Costs'!$B$10:$H$54,4)*$I22)/($N22+$Q22)</f>
        <v>#DIV/0!</v>
      </c>
      <c r="AA22" s="1"/>
    </row>
    <row r="23" spans="1:28" s="8" customFormat="1" hidden="1" x14ac:dyDescent="0.3">
      <c r="A23" s="8" t="e">
        <f>#REF!</f>
        <v>#REF!</v>
      </c>
      <c r="B23" s="237" t="s">
        <v>76</v>
      </c>
      <c r="C23" s="238" t="s">
        <v>83</v>
      </c>
      <c r="D23" s="361" t="s">
        <v>69</v>
      </c>
      <c r="E23" s="240">
        <v>0</v>
      </c>
      <c r="F23" s="243">
        <v>0.23</v>
      </c>
      <c r="G23" s="242" t="s">
        <v>135</v>
      </c>
      <c r="H23" s="243">
        <v>0</v>
      </c>
      <c r="I23" s="243">
        <f t="shared" si="11"/>
        <v>0</v>
      </c>
      <c r="J23" s="244">
        <v>1.63</v>
      </c>
      <c r="K23" s="244">
        <f t="shared" si="14"/>
        <v>0</v>
      </c>
      <c r="L23" s="245">
        <f t="shared" si="2"/>
        <v>0.5929724912493699</v>
      </c>
      <c r="M23" s="244">
        <f t="shared" si="3"/>
        <v>0.21288156988122109</v>
      </c>
      <c r="N23" s="246">
        <f t="shared" si="15"/>
        <v>0</v>
      </c>
      <c r="O23" s="247">
        <v>30</v>
      </c>
      <c r="P23" s="242">
        <f t="shared" si="4"/>
        <v>0</v>
      </c>
      <c r="Q23" s="248">
        <f t="shared" si="16"/>
        <v>0</v>
      </c>
      <c r="R23" s="249">
        <v>0.65</v>
      </c>
      <c r="S23" s="250">
        <f t="shared" si="5"/>
        <v>0</v>
      </c>
      <c r="T23" s="150">
        <f t="shared" si="6"/>
        <v>0</v>
      </c>
      <c r="U23" s="150">
        <f t="shared" si="7"/>
        <v>0</v>
      </c>
      <c r="V23" s="151" t="e">
        <f>(VLOOKUP($O23,'2014 Avoided Costs'!$B$10:$H$54,6)*$I23)/($S23+$Q23)</f>
        <v>#DIV/0!</v>
      </c>
      <c r="W23" s="152"/>
      <c r="X23" s="153">
        <f t="shared" si="13"/>
        <v>0</v>
      </c>
      <c r="Y23" s="153">
        <f t="shared" si="9"/>
        <v>0</v>
      </c>
      <c r="Z23" s="4" t="e">
        <f>(VLOOKUP($O23,'2014 Avoided Costs'!$B$10:$H$54,4)*$I23)/($N23+$Q23)</f>
        <v>#DIV/0!</v>
      </c>
      <c r="AA23" s="1"/>
      <c r="AB23" s="22"/>
    </row>
    <row r="24" spans="1:28" s="8" customFormat="1" hidden="1" x14ac:dyDescent="0.3">
      <c r="A24" s="8" t="e">
        <f>#REF!</f>
        <v>#REF!</v>
      </c>
      <c r="B24" s="237" t="s">
        <v>77</v>
      </c>
      <c r="C24" s="238" t="s">
        <v>85</v>
      </c>
      <c r="D24" s="361" t="s">
        <v>70</v>
      </c>
      <c r="E24" s="240">
        <v>0</v>
      </c>
      <c r="F24" s="243">
        <v>0.44700000000000001</v>
      </c>
      <c r="G24" s="242" t="s">
        <v>135</v>
      </c>
      <c r="H24" s="243">
        <v>0</v>
      </c>
      <c r="I24" s="243">
        <f t="shared" si="11"/>
        <v>0</v>
      </c>
      <c r="J24" s="244">
        <v>1.83</v>
      </c>
      <c r="K24" s="244">
        <f t="shared" si="14"/>
        <v>0</v>
      </c>
      <c r="L24" s="245">
        <f t="shared" si="2"/>
        <v>1.1524291460368188</v>
      </c>
      <c r="M24" s="244">
        <f t="shared" si="3"/>
        <v>0.41373070320393845</v>
      </c>
      <c r="N24" s="246">
        <f t="shared" si="15"/>
        <v>0</v>
      </c>
      <c r="O24" s="247">
        <v>30</v>
      </c>
      <c r="P24" s="242">
        <f t="shared" si="4"/>
        <v>0</v>
      </c>
      <c r="Q24" s="248">
        <f t="shared" si="16"/>
        <v>0</v>
      </c>
      <c r="R24" s="249">
        <v>0.6</v>
      </c>
      <c r="S24" s="250">
        <f t="shared" si="5"/>
        <v>0</v>
      </c>
      <c r="T24" s="150">
        <f t="shared" si="6"/>
        <v>0</v>
      </c>
      <c r="U24" s="150">
        <f t="shared" si="7"/>
        <v>0</v>
      </c>
      <c r="V24" s="151" t="e">
        <f>(VLOOKUP($O24,'2014 Avoided Costs'!$B$10:$H$54,6)*$I24)/($S24+$Q24)</f>
        <v>#DIV/0!</v>
      </c>
      <c r="W24" s="152"/>
      <c r="X24" s="153">
        <f t="shared" si="13"/>
        <v>0</v>
      </c>
      <c r="Y24" s="153">
        <f t="shared" si="9"/>
        <v>0</v>
      </c>
      <c r="Z24" s="4" t="e">
        <f>(VLOOKUP($O24,'2014 Avoided Costs'!$B$10:$H$54,4)*$I24)/($N24+$Q24)</f>
        <v>#DIV/0!</v>
      </c>
      <c r="AA24" s="1"/>
    </row>
    <row r="25" spans="1:28" s="8" customFormat="1" hidden="1" x14ac:dyDescent="0.3">
      <c r="A25" s="8" t="e">
        <f>#REF!</f>
        <v>#REF!</v>
      </c>
      <c r="B25" s="237" t="s">
        <v>77</v>
      </c>
      <c r="C25" s="238" t="s">
        <v>86</v>
      </c>
      <c r="D25" s="361" t="s">
        <v>68</v>
      </c>
      <c r="E25" s="240">
        <v>0</v>
      </c>
      <c r="F25" s="243">
        <v>0.25</v>
      </c>
      <c r="G25" s="242" t="s">
        <v>135</v>
      </c>
      <c r="H25" s="243">
        <v>0</v>
      </c>
      <c r="I25" s="243">
        <f t="shared" si="11"/>
        <v>0</v>
      </c>
      <c r="J25" s="244">
        <v>1.83</v>
      </c>
      <c r="K25" s="244">
        <f t="shared" si="14"/>
        <v>0</v>
      </c>
      <c r="L25" s="245">
        <f t="shared" si="2"/>
        <v>0.64453531657540208</v>
      </c>
      <c r="M25" s="244">
        <f t="shared" si="3"/>
        <v>0.23139301074045768</v>
      </c>
      <c r="N25" s="246">
        <f t="shared" si="15"/>
        <v>0</v>
      </c>
      <c r="O25" s="247">
        <v>30</v>
      </c>
      <c r="P25" s="242">
        <f t="shared" si="4"/>
        <v>0</v>
      </c>
      <c r="Q25" s="248">
        <f t="shared" si="16"/>
        <v>0</v>
      </c>
      <c r="R25" s="249">
        <v>0.6</v>
      </c>
      <c r="S25" s="250">
        <f t="shared" si="5"/>
        <v>0</v>
      </c>
      <c r="T25" s="150">
        <f t="shared" si="6"/>
        <v>0</v>
      </c>
      <c r="U25" s="150">
        <f t="shared" si="7"/>
        <v>0</v>
      </c>
      <c r="V25" s="151" t="e">
        <f>(VLOOKUP($O25,'2014 Avoided Costs'!$B$10:$H$54,6)*$I25)/($S25+$Q25)</f>
        <v>#DIV/0!</v>
      </c>
      <c r="W25" s="152"/>
      <c r="X25" s="153">
        <f t="shared" si="13"/>
        <v>0</v>
      </c>
      <c r="Y25" s="153">
        <f t="shared" si="9"/>
        <v>0</v>
      </c>
      <c r="Z25" s="4" t="e">
        <f>(VLOOKUP($O25,'2014 Avoided Costs'!$B$10:$H$54,4)*$I25)/($N25+$Q25)</f>
        <v>#DIV/0!</v>
      </c>
      <c r="AA25" s="1"/>
    </row>
    <row r="26" spans="1:28" s="8" customFormat="1" hidden="1" x14ac:dyDescent="0.3">
      <c r="A26" s="8" t="e">
        <f>#REF!</f>
        <v>#REF!</v>
      </c>
      <c r="B26" s="237" t="s">
        <v>77</v>
      </c>
      <c r="C26" s="238" t="s">
        <v>84</v>
      </c>
      <c r="D26" s="361" t="s">
        <v>70</v>
      </c>
      <c r="E26" s="240">
        <v>0</v>
      </c>
      <c r="F26" s="243">
        <v>0.46</v>
      </c>
      <c r="G26" s="242" t="s">
        <v>135</v>
      </c>
      <c r="H26" s="243">
        <v>0</v>
      </c>
      <c r="I26" s="243">
        <f t="shared" si="11"/>
        <v>0</v>
      </c>
      <c r="J26" s="244">
        <v>2.15</v>
      </c>
      <c r="K26" s="244">
        <f t="shared" si="14"/>
        <v>0</v>
      </c>
      <c r="L26" s="245">
        <f t="shared" si="2"/>
        <v>1.1859449824987398</v>
      </c>
      <c r="M26" s="244">
        <f t="shared" si="3"/>
        <v>0.42576313976244218</v>
      </c>
      <c r="N26" s="246">
        <f t="shared" si="15"/>
        <v>0</v>
      </c>
      <c r="O26" s="247">
        <v>30</v>
      </c>
      <c r="P26" s="242">
        <f t="shared" si="4"/>
        <v>0</v>
      </c>
      <c r="Q26" s="248">
        <f t="shared" si="16"/>
        <v>0</v>
      </c>
      <c r="R26" s="249">
        <v>0.8</v>
      </c>
      <c r="S26" s="250">
        <f t="shared" si="5"/>
        <v>0</v>
      </c>
      <c r="T26" s="150">
        <f t="shared" si="6"/>
        <v>0</v>
      </c>
      <c r="U26" s="150">
        <f t="shared" si="7"/>
        <v>0</v>
      </c>
      <c r="V26" s="151" t="e">
        <f>(VLOOKUP($O26,'2014 Avoided Costs'!$B$10:$H$54,6)*$I26)/($S26+$Q26)</f>
        <v>#DIV/0!</v>
      </c>
      <c r="W26" s="152"/>
      <c r="X26" s="153">
        <f t="shared" si="13"/>
        <v>0</v>
      </c>
      <c r="Y26" s="153">
        <f t="shared" si="9"/>
        <v>0</v>
      </c>
      <c r="Z26" s="4" t="e">
        <f>(VLOOKUP($O26,'2014 Avoided Costs'!$B$10:$H$54,4)*$I26)/($N26+$Q26)</f>
        <v>#DIV/0!</v>
      </c>
      <c r="AA26" s="1"/>
    </row>
    <row r="27" spans="1:28" s="8" customFormat="1" hidden="1" x14ac:dyDescent="0.3">
      <c r="A27" s="8" t="e">
        <f>#REF!</f>
        <v>#REF!</v>
      </c>
      <c r="B27" s="237" t="s">
        <v>77</v>
      </c>
      <c r="C27" s="238" t="s">
        <v>87</v>
      </c>
      <c r="D27" s="361" t="s">
        <v>68</v>
      </c>
      <c r="E27" s="240">
        <v>0</v>
      </c>
      <c r="F27" s="243">
        <v>0.253</v>
      </c>
      <c r="G27" s="242" t="s">
        <v>135</v>
      </c>
      <c r="H27" s="243">
        <v>0</v>
      </c>
      <c r="I27" s="243">
        <f t="shared" si="11"/>
        <v>0</v>
      </c>
      <c r="J27" s="244">
        <v>2.15</v>
      </c>
      <c r="K27" s="244">
        <f t="shared" si="14"/>
        <v>0</v>
      </c>
      <c r="L27" s="245">
        <f t="shared" si="2"/>
        <v>0.65226974037430696</v>
      </c>
      <c r="M27" s="244">
        <f t="shared" si="3"/>
        <v>0.23416972686934318</v>
      </c>
      <c r="N27" s="246">
        <f t="shared" si="15"/>
        <v>0</v>
      </c>
      <c r="O27" s="247">
        <v>30</v>
      </c>
      <c r="P27" s="242">
        <f t="shared" si="4"/>
        <v>0</v>
      </c>
      <c r="Q27" s="248">
        <f t="shared" si="16"/>
        <v>0</v>
      </c>
      <c r="R27" s="249">
        <v>0.8</v>
      </c>
      <c r="S27" s="250">
        <f t="shared" si="5"/>
        <v>0</v>
      </c>
      <c r="T27" s="150">
        <f t="shared" si="6"/>
        <v>0</v>
      </c>
      <c r="U27" s="150">
        <f t="shared" si="7"/>
        <v>0</v>
      </c>
      <c r="V27" s="151" t="e">
        <f>(VLOOKUP($O27,'2014 Avoided Costs'!$B$10:$H$54,6)*$I27)/($S27+$Q27)</f>
        <v>#DIV/0!</v>
      </c>
      <c r="W27" s="152"/>
      <c r="X27" s="153">
        <f t="shared" si="13"/>
        <v>0</v>
      </c>
      <c r="Y27" s="153">
        <f t="shared" si="9"/>
        <v>0</v>
      </c>
      <c r="Z27" s="4" t="e">
        <f>(VLOOKUP($O27,'2014 Avoided Costs'!$B$10:$H$54,4)*$I27)/($N27+$Q27)</f>
        <v>#DIV/0!</v>
      </c>
      <c r="AA27" s="1"/>
    </row>
    <row r="28" spans="1:28" s="8" customFormat="1" hidden="1" x14ac:dyDescent="0.3">
      <c r="A28" s="8" t="e">
        <f>#REF!</f>
        <v>#REF!</v>
      </c>
      <c r="B28" s="237" t="s">
        <v>78</v>
      </c>
      <c r="C28" s="238" t="s">
        <v>88</v>
      </c>
      <c r="D28" s="361" t="s">
        <v>37</v>
      </c>
      <c r="E28" s="240">
        <v>0</v>
      </c>
      <c r="F28" s="243">
        <v>0.22</v>
      </c>
      <c r="G28" s="242" t="s">
        <v>135</v>
      </c>
      <c r="H28" s="243">
        <v>0</v>
      </c>
      <c r="I28" s="243">
        <f t="shared" si="11"/>
        <v>0</v>
      </c>
      <c r="J28" s="244">
        <v>1.5</v>
      </c>
      <c r="K28" s="244">
        <f t="shared" si="14"/>
        <v>0</v>
      </c>
      <c r="L28" s="245">
        <f t="shared" si="2"/>
        <v>0.56719107858635376</v>
      </c>
      <c r="M28" s="244">
        <f t="shared" si="3"/>
        <v>0.20362584945160275</v>
      </c>
      <c r="N28" s="246">
        <f t="shared" si="15"/>
        <v>0</v>
      </c>
      <c r="O28" s="247">
        <v>30</v>
      </c>
      <c r="P28" s="242">
        <f t="shared" si="4"/>
        <v>0</v>
      </c>
      <c r="Q28" s="248">
        <f t="shared" si="16"/>
        <v>0</v>
      </c>
      <c r="R28" s="249">
        <v>0.3</v>
      </c>
      <c r="S28" s="250">
        <f t="shared" si="5"/>
        <v>0</v>
      </c>
      <c r="T28" s="150">
        <f t="shared" si="6"/>
        <v>0</v>
      </c>
      <c r="U28" s="150">
        <f t="shared" si="7"/>
        <v>0</v>
      </c>
      <c r="V28" s="151" t="e">
        <f>(VLOOKUP($O28,'2014 Avoided Costs'!$B$10:$H$54,6)*$I28)/($S28+$Q28)</f>
        <v>#DIV/0!</v>
      </c>
      <c r="W28" s="152"/>
      <c r="X28" s="153">
        <f t="shared" si="13"/>
        <v>0</v>
      </c>
      <c r="Y28" s="153">
        <f t="shared" si="9"/>
        <v>0</v>
      </c>
      <c r="Z28" s="4" t="e">
        <f>(VLOOKUP($O28,'2014 Avoided Costs'!$B$10:$H$54,4)*$I28)/($N28+$Q28)</f>
        <v>#DIV/0!</v>
      </c>
      <c r="AA28" s="1"/>
    </row>
    <row r="29" spans="1:28" s="8" customFormat="1" hidden="1" x14ac:dyDescent="0.3">
      <c r="A29" s="8" t="e">
        <f>#REF!</f>
        <v>#REF!</v>
      </c>
      <c r="B29" s="237" t="s">
        <v>78</v>
      </c>
      <c r="C29" s="238" t="s">
        <v>89</v>
      </c>
      <c r="D29" s="361" t="s">
        <v>36</v>
      </c>
      <c r="E29" s="240">
        <v>0</v>
      </c>
      <c r="F29" s="243">
        <v>0.12</v>
      </c>
      <c r="G29" s="242" t="s">
        <v>135</v>
      </c>
      <c r="H29" s="243">
        <v>0</v>
      </c>
      <c r="I29" s="243">
        <f t="shared" si="11"/>
        <v>0</v>
      </c>
      <c r="J29" s="244">
        <v>1.5</v>
      </c>
      <c r="K29" s="244">
        <f t="shared" si="14"/>
        <v>0</v>
      </c>
      <c r="L29" s="245">
        <f t="shared" si="2"/>
        <v>0.30937695195619297</v>
      </c>
      <c r="M29" s="244">
        <f t="shared" si="3"/>
        <v>0.11106864515541968</v>
      </c>
      <c r="N29" s="246">
        <f t="shared" si="15"/>
        <v>0</v>
      </c>
      <c r="O29" s="247">
        <v>30</v>
      </c>
      <c r="P29" s="242">
        <f t="shared" si="4"/>
        <v>0</v>
      </c>
      <c r="Q29" s="248">
        <f t="shared" si="16"/>
        <v>0</v>
      </c>
      <c r="R29" s="249">
        <v>0.3</v>
      </c>
      <c r="S29" s="250">
        <f t="shared" si="5"/>
        <v>0</v>
      </c>
      <c r="T29" s="150">
        <f t="shared" si="6"/>
        <v>0</v>
      </c>
      <c r="U29" s="150">
        <f t="shared" si="7"/>
        <v>0</v>
      </c>
      <c r="V29" s="151" t="e">
        <f>(VLOOKUP($O29,'2014 Avoided Costs'!$B$10:$H$54,6)*$I29)/($S29+$Q29)</f>
        <v>#DIV/0!</v>
      </c>
      <c r="W29" s="152"/>
      <c r="X29" s="153">
        <f t="shared" si="13"/>
        <v>0</v>
      </c>
      <c r="Y29" s="153">
        <f t="shared" si="9"/>
        <v>0</v>
      </c>
      <c r="Z29" s="4" t="e">
        <f>(VLOOKUP($O29,'2014 Avoided Costs'!$B$10:$H$54,4)*$I29)/($N29+$Q29)</f>
        <v>#DIV/0!</v>
      </c>
      <c r="AA29" s="1"/>
      <c r="AB29" s="22"/>
    </row>
    <row r="30" spans="1:28" s="8" customFormat="1" hidden="1" x14ac:dyDescent="0.3">
      <c r="A30" s="8" t="e">
        <f>#REF!</f>
        <v>#REF!</v>
      </c>
      <c r="B30" s="237" t="s">
        <v>78</v>
      </c>
      <c r="C30" s="238" t="s">
        <v>91</v>
      </c>
      <c r="D30" s="361" t="s">
        <v>37</v>
      </c>
      <c r="E30" s="240">
        <v>0</v>
      </c>
      <c r="F30" s="243">
        <v>0.24299999999999999</v>
      </c>
      <c r="G30" s="242" t="s">
        <v>135</v>
      </c>
      <c r="H30" s="243">
        <v>0</v>
      </c>
      <c r="I30" s="243">
        <f t="shared" si="11"/>
        <v>0</v>
      </c>
      <c r="J30" s="244">
        <v>1.7</v>
      </c>
      <c r="K30" s="244">
        <f t="shared" si="14"/>
        <v>0</v>
      </c>
      <c r="L30" s="245">
        <f t="shared" si="2"/>
        <v>0.6264883277112907</v>
      </c>
      <c r="M30" s="244">
        <f t="shared" si="3"/>
        <v>0.22491400643972487</v>
      </c>
      <c r="N30" s="246">
        <f t="shared" si="15"/>
        <v>0</v>
      </c>
      <c r="O30" s="247">
        <v>30</v>
      </c>
      <c r="P30" s="242">
        <f t="shared" si="4"/>
        <v>0</v>
      </c>
      <c r="Q30" s="248">
        <f t="shared" si="16"/>
        <v>0</v>
      </c>
      <c r="R30" s="249">
        <v>0.4</v>
      </c>
      <c r="S30" s="250">
        <f t="shared" si="5"/>
        <v>0</v>
      </c>
      <c r="T30" s="150">
        <f t="shared" si="6"/>
        <v>0</v>
      </c>
      <c r="U30" s="150">
        <f t="shared" si="7"/>
        <v>0</v>
      </c>
      <c r="V30" s="151" t="e">
        <f>(VLOOKUP($O30,'2014 Avoided Costs'!$B$10:$H$54,6)*$I30)/($S30+$Q30)</f>
        <v>#DIV/0!</v>
      </c>
      <c r="W30" s="152"/>
      <c r="X30" s="153">
        <f t="shared" si="13"/>
        <v>0</v>
      </c>
      <c r="Y30" s="153">
        <f t="shared" si="9"/>
        <v>0</v>
      </c>
      <c r="Z30" s="4" t="e">
        <f>(VLOOKUP($O30,'2014 Avoided Costs'!$B$10:$H$54,4)*$I30)/($N30+$Q30)</f>
        <v>#DIV/0!</v>
      </c>
      <c r="AA30" s="1"/>
    </row>
    <row r="31" spans="1:28" s="8" customFormat="1" hidden="1" x14ac:dyDescent="0.3">
      <c r="A31" s="8" t="e">
        <f>#REF!</f>
        <v>#REF!</v>
      </c>
      <c r="B31" s="237" t="s">
        <v>78</v>
      </c>
      <c r="C31" s="238" t="s">
        <v>90</v>
      </c>
      <c r="D31" s="361" t="s">
        <v>36</v>
      </c>
      <c r="E31" s="240">
        <v>0</v>
      </c>
      <c r="F31" s="243">
        <v>0.13500000000000001</v>
      </c>
      <c r="G31" s="242" t="s">
        <v>135</v>
      </c>
      <c r="H31" s="243">
        <v>0</v>
      </c>
      <c r="I31" s="243">
        <f t="shared" si="11"/>
        <v>0</v>
      </c>
      <c r="J31" s="244">
        <v>1.7</v>
      </c>
      <c r="K31" s="244">
        <f t="shared" si="14"/>
        <v>0</v>
      </c>
      <c r="L31" s="245">
        <f t="shared" si="2"/>
        <v>0.34804907095071713</v>
      </c>
      <c r="M31" s="244">
        <f t="shared" si="3"/>
        <v>0.12495222579984716</v>
      </c>
      <c r="N31" s="246">
        <f t="shared" si="15"/>
        <v>0</v>
      </c>
      <c r="O31" s="247">
        <v>30</v>
      </c>
      <c r="P31" s="242">
        <f t="shared" si="4"/>
        <v>0</v>
      </c>
      <c r="Q31" s="248">
        <f t="shared" si="16"/>
        <v>0</v>
      </c>
      <c r="R31" s="249">
        <v>0.4</v>
      </c>
      <c r="S31" s="250">
        <f t="shared" si="5"/>
        <v>0</v>
      </c>
      <c r="T31" s="150">
        <f t="shared" si="6"/>
        <v>0</v>
      </c>
      <c r="U31" s="150">
        <f t="shared" si="7"/>
        <v>0</v>
      </c>
      <c r="V31" s="151" t="e">
        <f>(VLOOKUP($O31,'2014 Avoided Costs'!$B$10:$H$54,6)*$I31)/($S31+$Q31)</f>
        <v>#DIV/0!</v>
      </c>
      <c r="W31" s="152"/>
      <c r="X31" s="153">
        <f t="shared" si="13"/>
        <v>0</v>
      </c>
      <c r="Y31" s="153">
        <f t="shared" si="9"/>
        <v>0</v>
      </c>
      <c r="Z31" s="4" t="e">
        <f>(VLOOKUP($O31,'2014 Avoided Costs'!$B$10:$H$54,4)*$I31)/($N31+$Q31)</f>
        <v>#DIV/0!</v>
      </c>
      <c r="AA31" s="1"/>
    </row>
    <row r="32" spans="1:28" s="6" customFormat="1" x14ac:dyDescent="0.3">
      <c r="A32" s="6" t="e">
        <f>#REF!</f>
        <v>#REF!</v>
      </c>
      <c r="B32" s="237" t="s">
        <v>129</v>
      </c>
      <c r="C32" s="237" t="s">
        <v>108</v>
      </c>
      <c r="D32" s="239" t="s">
        <v>109</v>
      </c>
      <c r="E32" s="240">
        <v>18</v>
      </c>
      <c r="F32" s="362">
        <v>1.5</v>
      </c>
      <c r="G32" s="247" t="s">
        <v>134</v>
      </c>
      <c r="H32" s="243">
        <v>32050</v>
      </c>
      <c r="I32" s="243">
        <f>H32*F32</f>
        <v>48075</v>
      </c>
      <c r="J32" s="244">
        <v>8.89</v>
      </c>
      <c r="K32" s="244">
        <f t="shared" si="14"/>
        <v>284924.5</v>
      </c>
      <c r="L32" s="245">
        <f t="shared" si="2"/>
        <v>3.143488884014757</v>
      </c>
      <c r="M32" s="244">
        <f t="shared" si="3"/>
        <v>1.1076034463850348</v>
      </c>
      <c r="N32" s="246">
        <f t="shared" si="15"/>
        <v>148676.99081068669</v>
      </c>
      <c r="O32" s="247">
        <v>20</v>
      </c>
      <c r="P32" s="242">
        <f t="shared" si="4"/>
        <v>682026.45459200814</v>
      </c>
      <c r="Q32" s="248">
        <f t="shared" si="16"/>
        <v>165015.62209612821</v>
      </c>
      <c r="R32" s="249">
        <v>4</v>
      </c>
      <c r="S32" s="250">
        <f>H32*R32</f>
        <v>128200</v>
      </c>
      <c r="T32" s="150">
        <f>IF(ISERROR(S32/P32),0,S32/P32)</f>
        <v>0.18796924831411405</v>
      </c>
      <c r="U32" s="150">
        <f>IF(P32=0,0,(S32+Q32)/P32)</f>
        <v>0.42991825334917738</v>
      </c>
      <c r="V32" s="151">
        <f>(VLOOKUP($O32,'2014 Avoided Costs'!$B$10:$H$54,6)*$I32)/($S32+$Q32)</f>
        <v>0.99194493090360014</v>
      </c>
      <c r="W32" s="152"/>
      <c r="X32" s="153">
        <f>IF(ISERROR(N32/P32),0,N32/P32)</f>
        <v>0.21799299691333243</v>
      </c>
      <c r="Y32" s="153">
        <f>IF(P32=0,0,(N32+Q32)/P32)</f>
        <v>0.4599420019483958</v>
      </c>
      <c r="Z32" s="4">
        <f>(VLOOKUP($O32,'2014 Avoided Costs'!$B$10:$H$54,4)*$I32)/($N32+$Q32)</f>
        <v>0.82451256216489954</v>
      </c>
      <c r="AA32" s="3"/>
    </row>
    <row r="33" spans="1:27" s="8" customFormat="1" x14ac:dyDescent="0.3">
      <c r="A33" s="8" t="e">
        <f>#REF!</f>
        <v>#REF!</v>
      </c>
      <c r="B33" s="237" t="s">
        <v>20</v>
      </c>
      <c r="C33" s="238" t="s">
        <v>26</v>
      </c>
      <c r="D33" s="361" t="s">
        <v>38</v>
      </c>
      <c r="E33" s="240">
        <v>31</v>
      </c>
      <c r="F33" s="243">
        <v>0.79</v>
      </c>
      <c r="G33" s="242" t="s">
        <v>134</v>
      </c>
      <c r="H33" s="243">
        <v>14324.289999999994</v>
      </c>
      <c r="I33" s="243">
        <f t="shared" si="11"/>
        <v>11316.189099999996</v>
      </c>
      <c r="J33" s="244">
        <v>6.06</v>
      </c>
      <c r="K33" s="244">
        <f t="shared" si="14"/>
        <v>86805.197399999961</v>
      </c>
      <c r="L33" s="245">
        <f t="shared" si="2"/>
        <v>1.4094558769398309</v>
      </c>
      <c r="M33" s="244">
        <f t="shared" si="3"/>
        <v>0.48786219364045164</v>
      </c>
      <c r="N33" s="246">
        <f t="shared" si="15"/>
        <v>59627.463134767524</v>
      </c>
      <c r="O33" s="247">
        <v>15</v>
      </c>
      <c r="P33" s="242">
        <f t="shared" si="4"/>
        <v>130148.01403871071</v>
      </c>
      <c r="Q33" s="248">
        <f t="shared" si="16"/>
        <v>38842.391764824228</v>
      </c>
      <c r="R33" s="249">
        <v>2.5</v>
      </c>
      <c r="S33" s="250">
        <f t="shared" si="5"/>
        <v>35810.724999999984</v>
      </c>
      <c r="T33" s="150">
        <f t="shared" si="6"/>
        <v>0.27515383361400031</v>
      </c>
      <c r="U33" s="150">
        <f t="shared" si="7"/>
        <v>0.57360165897437121</v>
      </c>
      <c r="V33" s="151">
        <f>(VLOOKUP($O33,'2014 Avoided Costs'!$B$10:$H$54,6)*$I33)/($S33+$Q33)</f>
        <v>0.79126645560006137</v>
      </c>
      <c r="W33" s="152"/>
      <c r="X33" s="153">
        <f t="shared" si="13"/>
        <v>0.4581511563982234</v>
      </c>
      <c r="Y33" s="153">
        <f t="shared" si="9"/>
        <v>0.75659898175859419</v>
      </c>
      <c r="Z33" s="4">
        <f>(VLOOKUP($O33,'2014 Avoided Costs'!$B$10:$H$54,4)*$I33)/($N33+$Q33)</f>
        <v>0.53323037266116313</v>
      </c>
      <c r="AA33" s="1"/>
    </row>
    <row r="34" spans="1:27" s="6" customFormat="1" hidden="1" x14ac:dyDescent="0.3">
      <c r="A34" s="6" t="e">
        <f>#REF!</f>
        <v>#REF!</v>
      </c>
      <c r="B34" s="237" t="s">
        <v>27</v>
      </c>
      <c r="C34" s="237" t="s">
        <v>27</v>
      </c>
      <c r="D34" s="239" t="s">
        <v>39</v>
      </c>
      <c r="E34" s="240">
        <v>0</v>
      </c>
      <c r="F34" s="362">
        <v>270</v>
      </c>
      <c r="G34" s="242" t="s">
        <v>134</v>
      </c>
      <c r="H34" s="243">
        <v>0</v>
      </c>
      <c r="I34" s="243">
        <f t="shared" si="11"/>
        <v>0</v>
      </c>
      <c r="J34" s="244">
        <v>1.5</v>
      </c>
      <c r="K34" s="244">
        <f t="shared" si="14"/>
        <v>0</v>
      </c>
      <c r="L34" s="245">
        <f t="shared" si="2"/>
        <v>423.79970212226084</v>
      </c>
      <c r="M34" s="244">
        <f t="shared" si="3"/>
        <v>144.27143616811844</v>
      </c>
      <c r="N34" s="246">
        <f t="shared" si="15"/>
        <v>0</v>
      </c>
      <c r="O34" s="247">
        <v>12</v>
      </c>
      <c r="P34" s="242">
        <f t="shared" si="4"/>
        <v>0</v>
      </c>
      <c r="Q34" s="248">
        <f t="shared" si="16"/>
        <v>0</v>
      </c>
      <c r="R34" s="249">
        <v>1000</v>
      </c>
      <c r="S34" s="250">
        <f t="shared" si="5"/>
        <v>0</v>
      </c>
      <c r="T34" s="150">
        <f t="shared" si="6"/>
        <v>0</v>
      </c>
      <c r="U34" s="150">
        <f t="shared" si="7"/>
        <v>0</v>
      </c>
      <c r="V34" s="151" t="e">
        <f>(VLOOKUP($O34,'2014 Avoided Costs'!$B$10:$H$54,6)*$I34)/($S34+$Q34)</f>
        <v>#DIV/0!</v>
      </c>
      <c r="W34" s="152"/>
      <c r="X34" s="153">
        <f t="shared" si="13"/>
        <v>0</v>
      </c>
      <c r="Y34" s="153">
        <f t="shared" si="9"/>
        <v>0</v>
      </c>
      <c r="Z34" s="4" t="e">
        <f>(VLOOKUP($O34,'2014 Avoided Costs'!$B$10:$H$54,4)*$I34)/($N34+$Q34)</f>
        <v>#DIV/0!</v>
      </c>
      <c r="AA34" s="3"/>
    </row>
    <row r="35" spans="1:27" s="6" customFormat="1" hidden="1" x14ac:dyDescent="0.3">
      <c r="A35" s="6" t="e">
        <f>#REF!</f>
        <v>#REF!</v>
      </c>
      <c r="B35" s="237" t="s">
        <v>28</v>
      </c>
      <c r="C35" s="237" t="s">
        <v>29</v>
      </c>
      <c r="D35" s="239" t="s">
        <v>35</v>
      </c>
      <c r="E35" s="240">
        <v>0</v>
      </c>
      <c r="F35" s="362">
        <v>548</v>
      </c>
      <c r="G35" s="247" t="s">
        <v>137</v>
      </c>
      <c r="H35" s="243">
        <v>0</v>
      </c>
      <c r="I35" s="243">
        <f t="shared" si="11"/>
        <v>0</v>
      </c>
      <c r="J35" s="244">
        <v>1400</v>
      </c>
      <c r="K35" s="244">
        <f t="shared" si="14"/>
        <v>0</v>
      </c>
      <c r="L35" s="245">
        <f t="shared" si="2"/>
        <v>683.19909772649839</v>
      </c>
      <c r="M35" s="244">
        <f t="shared" si="3"/>
        <v>224.17033963527962</v>
      </c>
      <c r="N35" s="246">
        <f t="shared" si="15"/>
        <v>0</v>
      </c>
      <c r="O35" s="247">
        <v>8</v>
      </c>
      <c r="P35" s="242">
        <f t="shared" si="4"/>
        <v>0</v>
      </c>
      <c r="Q35" s="248">
        <f t="shared" si="16"/>
        <v>0</v>
      </c>
      <c r="R35" s="249">
        <v>600</v>
      </c>
      <c r="S35" s="250">
        <f t="shared" si="5"/>
        <v>0</v>
      </c>
      <c r="T35" s="150">
        <f t="shared" si="6"/>
        <v>0</v>
      </c>
      <c r="U35" s="150">
        <f t="shared" si="7"/>
        <v>0</v>
      </c>
      <c r="V35" s="151" t="e">
        <f>(VLOOKUP($O35,'2014 Avoided Costs'!$B$10:$H$54,6)*$I35)/($S35+$Q35)</f>
        <v>#DIV/0!</v>
      </c>
      <c r="W35" s="152"/>
      <c r="X35" s="153">
        <f t="shared" si="13"/>
        <v>0</v>
      </c>
      <c r="Y35" s="153">
        <f t="shared" si="9"/>
        <v>0</v>
      </c>
      <c r="Z35" s="4" t="e">
        <f>(VLOOKUP($O35,'2014 Avoided Costs'!$B$10:$H$54,4)*$I35)/($N35+$Q35)</f>
        <v>#DIV/0!</v>
      </c>
      <c r="AA35" s="3"/>
    </row>
    <row r="36" spans="1:27" s="6" customFormat="1" x14ac:dyDescent="0.3">
      <c r="A36" s="6" t="e">
        <f>#REF!</f>
        <v>#REF!</v>
      </c>
      <c r="B36" s="237" t="s">
        <v>130</v>
      </c>
      <c r="C36" s="237" t="s">
        <v>29</v>
      </c>
      <c r="D36" s="239" t="s">
        <v>110</v>
      </c>
      <c r="E36" s="240">
        <v>15</v>
      </c>
      <c r="F36" s="362">
        <v>35</v>
      </c>
      <c r="G36" s="247" t="s">
        <v>136</v>
      </c>
      <c r="H36" s="243">
        <v>92.27</v>
      </c>
      <c r="I36" s="243">
        <f>H36*F36</f>
        <v>3229.45</v>
      </c>
      <c r="J36" s="244">
        <v>137.9</v>
      </c>
      <c r="K36" s="244">
        <f t="shared" si="14"/>
        <v>12724.032999999999</v>
      </c>
      <c r="L36" s="245">
        <f t="shared" si="2"/>
        <v>69.211432684712406</v>
      </c>
      <c r="M36" s="244">
        <f t="shared" si="3"/>
        <v>24.239348886310847</v>
      </c>
      <c r="N36" s="246">
        <f t="shared" si="15"/>
        <v>4101.3293844416849</v>
      </c>
      <c r="O36" s="247">
        <v>18</v>
      </c>
      <c r="P36" s="242">
        <f t="shared" si="4"/>
        <v>42524.88270533114</v>
      </c>
      <c r="Q36" s="248">
        <f t="shared" si="16"/>
        <v>11084.965174796491</v>
      </c>
      <c r="R36" s="249">
        <v>60</v>
      </c>
      <c r="S36" s="250">
        <f>H36*R36</f>
        <v>5536.2</v>
      </c>
      <c r="T36" s="150">
        <f>IF(ISERROR(S36/P36),0,S36/P36)</f>
        <v>0.13018730794302585</v>
      </c>
      <c r="U36" s="150">
        <f>IF(P36=0,0,(S36+Q36)/P36)</f>
        <v>0.39085740200555036</v>
      </c>
      <c r="V36" s="151">
        <f>(VLOOKUP($O36,'2014 Avoided Costs'!$B$10:$H$54,6)*$I36)/($S36+$Q36)</f>
        <v>1.1172103342163773</v>
      </c>
      <c r="W36" s="152"/>
      <c r="X36" s="153">
        <f>IF(ISERROR(N36/P36),0,N36/P36)</f>
        <v>9.6445401457333615E-2</v>
      </c>
      <c r="Y36" s="153">
        <f>IF(P36=0,0,(N36+Q36)/P36)</f>
        <v>0.35711549551985816</v>
      </c>
      <c r="Z36" s="4">
        <f>(VLOOKUP($O36,'2014 Avoided Costs'!$B$10:$H$54,4)*$I36)/($N36+$Q36)</f>
        <v>1.0866699204093306</v>
      </c>
      <c r="AA36" s="3"/>
    </row>
    <row r="37" spans="1:27" s="6" customFormat="1" x14ac:dyDescent="0.3">
      <c r="A37" s="6" t="e">
        <f>#REF!</f>
        <v>#REF!</v>
      </c>
      <c r="B37" s="237" t="s">
        <v>21</v>
      </c>
      <c r="C37" s="237" t="s">
        <v>30</v>
      </c>
      <c r="D37" s="239" t="s">
        <v>40</v>
      </c>
      <c r="E37" s="240">
        <v>1</v>
      </c>
      <c r="F37" s="362">
        <v>90</v>
      </c>
      <c r="G37" s="247" t="s">
        <v>137</v>
      </c>
      <c r="H37" s="243">
        <v>3</v>
      </c>
      <c r="I37" s="243">
        <f t="shared" si="11"/>
        <v>270</v>
      </c>
      <c r="J37" s="244">
        <v>200</v>
      </c>
      <c r="K37" s="244">
        <f t="shared" si="14"/>
        <v>600</v>
      </c>
      <c r="L37" s="245">
        <f t="shared" si="2"/>
        <v>127.23789952486193</v>
      </c>
      <c r="M37" s="244">
        <f t="shared" si="3"/>
        <v>42.648323091541265</v>
      </c>
      <c r="N37" s="246">
        <f t="shared" si="15"/>
        <v>90.341332150790407</v>
      </c>
      <c r="O37" s="247">
        <v>10</v>
      </c>
      <c r="P37" s="242">
        <f t="shared" si="4"/>
        <v>2243.2215394360842</v>
      </c>
      <c r="Q37" s="248">
        <f t="shared" si="16"/>
        <v>926.76480428402749</v>
      </c>
      <c r="R37" s="249">
        <v>180</v>
      </c>
      <c r="S37" s="250">
        <f t="shared" si="5"/>
        <v>540</v>
      </c>
      <c r="T37" s="150">
        <f t="shared" si="6"/>
        <v>0.24072522062878762</v>
      </c>
      <c r="U37" s="150">
        <f t="shared" si="7"/>
        <v>0.65386533541076486</v>
      </c>
      <c r="V37" s="151">
        <f>(VLOOKUP($O37,'2014 Avoided Costs'!$B$10:$H$54,6)*$I37)/($S37+$Q37)</f>
        <v>0.7160657229655053</v>
      </c>
      <c r="W37" s="152"/>
      <c r="X37" s="153">
        <f t="shared" si="13"/>
        <v>4.0273031692402976E-2</v>
      </c>
      <c r="Y37" s="153">
        <f t="shared" si="9"/>
        <v>0.45341314647438025</v>
      </c>
      <c r="Z37" s="4">
        <f>(VLOOKUP($O37,'2014 Avoided Costs'!$B$10:$H$54,4)*$I37)/($N37+$Q37)</f>
        <v>0.93972493701620019</v>
      </c>
      <c r="AA37" s="3"/>
    </row>
    <row r="38" spans="1:27" s="6" customFormat="1" hidden="1" x14ac:dyDescent="0.3">
      <c r="A38" s="6" t="e">
        <f>#REF!</f>
        <v>#REF!</v>
      </c>
      <c r="B38" s="363" t="s">
        <v>185</v>
      </c>
      <c r="C38" s="363" t="s">
        <v>138</v>
      </c>
      <c r="D38" s="364" t="s">
        <v>139</v>
      </c>
      <c r="E38" s="240">
        <v>0</v>
      </c>
      <c r="F38" s="365">
        <v>136.9</v>
      </c>
      <c r="G38" s="366" t="s">
        <v>134</v>
      </c>
      <c r="H38" s="243">
        <v>0</v>
      </c>
      <c r="I38" s="243">
        <f t="shared" si="11"/>
        <v>0</v>
      </c>
      <c r="J38" s="244">
        <v>315</v>
      </c>
      <c r="K38" s="244">
        <f t="shared" si="14"/>
        <v>0</v>
      </c>
      <c r="L38" s="245">
        <f t="shared" si="2"/>
        <v>158.63397069125909</v>
      </c>
      <c r="M38" s="244">
        <f t="shared" si="3"/>
        <v>51.330548975057397</v>
      </c>
      <c r="N38" s="246">
        <f t="shared" si="15"/>
        <v>0</v>
      </c>
      <c r="O38" s="247">
        <v>7</v>
      </c>
      <c r="P38" s="242">
        <f t="shared" si="4"/>
        <v>0</v>
      </c>
      <c r="Q38" s="248">
        <f t="shared" si="16"/>
        <v>0</v>
      </c>
      <c r="R38" s="249">
        <v>125</v>
      </c>
      <c r="S38" s="250">
        <f t="shared" si="5"/>
        <v>0</v>
      </c>
      <c r="T38" s="150">
        <f t="shared" si="6"/>
        <v>0</v>
      </c>
      <c r="U38" s="150">
        <f t="shared" si="7"/>
        <v>0</v>
      </c>
      <c r="V38" s="151" t="e">
        <f>(VLOOKUP($O38,'2014 Avoided Costs'!$B$10:$H$54,6)*$I38)/($S38+$Q38)</f>
        <v>#DIV/0!</v>
      </c>
      <c r="W38" s="152"/>
      <c r="X38" s="153">
        <f t="shared" si="13"/>
        <v>0</v>
      </c>
      <c r="Y38" s="153">
        <f t="shared" si="9"/>
        <v>0</v>
      </c>
      <c r="Z38" s="4" t="e">
        <f>(VLOOKUP($O38,'2014 Avoided Costs'!$B$10:$H$54,4)*$I38)/($N38+$Q38)</f>
        <v>#DIV/0!</v>
      </c>
      <c r="AA38" s="3"/>
    </row>
    <row r="39" spans="1:27" s="6" customFormat="1" hidden="1" x14ac:dyDescent="0.3">
      <c r="A39" s="6" t="e">
        <f>#REF!</f>
        <v>#REF!</v>
      </c>
      <c r="B39" s="237" t="s">
        <v>131</v>
      </c>
      <c r="C39" s="237" t="s">
        <v>29</v>
      </c>
      <c r="D39" s="239" t="s">
        <v>111</v>
      </c>
      <c r="E39" s="240">
        <v>0</v>
      </c>
      <c r="F39" s="362">
        <v>261</v>
      </c>
      <c r="G39" s="247" t="s">
        <v>137</v>
      </c>
      <c r="H39" s="243">
        <v>0</v>
      </c>
      <c r="I39" s="243">
        <f t="shared" si="11"/>
        <v>0</v>
      </c>
      <c r="J39" s="244">
        <v>900</v>
      </c>
      <c r="K39" s="244">
        <f t="shared" si="14"/>
        <v>0</v>
      </c>
      <c r="L39" s="245">
        <f t="shared" si="2"/>
        <v>409.67304538485217</v>
      </c>
      <c r="M39" s="244">
        <f t="shared" si="3"/>
        <v>139.46238829584783</v>
      </c>
      <c r="N39" s="246">
        <f t="shared" si="15"/>
        <v>0</v>
      </c>
      <c r="O39" s="247">
        <v>12</v>
      </c>
      <c r="P39" s="242">
        <f t="shared" si="4"/>
        <v>0</v>
      </c>
      <c r="Q39" s="248">
        <f t="shared" si="16"/>
        <v>0</v>
      </c>
      <c r="R39" s="249">
        <v>400</v>
      </c>
      <c r="S39" s="250">
        <f t="shared" si="5"/>
        <v>0</v>
      </c>
      <c r="T39" s="150">
        <f t="shared" si="6"/>
        <v>0</v>
      </c>
      <c r="U39" s="150">
        <f t="shared" si="7"/>
        <v>0</v>
      </c>
      <c r="V39" s="151" t="e">
        <f>(VLOOKUP($O39,'2014 Avoided Costs'!$B$10:$H$54,6)*$I39)/($S39+$Q39)</f>
        <v>#DIV/0!</v>
      </c>
      <c r="W39" s="152"/>
      <c r="X39" s="153">
        <f t="shared" si="13"/>
        <v>0</v>
      </c>
      <c r="Y39" s="153">
        <f t="shared" si="9"/>
        <v>0</v>
      </c>
      <c r="Z39" s="4" t="e">
        <f>(VLOOKUP($O39,'2014 Avoided Costs'!$B$10:$H$54,4)*$I39)/($N39+$Q39)</f>
        <v>#DIV/0!</v>
      </c>
      <c r="AA39" s="3"/>
    </row>
    <row r="40" spans="1:27" s="6" customFormat="1" hidden="1" x14ac:dyDescent="0.3">
      <c r="A40" s="6" t="e">
        <f>#REF!</f>
        <v>#REF!</v>
      </c>
      <c r="B40" s="237" t="s">
        <v>132</v>
      </c>
      <c r="C40" s="237" t="s">
        <v>113</v>
      </c>
      <c r="D40" s="239" t="s">
        <v>112</v>
      </c>
      <c r="E40" s="240">
        <v>0</v>
      </c>
      <c r="F40" s="362">
        <v>912</v>
      </c>
      <c r="G40" s="247" t="s">
        <v>137</v>
      </c>
      <c r="H40" s="243">
        <v>0</v>
      </c>
      <c r="I40" s="243">
        <f t="shared" si="11"/>
        <v>0</v>
      </c>
      <c r="J40" s="244">
        <v>3200</v>
      </c>
      <c r="K40" s="244">
        <f t="shared" si="14"/>
        <v>0</v>
      </c>
      <c r="L40" s="245">
        <f t="shared" si="2"/>
        <v>1431.5012160574145</v>
      </c>
      <c r="M40" s="244">
        <f t="shared" si="3"/>
        <v>487.3168510567557</v>
      </c>
      <c r="N40" s="246">
        <f t="shared" si="15"/>
        <v>0</v>
      </c>
      <c r="O40" s="247">
        <v>12</v>
      </c>
      <c r="P40" s="242">
        <f t="shared" si="4"/>
        <v>0</v>
      </c>
      <c r="Q40" s="248">
        <f t="shared" si="16"/>
        <v>0</v>
      </c>
      <c r="R40" s="249">
        <v>1200</v>
      </c>
      <c r="S40" s="250">
        <f t="shared" si="5"/>
        <v>0</v>
      </c>
      <c r="T40" s="150">
        <f t="shared" si="6"/>
        <v>0</v>
      </c>
      <c r="U40" s="150">
        <f t="shared" si="7"/>
        <v>0</v>
      </c>
      <c r="V40" s="151" t="e">
        <f>(VLOOKUP($O40,'2014 Avoided Costs'!$B$10:$H$54,6)*$I40)/($S40+$Q40)</f>
        <v>#DIV/0!</v>
      </c>
      <c r="W40" s="152"/>
      <c r="X40" s="153">
        <f t="shared" si="13"/>
        <v>0</v>
      </c>
      <c r="Y40" s="153">
        <f t="shared" si="9"/>
        <v>0</v>
      </c>
      <c r="Z40" s="4" t="e">
        <f>(VLOOKUP($O40,'2014 Avoided Costs'!$B$10:$H$54,4)*$I40)/($N40+$Q40)</f>
        <v>#DIV/0!</v>
      </c>
      <c r="AA40" s="3"/>
    </row>
    <row r="41" spans="1:27" s="6" customFormat="1" hidden="1" x14ac:dyDescent="0.3">
      <c r="A41" s="6" t="e">
        <f>#REF!</f>
        <v>#REF!</v>
      </c>
      <c r="B41" s="237" t="s">
        <v>132</v>
      </c>
      <c r="C41" s="237" t="s">
        <v>29</v>
      </c>
      <c r="D41" s="239" t="s">
        <v>114</v>
      </c>
      <c r="E41" s="240">
        <v>0</v>
      </c>
      <c r="F41" s="362">
        <v>448</v>
      </c>
      <c r="G41" s="247" t="s">
        <v>137</v>
      </c>
      <c r="H41" s="243">
        <v>0</v>
      </c>
      <c r="I41" s="243">
        <f t="shared" si="11"/>
        <v>0</v>
      </c>
      <c r="J41" s="244">
        <v>1800</v>
      </c>
      <c r="K41" s="244">
        <f t="shared" si="14"/>
        <v>0</v>
      </c>
      <c r="L41" s="245">
        <f t="shared" si="2"/>
        <v>703.19357981767735</v>
      </c>
      <c r="M41" s="244">
        <f t="shared" si="3"/>
        <v>239.38371630858174</v>
      </c>
      <c r="N41" s="246">
        <f t="shared" si="15"/>
        <v>0</v>
      </c>
      <c r="O41" s="247">
        <v>12</v>
      </c>
      <c r="P41" s="242">
        <f t="shared" si="4"/>
        <v>0</v>
      </c>
      <c r="Q41" s="248">
        <f t="shared" si="16"/>
        <v>0</v>
      </c>
      <c r="R41" s="249">
        <v>600</v>
      </c>
      <c r="S41" s="250">
        <f t="shared" si="5"/>
        <v>0</v>
      </c>
      <c r="T41" s="150">
        <f t="shared" si="6"/>
        <v>0</v>
      </c>
      <c r="U41" s="150">
        <f t="shared" si="7"/>
        <v>0</v>
      </c>
      <c r="V41" s="151" t="e">
        <f>(VLOOKUP($O41,'2014 Avoided Costs'!$B$10:$H$54,6)*$I41)/($S41+$Q41)</f>
        <v>#DIV/0!</v>
      </c>
      <c r="W41" s="152"/>
      <c r="X41" s="153">
        <f t="shared" si="13"/>
        <v>0</v>
      </c>
      <c r="Y41" s="153">
        <f t="shared" si="9"/>
        <v>0</v>
      </c>
      <c r="Z41" s="4" t="e">
        <f>(VLOOKUP($O41,'2014 Avoided Costs'!$B$10:$H$54,4)*$I41)/($N41+$Q41)</f>
        <v>#DIV/0!</v>
      </c>
      <c r="AA41" s="3"/>
    </row>
    <row r="42" spans="1:27" s="6" customFormat="1" hidden="1" x14ac:dyDescent="0.3">
      <c r="A42" s="6" t="e">
        <f>#REF!</f>
        <v>#REF!</v>
      </c>
      <c r="B42" s="237" t="s">
        <v>106</v>
      </c>
      <c r="C42" s="237" t="s">
        <v>106</v>
      </c>
      <c r="D42" s="239" t="s">
        <v>107</v>
      </c>
      <c r="E42" s="240">
        <v>0</v>
      </c>
      <c r="F42" s="362">
        <v>1806</v>
      </c>
      <c r="G42" s="247" t="s">
        <v>137</v>
      </c>
      <c r="H42" s="243">
        <v>0</v>
      </c>
      <c r="I42" s="243">
        <f t="shared" si="11"/>
        <v>0</v>
      </c>
      <c r="J42" s="244">
        <v>6200</v>
      </c>
      <c r="K42" s="244">
        <f t="shared" si="14"/>
        <v>0</v>
      </c>
      <c r="L42" s="245">
        <f t="shared" si="2"/>
        <v>2834.7491186400116</v>
      </c>
      <c r="M42" s="244">
        <f t="shared" si="3"/>
        <v>965.01560636897</v>
      </c>
      <c r="N42" s="246">
        <f t="shared" si="15"/>
        <v>0</v>
      </c>
      <c r="O42" s="247">
        <v>12</v>
      </c>
      <c r="P42" s="242">
        <f t="shared" si="4"/>
        <v>0</v>
      </c>
      <c r="Q42" s="248">
        <f t="shared" si="16"/>
        <v>0</v>
      </c>
      <c r="R42" s="249">
        <v>2000</v>
      </c>
      <c r="S42" s="250">
        <f t="shared" si="5"/>
        <v>0</v>
      </c>
      <c r="T42" s="150">
        <f t="shared" si="6"/>
        <v>0</v>
      </c>
      <c r="U42" s="150">
        <f t="shared" si="7"/>
        <v>0</v>
      </c>
      <c r="V42" s="151" t="e">
        <f>(VLOOKUP($O42,'2014 Avoided Costs'!$B$10:$H$54,6)*$I42)/($S42+$Q42)</f>
        <v>#DIV/0!</v>
      </c>
      <c r="W42" s="152"/>
      <c r="X42" s="153">
        <f t="shared" si="13"/>
        <v>0</v>
      </c>
      <c r="Y42" s="153">
        <f t="shared" si="9"/>
        <v>0</v>
      </c>
      <c r="Z42" s="4" t="e">
        <f>(VLOOKUP($O42,'2014 Avoided Costs'!$B$10:$H$54,4)*$I42)/($N42+$Q42)</f>
        <v>#DIV/0!</v>
      </c>
      <c r="AA42" s="3"/>
    </row>
    <row r="43" spans="1:27" s="6" customFormat="1" hidden="1" x14ac:dyDescent="0.3">
      <c r="A43" s="6" t="e">
        <f>#REF!</f>
        <v>#REF!</v>
      </c>
      <c r="B43" s="237" t="s">
        <v>133</v>
      </c>
      <c r="C43" s="237" t="s">
        <v>29</v>
      </c>
      <c r="D43" s="239" t="s">
        <v>115</v>
      </c>
      <c r="E43" s="240">
        <v>0</v>
      </c>
      <c r="F43" s="362">
        <v>158</v>
      </c>
      <c r="G43" s="247" t="s">
        <v>137</v>
      </c>
      <c r="H43" s="243">
        <v>0</v>
      </c>
      <c r="I43" s="243">
        <f t="shared" si="11"/>
        <v>0</v>
      </c>
      <c r="J43" s="244">
        <v>1048</v>
      </c>
      <c r="K43" s="244">
        <f t="shared" si="14"/>
        <v>0</v>
      </c>
      <c r="L43" s="245">
        <f t="shared" si="2"/>
        <v>248.00130716784156</v>
      </c>
      <c r="M43" s="244">
        <f t="shared" si="3"/>
        <v>84.425507090973014</v>
      </c>
      <c r="N43" s="246">
        <f t="shared" si="15"/>
        <v>0</v>
      </c>
      <c r="O43" s="247">
        <v>12</v>
      </c>
      <c r="P43" s="242">
        <f t="shared" si="4"/>
        <v>0</v>
      </c>
      <c r="Q43" s="248">
        <f t="shared" si="16"/>
        <v>0</v>
      </c>
      <c r="R43" s="249">
        <v>200</v>
      </c>
      <c r="S43" s="250">
        <f t="shared" si="5"/>
        <v>0</v>
      </c>
      <c r="T43" s="150">
        <f t="shared" si="6"/>
        <v>0</v>
      </c>
      <c r="U43" s="150">
        <f t="shared" si="7"/>
        <v>0</v>
      </c>
      <c r="V43" s="151" t="e">
        <f>(VLOOKUP($O43,'2014 Avoided Costs'!$B$10:$H$54,6)*$I43)/($S43+$Q43)</f>
        <v>#DIV/0!</v>
      </c>
      <c r="W43" s="152"/>
      <c r="X43" s="153">
        <f t="shared" si="13"/>
        <v>0</v>
      </c>
      <c r="Y43" s="153">
        <f t="shared" si="9"/>
        <v>0</v>
      </c>
      <c r="Z43" s="4" t="e">
        <f>(VLOOKUP($O43,'2014 Avoided Costs'!$B$10:$H$54,4)*$I43)/($N43+$Q43)</f>
        <v>#DIV/0!</v>
      </c>
      <c r="AA43" s="3"/>
    </row>
    <row r="44" spans="1:27" s="6" customFormat="1" hidden="1" x14ac:dyDescent="0.3">
      <c r="A44" s="56"/>
      <c r="B44" s="237" t="s">
        <v>186</v>
      </c>
      <c r="C44" s="237" t="s">
        <v>29</v>
      </c>
      <c r="D44" s="239" t="s">
        <v>35</v>
      </c>
      <c r="E44" s="240">
        <v>0</v>
      </c>
      <c r="F44" s="362">
        <v>272</v>
      </c>
      <c r="G44" s="247" t="s">
        <v>137</v>
      </c>
      <c r="H44" s="243">
        <v>0</v>
      </c>
      <c r="I44" s="243">
        <f t="shared" si="11"/>
        <v>0</v>
      </c>
      <c r="J44" s="244">
        <v>1049</v>
      </c>
      <c r="K44" s="244">
        <f t="shared" si="14"/>
        <v>0</v>
      </c>
      <c r="L44" s="245">
        <f t="shared" si="2"/>
        <v>426.93895917501834</v>
      </c>
      <c r="M44" s="244">
        <f t="shared" si="3"/>
        <v>145.34011347306748</v>
      </c>
      <c r="N44" s="246">
        <f t="shared" si="15"/>
        <v>0</v>
      </c>
      <c r="O44" s="247">
        <v>12</v>
      </c>
      <c r="P44" s="242">
        <f t="shared" si="4"/>
        <v>0</v>
      </c>
      <c r="Q44" s="248">
        <f t="shared" si="16"/>
        <v>0</v>
      </c>
      <c r="R44" s="249">
        <v>600</v>
      </c>
      <c r="S44" s="250">
        <f t="shared" ref="S44" si="17">H44*R44</f>
        <v>0</v>
      </c>
      <c r="T44" s="150">
        <f t="shared" ref="T44" si="18">IF(ISERROR(S44/P44),0,S44/P44)</f>
        <v>0</v>
      </c>
      <c r="U44" s="150">
        <f t="shared" ref="U44" si="19">IF(P44=0,0,(S44+Q44)/P44)</f>
        <v>0</v>
      </c>
      <c r="V44" s="151" t="e">
        <f>(VLOOKUP($O44,'2014 Avoided Costs'!$B$10:$H$54,6)*$I44)/($S44+$Q44)</f>
        <v>#DIV/0!</v>
      </c>
      <c r="W44" s="152"/>
      <c r="X44" s="153">
        <f t="shared" ref="X44" si="20">IF(ISERROR(N44/P44),0,N44/P44)</f>
        <v>0</v>
      </c>
      <c r="Y44" s="153">
        <f t="shared" ref="Y44" si="21">IF(P44=0,0,(N44+Q44)/P44)</f>
        <v>0</v>
      </c>
      <c r="Z44" s="4" t="e">
        <f>(VLOOKUP($O44,'2014 Avoided Costs'!$B$10:$H$54,4)*$I44)/($N44+$Q44)</f>
        <v>#DIV/0!</v>
      </c>
      <c r="AA44" s="3"/>
    </row>
    <row r="45" spans="1:27" s="6" customFormat="1" x14ac:dyDescent="0.3">
      <c r="A45" s="56"/>
      <c r="B45" s="237" t="s">
        <v>149</v>
      </c>
      <c r="C45" s="237" t="s">
        <v>149</v>
      </c>
      <c r="D45" s="239" t="s">
        <v>150</v>
      </c>
      <c r="E45" s="240">
        <v>3</v>
      </c>
      <c r="F45" s="362">
        <v>136</v>
      </c>
      <c r="G45" s="247" t="s">
        <v>137</v>
      </c>
      <c r="H45" s="243">
        <v>47</v>
      </c>
      <c r="I45" s="243">
        <f t="shared" si="11"/>
        <v>6392</v>
      </c>
      <c r="J45" s="244">
        <v>315</v>
      </c>
      <c r="K45" s="244">
        <f t="shared" si="14"/>
        <v>14805</v>
      </c>
      <c r="L45" s="245">
        <f t="shared" si="2"/>
        <v>132.389138331867</v>
      </c>
      <c r="M45" s="244">
        <f>0.1*$F45+PV($C$110,$O45,(-0.05*0.9*$F45))+PV($C$110,$O63,1.7)</f>
        <v>33.545232722290336</v>
      </c>
      <c r="N45" s="246">
        <f t="shared" si="15"/>
        <v>7006.0845604546048</v>
      </c>
      <c r="O45" s="247">
        <v>5</v>
      </c>
      <c r="P45" s="242">
        <f t="shared" si="4"/>
        <v>28843.875013773708</v>
      </c>
      <c r="Q45" s="248">
        <f t="shared" si="16"/>
        <v>21940.298625864827</v>
      </c>
      <c r="R45" s="249">
        <v>105</v>
      </c>
      <c r="S45" s="250">
        <f t="shared" ref="S45:S53" si="22">H45*R45</f>
        <v>4935</v>
      </c>
      <c r="T45" s="150">
        <f t="shared" ref="T45:T64" si="23">IF(ISERROR(S45/P45),0,S45/P45)</f>
        <v>0.17109351630609299</v>
      </c>
      <c r="U45" s="150">
        <f t="shared" ref="U45:U64" si="24">IF(P45=0,0,(S45+Q45)/P45)</f>
        <v>0.9317506268846043</v>
      </c>
      <c r="V45" s="151">
        <f>(VLOOKUP($O45,'2014 Avoided Costs'!$B$10:$H$54,6)*$I45)/($S45+$Q45)</f>
        <v>0.51135431800463449</v>
      </c>
      <c r="W45" s="152"/>
      <c r="X45" s="153">
        <f t="shared" ref="X45:X47" si="25">IF(ISERROR(N45/P45),0,N45/P45)</f>
        <v>0.24289678682593846</v>
      </c>
      <c r="Y45" s="153">
        <f t="shared" ref="Y45:Y64" si="26">IF(P45=0,0,(N45+Q45)/P45)</f>
        <v>1.0035538974044498</v>
      </c>
      <c r="Z45" s="4">
        <f>(VLOOKUP($O45,'2014 Avoided Costs'!$B$10:$H$54,4)*$I45)/($N45+$Q45)</f>
        <v>0.44164412243537016</v>
      </c>
      <c r="AA45" s="3"/>
    </row>
    <row r="46" spans="1:27" s="6" customFormat="1" hidden="1" x14ac:dyDescent="0.3">
      <c r="A46" s="56"/>
      <c r="B46" s="237" t="s">
        <v>131</v>
      </c>
      <c r="C46" s="237" t="s">
        <v>29</v>
      </c>
      <c r="D46" s="239" t="s">
        <v>111</v>
      </c>
      <c r="E46" s="240">
        <v>0</v>
      </c>
      <c r="F46" s="362">
        <v>213</v>
      </c>
      <c r="G46" s="247" t="s">
        <v>137</v>
      </c>
      <c r="H46" s="243">
        <v>0</v>
      </c>
      <c r="I46" s="243">
        <f t="shared" si="11"/>
        <v>0</v>
      </c>
      <c r="J46" s="244">
        <v>900</v>
      </c>
      <c r="K46" s="244">
        <f t="shared" si="14"/>
        <v>0</v>
      </c>
      <c r="L46" s="245">
        <f t="shared" si="2"/>
        <v>334.33087611867245</v>
      </c>
      <c r="M46" s="244">
        <f t="shared" ref="M46:M62" si="27">0.1*$F46+PV($C$110,$O46,(-0.05*0.9*$F46))</f>
        <v>113.81413297707121</v>
      </c>
      <c r="N46" s="246">
        <f t="shared" si="15"/>
        <v>0</v>
      </c>
      <c r="O46" s="247">
        <v>12</v>
      </c>
      <c r="P46" s="242">
        <f t="shared" si="4"/>
        <v>0</v>
      </c>
      <c r="Q46" s="248">
        <f t="shared" si="16"/>
        <v>0</v>
      </c>
      <c r="R46" s="249">
        <v>450</v>
      </c>
      <c r="S46" s="250">
        <f t="shared" si="22"/>
        <v>0</v>
      </c>
      <c r="T46" s="150">
        <f t="shared" si="23"/>
        <v>0</v>
      </c>
      <c r="U46" s="150">
        <f t="shared" si="24"/>
        <v>0</v>
      </c>
      <c r="V46" s="151" t="e">
        <f>(VLOOKUP($O46,'2014 Avoided Costs'!$B$10:$H$54,6)*$I46)/($S46+$Q46)</f>
        <v>#DIV/0!</v>
      </c>
      <c r="W46" s="152"/>
      <c r="X46" s="153">
        <f t="shared" si="25"/>
        <v>0</v>
      </c>
      <c r="Y46" s="153">
        <f t="shared" si="26"/>
        <v>0</v>
      </c>
      <c r="Z46" s="4" t="e">
        <f>(VLOOKUP($O46,'2014 Avoided Costs'!$B$10:$H$54,4)*$I46)/($N46+$Q46)</f>
        <v>#DIV/0!</v>
      </c>
      <c r="AA46" s="3"/>
    </row>
    <row r="47" spans="1:27" s="6" customFormat="1" hidden="1" x14ac:dyDescent="0.3">
      <c r="A47" s="56"/>
      <c r="B47" s="237" t="s">
        <v>189</v>
      </c>
      <c r="C47" s="238" t="s">
        <v>25</v>
      </c>
      <c r="D47" s="239" t="s">
        <v>35</v>
      </c>
      <c r="E47" s="240">
        <v>0</v>
      </c>
      <c r="F47" s="241">
        <v>4.33</v>
      </c>
      <c r="G47" s="242" t="s">
        <v>134</v>
      </c>
      <c r="H47" s="243">
        <v>0</v>
      </c>
      <c r="I47" s="243">
        <f t="shared" si="11"/>
        <v>0</v>
      </c>
      <c r="J47" s="244">
        <v>21</v>
      </c>
      <c r="K47" s="244">
        <f t="shared" si="14"/>
        <v>0</v>
      </c>
      <c r="L47" s="245">
        <f t="shared" si="2"/>
        <v>8.5624429578515624</v>
      </c>
      <c r="M47" s="244">
        <f t="shared" si="27"/>
        <v>2.9987537336493135</v>
      </c>
      <c r="N47" s="246">
        <f t="shared" si="15"/>
        <v>0</v>
      </c>
      <c r="O47" s="247">
        <v>18</v>
      </c>
      <c r="P47" s="242">
        <f t="shared" si="4"/>
        <v>0</v>
      </c>
      <c r="Q47" s="248">
        <f t="shared" si="16"/>
        <v>0</v>
      </c>
      <c r="R47" s="249">
        <v>6.95</v>
      </c>
      <c r="S47" s="250">
        <f t="shared" si="22"/>
        <v>0</v>
      </c>
      <c r="T47" s="150">
        <f t="shared" si="23"/>
        <v>0</v>
      </c>
      <c r="U47" s="150">
        <f t="shared" si="24"/>
        <v>0</v>
      </c>
      <c r="V47" s="151" t="e">
        <f>(VLOOKUP($O47,'2014 Avoided Costs'!$B$10:$H$54,6)*$I47)/($S47+$Q47)</f>
        <v>#DIV/0!</v>
      </c>
      <c r="W47" s="152"/>
      <c r="X47" s="153">
        <f t="shared" si="25"/>
        <v>0</v>
      </c>
      <c r="Y47" s="153">
        <f t="shared" si="26"/>
        <v>0</v>
      </c>
      <c r="Z47" s="4" t="e">
        <f>(VLOOKUP($O47,'2014 Avoided Costs'!$B$10:$H$54,4)*$I47)/($N47+$Q47)</f>
        <v>#DIV/0!</v>
      </c>
      <c r="AA47" s="3"/>
    </row>
    <row r="48" spans="1:27" s="6" customFormat="1" x14ac:dyDescent="0.3">
      <c r="A48" s="56"/>
      <c r="B48" s="237" t="s">
        <v>161</v>
      </c>
      <c r="C48" s="238" t="s">
        <v>29</v>
      </c>
      <c r="D48" s="239" t="s">
        <v>114</v>
      </c>
      <c r="E48" s="240">
        <v>1</v>
      </c>
      <c r="F48" s="241">
        <v>448</v>
      </c>
      <c r="G48" s="247" t="s">
        <v>137</v>
      </c>
      <c r="H48" s="243">
        <v>1</v>
      </c>
      <c r="I48" s="243">
        <f t="shared" ref="I48:I62" si="28">H48*F48</f>
        <v>448</v>
      </c>
      <c r="J48" s="244">
        <v>1800</v>
      </c>
      <c r="K48" s="244">
        <f t="shared" si="14"/>
        <v>1800</v>
      </c>
      <c r="L48" s="245">
        <f t="shared" ref="L48:L64" si="29">0.5*0.9*$F48+PV($C$110,$O48,-(0.116*$F48))</f>
        <v>703.19357981767735</v>
      </c>
      <c r="M48" s="244">
        <f t="shared" si="27"/>
        <v>239.38371630858174</v>
      </c>
      <c r="N48" s="246">
        <f t="shared" si="15"/>
        <v>857.42270387374094</v>
      </c>
      <c r="O48" s="247">
        <v>12</v>
      </c>
      <c r="P48" s="242">
        <f t="shared" ref="P48:P64" si="30">PV($C$110,O48,-I48)</f>
        <v>4324.082584635149</v>
      </c>
      <c r="Q48" s="248">
        <f t="shared" si="16"/>
        <v>1537.7430826638679</v>
      </c>
      <c r="R48" s="249">
        <v>650</v>
      </c>
      <c r="S48" s="250">
        <f t="shared" si="22"/>
        <v>650</v>
      </c>
      <c r="T48" s="150">
        <f t="shared" ref="T48:T53" si="31">IF(ISERROR(S48/P48),0,S48/P48)</f>
        <v>0.15032090328470096</v>
      </c>
      <c r="U48" s="150">
        <f t="shared" ref="U48:U53" si="32">IF(P48=0,0,(S48+Q48)/P48)</f>
        <v>0.50594387129367513</v>
      </c>
      <c r="V48" s="151">
        <f>(VLOOKUP($O48,'2014 Avoided Costs'!$B$10:$H$54,6)*$I48)/($S48+$Q48)</f>
        <v>0.90511542040342874</v>
      </c>
      <c r="W48" s="152"/>
      <c r="X48" s="153">
        <f t="shared" ref="X48" si="33">IF(ISERROR(N48/P48),0,N48/P48)</f>
        <v>0.19829008514324831</v>
      </c>
      <c r="Y48" s="153">
        <f t="shared" ref="Y48:Y53" si="34">IF(P48=0,0,(N48+Q48)/P48)</f>
        <v>0.55391305315222239</v>
      </c>
      <c r="Z48" s="4">
        <f>(VLOOKUP($O48,'2014 Avoided Costs'!$B$10:$H$54,4)*$I48)/($N48+$Q48)</f>
        <v>0.75191454809623937</v>
      </c>
      <c r="AA48" s="3"/>
    </row>
    <row r="49" spans="1:27" s="6" customFormat="1" x14ac:dyDescent="0.3">
      <c r="A49" s="56"/>
      <c r="B49" s="237" t="s">
        <v>160</v>
      </c>
      <c r="C49" s="237" t="s">
        <v>29</v>
      </c>
      <c r="D49" s="239" t="s">
        <v>35</v>
      </c>
      <c r="E49" s="240">
        <v>21</v>
      </c>
      <c r="F49" s="241">
        <v>685</v>
      </c>
      <c r="G49" s="247" t="s">
        <v>137</v>
      </c>
      <c r="H49" s="243">
        <v>26</v>
      </c>
      <c r="I49" s="243">
        <f t="shared" si="28"/>
        <v>17810</v>
      </c>
      <c r="J49" s="244">
        <v>1400</v>
      </c>
      <c r="K49" s="244">
        <f t="shared" si="14"/>
        <v>36400</v>
      </c>
      <c r="L49" s="245">
        <f t="shared" si="29"/>
        <v>1075.1955405694396</v>
      </c>
      <c r="M49" s="244">
        <f t="shared" si="27"/>
        <v>366.02197694504122</v>
      </c>
      <c r="N49" s="246">
        <f t="shared" si="15"/>
        <v>0</v>
      </c>
      <c r="O49" s="247">
        <v>12</v>
      </c>
      <c r="P49" s="242">
        <f t="shared" si="30"/>
        <v>171901.58667935713</v>
      </c>
      <c r="Q49" s="248">
        <f t="shared" si="16"/>
        <v>61132.152460364923</v>
      </c>
      <c r="R49" s="249">
        <v>600</v>
      </c>
      <c r="S49" s="250">
        <f t="shared" si="22"/>
        <v>15600</v>
      </c>
      <c r="T49" s="150">
        <f t="shared" si="31"/>
        <v>9.0749598659017688E-2</v>
      </c>
      <c r="U49" s="150">
        <f t="shared" si="32"/>
        <v>0.4463725666679918</v>
      </c>
      <c r="V49" s="151">
        <f>(VLOOKUP($O49,'2014 Avoided Costs'!$B$10:$H$54,6)*$I49)/($S49+$Q49)</f>
        <v>1.0259089244324533</v>
      </c>
      <c r="W49" s="152"/>
      <c r="X49" s="153">
        <f>IF(ISERROR((N49)/P49),0,N49/P49)</f>
        <v>0</v>
      </c>
      <c r="Y49" s="153">
        <f t="shared" si="34"/>
        <v>0.35562296800897419</v>
      </c>
      <c r="Z49" s="4">
        <f>(VLOOKUP($O49,'2014 Avoided Costs'!$B$10:$H$54,4)*$I49)/($N49+$Q49)</f>
        <v>1.1711709324552158</v>
      </c>
      <c r="AA49" s="3"/>
    </row>
    <row r="50" spans="1:27" s="6" customFormat="1" x14ac:dyDescent="0.3">
      <c r="A50" s="56"/>
      <c r="B50" s="237" t="s">
        <v>193</v>
      </c>
      <c r="C50" s="238" t="s">
        <v>29</v>
      </c>
      <c r="D50" s="361" t="s">
        <v>35</v>
      </c>
      <c r="E50" s="240">
        <v>1</v>
      </c>
      <c r="F50" s="241">
        <v>231</v>
      </c>
      <c r="G50" s="242" t="s">
        <v>137</v>
      </c>
      <c r="H50" s="243">
        <v>1</v>
      </c>
      <c r="I50" s="243">
        <f>H50*F50</f>
        <v>231</v>
      </c>
      <c r="J50" s="244">
        <v>1400</v>
      </c>
      <c r="K50" s="244">
        <f t="shared" si="14"/>
        <v>1400</v>
      </c>
      <c r="L50" s="245">
        <f t="shared" si="29"/>
        <v>362.58418959348984</v>
      </c>
      <c r="M50" s="244">
        <f t="shared" si="27"/>
        <v>123.43222872161246</v>
      </c>
      <c r="N50" s="246">
        <f t="shared" si="15"/>
        <v>913.98358168489779</v>
      </c>
      <c r="O50" s="247">
        <v>12</v>
      </c>
      <c r="P50" s="242">
        <f t="shared" si="30"/>
        <v>2229.6050827024987</v>
      </c>
      <c r="Q50" s="248">
        <f t="shared" si="16"/>
        <v>792.89877699855685</v>
      </c>
      <c r="R50" s="249">
        <v>600</v>
      </c>
      <c r="S50" s="250">
        <f>H50*R50</f>
        <v>600</v>
      </c>
      <c r="T50" s="150">
        <f>IF(ISERROR(S50/P50),0,S50/P50)</f>
        <v>0.26910595273345067</v>
      </c>
      <c r="U50" s="150">
        <f>IF(P50=0,0,(S50+Q50)/P50)</f>
        <v>0.62472892074242481</v>
      </c>
      <c r="V50" s="151">
        <f>(VLOOKUP($O50,'2014 Avoided Costs'!$B$10:$H$54,6)*$I50)/($S50+$Q50)</f>
        <v>0.73301808922548706</v>
      </c>
      <c r="W50" s="152"/>
      <c r="X50" s="153">
        <f t="shared" ref="X50:X64" si="35">IF(ISERROR((N50)/P50),0,N50/P50)</f>
        <v>0.40993070422007677</v>
      </c>
      <c r="Y50" s="153">
        <f>IF(P50=0,0,(N50+Q50)/P50)</f>
        <v>0.76555367222905091</v>
      </c>
      <c r="Z50" s="4">
        <f>(VLOOKUP($O50,'2014 Avoided Costs'!$B$10:$H$54,4)*$I50)/($N50+$Q50)</f>
        <v>0.54404452379264101</v>
      </c>
      <c r="AA50" s="3"/>
    </row>
    <row r="51" spans="1:27" s="6" customFormat="1" x14ac:dyDescent="0.3">
      <c r="A51" s="56"/>
      <c r="B51" s="237" t="s">
        <v>157</v>
      </c>
      <c r="C51" s="237" t="s">
        <v>29</v>
      </c>
      <c r="D51" s="239" t="s">
        <v>111</v>
      </c>
      <c r="E51" s="240">
        <v>2</v>
      </c>
      <c r="F51" s="241">
        <v>219</v>
      </c>
      <c r="G51" s="247" t="s">
        <v>137</v>
      </c>
      <c r="H51" s="243">
        <v>4</v>
      </c>
      <c r="I51" s="243">
        <f t="shared" si="28"/>
        <v>876</v>
      </c>
      <c r="J51" s="244">
        <v>900</v>
      </c>
      <c r="K51" s="244">
        <f t="shared" si="14"/>
        <v>3600</v>
      </c>
      <c r="L51" s="245">
        <f t="shared" si="29"/>
        <v>343.74864727694489</v>
      </c>
      <c r="M51" s="244">
        <f t="shared" si="27"/>
        <v>117.02016489191828</v>
      </c>
      <c r="N51" s="246">
        <f t="shared" si="15"/>
        <v>1756.9247513245473</v>
      </c>
      <c r="O51" s="247">
        <v>12</v>
      </c>
      <c r="P51" s="242">
        <f t="shared" si="30"/>
        <v>8455.1257681705138</v>
      </c>
      <c r="Q51" s="248">
        <f t="shared" si="16"/>
        <v>3006.8369205659556</v>
      </c>
      <c r="R51" s="249">
        <v>450</v>
      </c>
      <c r="S51" s="250">
        <f t="shared" si="22"/>
        <v>1800</v>
      </c>
      <c r="T51" s="150">
        <f t="shared" si="31"/>
        <v>0.21288861329255859</v>
      </c>
      <c r="U51" s="150">
        <f t="shared" si="32"/>
        <v>0.56851158130153279</v>
      </c>
      <c r="V51" s="151">
        <f>(VLOOKUP($O51,'2014 Avoided Costs'!$B$10:$H$54,6)*$I51)/($S51+$Q51)</f>
        <v>0.80550267545671617</v>
      </c>
      <c r="W51" s="152"/>
      <c r="X51" s="153">
        <f t="shared" si="35"/>
        <v>0.20779404109380903</v>
      </c>
      <c r="Y51" s="153">
        <f t="shared" si="34"/>
        <v>0.56341700910278314</v>
      </c>
      <c r="Z51" s="4">
        <f>(VLOOKUP($O51,'2014 Avoided Costs'!$B$10:$H$54,4)*$I51)/($N51+$Q51)</f>
        <v>0.73923093608553292</v>
      </c>
      <c r="AA51" s="3"/>
    </row>
    <row r="52" spans="1:27" s="6" customFormat="1" x14ac:dyDescent="0.3">
      <c r="A52" s="56"/>
      <c r="B52" s="237" t="s">
        <v>158</v>
      </c>
      <c r="C52" s="237" t="s">
        <v>29</v>
      </c>
      <c r="D52" s="239" t="s">
        <v>111</v>
      </c>
      <c r="E52" s="240">
        <v>3</v>
      </c>
      <c r="F52" s="241">
        <v>649</v>
      </c>
      <c r="G52" s="247" t="s">
        <v>137</v>
      </c>
      <c r="H52" s="243">
        <v>3</v>
      </c>
      <c r="I52" s="243">
        <f t="shared" si="28"/>
        <v>1947</v>
      </c>
      <c r="J52" s="244">
        <v>900</v>
      </c>
      <c r="K52" s="244">
        <f t="shared" si="14"/>
        <v>2700</v>
      </c>
      <c r="L52" s="245">
        <f t="shared" si="29"/>
        <v>1018.6889136198049</v>
      </c>
      <c r="M52" s="244">
        <f t="shared" si="27"/>
        <v>346.78578545595883</v>
      </c>
      <c r="N52" s="246">
        <f t="shared" si="15"/>
        <v>0</v>
      </c>
      <c r="O52" s="247">
        <v>12</v>
      </c>
      <c r="P52" s="242">
        <f t="shared" si="30"/>
        <v>18792.385697063917</v>
      </c>
      <c r="Q52" s="248">
        <f t="shared" si="16"/>
        <v>6683.0039775592641</v>
      </c>
      <c r="R52" s="249">
        <v>450</v>
      </c>
      <c r="S52" s="250">
        <f t="shared" si="22"/>
        <v>1350</v>
      </c>
      <c r="T52" s="150">
        <f t="shared" si="31"/>
        <v>7.1837606026302514E-2</v>
      </c>
      <c r="U52" s="150">
        <f t="shared" si="32"/>
        <v>0.4274605740352766</v>
      </c>
      <c r="V52" s="151">
        <f>(VLOOKUP($O52,'2014 Avoided Costs'!$B$10:$H$54,6)*$I52)/($S52+$Q52)</f>
        <v>1.0712978636685246</v>
      </c>
      <c r="W52" s="152"/>
      <c r="X52" s="153">
        <f t="shared" si="35"/>
        <v>0</v>
      </c>
      <c r="Y52" s="153">
        <f t="shared" si="34"/>
        <v>0.35562296800897408</v>
      </c>
      <c r="Z52" s="4">
        <f>(VLOOKUP($O52,'2014 Avoided Costs'!$B$10:$H$54,4)*$I52)/($N52+$Q52)</f>
        <v>1.1711709324552158</v>
      </c>
      <c r="AA52" s="3"/>
    </row>
    <row r="53" spans="1:27" s="6" customFormat="1" x14ac:dyDescent="0.3">
      <c r="A53" s="56"/>
      <c r="B53" s="237" t="s">
        <v>159</v>
      </c>
      <c r="C53" s="237" t="s">
        <v>29</v>
      </c>
      <c r="D53" s="239" t="s">
        <v>111</v>
      </c>
      <c r="E53" s="240">
        <v>2</v>
      </c>
      <c r="F53" s="241">
        <v>141</v>
      </c>
      <c r="G53" s="247" t="s">
        <v>137</v>
      </c>
      <c r="H53" s="243">
        <v>5</v>
      </c>
      <c r="I53" s="243">
        <f t="shared" si="28"/>
        <v>705</v>
      </c>
      <c r="J53" s="244">
        <v>900</v>
      </c>
      <c r="K53" s="244">
        <f t="shared" si="14"/>
        <v>4500</v>
      </c>
      <c r="L53" s="245">
        <f t="shared" si="29"/>
        <v>221.31762221940289</v>
      </c>
      <c r="M53" s="244">
        <f t="shared" si="27"/>
        <v>75.341749998906295</v>
      </c>
      <c r="N53" s="246">
        <f t="shared" si="15"/>
        <v>3016.7031389084541</v>
      </c>
      <c r="O53" s="247">
        <v>12</v>
      </c>
      <c r="P53" s="242">
        <f t="shared" si="30"/>
        <v>6804.6388887673656</v>
      </c>
      <c r="Q53" s="248">
        <f t="shared" si="16"/>
        <v>2419.8858778527383</v>
      </c>
      <c r="R53" s="249">
        <v>450</v>
      </c>
      <c r="S53" s="250">
        <f t="shared" si="22"/>
        <v>2250</v>
      </c>
      <c r="T53" s="150">
        <f t="shared" si="31"/>
        <v>0.33065678234801654</v>
      </c>
      <c r="U53" s="150">
        <f t="shared" si="32"/>
        <v>0.68627975035699074</v>
      </c>
      <c r="V53" s="151">
        <f>(VLOOKUP($O53,'2014 Avoided Costs'!$B$10:$H$54,6)*$I53)/($S53+$Q53)</f>
        <v>0.66727540704545329</v>
      </c>
      <c r="W53" s="152"/>
      <c r="X53" s="153">
        <f t="shared" si="35"/>
        <v>0.4433303792047249</v>
      </c>
      <c r="Y53" s="153">
        <f t="shared" si="34"/>
        <v>0.79895334721369904</v>
      </c>
      <c r="Z53" s="4">
        <f>(VLOOKUP($O53,'2014 Avoided Costs'!$B$10:$H$54,4)*$I53)/($N53+$Q53)</f>
        <v>0.52130113040775594</v>
      </c>
      <c r="AA53" s="3"/>
    </row>
    <row r="54" spans="1:27" s="6" customFormat="1" x14ac:dyDescent="0.3">
      <c r="A54" s="56"/>
      <c r="B54" s="237" t="s">
        <v>187</v>
      </c>
      <c r="C54" s="237" t="s">
        <v>194</v>
      </c>
      <c r="D54" s="361" t="s">
        <v>68</v>
      </c>
      <c r="E54" s="240">
        <v>4</v>
      </c>
      <c r="F54" s="362">
        <v>0.31</v>
      </c>
      <c r="G54" s="242" t="s">
        <v>135</v>
      </c>
      <c r="H54" s="243">
        <v>11009</v>
      </c>
      <c r="I54" s="243">
        <f>H54*F54</f>
        <v>3412.79</v>
      </c>
      <c r="J54" s="244">
        <v>1.35</v>
      </c>
      <c r="K54" s="244">
        <f t="shared" si="14"/>
        <v>14862.150000000001</v>
      </c>
      <c r="L54" s="245">
        <f t="shared" si="29"/>
        <v>0.7992237925534984</v>
      </c>
      <c r="M54" s="244">
        <f t="shared" si="27"/>
        <v>0.28692733331816755</v>
      </c>
      <c r="N54" s="246">
        <f t="shared" si="15"/>
        <v>2904.7122552788305</v>
      </c>
      <c r="O54" s="247">
        <v>30</v>
      </c>
      <c r="P54" s="242">
        <f t="shared" si="30"/>
        <v>62611.200277771255</v>
      </c>
      <c r="Q54" s="248">
        <f t="shared" si="16"/>
        <v>11714.272801527726</v>
      </c>
      <c r="R54" s="249">
        <v>0.5</v>
      </c>
      <c r="S54" s="250">
        <f>H54*R54</f>
        <v>5504.5</v>
      </c>
      <c r="T54" s="150">
        <f t="shared" ref="T54" si="36">IF(ISERROR(S54/P54),0,S54/P54)</f>
        <v>8.7915580208965477E-2</v>
      </c>
      <c r="U54" s="150">
        <f t="shared" ref="U54" si="37">IF(P54=0,0,(S54+Q54)/P54)</f>
        <v>0.27501106391727925</v>
      </c>
      <c r="V54" s="151">
        <f>(VLOOKUP($O54,'2014 Avoided Costs'!$B$10:$H$54,6)*$I54)/($S54+$Q54)</f>
        <v>1.4666925623038187</v>
      </c>
      <c r="W54" s="152"/>
      <c r="X54" s="153">
        <f t="shared" si="35"/>
        <v>4.6392853712949586E-2</v>
      </c>
      <c r="Y54" s="153">
        <f t="shared" ref="Y54" si="38">IF(P54=0,0,(N54+Q54)/P54)</f>
        <v>0.2334883374212634</v>
      </c>
      <c r="Z54" s="4">
        <f>(VLOOKUP($O54,'2014 Avoided Costs'!$B$10:$H$54,4)*$I54)/($N54+$Q54)</f>
        <v>1.4707298021342043</v>
      </c>
      <c r="AA54" s="3"/>
    </row>
    <row r="55" spans="1:27" s="6" customFormat="1" x14ac:dyDescent="0.3">
      <c r="A55" s="56"/>
      <c r="B55" s="237" t="s">
        <v>190</v>
      </c>
      <c r="C55" s="238" t="s">
        <v>154</v>
      </c>
      <c r="D55" s="361" t="s">
        <v>69</v>
      </c>
      <c r="E55" s="240">
        <v>2</v>
      </c>
      <c r="F55" s="241">
        <v>0.32</v>
      </c>
      <c r="G55" s="242" t="s">
        <v>135</v>
      </c>
      <c r="H55" s="243">
        <v>5298</v>
      </c>
      <c r="I55" s="243">
        <f>H55*F55</f>
        <v>1695.3600000000001</v>
      </c>
      <c r="J55" s="244">
        <v>1.63</v>
      </c>
      <c r="K55" s="244">
        <f t="shared" si="14"/>
        <v>8635.74</v>
      </c>
      <c r="L55" s="245">
        <f t="shared" si="29"/>
        <v>0.82500520521651455</v>
      </c>
      <c r="M55" s="244">
        <f t="shared" si="27"/>
        <v>0.29618305374778586</v>
      </c>
      <c r="N55" s="246">
        <f t="shared" si="15"/>
        <v>2695.6846040071359</v>
      </c>
      <c r="O55" s="247">
        <v>30</v>
      </c>
      <c r="P55" s="242">
        <f t="shared" si="30"/>
        <v>31103.151527905989</v>
      </c>
      <c r="Q55" s="248">
        <f t="shared" si="16"/>
        <v>5819.2591799665515</v>
      </c>
      <c r="R55" s="249">
        <v>0.65</v>
      </c>
      <c r="S55" s="250">
        <f>H55*R55</f>
        <v>3443.7000000000003</v>
      </c>
      <c r="T55" s="150">
        <f>IF(ISERROR(S55/P55),0,S55/P55)</f>
        <v>0.1107186838256659</v>
      </c>
      <c r="U55" s="150">
        <f>IF(P55=0,0,(S55+Q55)/P55)</f>
        <v>0.29781416753397971</v>
      </c>
      <c r="V55" s="151">
        <f>(VLOOKUP($O55,'2014 Avoided Costs'!$B$10:$H$54,6)*$I55)/($S55+$Q55)</f>
        <v>1.3543905091510187</v>
      </c>
      <c r="W55" s="152"/>
      <c r="X55" s="153">
        <f t="shared" si="35"/>
        <v>8.666917889618185E-2</v>
      </c>
      <c r="Y55" s="153">
        <f>IF(P55=0,0,(N55+Q55)/P55)</f>
        <v>0.27376466260449567</v>
      </c>
      <c r="Z55" s="4">
        <f>(VLOOKUP($O55,'2014 Avoided Costs'!$B$10:$H$54,4)*$I55)/($N55+$Q55)</f>
        <v>1.2543556682197592</v>
      </c>
      <c r="AA55" s="3"/>
    </row>
    <row r="56" spans="1:27" s="6" customFormat="1" x14ac:dyDescent="0.3">
      <c r="A56" s="56"/>
      <c r="B56" s="237" t="s">
        <v>191</v>
      </c>
      <c r="C56" s="238" t="s">
        <v>155</v>
      </c>
      <c r="D56" s="361" t="s">
        <v>69</v>
      </c>
      <c r="E56" s="240">
        <v>1</v>
      </c>
      <c r="F56" s="241">
        <v>0.32</v>
      </c>
      <c r="G56" s="242" t="s">
        <v>135</v>
      </c>
      <c r="H56" s="243">
        <v>4680</v>
      </c>
      <c r="I56" s="243">
        <f>H56*F56</f>
        <v>1497.6000000000001</v>
      </c>
      <c r="J56" s="244">
        <v>1.63</v>
      </c>
      <c r="K56" s="244">
        <f t="shared" si="14"/>
        <v>7628.4</v>
      </c>
      <c r="L56" s="245">
        <f t="shared" si="29"/>
        <v>0.82500520521651455</v>
      </c>
      <c r="M56" s="244">
        <f t="shared" si="27"/>
        <v>0.29618305374778586</v>
      </c>
      <c r="N56" s="246">
        <f t="shared" si="15"/>
        <v>2381.2389480470738</v>
      </c>
      <c r="O56" s="247">
        <v>30</v>
      </c>
      <c r="P56" s="242">
        <f t="shared" si="30"/>
        <v>27475.037589769727</v>
      </c>
      <c r="Q56" s="248">
        <f t="shared" si="16"/>
        <v>5140.4554477620732</v>
      </c>
      <c r="R56" s="249">
        <v>0.78</v>
      </c>
      <c r="S56" s="250">
        <f>H56*R56</f>
        <v>3650.4</v>
      </c>
      <c r="T56" s="150">
        <f>IF(ISERROR(S56/P56),0,S56/P56)</f>
        <v>0.13286242059079909</v>
      </c>
      <c r="U56" s="150">
        <f>IF(P56=0,0,(S56+Q56)/P56)</f>
        <v>0.31995790429911292</v>
      </c>
      <c r="V56" s="151">
        <f>(VLOOKUP($O56,'2014 Avoided Costs'!$B$10:$H$54,6)*$I56)/($S56+$Q56)</f>
        <v>1.2606554692946585</v>
      </c>
      <c r="W56" s="152"/>
      <c r="X56" s="153">
        <f t="shared" si="35"/>
        <v>8.6669178896181864E-2</v>
      </c>
      <c r="Y56" s="153">
        <f>IF(P56=0,0,(N56+Q56)/P56)</f>
        <v>0.27376466260449572</v>
      </c>
      <c r="Z56" s="4">
        <f>(VLOOKUP($O56,'2014 Avoided Costs'!$B$10:$H$54,4)*$I56)/($N56+$Q56)</f>
        <v>1.2543556682197592</v>
      </c>
      <c r="AA56" s="3"/>
    </row>
    <row r="57" spans="1:27" s="6" customFormat="1" x14ac:dyDescent="0.3">
      <c r="A57" s="56"/>
      <c r="B57" s="237" t="s">
        <v>182</v>
      </c>
      <c r="C57" s="238" t="s">
        <v>172</v>
      </c>
      <c r="D57" s="361" t="s">
        <v>68</v>
      </c>
      <c r="E57" s="240">
        <v>1</v>
      </c>
      <c r="F57" s="241">
        <v>0.36</v>
      </c>
      <c r="G57" s="242" t="s">
        <v>135</v>
      </c>
      <c r="H57" s="243">
        <v>19000</v>
      </c>
      <c r="I57" s="243">
        <f t="shared" si="28"/>
        <v>6840</v>
      </c>
      <c r="J57" s="244">
        <v>2.15</v>
      </c>
      <c r="K57" s="244">
        <f t="shared" si="14"/>
        <v>40850</v>
      </c>
      <c r="L57" s="245">
        <f t="shared" si="29"/>
        <v>0.9281308558685788</v>
      </c>
      <c r="M57" s="244">
        <f t="shared" si="27"/>
        <v>0.33320593546625904</v>
      </c>
      <c r="N57" s="246">
        <f t="shared" si="15"/>
        <v>16884.600964638077</v>
      </c>
      <c r="O57" s="247">
        <v>30</v>
      </c>
      <c r="P57" s="242">
        <f t="shared" si="30"/>
        <v>125486.95053019826</v>
      </c>
      <c r="Q57" s="248">
        <f t="shared" si="16"/>
        <v>23478.041708528697</v>
      </c>
      <c r="R57" s="249">
        <v>0.8</v>
      </c>
      <c r="S57" s="250">
        <f t="shared" ref="S57:S62" si="39">H57*R57</f>
        <v>15200</v>
      </c>
      <c r="T57" s="150">
        <f t="shared" ref="T57:T62" si="40">IF(ISERROR(S57/P57),0,S57/P57)</f>
        <v>0.12112813273235244</v>
      </c>
      <c r="U57" s="150">
        <f t="shared" ref="U57:U62" si="41">IF(P57=0,0,(S57+Q57)/P57)</f>
        <v>0.30822361644066631</v>
      </c>
      <c r="V57" s="151">
        <f>(VLOOKUP($O57,'2014 Avoided Costs'!$B$10:$H$54,6)*$I57)/($S57+$Q57)</f>
        <v>1.308649501477706</v>
      </c>
      <c r="W57" s="152"/>
      <c r="X57" s="153">
        <f t="shared" si="35"/>
        <v>0.13455264386693994</v>
      </c>
      <c r="Y57" s="153">
        <f t="shared" ref="Y57:Y62" si="42">IF(P57=0,0,(N57+Q57)/P57)</f>
        <v>0.32164812757525379</v>
      </c>
      <c r="Z57" s="4">
        <f>(VLOOKUP($O57,'2014 Avoided Costs'!$B$10:$H$54,4)*$I57)/($N57+$Q57)</f>
        <v>1.0676208777738856</v>
      </c>
      <c r="AA57" s="3"/>
    </row>
    <row r="58" spans="1:27" s="6" customFormat="1" x14ac:dyDescent="0.3">
      <c r="A58" s="56"/>
      <c r="B58" s="237" t="s">
        <v>192</v>
      </c>
      <c r="C58" s="238" t="s">
        <v>156</v>
      </c>
      <c r="D58" s="361" t="s">
        <v>68</v>
      </c>
      <c r="E58" s="240">
        <v>2</v>
      </c>
      <c r="F58" s="241">
        <v>0.36</v>
      </c>
      <c r="G58" s="242" t="s">
        <v>135</v>
      </c>
      <c r="H58" s="243">
        <v>40882</v>
      </c>
      <c r="I58" s="243">
        <f>H58*F58</f>
        <v>14717.519999999999</v>
      </c>
      <c r="J58" s="244">
        <v>2.15</v>
      </c>
      <c r="K58" s="244">
        <f t="shared" si="14"/>
        <v>87896.3</v>
      </c>
      <c r="L58" s="245">
        <f t="shared" si="29"/>
        <v>0.9281308558685788</v>
      </c>
      <c r="M58" s="244">
        <f t="shared" si="27"/>
        <v>0.33320593546625904</v>
      </c>
      <c r="N58" s="246">
        <f t="shared" si="15"/>
        <v>36330.329296649157</v>
      </c>
      <c r="O58" s="247">
        <v>30</v>
      </c>
      <c r="P58" s="242">
        <f t="shared" si="30"/>
        <v>270008.29008292448</v>
      </c>
      <c r="Q58" s="248">
        <f t="shared" si="16"/>
        <v>50517.331638319476</v>
      </c>
      <c r="R58" s="249">
        <v>0.96</v>
      </c>
      <c r="S58" s="250">
        <f>H58*R58</f>
        <v>39246.720000000001</v>
      </c>
      <c r="T58" s="150">
        <f>IF(ISERROR(S58/P58),0,S58/P58)</f>
        <v>0.14535375927882294</v>
      </c>
      <c r="U58" s="150">
        <f>IF(P58=0,0,(S58+Q58)/P58)</f>
        <v>0.33244924298713679</v>
      </c>
      <c r="V58" s="151">
        <f>(VLOOKUP($O58,'2014 Avoided Costs'!$B$10:$H$54,6)*$I58)/($S58+$Q58)</f>
        <v>1.2132880146589489</v>
      </c>
      <c r="W58" s="152"/>
      <c r="X58" s="153">
        <f t="shared" si="35"/>
        <v>0.13455264386693996</v>
      </c>
      <c r="Y58" s="153">
        <f>IF(P58=0,0,(N58+Q58)/P58)</f>
        <v>0.32164812757525379</v>
      </c>
      <c r="Z58" s="4">
        <f>(VLOOKUP($O58,'2014 Avoided Costs'!$B$10:$H$54,4)*$I58)/($N58+$Q58)</f>
        <v>1.0676208777738854</v>
      </c>
      <c r="AA58" s="3"/>
    </row>
    <row r="59" spans="1:27" s="6" customFormat="1" x14ac:dyDescent="0.3">
      <c r="A59" s="56"/>
      <c r="B59" s="237" t="s">
        <v>169</v>
      </c>
      <c r="C59" s="238" t="s">
        <v>171</v>
      </c>
      <c r="D59" s="361" t="s">
        <v>37</v>
      </c>
      <c r="E59" s="240">
        <v>1</v>
      </c>
      <c r="F59" s="241">
        <v>0.16</v>
      </c>
      <c r="G59" s="242" t="s">
        <v>135</v>
      </c>
      <c r="H59" s="243">
        <v>1977</v>
      </c>
      <c r="I59" s="243">
        <f t="shared" si="28"/>
        <v>316.32</v>
      </c>
      <c r="J59" s="244">
        <v>1.5</v>
      </c>
      <c r="K59" s="244">
        <f t="shared" si="14"/>
        <v>2965.5</v>
      </c>
      <c r="L59" s="245">
        <f t="shared" si="29"/>
        <v>0.41250260260825727</v>
      </c>
      <c r="M59" s="244">
        <f t="shared" si="27"/>
        <v>0.14809152687389293</v>
      </c>
      <c r="N59" s="246">
        <f t="shared" si="15"/>
        <v>1857.2054060137891</v>
      </c>
      <c r="O59" s="247">
        <v>30</v>
      </c>
      <c r="P59" s="242">
        <f t="shared" si="30"/>
        <v>5803.2210806596959</v>
      </c>
      <c r="Q59" s="248">
        <f t="shared" si="16"/>
        <v>1085.7564551523096</v>
      </c>
      <c r="R59" s="249">
        <v>0.5</v>
      </c>
      <c r="S59" s="250">
        <f t="shared" si="39"/>
        <v>988.5</v>
      </c>
      <c r="T59" s="150">
        <f t="shared" si="40"/>
        <v>0.17033643665487061</v>
      </c>
      <c r="U59" s="150">
        <f t="shared" si="41"/>
        <v>0.35743192036318444</v>
      </c>
      <c r="V59" s="151">
        <f>(VLOOKUP($O59,'2014 Avoided Costs'!$B$10:$H$54,6)*$I59)/($S59+$Q59)</f>
        <v>1.1284853394987366</v>
      </c>
      <c r="W59" s="152"/>
      <c r="X59" s="153">
        <f t="shared" si="35"/>
        <v>0.32003009711335462</v>
      </c>
      <c r="Y59" s="153">
        <f t="shared" si="42"/>
        <v>0.50712558082166848</v>
      </c>
      <c r="Z59" s="4">
        <f>(VLOOKUP($O59,'2014 Avoided Costs'!$B$10:$H$54,4)*$I59)/($N59+$Q59)</f>
        <v>0.67714638993329668</v>
      </c>
      <c r="AA59" s="3"/>
    </row>
    <row r="60" spans="1:27" s="6" customFormat="1" x14ac:dyDescent="0.3">
      <c r="A60" s="56"/>
      <c r="B60" s="237" t="s">
        <v>183</v>
      </c>
      <c r="C60" s="238" t="s">
        <v>170</v>
      </c>
      <c r="D60" s="361" t="s">
        <v>37</v>
      </c>
      <c r="E60" s="240">
        <v>1</v>
      </c>
      <c r="F60" s="241">
        <v>0.16</v>
      </c>
      <c r="G60" s="242" t="s">
        <v>135</v>
      </c>
      <c r="H60" s="243">
        <v>7820</v>
      </c>
      <c r="I60" s="243">
        <f>H60*F60</f>
        <v>1251.2</v>
      </c>
      <c r="J60" s="244">
        <v>1.5</v>
      </c>
      <c r="K60" s="244">
        <f t="shared" si="14"/>
        <v>11730</v>
      </c>
      <c r="L60" s="245">
        <f t="shared" si="29"/>
        <v>0.41250260260825727</v>
      </c>
      <c r="M60" s="244">
        <f t="shared" si="27"/>
        <v>0.14809152687389293</v>
      </c>
      <c r="N60" s="246">
        <f t="shared" si="15"/>
        <v>7346.1539074495859</v>
      </c>
      <c r="O60" s="247">
        <v>30</v>
      </c>
      <c r="P60" s="242">
        <f t="shared" si="30"/>
        <v>22954.572003418725</v>
      </c>
      <c r="Q60" s="248">
        <f t="shared" si="16"/>
        <v>4294.6967522969453</v>
      </c>
      <c r="R60" s="249">
        <v>0.6</v>
      </c>
      <c r="S60" s="250">
        <f>H60*R60</f>
        <v>4692</v>
      </c>
      <c r="T60" s="150">
        <f>IF(ISERROR(S60/P60),0,S60/P60)</f>
        <v>0.20440372398584472</v>
      </c>
      <c r="U60" s="150">
        <f>IF(P60=0,0,(S60+Q60)/P60)</f>
        <v>0.39149920769415864</v>
      </c>
      <c r="V60" s="151">
        <f>(VLOOKUP($O60,'2014 Avoided Costs'!$B$10:$H$54,6)*$I60)/($S60+$Q60)</f>
        <v>1.0302873519831952</v>
      </c>
      <c r="W60" s="152"/>
      <c r="X60" s="153">
        <f t="shared" si="35"/>
        <v>0.32003009711335462</v>
      </c>
      <c r="Y60" s="153">
        <f>IF(P60=0,0,(N60+Q60)/P60)</f>
        <v>0.50712558082166848</v>
      </c>
      <c r="Z60" s="4">
        <f>(VLOOKUP($O60,'2014 Avoided Costs'!$B$10:$H$54,4)*$I60)/($N60+$Q60)</f>
        <v>0.67714638993329679</v>
      </c>
      <c r="AA60" s="3"/>
    </row>
    <row r="61" spans="1:27" s="6" customFormat="1" x14ac:dyDescent="0.3">
      <c r="A61" s="56"/>
      <c r="B61" s="237" t="s">
        <v>188</v>
      </c>
      <c r="C61" s="237" t="s">
        <v>195</v>
      </c>
      <c r="D61" s="361" t="s">
        <v>36</v>
      </c>
      <c r="E61" s="240">
        <v>4</v>
      </c>
      <c r="F61" s="362">
        <v>0.19</v>
      </c>
      <c r="G61" s="242" t="s">
        <v>135</v>
      </c>
      <c r="H61" s="243">
        <v>22590</v>
      </c>
      <c r="I61" s="243">
        <f>H61*F61</f>
        <v>4292.1000000000004</v>
      </c>
      <c r="J61" s="244">
        <v>1.7</v>
      </c>
      <c r="K61" s="244">
        <f t="shared" si="14"/>
        <v>38403</v>
      </c>
      <c r="L61" s="245">
        <f t="shared" si="29"/>
        <v>0.48984684059730554</v>
      </c>
      <c r="M61" s="244">
        <f t="shared" si="27"/>
        <v>0.17585868816274786</v>
      </c>
      <c r="N61" s="246">
        <f t="shared" si="15"/>
        <v>23364.712105310395</v>
      </c>
      <c r="O61" s="247">
        <v>30</v>
      </c>
      <c r="P61" s="242">
        <f t="shared" si="30"/>
        <v>78743.061457699412</v>
      </c>
      <c r="Q61" s="248">
        <f t="shared" si="16"/>
        <v>14732.471172101757</v>
      </c>
      <c r="R61" s="249">
        <v>0.56000000000000005</v>
      </c>
      <c r="S61" s="250">
        <f>H61*R61</f>
        <v>12650.400000000001</v>
      </c>
      <c r="T61" s="150">
        <f t="shared" ref="T61" si="43">IF(ISERROR(S61/P61),0,S61/P61)</f>
        <v>0.16065415499238325</v>
      </c>
      <c r="U61" s="150">
        <f t="shared" ref="U61" si="44">IF(P61=0,0,(S61+Q61)/P61)</f>
        <v>0.34774963870069714</v>
      </c>
      <c r="V61" s="151">
        <f>(VLOOKUP($O61,'2014 Avoided Costs'!$B$10:$H$54,6)*$I61)/($S61+$Q61)</f>
        <v>1.159905394886396</v>
      </c>
      <c r="W61" s="152"/>
      <c r="X61" s="153">
        <f t="shared" si="35"/>
        <v>0.2967209005184776</v>
      </c>
      <c r="Y61" s="153">
        <f t="shared" ref="Y61" si="45">IF(P61=0,0,(N61+Q61)/P61)</f>
        <v>0.48381638422679141</v>
      </c>
      <c r="Z61" s="4">
        <f>(VLOOKUP($O61,'2014 Avoided Costs'!$B$10:$H$54,4)*$I61)/($N61+$Q61)</f>
        <v>0.70976979592168898</v>
      </c>
      <c r="AA61" s="3"/>
    </row>
    <row r="62" spans="1:27" s="6" customFormat="1" x14ac:dyDescent="0.3">
      <c r="A62" s="56"/>
      <c r="B62" s="237" t="s">
        <v>184</v>
      </c>
      <c r="C62" s="238" t="s">
        <v>173</v>
      </c>
      <c r="D62" s="361" t="s">
        <v>36</v>
      </c>
      <c r="E62" s="240">
        <v>2</v>
      </c>
      <c r="F62" s="241">
        <v>0.19</v>
      </c>
      <c r="G62" s="242" t="s">
        <v>135</v>
      </c>
      <c r="H62" s="243">
        <v>13002</v>
      </c>
      <c r="I62" s="243">
        <f t="shared" si="28"/>
        <v>2470.38</v>
      </c>
      <c r="J62" s="244">
        <v>1.7</v>
      </c>
      <c r="K62" s="244">
        <f t="shared" si="14"/>
        <v>22103.399999999998</v>
      </c>
      <c r="L62" s="245">
        <f t="shared" si="29"/>
        <v>0.48984684059730554</v>
      </c>
      <c r="M62" s="244">
        <f t="shared" si="27"/>
        <v>0.17585868816274786</v>
      </c>
      <c r="N62" s="246">
        <f t="shared" si="15"/>
        <v>13447.896715061786</v>
      </c>
      <c r="O62" s="247">
        <v>30</v>
      </c>
      <c r="P62" s="242">
        <f t="shared" si="30"/>
        <v>45321.703633156612</v>
      </c>
      <c r="Q62" s="248">
        <f t="shared" si="16"/>
        <v>8479.4860637302809</v>
      </c>
      <c r="R62" s="249">
        <v>0.67</v>
      </c>
      <c r="S62" s="250">
        <f t="shared" si="39"/>
        <v>8711.34</v>
      </c>
      <c r="T62" s="150">
        <f t="shared" si="40"/>
        <v>0.19221122115160136</v>
      </c>
      <c r="U62" s="150">
        <f t="shared" si="41"/>
        <v>0.37930670485991519</v>
      </c>
      <c r="V62" s="151">
        <f>(VLOOKUP($O62,'2014 Avoided Costs'!$B$10:$H$54,6)*$I62)/($S62+$Q62)</f>
        <v>1.0634050936370885</v>
      </c>
      <c r="W62" s="152"/>
      <c r="X62" s="153">
        <f t="shared" si="35"/>
        <v>0.29672090051847755</v>
      </c>
      <c r="Y62" s="153">
        <f t="shared" si="42"/>
        <v>0.48381638422679141</v>
      </c>
      <c r="Z62" s="4">
        <f>(VLOOKUP($O62,'2014 Avoided Costs'!$B$10:$H$54,4)*$I62)/($N62+$Q62)</f>
        <v>0.70976979592168887</v>
      </c>
      <c r="AA62" s="3"/>
    </row>
    <row r="63" spans="1:27" s="6" customFormat="1" x14ac:dyDescent="0.3">
      <c r="A63" s="56"/>
      <c r="B63" s="237" t="s">
        <v>163</v>
      </c>
      <c r="C63" s="238" t="s">
        <v>152</v>
      </c>
      <c r="D63" s="239" t="s">
        <v>151</v>
      </c>
      <c r="E63" s="240">
        <v>3</v>
      </c>
      <c r="F63" s="241">
        <v>109</v>
      </c>
      <c r="G63" s="242" t="s">
        <v>137</v>
      </c>
      <c r="H63" s="243">
        <v>6</v>
      </c>
      <c r="I63" s="243">
        <f>H63*F63</f>
        <v>654</v>
      </c>
      <c r="J63" s="244">
        <v>119</v>
      </c>
      <c r="K63" s="244">
        <f t="shared" si="14"/>
        <v>714</v>
      </c>
      <c r="L63" s="245">
        <f t="shared" si="29"/>
        <v>106.10600057480518</v>
      </c>
      <c r="M63" s="244">
        <f>0.1*$F63+PV($C$110,$O63,(-0.05*0.9*$F63))+PV($C$110,$O63,28.2)</f>
        <v>-94.218596440215634</v>
      </c>
      <c r="N63" s="246">
        <f t="shared" si="15"/>
        <v>642.6755751924627</v>
      </c>
      <c r="O63" s="247">
        <v>5</v>
      </c>
      <c r="P63" s="242">
        <f t="shared" si="30"/>
        <v>2951.1724435244059</v>
      </c>
      <c r="Q63" s="248">
        <f t="shared" si="16"/>
        <v>2244.8303037102</v>
      </c>
      <c r="R63" s="249">
        <v>0</v>
      </c>
      <c r="S63" s="250">
        <f>H63*J63</f>
        <v>714</v>
      </c>
      <c r="T63" s="150">
        <f t="shared" si="23"/>
        <v>0.2419377429355884</v>
      </c>
      <c r="U63" s="150">
        <f t="shared" si="24"/>
        <v>1.0025948535140998</v>
      </c>
      <c r="V63" s="151">
        <f>(VLOOKUP($O63,'2014 Avoided Costs'!$B$10:$H$54,6)*$I63)/($S63+$Q63)</f>
        <v>0.47522157598454795</v>
      </c>
      <c r="W63" s="152"/>
      <c r="X63" s="153">
        <f t="shared" si="35"/>
        <v>0.21776957717352305</v>
      </c>
      <c r="Y63" s="153">
        <f t="shared" si="26"/>
        <v>0.97842668775203445</v>
      </c>
      <c r="Z63" s="4">
        <f>(VLOOKUP($O63,'2014 Avoided Costs'!$B$10:$H$54,4)*$I63)/($N63+$Q63)</f>
        <v>0.45298609071475854</v>
      </c>
      <c r="AA63" s="3"/>
    </row>
    <row r="64" spans="1:27" s="6" customFormat="1" x14ac:dyDescent="0.3">
      <c r="A64" s="56"/>
      <c r="B64" s="237" t="s">
        <v>164</v>
      </c>
      <c r="C64" s="238" t="s">
        <v>153</v>
      </c>
      <c r="D64" s="239" t="s">
        <v>151</v>
      </c>
      <c r="E64" s="240">
        <v>4</v>
      </c>
      <c r="F64" s="241">
        <v>14</v>
      </c>
      <c r="G64" s="242" t="s">
        <v>137</v>
      </c>
      <c r="H64" s="243">
        <v>129</v>
      </c>
      <c r="I64" s="243">
        <f>H64*F64</f>
        <v>1806</v>
      </c>
      <c r="J64" s="244">
        <v>44</v>
      </c>
      <c r="K64" s="244">
        <f t="shared" si="14"/>
        <v>5676</v>
      </c>
      <c r="L64" s="245">
        <f t="shared" si="29"/>
        <v>19.792562148311855</v>
      </c>
      <c r="M64" s="244">
        <f>0.1*$F64+PV($C$110,$O64,(-0.05*0.9*$F64))+PV($C$110,$O64,3.6)</f>
        <v>-23.275436933796925</v>
      </c>
      <c r="N64" s="246">
        <f t="shared" si="15"/>
        <v>6125.2908473275738</v>
      </c>
      <c r="O64" s="247">
        <v>10</v>
      </c>
      <c r="P64" s="242">
        <f t="shared" si="30"/>
        <v>15004.659630450251</v>
      </c>
      <c r="Q64" s="248">
        <f t="shared" si="16"/>
        <v>6199.0268019887162</v>
      </c>
      <c r="R64" s="249">
        <v>0</v>
      </c>
      <c r="S64" s="250">
        <f>H64*J64</f>
        <v>5676</v>
      </c>
      <c r="T64" s="150">
        <f t="shared" si="23"/>
        <v>0.37828248955952343</v>
      </c>
      <c r="U64" s="150">
        <f t="shared" si="24"/>
        <v>0.79142260434150058</v>
      </c>
      <c r="V64" s="151">
        <f>(VLOOKUP($O64,'2014 Avoided Costs'!$B$10:$H$54,6)*$I64)/($S64+$Q64)</f>
        <v>0.59160624368641124</v>
      </c>
      <c r="W64" s="152"/>
      <c r="X64" s="153">
        <f t="shared" si="35"/>
        <v>0.40822591102946398</v>
      </c>
      <c r="Y64" s="153">
        <f t="shared" si="26"/>
        <v>0.82136602581144114</v>
      </c>
      <c r="Z64" s="4">
        <f>(VLOOKUP($O64,'2014 Avoided Costs'!$B$10:$H$54,4)*$I64)/($N64+$Q64)</f>
        <v>0.5187500178035962</v>
      </c>
      <c r="AA64" s="3"/>
    </row>
    <row r="65" spans="1:111" s="6" customFormat="1" x14ac:dyDescent="0.3">
      <c r="A65" s="56"/>
      <c r="B65" s="81"/>
      <c r="C65" s="60"/>
      <c r="D65" s="108"/>
      <c r="E65" s="113"/>
      <c r="F65" s="117"/>
      <c r="G65" s="62"/>
      <c r="H65" s="114"/>
      <c r="I65" s="114"/>
      <c r="J65" s="63"/>
      <c r="K65" s="63"/>
      <c r="L65" s="122"/>
      <c r="M65" s="63"/>
      <c r="N65" s="115"/>
      <c r="O65" s="64"/>
      <c r="P65" s="62"/>
      <c r="Q65" s="82"/>
      <c r="R65" s="83"/>
      <c r="S65" s="212"/>
      <c r="T65" s="150"/>
      <c r="U65" s="150"/>
      <c r="V65" s="151"/>
      <c r="W65" s="152"/>
      <c r="X65" s="153"/>
      <c r="Y65" s="153"/>
      <c r="Z65" s="4"/>
      <c r="AA65" s="3"/>
    </row>
    <row r="66" spans="1:111" s="6" customFormat="1" x14ac:dyDescent="0.3">
      <c r="A66" s="56"/>
      <c r="B66" s="81"/>
      <c r="C66" s="81"/>
      <c r="D66" s="108"/>
      <c r="E66" s="113"/>
      <c r="F66" s="117"/>
      <c r="G66" s="64"/>
      <c r="H66" s="114"/>
      <c r="I66" s="114"/>
      <c r="J66" s="63"/>
      <c r="K66" s="63"/>
      <c r="L66" s="122"/>
      <c r="M66" s="63"/>
      <c r="N66" s="115"/>
      <c r="O66" s="64"/>
      <c r="P66" s="64"/>
      <c r="Q66" s="82"/>
      <c r="R66" s="83"/>
      <c r="S66" s="116"/>
      <c r="T66" s="150"/>
      <c r="U66" s="150"/>
      <c r="V66" s="151"/>
      <c r="W66" s="152"/>
      <c r="X66" s="153"/>
      <c r="Y66" s="153"/>
      <c r="Z66" s="4"/>
      <c r="AA66" s="3"/>
    </row>
    <row r="67" spans="1:111" s="3" customFormat="1" ht="14.25" customHeight="1" x14ac:dyDescent="0.3">
      <c r="A67" s="56"/>
      <c r="B67" s="217" t="s">
        <v>148</v>
      </c>
      <c r="C67" s="160"/>
      <c r="D67" s="161"/>
      <c r="E67" s="162"/>
      <c r="F67" s="163"/>
      <c r="G67" s="164"/>
      <c r="H67" s="165"/>
      <c r="I67" s="176"/>
      <c r="J67" s="122"/>
      <c r="K67" s="122"/>
      <c r="L67" s="122"/>
      <c r="M67" s="122"/>
      <c r="N67" s="166"/>
      <c r="O67" s="167"/>
      <c r="P67" s="164"/>
      <c r="Q67" s="168"/>
      <c r="R67" s="169"/>
      <c r="S67" s="170"/>
      <c r="T67" s="171"/>
      <c r="U67" s="171"/>
      <c r="V67" s="172"/>
      <c r="W67" s="152"/>
      <c r="X67" s="153"/>
      <c r="Y67" s="153"/>
      <c r="Z67" s="4"/>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row>
    <row r="68" spans="1:111" s="3" customFormat="1" x14ac:dyDescent="0.3">
      <c r="A68" s="204"/>
      <c r="B68" s="237" t="s">
        <v>204</v>
      </c>
      <c r="C68" s="367" t="s">
        <v>242</v>
      </c>
      <c r="D68" s="368" t="s">
        <v>151</v>
      </c>
      <c r="E68" s="369">
        <v>1</v>
      </c>
      <c r="F68" s="370">
        <v>16110</v>
      </c>
      <c r="G68" s="371" t="s">
        <v>79</v>
      </c>
      <c r="H68" s="372">
        <v>1</v>
      </c>
      <c r="I68" s="380">
        <f t="shared" ref="I68:I101" si="46">F68*H68</f>
        <v>16110</v>
      </c>
      <c r="J68" s="244">
        <v>121988</v>
      </c>
      <c r="K68" s="244">
        <f>J68*H68</f>
        <v>121988</v>
      </c>
      <c r="L68" s="245">
        <f t="shared" ref="L68:L101" si="47">0.5*0.9*$F68+PV($C$110,$O68,-(0.116*$F68))</f>
        <v>28742.195161393258</v>
      </c>
      <c r="M68" s="244">
        <f t="shared" ref="M68:M101" si="48">0.1*$F68+PV($C$110,$O68,(-0.05*0.9*$F68))</f>
        <v>9948.6834677818679</v>
      </c>
      <c r="N68" s="373">
        <f>MAX(0,H68*(J68-L68-M68))</f>
        <v>83297.121370824869</v>
      </c>
      <c r="O68" s="374">
        <v>15</v>
      </c>
      <c r="P68" s="374">
        <f>PV($C$110,O68,-I68)</f>
        <v>185281.85483959707</v>
      </c>
      <c r="Q68" s="248">
        <f>$B$114*I68/$I$106</f>
        <v>55296.966655613636</v>
      </c>
      <c r="R68" s="249">
        <v>20307</v>
      </c>
      <c r="S68" s="375">
        <f t="shared" ref="S68" si="49">R68*H68</f>
        <v>20307</v>
      </c>
      <c r="T68" s="150">
        <f t="shared" ref="T68" si="50">IF(ISERROR(S68/P68),0,S68/P68)</f>
        <v>0.10960058672545271</v>
      </c>
      <c r="U68" s="150">
        <f t="shared" ref="U68" si="51">IF(P68=0,0,(S68+Q68)/P68)</f>
        <v>0.40804841208582349</v>
      </c>
      <c r="V68" s="151">
        <f>(VLOOKUP($O68,'2014 Avoided Costs'!$B$10:$H$54,6)*$I68)/($S68+$Q68)</f>
        <v>1.1122987816639374</v>
      </c>
      <c r="W68" s="152"/>
      <c r="X68" s="153">
        <f>IF(ISERROR((N68)/P68),0,(N68)/P68)</f>
        <v>0.44956977272781068</v>
      </c>
      <c r="Y68" s="153">
        <f>IF(P68=0,0,((N68)+Q68)/P68)</f>
        <v>0.74801759808818136</v>
      </c>
      <c r="Z68" s="4">
        <f>(VLOOKUP($O68,'2014 Avoided Costs'!$B$10:$H$54,4)*$I68)/($N68+$Q68)</f>
        <v>0.53934768116328635</v>
      </c>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row>
    <row r="69" spans="1:111" s="3" customFormat="1" x14ac:dyDescent="0.3">
      <c r="A69" s="204"/>
      <c r="B69" s="237" t="s">
        <v>205</v>
      </c>
      <c r="C69" s="367" t="s">
        <v>206</v>
      </c>
      <c r="D69" s="368" t="s">
        <v>151</v>
      </c>
      <c r="E69" s="369">
        <v>1</v>
      </c>
      <c r="F69" s="370">
        <v>1320</v>
      </c>
      <c r="G69" s="371" t="s">
        <v>79</v>
      </c>
      <c r="H69" s="372">
        <v>1</v>
      </c>
      <c r="I69" s="380">
        <f t="shared" si="46"/>
        <v>1320</v>
      </c>
      <c r="J69" s="244">
        <v>14017</v>
      </c>
      <c r="K69" s="244">
        <f t="shared" ref="K69:K101" si="52">J69*H69</f>
        <v>14017</v>
      </c>
      <c r="L69" s="245">
        <f t="shared" si="47"/>
        <v>2610.259746966296</v>
      </c>
      <c r="M69" s="244">
        <f t="shared" si="48"/>
        <v>914.16972942658049</v>
      </c>
      <c r="N69" s="373">
        <f t="shared" ref="N69:N101" si="53">MAX(0,H69*(J69-L69-M69))</f>
        <v>10492.570523607123</v>
      </c>
      <c r="O69" s="374">
        <v>18</v>
      </c>
      <c r="P69" s="374">
        <f t="shared" ref="P69:P101" si="54">PV($C$110,O69,-I69)</f>
        <v>17381.549542812896</v>
      </c>
      <c r="Q69" s="248">
        <f t="shared" ref="Q69:Q101" si="55">$B$114*I69/$I$106</f>
        <v>4530.8501542774675</v>
      </c>
      <c r="R69" s="249">
        <v>1895</v>
      </c>
      <c r="S69" s="375">
        <f t="shared" ref="S69:S101" si="56">R69*H69</f>
        <v>1895</v>
      </c>
      <c r="T69" s="150">
        <f t="shared" ref="T69:T101" si="57">IF(ISERROR(S69/P69),0,S69/P69)</f>
        <v>0.10902365150658068</v>
      </c>
      <c r="U69" s="150">
        <f t="shared" ref="U69:U101" si="58">IF(P69=0,0,(S69+Q69)/P69)</f>
        <v>0.36969374556910517</v>
      </c>
      <c r="V69" s="151">
        <f>(VLOOKUP($O69,'2014 Avoided Costs'!$B$10:$H$54,6)*$I69)/($S69+$Q69)</f>
        <v>1.181166665541928</v>
      </c>
      <c r="W69" s="152"/>
      <c r="X69" s="153">
        <f t="shared" ref="X69:X101" si="59">IF(ISERROR((N69)/P69),0,(N69)/P69)</f>
        <v>0.60366139956409692</v>
      </c>
      <c r="Y69" s="153">
        <f t="shared" ref="Y69:Y101" si="60">IF(P69=0,0,((N69)+Q69)/P69)</f>
        <v>0.86433149362662154</v>
      </c>
      <c r="Z69" s="4">
        <f>(VLOOKUP($O69,'2014 Avoided Costs'!$B$10:$H$54,4)*$I69)/($N69+$Q69)</f>
        <v>0.44897897387173313</v>
      </c>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row>
    <row r="70" spans="1:111" s="3" customFormat="1" x14ac:dyDescent="0.3">
      <c r="A70" s="204"/>
      <c r="B70" s="237" t="s">
        <v>238</v>
      </c>
      <c r="C70" s="367" t="s">
        <v>239</v>
      </c>
      <c r="D70" s="368" t="s">
        <v>151</v>
      </c>
      <c r="E70" s="369">
        <v>1</v>
      </c>
      <c r="F70" s="370">
        <v>360</v>
      </c>
      <c r="G70" s="371" t="s">
        <v>79</v>
      </c>
      <c r="H70" s="372">
        <v>1</v>
      </c>
      <c r="I70" s="380">
        <f t="shared" si="46"/>
        <v>360</v>
      </c>
      <c r="J70" s="244">
        <v>4515</v>
      </c>
      <c r="K70" s="244">
        <f t="shared" si="52"/>
        <v>4515</v>
      </c>
      <c r="L70" s="245">
        <f t="shared" si="47"/>
        <v>642.28369075739124</v>
      </c>
      <c r="M70" s="244">
        <f t="shared" si="48"/>
        <v>222.31694900071216</v>
      </c>
      <c r="N70" s="373">
        <f t="shared" si="53"/>
        <v>3650.3993602418968</v>
      </c>
      <c r="O70" s="374">
        <v>15</v>
      </c>
      <c r="P70" s="374">
        <f t="shared" si="54"/>
        <v>4140.3766444602688</v>
      </c>
      <c r="Q70" s="248">
        <f t="shared" si="55"/>
        <v>1235.6864057120365</v>
      </c>
      <c r="R70" s="249">
        <v>454</v>
      </c>
      <c r="S70" s="375">
        <f t="shared" si="56"/>
        <v>454</v>
      </c>
      <c r="T70" s="150">
        <f t="shared" si="57"/>
        <v>0.10965185995999707</v>
      </c>
      <c r="U70" s="150">
        <f t="shared" si="58"/>
        <v>0.40809968532036789</v>
      </c>
      <c r="V70" s="151">
        <f>(VLOOKUP($O70,'2014 Avoided Costs'!$B$10:$H$54,6)*$I70)/($S70+$Q70)</f>
        <v>1.1121590335622675</v>
      </c>
      <c r="W70" s="152"/>
      <c r="X70" s="153">
        <f t="shared" si="59"/>
        <v>0.88165876530243914</v>
      </c>
      <c r="Y70" s="153">
        <f t="shared" si="60"/>
        <v>1.1801065906628101</v>
      </c>
      <c r="Z70" s="4">
        <f>(VLOOKUP($O70,'2014 Avoided Costs'!$B$10:$H$54,4)*$I70)/($N70+$Q70)</f>
        <v>0.34186874320530475</v>
      </c>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row>
    <row r="71" spans="1:111" s="3" customFormat="1" x14ac:dyDescent="0.3">
      <c r="A71" s="204"/>
      <c r="B71" s="237" t="s">
        <v>207</v>
      </c>
      <c r="C71" s="367" t="s">
        <v>239</v>
      </c>
      <c r="D71" s="368" t="s">
        <v>151</v>
      </c>
      <c r="E71" s="369">
        <v>1</v>
      </c>
      <c r="F71" s="370">
        <v>1035</v>
      </c>
      <c r="G71" s="371" t="s">
        <v>79</v>
      </c>
      <c r="H71" s="372">
        <v>1</v>
      </c>
      <c r="I71" s="380">
        <f t="shared" si="46"/>
        <v>1035</v>
      </c>
      <c r="J71" s="244">
        <v>9282</v>
      </c>
      <c r="K71" s="244">
        <f t="shared" si="52"/>
        <v>9282</v>
      </c>
      <c r="L71" s="245">
        <f t="shared" si="47"/>
        <v>1846.5656109274998</v>
      </c>
      <c r="M71" s="244">
        <f t="shared" si="48"/>
        <v>639.16122837704734</v>
      </c>
      <c r="N71" s="373">
        <f t="shared" si="53"/>
        <v>6796.273160695453</v>
      </c>
      <c r="O71" s="374">
        <v>15</v>
      </c>
      <c r="P71" s="374">
        <f t="shared" si="54"/>
        <v>11903.582852823274</v>
      </c>
      <c r="Q71" s="248">
        <f t="shared" si="55"/>
        <v>3552.5984164221049</v>
      </c>
      <c r="R71" s="249">
        <v>1305</v>
      </c>
      <c r="S71" s="375">
        <f t="shared" si="56"/>
        <v>1305</v>
      </c>
      <c r="T71" s="150">
        <f t="shared" si="57"/>
        <v>0.10963085787994344</v>
      </c>
      <c r="U71" s="150">
        <f t="shared" si="58"/>
        <v>0.40807868324031421</v>
      </c>
      <c r="V71" s="151">
        <f>(VLOOKUP($O71,'2014 Avoided Costs'!$B$10:$H$54,6)*$I71)/($S71+$Q71)</f>
        <v>1.1122162716734814</v>
      </c>
      <c r="W71" s="152"/>
      <c r="X71" s="153">
        <f t="shared" si="59"/>
        <v>0.57094349194902472</v>
      </c>
      <c r="Y71" s="153">
        <f t="shared" si="60"/>
        <v>0.86939131730939545</v>
      </c>
      <c r="Z71" s="4">
        <f>(VLOOKUP($O71,'2014 Avoided Costs'!$B$10:$H$54,4)*$I71)/($N71+$Q71)</f>
        <v>0.46405059374962299</v>
      </c>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row>
    <row r="72" spans="1:111" s="3" customFormat="1" x14ac:dyDescent="0.3">
      <c r="A72" s="204"/>
      <c r="B72" s="237" t="s">
        <v>208</v>
      </c>
      <c r="C72" s="367" t="s">
        <v>165</v>
      </c>
      <c r="D72" s="368" t="s">
        <v>151</v>
      </c>
      <c r="E72" s="369">
        <v>1</v>
      </c>
      <c r="F72" s="370">
        <v>905</v>
      </c>
      <c r="G72" s="371" t="s">
        <v>79</v>
      </c>
      <c r="H72" s="372">
        <v>1</v>
      </c>
      <c r="I72" s="380">
        <f t="shared" si="46"/>
        <v>905</v>
      </c>
      <c r="J72" s="244">
        <v>6624</v>
      </c>
      <c r="K72" s="244">
        <f t="shared" si="52"/>
        <v>6624</v>
      </c>
      <c r="L72" s="245">
        <f t="shared" si="47"/>
        <v>1614.6298337095529</v>
      </c>
      <c r="M72" s="244">
        <f t="shared" si="48"/>
        <v>558.88010790456792</v>
      </c>
      <c r="N72" s="373">
        <f t="shared" si="53"/>
        <v>4450.4900583858789</v>
      </c>
      <c r="O72" s="374">
        <v>15</v>
      </c>
      <c r="P72" s="374">
        <f t="shared" si="54"/>
        <v>10408.446842323734</v>
      </c>
      <c r="Q72" s="248">
        <f t="shared" si="55"/>
        <v>3106.3783254705368</v>
      </c>
      <c r="R72" s="249">
        <v>1140</v>
      </c>
      <c r="S72" s="375">
        <f t="shared" si="56"/>
        <v>1140</v>
      </c>
      <c r="T72" s="150">
        <f t="shared" si="57"/>
        <v>0.10952642764763255</v>
      </c>
      <c r="U72" s="150">
        <f t="shared" si="58"/>
        <v>0.40797425300800338</v>
      </c>
      <c r="V72" s="151">
        <f>(VLOOKUP($O72,'2014 Avoided Costs'!$B$10:$H$54,6)*$I72)/($S72+$Q72)</f>
        <v>1.1125009685698521</v>
      </c>
      <c r="W72" s="152"/>
      <c r="X72" s="153">
        <f t="shared" si="59"/>
        <v>0.42758445383886751</v>
      </c>
      <c r="Y72" s="153">
        <f t="shared" si="60"/>
        <v>0.7260322791992383</v>
      </c>
      <c r="Z72" s="4">
        <f>(VLOOKUP($O72,'2014 Avoided Costs'!$B$10:$H$54,4)*$I72)/($N72+$Q72)</f>
        <v>0.55567991748680778</v>
      </c>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row>
    <row r="73" spans="1:111" s="3" customFormat="1" x14ac:dyDescent="0.3">
      <c r="A73" s="204"/>
      <c r="B73" s="237" t="s">
        <v>209</v>
      </c>
      <c r="C73" s="367" t="s">
        <v>206</v>
      </c>
      <c r="D73" s="368" t="s">
        <v>151</v>
      </c>
      <c r="E73" s="369">
        <v>1</v>
      </c>
      <c r="F73" s="370">
        <v>2272</v>
      </c>
      <c r="G73" s="371" t="s">
        <v>79</v>
      </c>
      <c r="H73" s="372">
        <v>1</v>
      </c>
      <c r="I73" s="380">
        <f t="shared" si="46"/>
        <v>2272</v>
      </c>
      <c r="J73" s="244">
        <v>10540</v>
      </c>
      <c r="K73" s="244">
        <f t="shared" si="52"/>
        <v>10540</v>
      </c>
      <c r="L73" s="245">
        <f t="shared" si="47"/>
        <v>4053.5237372244246</v>
      </c>
      <c r="M73" s="244">
        <f t="shared" si="48"/>
        <v>1403.0669670267166</v>
      </c>
      <c r="N73" s="373">
        <f t="shared" si="53"/>
        <v>5083.4092957488592</v>
      </c>
      <c r="O73" s="374">
        <v>15</v>
      </c>
      <c r="P73" s="374">
        <f t="shared" si="54"/>
        <v>26130.377045038145</v>
      </c>
      <c r="Q73" s="248">
        <f t="shared" si="55"/>
        <v>7798.5542049381866</v>
      </c>
      <c r="R73" s="249">
        <v>2864</v>
      </c>
      <c r="S73" s="375">
        <f t="shared" si="56"/>
        <v>2864</v>
      </c>
      <c r="T73" s="150">
        <f t="shared" si="57"/>
        <v>0.10960423552494587</v>
      </c>
      <c r="U73" s="150">
        <f t="shared" si="58"/>
        <v>0.4080520608853167</v>
      </c>
      <c r="V73" s="151">
        <f>(VLOOKUP($O73,'2014 Avoided Costs'!$B$10:$H$54,6)*$I73)/($S73+$Q73)</f>
        <v>1.1122888354937797</v>
      </c>
      <c r="W73" s="152"/>
      <c r="X73" s="153">
        <f t="shared" si="59"/>
        <v>0.19454021987463588</v>
      </c>
      <c r="Y73" s="153">
        <f t="shared" si="60"/>
        <v>0.49298804523500667</v>
      </c>
      <c r="Z73" s="4">
        <f>(VLOOKUP($O73,'2014 Avoided Costs'!$B$10:$H$54,4)*$I73)/($N73+$Q73)</f>
        <v>0.8183597166253227</v>
      </c>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row>
    <row r="74" spans="1:111" s="3" customFormat="1" x14ac:dyDescent="0.3">
      <c r="A74" s="204"/>
      <c r="B74" s="237" t="s">
        <v>209</v>
      </c>
      <c r="C74" s="367" t="s">
        <v>206</v>
      </c>
      <c r="D74" s="368" t="s">
        <v>151</v>
      </c>
      <c r="E74" s="369">
        <v>1</v>
      </c>
      <c r="F74" s="370">
        <v>613</v>
      </c>
      <c r="G74" s="371" t="s">
        <v>79</v>
      </c>
      <c r="H74" s="372">
        <v>1</v>
      </c>
      <c r="I74" s="380">
        <f t="shared" si="46"/>
        <v>613</v>
      </c>
      <c r="J74" s="244">
        <v>7200</v>
      </c>
      <c r="K74" s="244">
        <f t="shared" si="52"/>
        <v>7200</v>
      </c>
      <c r="L74" s="245">
        <f t="shared" si="47"/>
        <v>1284.6391239340305</v>
      </c>
      <c r="M74" s="244">
        <f t="shared" si="48"/>
        <v>452.64060842268429</v>
      </c>
      <c r="N74" s="373">
        <f t="shared" si="53"/>
        <v>5462.7202676432853</v>
      </c>
      <c r="O74" s="374">
        <v>20</v>
      </c>
      <c r="P74" s="374">
        <f t="shared" si="54"/>
        <v>8696.4579649485386</v>
      </c>
      <c r="Q74" s="248">
        <f t="shared" si="55"/>
        <v>2104.0993519485514</v>
      </c>
      <c r="R74" s="249">
        <v>959</v>
      </c>
      <c r="S74" s="375">
        <f t="shared" si="56"/>
        <v>959</v>
      </c>
      <c r="T74" s="150">
        <f t="shared" si="57"/>
        <v>0.11027478128052734</v>
      </c>
      <c r="U74" s="150">
        <f t="shared" si="58"/>
        <v>0.35222378631559076</v>
      </c>
      <c r="V74" s="151">
        <f>(VLOOKUP($O74,'2014 Avoided Costs'!$B$10:$H$54,6)*$I74)/($S74+$Q74)</f>
        <v>1.2107508029867819</v>
      </c>
      <c r="W74" s="152"/>
      <c r="X74" s="153">
        <f t="shared" si="59"/>
        <v>0.62815462222217633</v>
      </c>
      <c r="Y74" s="153">
        <f t="shared" si="60"/>
        <v>0.87010362725723978</v>
      </c>
      <c r="Z74" s="4">
        <f>(VLOOKUP($O74,'2014 Avoided Costs'!$B$10:$H$54,4)*$I74)/($N74+$Q74)</f>
        <v>0.43584229118678192</v>
      </c>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row>
    <row r="75" spans="1:111" s="3" customFormat="1" x14ac:dyDescent="0.3">
      <c r="A75" s="204"/>
      <c r="B75" s="237" t="s">
        <v>210</v>
      </c>
      <c r="C75" s="367" t="s">
        <v>206</v>
      </c>
      <c r="D75" s="368" t="s">
        <v>151</v>
      </c>
      <c r="E75" s="369">
        <v>1</v>
      </c>
      <c r="F75" s="370">
        <v>2272</v>
      </c>
      <c r="G75" s="371" t="s">
        <v>79</v>
      </c>
      <c r="H75" s="372">
        <v>1</v>
      </c>
      <c r="I75" s="380">
        <f t="shared" si="46"/>
        <v>2272</v>
      </c>
      <c r="J75" s="244">
        <v>10540</v>
      </c>
      <c r="K75" s="244">
        <f t="shared" si="52"/>
        <v>10540</v>
      </c>
      <c r="L75" s="245">
        <f t="shared" si="47"/>
        <v>4053.5237372244246</v>
      </c>
      <c r="M75" s="244">
        <f t="shared" si="48"/>
        <v>1403.0669670267166</v>
      </c>
      <c r="N75" s="373">
        <f t="shared" si="53"/>
        <v>5083.4092957488592</v>
      </c>
      <c r="O75" s="374">
        <v>15</v>
      </c>
      <c r="P75" s="374">
        <f t="shared" si="54"/>
        <v>26130.377045038145</v>
      </c>
      <c r="Q75" s="248">
        <f t="shared" si="55"/>
        <v>7798.5542049381866</v>
      </c>
      <c r="R75" s="249">
        <v>2864</v>
      </c>
      <c r="S75" s="375">
        <f t="shared" si="56"/>
        <v>2864</v>
      </c>
      <c r="T75" s="150">
        <f t="shared" si="57"/>
        <v>0.10960423552494587</v>
      </c>
      <c r="U75" s="150">
        <f t="shared" si="58"/>
        <v>0.4080520608853167</v>
      </c>
      <c r="V75" s="151">
        <f>(VLOOKUP($O75,'2014 Avoided Costs'!$B$10:$H$54,6)*$I75)/($S75+$Q75)</f>
        <v>1.1122888354937797</v>
      </c>
      <c r="W75" s="152"/>
      <c r="X75" s="153">
        <f t="shared" si="59"/>
        <v>0.19454021987463588</v>
      </c>
      <c r="Y75" s="153">
        <f t="shared" si="60"/>
        <v>0.49298804523500667</v>
      </c>
      <c r="Z75" s="4">
        <f>(VLOOKUP($O75,'2014 Avoided Costs'!$B$10:$H$54,4)*$I75)/($N75+$Q75)</f>
        <v>0.8183597166253227</v>
      </c>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row>
    <row r="76" spans="1:111" s="3" customFormat="1" x14ac:dyDescent="0.3">
      <c r="A76" s="204"/>
      <c r="B76" s="237" t="s">
        <v>210</v>
      </c>
      <c r="C76" s="367" t="s">
        <v>206</v>
      </c>
      <c r="D76" s="368" t="s">
        <v>151</v>
      </c>
      <c r="E76" s="369">
        <v>1</v>
      </c>
      <c r="F76" s="370">
        <v>613</v>
      </c>
      <c r="G76" s="371" t="s">
        <v>79</v>
      </c>
      <c r="H76" s="372">
        <v>1</v>
      </c>
      <c r="I76" s="380">
        <f t="shared" si="46"/>
        <v>613</v>
      </c>
      <c r="J76" s="244">
        <v>7200</v>
      </c>
      <c r="K76" s="244">
        <f t="shared" si="52"/>
        <v>7200</v>
      </c>
      <c r="L76" s="245">
        <f t="shared" si="47"/>
        <v>1284.6391239340305</v>
      </c>
      <c r="M76" s="244">
        <f t="shared" si="48"/>
        <v>452.64060842268429</v>
      </c>
      <c r="N76" s="373">
        <f t="shared" si="53"/>
        <v>5462.7202676432853</v>
      </c>
      <c r="O76" s="374">
        <v>20</v>
      </c>
      <c r="P76" s="374">
        <f t="shared" si="54"/>
        <v>8696.4579649485386</v>
      </c>
      <c r="Q76" s="248">
        <f t="shared" si="55"/>
        <v>2104.0993519485514</v>
      </c>
      <c r="R76" s="249">
        <v>959</v>
      </c>
      <c r="S76" s="375">
        <f t="shared" si="56"/>
        <v>959</v>
      </c>
      <c r="T76" s="150">
        <f t="shared" si="57"/>
        <v>0.11027478128052734</v>
      </c>
      <c r="U76" s="150">
        <f t="shared" si="58"/>
        <v>0.35222378631559076</v>
      </c>
      <c r="V76" s="151">
        <f>(VLOOKUP($O76,'2014 Avoided Costs'!$B$10:$H$54,6)*$I76)/($S76+$Q76)</f>
        <v>1.2107508029867819</v>
      </c>
      <c r="W76" s="152"/>
      <c r="X76" s="153">
        <f t="shared" si="59"/>
        <v>0.62815462222217633</v>
      </c>
      <c r="Y76" s="153">
        <f t="shared" si="60"/>
        <v>0.87010362725723978</v>
      </c>
      <c r="Z76" s="4">
        <f>(VLOOKUP($O76,'2014 Avoided Costs'!$B$10:$H$54,4)*$I76)/($N76+$Q76)</f>
        <v>0.43584229118678192</v>
      </c>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row>
    <row r="77" spans="1:111" s="3" customFormat="1" x14ac:dyDescent="0.3">
      <c r="A77" s="204"/>
      <c r="B77" s="237" t="s">
        <v>211</v>
      </c>
      <c r="C77" s="367" t="s">
        <v>212</v>
      </c>
      <c r="D77" s="368" t="s">
        <v>151</v>
      </c>
      <c r="E77" s="369">
        <v>1</v>
      </c>
      <c r="F77" s="370">
        <v>2829</v>
      </c>
      <c r="G77" s="371" t="s">
        <v>79</v>
      </c>
      <c r="H77" s="372">
        <v>1</v>
      </c>
      <c r="I77" s="380">
        <f t="shared" si="46"/>
        <v>2829</v>
      </c>
      <c r="J77" s="244">
        <v>123801</v>
      </c>
      <c r="K77" s="244">
        <f t="shared" si="52"/>
        <v>123801</v>
      </c>
      <c r="L77" s="245">
        <f t="shared" si="47"/>
        <v>5928.6200352518317</v>
      </c>
      <c r="M77" s="244">
        <f t="shared" si="48"/>
        <v>2088.9400998821757</v>
      </c>
      <c r="N77" s="373">
        <f t="shared" si="53"/>
        <v>115783.43986486598</v>
      </c>
      <c r="O77" s="374">
        <v>20</v>
      </c>
      <c r="P77" s="374">
        <f t="shared" si="54"/>
        <v>40134.224441826125</v>
      </c>
      <c r="Q77" s="248">
        <f t="shared" si="55"/>
        <v>9710.4356715537542</v>
      </c>
      <c r="R77" s="249">
        <v>4425</v>
      </c>
      <c r="S77" s="375">
        <f t="shared" si="56"/>
        <v>4425</v>
      </c>
      <c r="T77" s="150">
        <f t="shared" si="57"/>
        <v>0.11025502701351467</v>
      </c>
      <c r="U77" s="150">
        <f t="shared" si="58"/>
        <v>0.35220403204857809</v>
      </c>
      <c r="V77" s="151">
        <f>(VLOOKUP($O77,'2014 Avoided Costs'!$B$10:$H$54,6)*$I77)/($S77+$Q77)</f>
        <v>1.2108187110527655</v>
      </c>
      <c r="W77" s="152"/>
      <c r="X77" s="153">
        <f t="shared" si="59"/>
        <v>2.884905376275356</v>
      </c>
      <c r="Y77" s="153">
        <f t="shared" si="60"/>
        <v>3.1268543813104195</v>
      </c>
      <c r="Z77" s="4">
        <f>(VLOOKUP($O77,'2014 Avoided Costs'!$B$10:$H$54,4)*$I77)/($N77+$Q77)</f>
        <v>0.12128097833414173</v>
      </c>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row>
    <row r="78" spans="1:111" s="3" customFormat="1" x14ac:dyDescent="0.3">
      <c r="A78" s="204"/>
      <c r="B78" s="237" t="s">
        <v>213</v>
      </c>
      <c r="C78" s="367" t="s">
        <v>206</v>
      </c>
      <c r="D78" s="368" t="s">
        <v>151</v>
      </c>
      <c r="E78" s="369">
        <v>1</v>
      </c>
      <c r="F78" s="370">
        <v>2035</v>
      </c>
      <c r="G78" s="371" t="s">
        <v>79</v>
      </c>
      <c r="H78" s="372">
        <v>1</v>
      </c>
      <c r="I78" s="380">
        <f t="shared" si="46"/>
        <v>2035</v>
      </c>
      <c r="J78" s="244">
        <v>30000</v>
      </c>
      <c r="K78" s="244">
        <f t="shared" si="52"/>
        <v>30000</v>
      </c>
      <c r="L78" s="245">
        <f t="shared" si="47"/>
        <v>4264.6665859800196</v>
      </c>
      <c r="M78" s="244">
        <f t="shared" si="48"/>
        <v>1502.6486755956976</v>
      </c>
      <c r="N78" s="373">
        <f t="shared" si="53"/>
        <v>24232.684738424283</v>
      </c>
      <c r="O78" s="374">
        <v>20</v>
      </c>
      <c r="P78" s="374">
        <f t="shared" si="54"/>
        <v>28869.970568793273</v>
      </c>
      <c r="Q78" s="248">
        <f t="shared" si="55"/>
        <v>6985.0606545110959</v>
      </c>
      <c r="R78" s="249">
        <v>5801</v>
      </c>
      <c r="S78" s="375">
        <f t="shared" si="56"/>
        <v>5801</v>
      </c>
      <c r="T78" s="150">
        <f t="shared" si="57"/>
        <v>0.20093543172054831</v>
      </c>
      <c r="U78" s="150">
        <f t="shared" si="58"/>
        <v>0.44288443675561173</v>
      </c>
      <c r="V78" s="151">
        <f>(VLOOKUP($O78,'2014 Avoided Costs'!$B$10:$H$54,6)*$I78)/($S78+$Q78)</f>
        <v>0.96290408224023605</v>
      </c>
      <c r="W78" s="152"/>
      <c r="X78" s="153">
        <f t="shared" si="59"/>
        <v>0.83937337866975104</v>
      </c>
      <c r="Y78" s="153">
        <f t="shared" si="60"/>
        <v>1.0813223837048145</v>
      </c>
      <c r="Z78" s="4">
        <f>(VLOOKUP($O78,'2014 Avoided Costs'!$B$10:$H$54,4)*$I78)/($N78+$Q78)</f>
        <v>0.35070758192798945</v>
      </c>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row>
    <row r="79" spans="1:111" s="3" customFormat="1" x14ac:dyDescent="0.3">
      <c r="A79" s="204"/>
      <c r="B79" s="363" t="s">
        <v>214</v>
      </c>
      <c r="C79" s="367" t="s">
        <v>241</v>
      </c>
      <c r="D79" s="368" t="s">
        <v>151</v>
      </c>
      <c r="E79" s="369">
        <v>1</v>
      </c>
      <c r="F79" s="370">
        <v>387.7</v>
      </c>
      <c r="G79" s="371" t="s">
        <v>79</v>
      </c>
      <c r="H79" s="372">
        <v>1</v>
      </c>
      <c r="I79" s="380">
        <f t="shared" si="46"/>
        <v>387.7</v>
      </c>
      <c r="J79" s="244">
        <v>218</v>
      </c>
      <c r="K79" s="244">
        <f t="shared" si="52"/>
        <v>218</v>
      </c>
      <c r="L79" s="245">
        <f t="shared" si="47"/>
        <v>608.54497967703901</v>
      </c>
      <c r="M79" s="244">
        <f t="shared" si="48"/>
        <v>207.16309556436858</v>
      </c>
      <c r="N79" s="373">
        <f t="shared" si="53"/>
        <v>0</v>
      </c>
      <c r="O79" s="374">
        <v>12</v>
      </c>
      <c r="P79" s="374">
        <f t="shared" si="54"/>
        <v>3742.0687903193016</v>
      </c>
      <c r="Q79" s="248">
        <f t="shared" si="55"/>
        <v>1330.7656097071015</v>
      </c>
      <c r="R79" s="249">
        <v>109</v>
      </c>
      <c r="S79" s="375">
        <f t="shared" si="56"/>
        <v>109</v>
      </c>
      <c r="T79" s="150">
        <f t="shared" si="57"/>
        <v>2.9128272650139949E-2</v>
      </c>
      <c r="U79" s="150">
        <f t="shared" si="58"/>
        <v>0.38475124065911409</v>
      </c>
      <c r="V79" s="151">
        <f>(VLOOKUP($O79,'2014 Avoided Costs'!$B$10:$H$54,6)*$I79)/($S79+$Q79)</f>
        <v>1.1902173440221377</v>
      </c>
      <c r="W79" s="152"/>
      <c r="X79" s="153">
        <f t="shared" si="59"/>
        <v>0</v>
      </c>
      <c r="Y79" s="153">
        <f t="shared" si="60"/>
        <v>0.35562296800897414</v>
      </c>
      <c r="Z79" s="4">
        <f>(VLOOKUP($O79,'2014 Avoided Costs'!$B$10:$H$54,4)*$I79)/($N79+$Q79)</f>
        <v>1.1711709324552158</v>
      </c>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row>
    <row r="80" spans="1:111" s="3" customFormat="1" x14ac:dyDescent="0.3">
      <c r="A80" s="204"/>
      <c r="B80" s="237" t="s">
        <v>215</v>
      </c>
      <c r="C80" s="367" t="s">
        <v>240</v>
      </c>
      <c r="D80" s="368" t="s">
        <v>151</v>
      </c>
      <c r="E80" s="369">
        <v>1</v>
      </c>
      <c r="F80" s="370">
        <v>1790</v>
      </c>
      <c r="G80" s="371" t="s">
        <v>79</v>
      </c>
      <c r="H80" s="372">
        <v>1</v>
      </c>
      <c r="I80" s="380">
        <f t="shared" si="46"/>
        <v>1790</v>
      </c>
      <c r="J80" s="244">
        <v>12500</v>
      </c>
      <c r="K80" s="244">
        <f t="shared" si="52"/>
        <v>12500</v>
      </c>
      <c r="L80" s="245">
        <f t="shared" si="47"/>
        <v>3751.2300682576097</v>
      </c>
      <c r="M80" s="244">
        <f t="shared" si="48"/>
        <v>1321.7401126861416</v>
      </c>
      <c r="N80" s="373">
        <f t="shared" si="53"/>
        <v>7427.0298190562489</v>
      </c>
      <c r="O80" s="374">
        <v>20</v>
      </c>
      <c r="P80" s="374">
        <f t="shared" si="54"/>
        <v>25394.224726358701</v>
      </c>
      <c r="Q80" s="248">
        <f t="shared" si="55"/>
        <v>6144.1074061792933</v>
      </c>
      <c r="R80" s="249">
        <v>3750</v>
      </c>
      <c r="S80" s="375">
        <f t="shared" si="56"/>
        <v>3750</v>
      </c>
      <c r="T80" s="150">
        <f t="shared" si="57"/>
        <v>0.14767137175515244</v>
      </c>
      <c r="U80" s="150">
        <f t="shared" si="58"/>
        <v>0.38962037679021583</v>
      </c>
      <c r="V80" s="151">
        <f>(VLOOKUP($O80,'2014 Avoided Costs'!$B$10:$H$54,6)*$I80)/($S80+$Q80)</f>
        <v>1.0945403719022206</v>
      </c>
      <c r="W80" s="152"/>
      <c r="X80" s="153">
        <f t="shared" si="59"/>
        <v>0.29246924838572208</v>
      </c>
      <c r="Y80" s="153">
        <f t="shared" si="60"/>
        <v>0.53441825342078553</v>
      </c>
      <c r="Z80" s="4">
        <f>(VLOOKUP($O80,'2014 Avoided Costs'!$B$10:$H$54,4)*$I80)/($N80+$Q80)</f>
        <v>0.70960891782102331</v>
      </c>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row>
    <row r="81" spans="1:111" s="3" customFormat="1" x14ac:dyDescent="0.3">
      <c r="A81" s="204"/>
      <c r="B81" s="237" t="s">
        <v>216</v>
      </c>
      <c r="C81" s="367" t="s">
        <v>217</v>
      </c>
      <c r="D81" s="368" t="s">
        <v>151</v>
      </c>
      <c r="E81" s="369">
        <v>1</v>
      </c>
      <c r="F81" s="370">
        <v>3707</v>
      </c>
      <c r="G81" s="371" t="s">
        <v>79</v>
      </c>
      <c r="H81" s="372">
        <v>1</v>
      </c>
      <c r="I81" s="380">
        <f t="shared" si="46"/>
        <v>3707</v>
      </c>
      <c r="J81" s="244">
        <v>19125</v>
      </c>
      <c r="K81" s="244">
        <f t="shared" si="52"/>
        <v>19125</v>
      </c>
      <c r="L81" s="245">
        <f t="shared" si="47"/>
        <v>9557.1696741800606</v>
      </c>
      <c r="M81" s="244">
        <f t="shared" si="48"/>
        <v>3431.0955632595069</v>
      </c>
      <c r="N81" s="373">
        <f t="shared" si="53"/>
        <v>6136.7347625604325</v>
      </c>
      <c r="O81" s="374">
        <v>30</v>
      </c>
      <c r="P81" s="374">
        <f t="shared" si="54"/>
        <v>68008.790294655701</v>
      </c>
      <c r="Q81" s="248">
        <f t="shared" si="55"/>
        <v>12724.137516595889</v>
      </c>
      <c r="R81" s="249">
        <v>5738</v>
      </c>
      <c r="S81" s="375">
        <f t="shared" si="56"/>
        <v>5738</v>
      </c>
      <c r="T81" s="150">
        <f t="shared" si="57"/>
        <v>8.4371446325386359E-2</v>
      </c>
      <c r="U81" s="150">
        <f t="shared" si="58"/>
        <v>0.2714669300337002</v>
      </c>
      <c r="V81" s="151">
        <f>(VLOOKUP($O81,'2014 Avoided Costs'!$B$10:$H$54,6)*$I81)/($S81+$Q81)</f>
        <v>1.4858409528875598</v>
      </c>
      <c r="W81" s="152"/>
      <c r="X81" s="153">
        <f t="shared" si="59"/>
        <v>9.0234434930725013E-2</v>
      </c>
      <c r="Y81" s="153">
        <f t="shared" si="60"/>
        <v>0.27732991863903883</v>
      </c>
      <c r="Z81" s="4">
        <f>(VLOOKUP($O81,'2014 Avoided Costs'!$B$10:$H$54,4)*$I81)/($N81+$Q81)</f>
        <v>1.2382301122843227</v>
      </c>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row>
    <row r="82" spans="1:111" s="3" customFormat="1" x14ac:dyDescent="0.3">
      <c r="A82" s="204"/>
      <c r="B82" s="237" t="s">
        <v>218</v>
      </c>
      <c r="C82" s="367" t="s">
        <v>206</v>
      </c>
      <c r="D82" s="368" t="s">
        <v>151</v>
      </c>
      <c r="E82" s="369">
        <v>1</v>
      </c>
      <c r="F82" s="370">
        <v>11025</v>
      </c>
      <c r="G82" s="371" t="s">
        <v>79</v>
      </c>
      <c r="H82" s="372">
        <v>1</v>
      </c>
      <c r="I82" s="380">
        <f t="shared" si="46"/>
        <v>11025</v>
      </c>
      <c r="J82" s="244">
        <v>65755</v>
      </c>
      <c r="K82" s="244">
        <f t="shared" si="52"/>
        <v>65755</v>
      </c>
      <c r="L82" s="245">
        <f t="shared" si="47"/>
        <v>17305.154503325652</v>
      </c>
      <c r="M82" s="244">
        <f t="shared" si="48"/>
        <v>5891.0836435315032</v>
      </c>
      <c r="N82" s="373">
        <f t="shared" si="53"/>
        <v>42558.761853142845</v>
      </c>
      <c r="O82" s="374">
        <v>12</v>
      </c>
      <c r="P82" s="374">
        <f t="shared" si="54"/>
        <v>106412.96985625562</v>
      </c>
      <c r="Q82" s="248">
        <f t="shared" si="55"/>
        <v>37842.89617493112</v>
      </c>
      <c r="R82" s="249">
        <v>17612</v>
      </c>
      <c r="S82" s="375">
        <f t="shared" si="56"/>
        <v>17612</v>
      </c>
      <c r="T82" s="150">
        <f t="shared" si="57"/>
        <v>0.16550614106335515</v>
      </c>
      <c r="U82" s="150">
        <f t="shared" si="58"/>
        <v>0.52112910907232923</v>
      </c>
      <c r="V82" s="151">
        <f>(VLOOKUP($O82,'2014 Avoided Costs'!$B$10:$H$54,6)*$I82)/($S82+$Q82)</f>
        <v>0.87874116374288802</v>
      </c>
      <c r="W82" s="152"/>
      <c r="X82" s="153">
        <f t="shared" si="59"/>
        <v>0.39993961178446497</v>
      </c>
      <c r="Y82" s="153">
        <f t="shared" si="60"/>
        <v>0.7555625797934391</v>
      </c>
      <c r="Z82" s="4">
        <f>(VLOOKUP($O82,'2014 Avoided Costs'!$B$10:$H$54,4)*$I82)/($N82+$Q82)</f>
        <v>0.55123863222477998</v>
      </c>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row>
    <row r="83" spans="1:111" s="3" customFormat="1" x14ac:dyDescent="0.3">
      <c r="A83" s="204"/>
      <c r="B83" s="237" t="s">
        <v>219</v>
      </c>
      <c r="C83" s="367" t="s">
        <v>206</v>
      </c>
      <c r="D83" s="368" t="s">
        <v>151</v>
      </c>
      <c r="E83" s="369">
        <v>1</v>
      </c>
      <c r="F83" s="370">
        <v>14993</v>
      </c>
      <c r="G83" s="371" t="s">
        <v>79</v>
      </c>
      <c r="H83" s="372">
        <v>1</v>
      </c>
      <c r="I83" s="380">
        <f t="shared" si="46"/>
        <v>14993</v>
      </c>
      <c r="J83" s="244">
        <v>77095</v>
      </c>
      <c r="K83" s="244">
        <f t="shared" si="52"/>
        <v>77095</v>
      </c>
      <c r="L83" s="245">
        <f t="shared" si="47"/>
        <v>31420.219225355497</v>
      </c>
      <c r="M83" s="244">
        <f t="shared" si="48"/>
        <v>11070.865647767219</v>
      </c>
      <c r="N83" s="373">
        <f t="shared" si="53"/>
        <v>34603.915126877284</v>
      </c>
      <c r="O83" s="374">
        <v>20</v>
      </c>
      <c r="P83" s="374">
        <f t="shared" si="54"/>
        <v>212701.45883927151</v>
      </c>
      <c r="Q83" s="248">
        <f t="shared" si="55"/>
        <v>51462.906335668238</v>
      </c>
      <c r="R83" s="249">
        <v>23129</v>
      </c>
      <c r="S83" s="375">
        <f t="shared" si="56"/>
        <v>23129</v>
      </c>
      <c r="T83" s="150">
        <f t="shared" si="57"/>
        <v>0.10873926359610678</v>
      </c>
      <c r="U83" s="150">
        <f t="shared" si="58"/>
        <v>0.35068826863117014</v>
      </c>
      <c r="V83" s="151">
        <f>(VLOOKUP($O83,'2014 Avoided Costs'!$B$10:$H$54,6)*$I83)/($S83+$Q83)</f>
        <v>1.2160521758461289</v>
      </c>
      <c r="W83" s="152"/>
      <c r="X83" s="153">
        <f t="shared" si="59"/>
        <v>0.16268771881355942</v>
      </c>
      <c r="Y83" s="153">
        <f t="shared" si="60"/>
        <v>0.40463672384862281</v>
      </c>
      <c r="Z83" s="4">
        <f>(VLOOKUP($O83,'2014 Avoided Costs'!$B$10:$H$54,4)*$I83)/($N83+$Q83)</f>
        <v>0.93720598285487478</v>
      </c>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row>
    <row r="84" spans="1:111" s="3" customFormat="1" x14ac:dyDescent="0.3">
      <c r="A84" s="204"/>
      <c r="B84" s="237" t="s">
        <v>220</v>
      </c>
      <c r="C84" s="367" t="s">
        <v>165</v>
      </c>
      <c r="D84" s="368" t="s">
        <v>151</v>
      </c>
      <c r="E84" s="369">
        <v>1</v>
      </c>
      <c r="F84" s="370">
        <v>9358</v>
      </c>
      <c r="G84" s="371" t="s">
        <v>79</v>
      </c>
      <c r="H84" s="372">
        <v>1</v>
      </c>
      <c r="I84" s="380">
        <f t="shared" si="46"/>
        <v>9358</v>
      </c>
      <c r="J84" s="244">
        <v>7727</v>
      </c>
      <c r="K84" s="244">
        <f t="shared" si="52"/>
        <v>7727</v>
      </c>
      <c r="L84" s="245">
        <f t="shared" si="47"/>
        <v>16695.807716965741</v>
      </c>
      <c r="M84" s="244">
        <f t="shared" si="48"/>
        <v>5779.0055798574012</v>
      </c>
      <c r="N84" s="373">
        <f t="shared" si="53"/>
        <v>0</v>
      </c>
      <c r="O84" s="374">
        <v>15</v>
      </c>
      <c r="P84" s="374">
        <f t="shared" si="54"/>
        <v>107626.79066349778</v>
      </c>
      <c r="Q84" s="248">
        <f t="shared" si="55"/>
        <v>32120.981624036773</v>
      </c>
      <c r="R84" s="249">
        <v>3864</v>
      </c>
      <c r="S84" s="375">
        <f t="shared" si="56"/>
        <v>3864</v>
      </c>
      <c r="T84" s="150">
        <f t="shared" si="57"/>
        <v>3.5901841689965922E-2</v>
      </c>
      <c r="U84" s="150">
        <f t="shared" si="58"/>
        <v>0.3343496670503367</v>
      </c>
      <c r="V84" s="151">
        <f>(VLOOKUP($O84,'2014 Avoided Costs'!$B$10:$H$54,6)*$I84)/($S84+$Q84)</f>
        <v>1.3574763080432044</v>
      </c>
      <c r="W84" s="152"/>
      <c r="X84" s="153">
        <f t="shared" si="59"/>
        <v>0</v>
      </c>
      <c r="Y84" s="153">
        <f t="shared" si="60"/>
        <v>0.29844782536037079</v>
      </c>
      <c r="Z84" s="4">
        <f>(VLOOKUP($O84,'2014 Avoided Costs'!$B$10:$H$54,4)*$I84)/($N84+$Q84)</f>
        <v>1.3517992852219405</v>
      </c>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row>
    <row r="85" spans="1:111" s="3" customFormat="1" x14ac:dyDescent="0.3">
      <c r="A85" s="204"/>
      <c r="B85" s="237" t="s">
        <v>221</v>
      </c>
      <c r="C85" s="367" t="s">
        <v>165</v>
      </c>
      <c r="D85" s="368" t="s">
        <v>151</v>
      </c>
      <c r="E85" s="369">
        <v>1</v>
      </c>
      <c r="F85" s="370">
        <v>538</v>
      </c>
      <c r="G85" s="371" t="s">
        <v>79</v>
      </c>
      <c r="H85" s="372">
        <v>1</v>
      </c>
      <c r="I85" s="380">
        <f t="shared" si="46"/>
        <v>538</v>
      </c>
      <c r="J85" s="244">
        <v>6533</v>
      </c>
      <c r="K85" s="244">
        <f t="shared" si="52"/>
        <v>6533</v>
      </c>
      <c r="L85" s="245">
        <f t="shared" si="47"/>
        <v>959.85729340965702</v>
      </c>
      <c r="M85" s="244">
        <f t="shared" si="48"/>
        <v>332.24032933995318</v>
      </c>
      <c r="N85" s="373">
        <f t="shared" si="53"/>
        <v>5240.9023772503897</v>
      </c>
      <c r="O85" s="374">
        <v>15</v>
      </c>
      <c r="P85" s="374">
        <f t="shared" si="54"/>
        <v>6187.5628742211802</v>
      </c>
      <c r="Q85" s="248">
        <f t="shared" si="55"/>
        <v>1846.6646840918768</v>
      </c>
      <c r="R85" s="249">
        <v>678</v>
      </c>
      <c r="S85" s="375">
        <f t="shared" si="56"/>
        <v>678</v>
      </c>
      <c r="T85" s="150">
        <f t="shared" si="57"/>
        <v>0.10957464413407499</v>
      </c>
      <c r="U85" s="150">
        <f t="shared" si="58"/>
        <v>0.40802246949444576</v>
      </c>
      <c r="V85" s="151">
        <f>(VLOOKUP($O85,'2014 Avoided Costs'!$B$10:$H$54,6)*$I85)/($S85+$Q85)</f>
        <v>1.1123695030455771</v>
      </c>
      <c r="W85" s="152"/>
      <c r="X85" s="153">
        <f t="shared" si="59"/>
        <v>0.84700591877380393</v>
      </c>
      <c r="Y85" s="153">
        <f t="shared" si="60"/>
        <v>1.1454537441341748</v>
      </c>
      <c r="Z85" s="4">
        <f>(VLOOKUP($O85,'2014 Avoided Costs'!$B$10:$H$54,4)*$I85)/($N85+$Q85)</f>
        <v>0.35221112948838024</v>
      </c>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row>
    <row r="86" spans="1:111" s="3" customFormat="1" x14ac:dyDescent="0.3">
      <c r="A86" s="204"/>
      <c r="B86" s="237" t="s">
        <v>222</v>
      </c>
      <c r="C86" s="376" t="s">
        <v>165</v>
      </c>
      <c r="D86" s="368" t="s">
        <v>151</v>
      </c>
      <c r="E86" s="369">
        <v>1</v>
      </c>
      <c r="F86" s="370">
        <v>3060</v>
      </c>
      <c r="G86" s="371" t="s">
        <v>79</v>
      </c>
      <c r="H86" s="372">
        <v>1</v>
      </c>
      <c r="I86" s="380">
        <f t="shared" si="46"/>
        <v>3060</v>
      </c>
      <c r="J86" s="377">
        <v>1826</v>
      </c>
      <c r="K86" s="244">
        <f t="shared" si="52"/>
        <v>1826</v>
      </c>
      <c r="L86" s="245">
        <f t="shared" si="47"/>
        <v>5459.4113714378254</v>
      </c>
      <c r="M86" s="244">
        <f t="shared" si="48"/>
        <v>1889.6940665060531</v>
      </c>
      <c r="N86" s="373">
        <f t="shared" si="53"/>
        <v>0</v>
      </c>
      <c r="O86" s="378">
        <v>15</v>
      </c>
      <c r="P86" s="374">
        <f t="shared" si="54"/>
        <v>35193.201477912284</v>
      </c>
      <c r="Q86" s="248">
        <f t="shared" si="55"/>
        <v>10503.334448552312</v>
      </c>
      <c r="R86" s="379">
        <v>913</v>
      </c>
      <c r="S86" s="375">
        <f t="shared" si="56"/>
        <v>913</v>
      </c>
      <c r="T86" s="150">
        <f t="shared" si="57"/>
        <v>2.5942510532126803E-2</v>
      </c>
      <c r="U86" s="150">
        <f t="shared" si="58"/>
        <v>0.32439033589249772</v>
      </c>
      <c r="V86" s="151">
        <f>(VLOOKUP($O86,'2014 Avoided Costs'!$B$10:$H$54,6)*$I86)/($S86+$Q86)</f>
        <v>1.3991531232711509</v>
      </c>
      <c r="W86" s="152"/>
      <c r="X86" s="153">
        <f t="shared" si="59"/>
        <v>0</v>
      </c>
      <c r="Y86" s="153">
        <f t="shared" si="60"/>
        <v>0.2984478253603709</v>
      </c>
      <c r="Z86" s="4">
        <f>(VLOOKUP($O86,'2014 Avoided Costs'!$B$10:$H$54,4)*$I86)/($N86+$Q86)</f>
        <v>1.3517992852219405</v>
      </c>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row>
    <row r="87" spans="1:111" s="3" customFormat="1" x14ac:dyDescent="0.3">
      <c r="A87" s="204"/>
      <c r="B87" s="237" t="s">
        <v>223</v>
      </c>
      <c r="C87" s="376" t="s">
        <v>165</v>
      </c>
      <c r="D87" s="368" t="s">
        <v>151</v>
      </c>
      <c r="E87" s="369">
        <v>1</v>
      </c>
      <c r="F87" s="370">
        <v>2635</v>
      </c>
      <c r="G87" s="371" t="s">
        <v>79</v>
      </c>
      <c r="H87" s="372">
        <v>1</v>
      </c>
      <c r="I87" s="380">
        <f t="shared" si="46"/>
        <v>2635</v>
      </c>
      <c r="J87" s="377">
        <v>3653</v>
      </c>
      <c r="K87" s="244">
        <f t="shared" si="52"/>
        <v>3653</v>
      </c>
      <c r="L87" s="245">
        <f t="shared" si="47"/>
        <v>4701.1597920714612</v>
      </c>
      <c r="M87" s="244">
        <f t="shared" si="48"/>
        <v>1627.2365572691015</v>
      </c>
      <c r="N87" s="373">
        <f t="shared" si="53"/>
        <v>0</v>
      </c>
      <c r="O87" s="378">
        <v>15</v>
      </c>
      <c r="P87" s="374">
        <f t="shared" si="54"/>
        <v>30305.256828202248</v>
      </c>
      <c r="Q87" s="248">
        <f t="shared" si="55"/>
        <v>9044.5379973644904</v>
      </c>
      <c r="R87" s="379">
        <v>1827</v>
      </c>
      <c r="S87" s="375">
        <f t="shared" si="56"/>
        <v>1827</v>
      </c>
      <c r="T87" s="150">
        <f t="shared" si="57"/>
        <v>6.0286570424302861E-2</v>
      </c>
      <c r="U87" s="150">
        <f t="shared" si="58"/>
        <v>0.3587343957846737</v>
      </c>
      <c r="V87" s="151">
        <f>(VLOOKUP($O87,'2014 Avoided Costs'!$B$10:$H$54,6)*$I87)/($S87+$Q87)</f>
        <v>1.2652027710646325</v>
      </c>
      <c r="W87" s="152"/>
      <c r="X87" s="153">
        <f t="shared" si="59"/>
        <v>0</v>
      </c>
      <c r="Y87" s="153">
        <f t="shared" si="60"/>
        <v>0.29844782536037084</v>
      </c>
      <c r="Z87" s="4">
        <f>(VLOOKUP($O87,'2014 Avoided Costs'!$B$10:$H$54,4)*$I87)/($N87+$Q87)</f>
        <v>1.3517992852219405</v>
      </c>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row>
    <row r="88" spans="1:111" s="6" customFormat="1" x14ac:dyDescent="0.3">
      <c r="A88" s="204"/>
      <c r="B88" s="237" t="s">
        <v>224</v>
      </c>
      <c r="C88" s="376" t="s">
        <v>165</v>
      </c>
      <c r="D88" s="368" t="s">
        <v>151</v>
      </c>
      <c r="E88" s="369">
        <v>1</v>
      </c>
      <c r="F88" s="370">
        <v>252</v>
      </c>
      <c r="G88" s="371" t="s">
        <v>79</v>
      </c>
      <c r="H88" s="372">
        <v>1</v>
      </c>
      <c r="I88" s="380">
        <f t="shared" si="46"/>
        <v>252</v>
      </c>
      <c r="J88" s="377">
        <v>2444</v>
      </c>
      <c r="K88" s="244">
        <f t="shared" si="52"/>
        <v>2444</v>
      </c>
      <c r="L88" s="245">
        <f t="shared" si="47"/>
        <v>449.59858353017387</v>
      </c>
      <c r="M88" s="244">
        <f t="shared" si="48"/>
        <v>155.62186430049849</v>
      </c>
      <c r="N88" s="373">
        <f t="shared" si="53"/>
        <v>1838.7795521693274</v>
      </c>
      <c r="O88" s="378">
        <v>15</v>
      </c>
      <c r="P88" s="374">
        <f t="shared" si="54"/>
        <v>2898.2636511221881</v>
      </c>
      <c r="Q88" s="248">
        <f t="shared" si="55"/>
        <v>864.9804839984256</v>
      </c>
      <c r="R88" s="379">
        <v>318</v>
      </c>
      <c r="S88" s="375">
        <f t="shared" si="56"/>
        <v>318</v>
      </c>
      <c r="T88" s="150">
        <f t="shared" si="57"/>
        <v>0.109720866794459</v>
      </c>
      <c r="U88" s="150">
        <f t="shared" si="58"/>
        <v>0.40816869215482987</v>
      </c>
      <c r="V88" s="151">
        <f>(VLOOKUP($O88,'2014 Avoided Costs'!$B$10:$H$54,6)*$I88)/($S88+$Q88)</f>
        <v>1.111971006955133</v>
      </c>
      <c r="W88" s="152"/>
      <c r="X88" s="153">
        <f t="shared" si="59"/>
        <v>0.63444178084259673</v>
      </c>
      <c r="Y88" s="153">
        <f t="shared" si="60"/>
        <v>0.93288960620296768</v>
      </c>
      <c r="Z88" s="4">
        <f>(VLOOKUP($O88,'2014 Avoided Costs'!$B$10:$H$54,4)*$I88)/($N88+$Q88)</f>
        <v>0.43246441413392228</v>
      </c>
      <c r="AA88" s="3"/>
    </row>
    <row r="89" spans="1:111" s="6" customFormat="1" x14ac:dyDescent="0.3">
      <c r="A89" s="204"/>
      <c r="B89" s="237" t="s">
        <v>225</v>
      </c>
      <c r="C89" s="376" t="s">
        <v>165</v>
      </c>
      <c r="D89" s="368" t="s">
        <v>151</v>
      </c>
      <c r="E89" s="369">
        <v>1</v>
      </c>
      <c r="F89" s="370">
        <v>4383</v>
      </c>
      <c r="G89" s="371" t="s">
        <v>79</v>
      </c>
      <c r="H89" s="372">
        <v>1</v>
      </c>
      <c r="I89" s="380">
        <f t="shared" si="46"/>
        <v>4383</v>
      </c>
      <c r="J89" s="244">
        <v>7332</v>
      </c>
      <c r="K89" s="244">
        <f t="shared" si="52"/>
        <v>7332</v>
      </c>
      <c r="L89" s="245">
        <f t="shared" si="47"/>
        <v>7819.803934971239</v>
      </c>
      <c r="M89" s="244">
        <f t="shared" si="48"/>
        <v>2706.7088540836703</v>
      </c>
      <c r="N89" s="373">
        <f t="shared" si="53"/>
        <v>0</v>
      </c>
      <c r="O89" s="374">
        <v>15</v>
      </c>
      <c r="P89" s="374">
        <f t="shared" si="54"/>
        <v>50409.085646303778</v>
      </c>
      <c r="Q89" s="248">
        <f t="shared" si="55"/>
        <v>15044.481989544045</v>
      </c>
      <c r="R89" s="249">
        <v>3666</v>
      </c>
      <c r="S89" s="375">
        <f t="shared" si="56"/>
        <v>3666</v>
      </c>
      <c r="T89" s="150">
        <f t="shared" si="57"/>
        <v>7.2724985049769653E-2</v>
      </c>
      <c r="U89" s="150">
        <f t="shared" si="58"/>
        <v>0.37117281041014044</v>
      </c>
      <c r="V89" s="151">
        <f>(VLOOKUP($O89,'2014 Avoided Costs'!$B$10:$H$54,6)*$I89)/($S89+$Q89)</f>
        <v>1.2228044158769178</v>
      </c>
      <c r="W89" s="152"/>
      <c r="X89" s="153">
        <f t="shared" si="59"/>
        <v>0</v>
      </c>
      <c r="Y89" s="153">
        <f t="shared" si="60"/>
        <v>0.29844782536037079</v>
      </c>
      <c r="Z89" s="4">
        <f>(VLOOKUP($O89,'2014 Avoided Costs'!$B$10:$H$54,4)*$I89)/($N89+$Q89)</f>
        <v>1.3517992852219407</v>
      </c>
      <c r="AA89" s="3"/>
    </row>
    <row r="90" spans="1:111" s="6" customFormat="1" x14ac:dyDescent="0.3">
      <c r="A90" s="204"/>
      <c r="B90" s="237" t="s">
        <v>226</v>
      </c>
      <c r="C90" s="376" t="s">
        <v>165</v>
      </c>
      <c r="D90" s="368" t="s">
        <v>151</v>
      </c>
      <c r="E90" s="369">
        <v>1</v>
      </c>
      <c r="F90" s="370">
        <v>783</v>
      </c>
      <c r="G90" s="371" t="s">
        <v>79</v>
      </c>
      <c r="H90" s="372">
        <v>1</v>
      </c>
      <c r="I90" s="380">
        <f t="shared" si="46"/>
        <v>783</v>
      </c>
      <c r="J90" s="244">
        <v>7332</v>
      </c>
      <c r="K90" s="244">
        <f t="shared" si="52"/>
        <v>7332</v>
      </c>
      <c r="L90" s="245">
        <f t="shared" si="47"/>
        <v>1396.9670273973261</v>
      </c>
      <c r="M90" s="244">
        <f t="shared" si="48"/>
        <v>483.53936407654891</v>
      </c>
      <c r="N90" s="373">
        <f t="shared" si="53"/>
        <v>5451.4936085261252</v>
      </c>
      <c r="O90" s="374">
        <v>15</v>
      </c>
      <c r="P90" s="374">
        <f t="shared" si="54"/>
        <v>9005.3192017010861</v>
      </c>
      <c r="Q90" s="248">
        <f t="shared" si="55"/>
        <v>2687.6179324236796</v>
      </c>
      <c r="R90" s="249">
        <v>987</v>
      </c>
      <c r="S90" s="375">
        <f t="shared" si="56"/>
        <v>987</v>
      </c>
      <c r="T90" s="150">
        <f t="shared" si="57"/>
        <v>0.10960188949366256</v>
      </c>
      <c r="U90" s="150">
        <f t="shared" si="58"/>
        <v>0.40804971485403335</v>
      </c>
      <c r="V90" s="151">
        <f>(VLOOKUP($O90,'2014 Avoided Costs'!$B$10:$H$54,6)*$I90)/($S90+$Q90)</f>
        <v>1.1122952304606406</v>
      </c>
      <c r="W90" s="152"/>
      <c r="X90" s="153">
        <f t="shared" si="59"/>
        <v>0.60536372852795151</v>
      </c>
      <c r="Y90" s="153">
        <f t="shared" si="60"/>
        <v>0.90381155388832235</v>
      </c>
      <c r="Z90" s="4">
        <f>(VLOOKUP($O90,'2014 Avoided Costs'!$B$10:$H$54,4)*$I90)/($N90+$Q90)</f>
        <v>0.44637795927981933</v>
      </c>
      <c r="AA90" s="3"/>
    </row>
    <row r="91" spans="1:111" s="6" customFormat="1" x14ac:dyDescent="0.3">
      <c r="A91" s="204"/>
      <c r="B91" s="237" t="s">
        <v>227</v>
      </c>
      <c r="C91" s="376" t="s">
        <v>165</v>
      </c>
      <c r="D91" s="368" t="s">
        <v>151</v>
      </c>
      <c r="E91" s="369">
        <v>1</v>
      </c>
      <c r="F91" s="370">
        <v>690</v>
      </c>
      <c r="G91" s="371" t="s">
        <v>79</v>
      </c>
      <c r="H91" s="372">
        <v>1</v>
      </c>
      <c r="I91" s="380">
        <f t="shared" si="46"/>
        <v>690</v>
      </c>
      <c r="J91" s="244">
        <v>2438</v>
      </c>
      <c r="K91" s="244">
        <f t="shared" si="52"/>
        <v>2438</v>
      </c>
      <c r="L91" s="245">
        <f t="shared" si="47"/>
        <v>1231.0437406183332</v>
      </c>
      <c r="M91" s="244">
        <f t="shared" si="48"/>
        <v>426.10748558469822</v>
      </c>
      <c r="N91" s="373">
        <f t="shared" si="53"/>
        <v>780.84877379696854</v>
      </c>
      <c r="O91" s="374">
        <v>15</v>
      </c>
      <c r="P91" s="374">
        <f t="shared" si="54"/>
        <v>7935.7219018821825</v>
      </c>
      <c r="Q91" s="248">
        <f t="shared" si="55"/>
        <v>2368.3989442814036</v>
      </c>
      <c r="R91" s="249">
        <v>869</v>
      </c>
      <c r="S91" s="375">
        <f t="shared" si="56"/>
        <v>869</v>
      </c>
      <c r="T91" s="150">
        <f t="shared" si="57"/>
        <v>0.10950484539962166</v>
      </c>
      <c r="U91" s="150">
        <f t="shared" si="58"/>
        <v>0.40795267075999253</v>
      </c>
      <c r="V91" s="151">
        <f>(VLOOKUP($O91,'2014 Avoided Costs'!$B$10:$H$54,6)*$I91)/($S91+$Q91)</f>
        <v>1.1125598241027046</v>
      </c>
      <c r="W91" s="152"/>
      <c r="X91" s="153">
        <f t="shared" si="59"/>
        <v>9.8396690742371909E-2</v>
      </c>
      <c r="Y91" s="153">
        <f t="shared" si="60"/>
        <v>0.39684451610274274</v>
      </c>
      <c r="Z91" s="4">
        <f>(VLOOKUP($O91,'2014 Avoided Costs'!$B$10:$H$54,4)*$I91)/($N91+$Q91)</f>
        <v>1.0166237421150128</v>
      </c>
      <c r="AA91" s="3"/>
    </row>
    <row r="92" spans="1:111" s="6" customFormat="1" x14ac:dyDescent="0.3">
      <c r="A92" s="204"/>
      <c r="B92" s="237" t="s">
        <v>228</v>
      </c>
      <c r="C92" s="376" t="s">
        <v>165</v>
      </c>
      <c r="D92" s="368" t="s">
        <v>151</v>
      </c>
      <c r="E92" s="369">
        <v>1</v>
      </c>
      <c r="F92" s="370">
        <v>1647</v>
      </c>
      <c r="G92" s="371" t="s">
        <v>79</v>
      </c>
      <c r="H92" s="372">
        <v>1</v>
      </c>
      <c r="I92" s="380">
        <f t="shared" si="46"/>
        <v>1647</v>
      </c>
      <c r="J92" s="244">
        <v>4578</v>
      </c>
      <c r="K92" s="244">
        <f t="shared" si="52"/>
        <v>4578</v>
      </c>
      <c r="L92" s="245">
        <f t="shared" si="47"/>
        <v>2938.4478852150655</v>
      </c>
      <c r="M92" s="244">
        <f t="shared" si="48"/>
        <v>1017.1000416782581</v>
      </c>
      <c r="N92" s="373">
        <f t="shared" si="53"/>
        <v>622.45207310667638</v>
      </c>
      <c r="O92" s="374">
        <v>15</v>
      </c>
      <c r="P92" s="374">
        <f t="shared" si="54"/>
        <v>18942.22314840573</v>
      </c>
      <c r="Q92" s="248">
        <f t="shared" si="55"/>
        <v>5653.2653061325673</v>
      </c>
      <c r="R92" s="249">
        <v>2075</v>
      </c>
      <c r="S92" s="375">
        <f t="shared" si="56"/>
        <v>2075</v>
      </c>
      <c r="T92" s="150">
        <f t="shared" si="57"/>
        <v>0.10954363612671526</v>
      </c>
      <c r="U92" s="150">
        <f t="shared" si="58"/>
        <v>0.40799146148708609</v>
      </c>
      <c r="V92" s="151">
        <f>(VLOOKUP($O92,'2014 Avoided Costs'!$B$10:$H$54,6)*$I92)/($S92+$Q92)</f>
        <v>1.1124540449171434</v>
      </c>
      <c r="W92" s="152"/>
      <c r="X92" s="153">
        <f t="shared" si="59"/>
        <v>3.286056067600835E-2</v>
      </c>
      <c r="Y92" s="153">
        <f t="shared" si="60"/>
        <v>0.33130838603637919</v>
      </c>
      <c r="Z92" s="4">
        <f>(VLOOKUP($O92,'2014 Avoided Costs'!$B$10:$H$54,4)*$I92)/($N92+$Q92)</f>
        <v>1.2177221404649023</v>
      </c>
      <c r="AA92" s="3"/>
    </row>
    <row r="93" spans="1:111" s="6" customFormat="1" x14ac:dyDescent="0.3">
      <c r="A93" s="204"/>
      <c r="B93" s="237" t="s">
        <v>229</v>
      </c>
      <c r="C93" s="376" t="s">
        <v>165</v>
      </c>
      <c r="D93" s="368" t="s">
        <v>151</v>
      </c>
      <c r="E93" s="369">
        <v>1</v>
      </c>
      <c r="F93" s="370">
        <v>1552</v>
      </c>
      <c r="G93" s="371" t="s">
        <v>79</v>
      </c>
      <c r="H93" s="372">
        <v>1</v>
      </c>
      <c r="I93" s="380">
        <f t="shared" si="46"/>
        <v>1552</v>
      </c>
      <c r="J93" s="244">
        <v>11650</v>
      </c>
      <c r="K93" s="244">
        <f t="shared" si="52"/>
        <v>11650</v>
      </c>
      <c r="L93" s="245">
        <f t="shared" si="47"/>
        <v>2768.9563557096426</v>
      </c>
      <c r="M93" s="244">
        <f t="shared" si="48"/>
        <v>958.4330690252923</v>
      </c>
      <c r="N93" s="373">
        <f t="shared" si="53"/>
        <v>7922.6105752650656</v>
      </c>
      <c r="O93" s="374">
        <v>15</v>
      </c>
      <c r="P93" s="374">
        <f t="shared" si="54"/>
        <v>17849.623756117606</v>
      </c>
      <c r="Q93" s="248">
        <f t="shared" si="55"/>
        <v>5327.1813935141136</v>
      </c>
      <c r="R93" s="249">
        <v>1956</v>
      </c>
      <c r="S93" s="375">
        <f t="shared" si="56"/>
        <v>1956</v>
      </c>
      <c r="T93" s="150">
        <f t="shared" si="57"/>
        <v>0.10958214171487059</v>
      </c>
      <c r="U93" s="150">
        <f t="shared" si="58"/>
        <v>0.40802996707524142</v>
      </c>
      <c r="V93" s="151">
        <f>(VLOOKUP($O93,'2014 Avoided Costs'!$B$10:$H$54,6)*$I93)/($S93+$Q93)</f>
        <v>1.112349063173762</v>
      </c>
      <c r="W93" s="152"/>
      <c r="X93" s="153">
        <f t="shared" si="59"/>
        <v>0.44385308528140527</v>
      </c>
      <c r="Y93" s="153">
        <f t="shared" si="60"/>
        <v>0.74230091064177617</v>
      </c>
      <c r="Z93" s="4">
        <f>(VLOOKUP($O93,'2014 Avoided Costs'!$B$10:$H$54,4)*$I93)/($N93+$Q93)</f>
        <v>0.54350136341525646</v>
      </c>
      <c r="AA93" s="3"/>
    </row>
    <row r="94" spans="1:111" s="6" customFormat="1" x14ac:dyDescent="0.3">
      <c r="A94" s="204"/>
      <c r="B94" s="237" t="s">
        <v>230</v>
      </c>
      <c r="C94" s="376" t="s">
        <v>165</v>
      </c>
      <c r="D94" s="368" t="s">
        <v>151</v>
      </c>
      <c r="E94" s="369">
        <v>1</v>
      </c>
      <c r="F94" s="370">
        <v>6541</v>
      </c>
      <c r="G94" s="371" t="s">
        <v>79</v>
      </c>
      <c r="H94" s="372">
        <v>1</v>
      </c>
      <c r="I94" s="380">
        <f t="shared" si="46"/>
        <v>6541</v>
      </c>
      <c r="J94" s="244">
        <v>9893</v>
      </c>
      <c r="K94" s="244">
        <f t="shared" si="52"/>
        <v>9893</v>
      </c>
      <c r="L94" s="245">
        <f t="shared" si="47"/>
        <v>11669.937836789157</v>
      </c>
      <c r="M94" s="244">
        <f t="shared" si="48"/>
        <v>4039.375453926828</v>
      </c>
      <c r="N94" s="373">
        <f t="shared" si="53"/>
        <v>0</v>
      </c>
      <c r="O94" s="374">
        <v>15</v>
      </c>
      <c r="P94" s="374">
        <f t="shared" si="54"/>
        <v>75228.343420596168</v>
      </c>
      <c r="Q94" s="248">
        <f t="shared" si="55"/>
        <v>22451.735499340088</v>
      </c>
      <c r="R94" s="249">
        <v>4947</v>
      </c>
      <c r="S94" s="375">
        <f t="shared" si="56"/>
        <v>4947</v>
      </c>
      <c r="T94" s="150">
        <f t="shared" si="57"/>
        <v>6.575978913082911E-2</v>
      </c>
      <c r="U94" s="150">
        <f t="shared" si="58"/>
        <v>0.36420761449119998</v>
      </c>
      <c r="V94" s="151">
        <f>(VLOOKUP($O94,'2014 Avoided Costs'!$B$10:$H$54,6)*$I94)/($S94+$Q94)</f>
        <v>1.2461896280148539</v>
      </c>
      <c r="W94" s="152"/>
      <c r="X94" s="153">
        <f t="shared" si="59"/>
        <v>0</v>
      </c>
      <c r="Y94" s="153">
        <f t="shared" si="60"/>
        <v>0.29844782536037084</v>
      </c>
      <c r="Z94" s="4">
        <f>(VLOOKUP($O94,'2014 Avoided Costs'!$B$10:$H$54,4)*$I94)/($N94+$Q94)</f>
        <v>1.3517992852219405</v>
      </c>
      <c r="AA94" s="3"/>
    </row>
    <row r="95" spans="1:111" s="6" customFormat="1" x14ac:dyDescent="0.3">
      <c r="A95" s="204"/>
      <c r="B95" s="237" t="s">
        <v>231</v>
      </c>
      <c r="C95" s="376" t="s">
        <v>165</v>
      </c>
      <c r="D95" s="368" t="s">
        <v>151</v>
      </c>
      <c r="E95" s="369">
        <v>1</v>
      </c>
      <c r="F95" s="370">
        <v>1875</v>
      </c>
      <c r="G95" s="371" t="s">
        <v>79</v>
      </c>
      <c r="H95" s="372">
        <v>1</v>
      </c>
      <c r="I95" s="380">
        <f t="shared" si="46"/>
        <v>1875</v>
      </c>
      <c r="J95" s="244">
        <v>2283</v>
      </c>
      <c r="K95" s="244">
        <f t="shared" si="52"/>
        <v>2283</v>
      </c>
      <c r="L95" s="245">
        <f t="shared" si="47"/>
        <v>3345.2275560280791</v>
      </c>
      <c r="M95" s="244">
        <f t="shared" si="48"/>
        <v>1157.9007760453758</v>
      </c>
      <c r="N95" s="373">
        <f t="shared" si="53"/>
        <v>0</v>
      </c>
      <c r="O95" s="374">
        <v>15</v>
      </c>
      <c r="P95" s="374">
        <f t="shared" si="54"/>
        <v>21564.461689897238</v>
      </c>
      <c r="Q95" s="248">
        <f t="shared" si="55"/>
        <v>6435.8666964168569</v>
      </c>
      <c r="R95" s="249">
        <v>1142</v>
      </c>
      <c r="S95" s="375">
        <f t="shared" si="56"/>
        <v>1142</v>
      </c>
      <c r="T95" s="150">
        <f t="shared" si="57"/>
        <v>5.2957500930107475E-2</v>
      </c>
      <c r="U95" s="150">
        <f t="shared" si="58"/>
        <v>0.35140532629047827</v>
      </c>
      <c r="V95" s="151">
        <f>(VLOOKUP($O95,'2014 Avoided Costs'!$B$10:$H$54,6)*$I95)/($S95+$Q95)</f>
        <v>1.2915904161560341</v>
      </c>
      <c r="W95" s="152"/>
      <c r="X95" s="153">
        <f t="shared" si="59"/>
        <v>0</v>
      </c>
      <c r="Y95" s="153">
        <f t="shared" si="60"/>
        <v>0.29844782536037079</v>
      </c>
      <c r="Z95" s="4">
        <f>(VLOOKUP($O95,'2014 Avoided Costs'!$B$10:$H$54,4)*$I95)/($N95+$Q95)</f>
        <v>1.3517992852219407</v>
      </c>
      <c r="AA95" s="3"/>
    </row>
    <row r="96" spans="1:111" s="3" customFormat="1" x14ac:dyDescent="0.3">
      <c r="A96" s="204"/>
      <c r="B96" s="237" t="s">
        <v>232</v>
      </c>
      <c r="C96" s="376" t="s">
        <v>165</v>
      </c>
      <c r="D96" s="368" t="s">
        <v>151</v>
      </c>
      <c r="E96" s="369">
        <v>1</v>
      </c>
      <c r="F96" s="370">
        <v>548</v>
      </c>
      <c r="G96" s="371" t="s">
        <v>79</v>
      </c>
      <c r="H96" s="372">
        <v>1</v>
      </c>
      <c r="I96" s="380">
        <f t="shared" si="46"/>
        <v>548</v>
      </c>
      <c r="J96" s="377">
        <v>2283</v>
      </c>
      <c r="K96" s="244">
        <f t="shared" si="52"/>
        <v>2283</v>
      </c>
      <c r="L96" s="245">
        <f t="shared" si="47"/>
        <v>977.69850704180669</v>
      </c>
      <c r="M96" s="244">
        <f t="shared" si="48"/>
        <v>338.41580014552846</v>
      </c>
      <c r="N96" s="373">
        <f t="shared" si="53"/>
        <v>966.88569281266473</v>
      </c>
      <c r="O96" s="378">
        <v>15</v>
      </c>
      <c r="P96" s="374">
        <f t="shared" si="54"/>
        <v>6302.5733365672986</v>
      </c>
      <c r="Q96" s="248">
        <f t="shared" si="55"/>
        <v>1880.9893064727669</v>
      </c>
      <c r="R96" s="379">
        <v>690</v>
      </c>
      <c r="S96" s="375">
        <f t="shared" si="56"/>
        <v>690</v>
      </c>
      <c r="T96" s="150">
        <f t="shared" si="57"/>
        <v>0.10947909102408145</v>
      </c>
      <c r="U96" s="150">
        <f t="shared" si="58"/>
        <v>0.40792691638445228</v>
      </c>
      <c r="V96" s="151">
        <f>(VLOOKUP($O96,'2014 Avoided Costs'!$B$10:$H$54,6)*$I96)/($S96+$Q96)</f>
        <v>1.1126300653208494</v>
      </c>
      <c r="W96" s="152"/>
      <c r="X96" s="153">
        <f t="shared" si="59"/>
        <v>0.15341125619321708</v>
      </c>
      <c r="Y96" s="153">
        <f t="shared" si="60"/>
        <v>0.45185908155358795</v>
      </c>
      <c r="Z96" s="4">
        <f>(VLOOKUP($O96,'2014 Avoided Costs'!$B$10:$H$54,4)*$I96)/($N96+$Q96)</f>
        <v>0.8928481764958085</v>
      </c>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row>
    <row r="97" spans="1:111" s="3" customFormat="1" x14ac:dyDescent="0.3">
      <c r="A97" s="204"/>
      <c r="B97" s="237" t="s">
        <v>233</v>
      </c>
      <c r="C97" s="376" t="s">
        <v>165</v>
      </c>
      <c r="D97" s="368" t="s">
        <v>151</v>
      </c>
      <c r="E97" s="369">
        <v>1</v>
      </c>
      <c r="F97" s="370">
        <v>2027</v>
      </c>
      <c r="G97" s="371" t="s">
        <v>79</v>
      </c>
      <c r="H97" s="372">
        <v>1</v>
      </c>
      <c r="I97" s="380">
        <f t="shared" si="46"/>
        <v>2027</v>
      </c>
      <c r="J97" s="377">
        <v>2283</v>
      </c>
      <c r="K97" s="244">
        <f t="shared" si="52"/>
        <v>2283</v>
      </c>
      <c r="L97" s="245">
        <f t="shared" si="47"/>
        <v>3616.4140032367554</v>
      </c>
      <c r="M97" s="244">
        <f t="shared" si="48"/>
        <v>1251.7679322901211</v>
      </c>
      <c r="N97" s="373">
        <f t="shared" si="53"/>
        <v>0</v>
      </c>
      <c r="O97" s="378">
        <v>15</v>
      </c>
      <c r="P97" s="374">
        <f t="shared" si="54"/>
        <v>23312.620717558239</v>
      </c>
      <c r="Q97" s="248">
        <f t="shared" si="55"/>
        <v>6957.600956606384</v>
      </c>
      <c r="R97" s="379">
        <v>1142</v>
      </c>
      <c r="S97" s="375">
        <f t="shared" si="56"/>
        <v>1142</v>
      </c>
      <c r="T97" s="150">
        <f t="shared" si="57"/>
        <v>4.8986341511569574E-2</v>
      </c>
      <c r="U97" s="150">
        <f t="shared" si="58"/>
        <v>0.3474341668719404</v>
      </c>
      <c r="V97" s="151">
        <f>(VLOOKUP($O97,'2014 Avoided Costs'!$B$10:$H$54,6)*$I97)/($S97+$Q97)</f>
        <v>1.3063532458805551</v>
      </c>
      <c r="W97" s="152"/>
      <c r="X97" s="153">
        <f t="shared" si="59"/>
        <v>0</v>
      </c>
      <c r="Y97" s="153">
        <f t="shared" si="60"/>
        <v>0.29844782536037084</v>
      </c>
      <c r="Z97" s="4">
        <f>(VLOOKUP($O97,'2014 Avoided Costs'!$B$10:$H$54,4)*$I97)/($N97+$Q97)</f>
        <v>1.3517992852219405</v>
      </c>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row>
    <row r="98" spans="1:111" s="3" customFormat="1" x14ac:dyDescent="0.3">
      <c r="A98" s="204"/>
      <c r="B98" s="237" t="s">
        <v>234</v>
      </c>
      <c r="C98" s="376" t="s">
        <v>165</v>
      </c>
      <c r="D98" s="368" t="s">
        <v>151</v>
      </c>
      <c r="E98" s="369">
        <v>1</v>
      </c>
      <c r="F98" s="370">
        <v>1089</v>
      </c>
      <c r="G98" s="371" t="s">
        <v>79</v>
      </c>
      <c r="H98" s="372">
        <v>1</v>
      </c>
      <c r="I98" s="380">
        <f t="shared" si="46"/>
        <v>1089</v>
      </c>
      <c r="J98" s="377">
        <v>4566</v>
      </c>
      <c r="K98" s="244">
        <f t="shared" si="52"/>
        <v>4566</v>
      </c>
      <c r="L98" s="245">
        <f t="shared" si="47"/>
        <v>1942.9081645411086</v>
      </c>
      <c r="M98" s="244">
        <f t="shared" si="48"/>
        <v>672.50877072715411</v>
      </c>
      <c r="N98" s="373">
        <f t="shared" si="53"/>
        <v>1950.5830647317371</v>
      </c>
      <c r="O98" s="378">
        <v>15</v>
      </c>
      <c r="P98" s="374">
        <f t="shared" si="54"/>
        <v>12524.639349492316</v>
      </c>
      <c r="Q98" s="248">
        <f t="shared" si="55"/>
        <v>3737.951377278911</v>
      </c>
      <c r="R98" s="379">
        <v>1372</v>
      </c>
      <c r="S98" s="375">
        <f t="shared" si="56"/>
        <v>1372</v>
      </c>
      <c r="T98" s="150">
        <f t="shared" si="57"/>
        <v>0.10954407242517636</v>
      </c>
      <c r="U98" s="150">
        <f t="shared" si="58"/>
        <v>0.40799189778554712</v>
      </c>
      <c r="V98" s="151">
        <f>(VLOOKUP($O98,'2014 Avoided Costs'!$B$10:$H$54,6)*$I98)/($S98+$Q98)</f>
        <v>1.1124528552808037</v>
      </c>
      <c r="W98" s="152"/>
      <c r="X98" s="153">
        <f t="shared" si="59"/>
        <v>0.1557396592669795</v>
      </c>
      <c r="Y98" s="153">
        <f t="shared" si="60"/>
        <v>0.45418748462735037</v>
      </c>
      <c r="Z98" s="4">
        <f>(VLOOKUP($O98,'2014 Avoided Costs'!$B$10:$H$54,4)*$I98)/($N98+$Q98)</f>
        <v>0.88827096882514422</v>
      </c>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row>
    <row r="99" spans="1:111" s="3" customFormat="1" x14ac:dyDescent="0.3">
      <c r="A99" s="204"/>
      <c r="B99" s="237" t="s">
        <v>235</v>
      </c>
      <c r="C99" s="376" t="s">
        <v>165</v>
      </c>
      <c r="D99" s="368" t="s">
        <v>151</v>
      </c>
      <c r="E99" s="369">
        <v>1</v>
      </c>
      <c r="F99" s="370">
        <v>2581</v>
      </c>
      <c r="G99" s="371" t="s">
        <v>79</v>
      </c>
      <c r="H99" s="372">
        <v>1</v>
      </c>
      <c r="I99" s="380">
        <f t="shared" si="46"/>
        <v>2581</v>
      </c>
      <c r="J99" s="377">
        <v>10996</v>
      </c>
      <c r="K99" s="244">
        <f t="shared" si="52"/>
        <v>10996</v>
      </c>
      <c r="L99" s="245">
        <f t="shared" si="47"/>
        <v>4604.8172384578529</v>
      </c>
      <c r="M99" s="244">
        <f t="shared" si="48"/>
        <v>1593.8890149189942</v>
      </c>
      <c r="N99" s="373">
        <f t="shared" si="53"/>
        <v>4797.2937466231524</v>
      </c>
      <c r="O99" s="378">
        <v>15</v>
      </c>
      <c r="P99" s="374">
        <f t="shared" si="54"/>
        <v>29684.200331533208</v>
      </c>
      <c r="Q99" s="248">
        <f t="shared" si="55"/>
        <v>8859.1850365076843</v>
      </c>
      <c r="R99" s="379">
        <v>3252</v>
      </c>
      <c r="S99" s="375">
        <f t="shared" si="56"/>
        <v>3252</v>
      </c>
      <c r="T99" s="150">
        <f t="shared" si="57"/>
        <v>0.10955322911446044</v>
      </c>
      <c r="U99" s="150">
        <f t="shared" si="58"/>
        <v>0.40800105447483126</v>
      </c>
      <c r="V99" s="151">
        <f>(VLOOKUP($O99,'2014 Avoided Costs'!$B$10:$H$54,6)*$I99)/($S99+$Q99)</f>
        <v>1.1124278887150871</v>
      </c>
      <c r="W99" s="152"/>
      <c r="X99" s="153">
        <f t="shared" si="59"/>
        <v>0.16161101505325171</v>
      </c>
      <c r="Y99" s="153">
        <f t="shared" si="60"/>
        <v>0.46005884041362255</v>
      </c>
      <c r="Z99" s="4">
        <f>(VLOOKUP($O99,'2014 Avoided Costs'!$B$10:$H$54,4)*$I99)/($N99+$Q99)</f>
        <v>0.87693469086578546</v>
      </c>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row>
    <row r="100" spans="1:111" s="6" customFormat="1" x14ac:dyDescent="0.3">
      <c r="A100" s="204"/>
      <c r="B100" s="237" t="s">
        <v>236</v>
      </c>
      <c r="C100" s="376" t="s">
        <v>165</v>
      </c>
      <c r="D100" s="368" t="s">
        <v>151</v>
      </c>
      <c r="E100" s="369">
        <v>1</v>
      </c>
      <c r="F100" s="370">
        <v>553</v>
      </c>
      <c r="G100" s="371" t="s">
        <v>79</v>
      </c>
      <c r="H100" s="372">
        <v>1</v>
      </c>
      <c r="I100" s="380">
        <f t="shared" si="46"/>
        <v>553</v>
      </c>
      <c r="J100" s="377">
        <v>4950</v>
      </c>
      <c r="K100" s="244">
        <f t="shared" si="52"/>
        <v>4950</v>
      </c>
      <c r="L100" s="245">
        <f t="shared" si="47"/>
        <v>986.61911385788164</v>
      </c>
      <c r="M100" s="244">
        <f t="shared" si="48"/>
        <v>341.50353554831611</v>
      </c>
      <c r="N100" s="373">
        <f t="shared" si="53"/>
        <v>3621.8773505938025</v>
      </c>
      <c r="O100" s="378">
        <v>15</v>
      </c>
      <c r="P100" s="374">
        <f t="shared" si="54"/>
        <v>6360.0785677403583</v>
      </c>
      <c r="Q100" s="248">
        <f t="shared" si="55"/>
        <v>1898.1516176632119</v>
      </c>
      <c r="R100" s="379">
        <v>697</v>
      </c>
      <c r="S100" s="375">
        <f t="shared" si="56"/>
        <v>697</v>
      </c>
      <c r="T100" s="150">
        <f t="shared" si="57"/>
        <v>0.10958984115940471</v>
      </c>
      <c r="U100" s="150">
        <f t="shared" si="58"/>
        <v>0.40803766651977558</v>
      </c>
      <c r="V100" s="151">
        <f>(VLOOKUP($O100,'2014 Avoided Costs'!$B$10:$H$54,6)*$I100)/($S100+$Q100)</f>
        <v>1.1123280737636727</v>
      </c>
      <c r="W100" s="152"/>
      <c r="X100" s="153">
        <f t="shared" si="59"/>
        <v>0.5694705359403448</v>
      </c>
      <c r="Y100" s="153">
        <f t="shared" si="60"/>
        <v>0.86791836130071565</v>
      </c>
      <c r="Z100" s="4">
        <f>(VLOOKUP($O100,'2014 Avoided Costs'!$B$10:$H$54,4)*$I100)/($N100+$Q100)</f>
        <v>0.46483814029878284</v>
      </c>
      <c r="AA100" s="3"/>
    </row>
    <row r="101" spans="1:111" s="3" customFormat="1" x14ac:dyDescent="0.3">
      <c r="A101" s="204"/>
      <c r="B101" s="237" t="s">
        <v>237</v>
      </c>
      <c r="C101" s="376" t="s">
        <v>165</v>
      </c>
      <c r="D101" s="368" t="s">
        <v>151</v>
      </c>
      <c r="E101" s="369">
        <v>1</v>
      </c>
      <c r="F101" s="370">
        <v>3257</v>
      </c>
      <c r="G101" s="371" t="s">
        <v>79</v>
      </c>
      <c r="H101" s="372">
        <v>1</v>
      </c>
      <c r="I101" s="380">
        <f t="shared" si="46"/>
        <v>3257</v>
      </c>
      <c r="J101" s="377">
        <v>8645</v>
      </c>
      <c r="K101" s="244">
        <f t="shared" si="52"/>
        <v>8645</v>
      </c>
      <c r="L101" s="245">
        <f t="shared" si="47"/>
        <v>5810.8832799911761</v>
      </c>
      <c r="M101" s="244">
        <f t="shared" si="48"/>
        <v>2011.3508413758875</v>
      </c>
      <c r="N101" s="373">
        <f t="shared" si="53"/>
        <v>822.76587863293639</v>
      </c>
      <c r="O101" s="378">
        <v>15</v>
      </c>
      <c r="P101" s="374">
        <f t="shared" si="54"/>
        <v>37458.907586130823</v>
      </c>
      <c r="Q101" s="248">
        <f t="shared" si="55"/>
        <v>11179.529509455842</v>
      </c>
      <c r="R101" s="379">
        <v>4104</v>
      </c>
      <c r="S101" s="375">
        <f t="shared" si="56"/>
        <v>4104</v>
      </c>
      <c r="T101" s="150">
        <f t="shared" si="57"/>
        <v>0.10956005565734939</v>
      </c>
      <c r="U101" s="150">
        <f t="shared" si="58"/>
        <v>0.40800788101772023</v>
      </c>
      <c r="V101" s="151">
        <f>(VLOOKUP($O101,'2014 Avoided Costs'!$B$10:$H$54,6)*$I101)/($S101+$Q101)</f>
        <v>1.1124092762395776</v>
      </c>
      <c r="W101" s="152"/>
      <c r="X101" s="153">
        <f t="shared" si="59"/>
        <v>2.1964492070173605E-2</v>
      </c>
      <c r="Y101" s="153">
        <f t="shared" si="60"/>
        <v>0.32041231743054444</v>
      </c>
      <c r="Z101" s="4">
        <f>(VLOOKUP($O101,'2014 Avoided Costs'!$B$10:$H$54,4)*$I101)/($N101+$Q101)</f>
        <v>1.2591324835245936</v>
      </c>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row>
    <row r="102" spans="1:111" s="3" customFormat="1" ht="13.5" thickBot="1" x14ac:dyDescent="0.35">
      <c r="A102" s="6"/>
      <c r="B102" s="75"/>
      <c r="C102" s="59"/>
      <c r="D102" s="89"/>
      <c r="E102" s="155"/>
      <c r="F102" s="156"/>
      <c r="G102" s="174"/>
      <c r="H102" s="175"/>
      <c r="I102" s="177"/>
      <c r="J102" s="63"/>
      <c r="K102" s="63"/>
      <c r="L102" s="63"/>
      <c r="M102" s="63"/>
      <c r="N102" s="5"/>
      <c r="O102" s="88"/>
      <c r="P102" s="57"/>
      <c r="Q102" s="7"/>
      <c r="R102" s="83"/>
      <c r="S102" s="154"/>
      <c r="T102" s="358"/>
      <c r="U102" s="358"/>
      <c r="V102" s="216"/>
      <c r="W102" s="358"/>
      <c r="X102" s="358"/>
      <c r="Y102" s="358"/>
      <c r="Z102" s="359"/>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row>
    <row r="103" spans="1:111" s="300" customFormat="1" ht="13.5" thickBot="1" x14ac:dyDescent="0.35">
      <c r="B103" s="301" t="s">
        <v>250</v>
      </c>
      <c r="C103" s="302"/>
      <c r="D103" s="302"/>
      <c r="E103" s="303"/>
      <c r="F103" s="304"/>
      <c r="G103" s="305"/>
      <c r="H103" s="306"/>
      <c r="I103" s="304">
        <f>SUM(I16:I102)</f>
        <v>245635.70910000001</v>
      </c>
      <c r="J103" s="307"/>
      <c r="K103" s="355">
        <f t="shared" ref="K103" si="61">SUM(K16:K102)</f>
        <v>1373081.1403999999</v>
      </c>
      <c r="L103" s="308"/>
      <c r="M103" s="308"/>
      <c r="N103" s="309">
        <f>SUM(N16:N102)</f>
        <v>768086.86182364647</v>
      </c>
      <c r="O103" s="310">
        <f>SUMPRODUCT(I16:I102,O16:O102)/SUM(I16:I102)</f>
        <v>18.336260037282994</v>
      </c>
      <c r="P103" s="311">
        <f>SUM(P16:P102)</f>
        <v>3196927.2140048435</v>
      </c>
      <c r="Q103" s="312">
        <f>SUM(Q18:Q102)</f>
        <v>843135.29581196269</v>
      </c>
      <c r="R103" s="312"/>
      <c r="S103" s="313">
        <f>SUM(S16:S102)</f>
        <v>452142.48500000004</v>
      </c>
      <c r="T103" s="314">
        <f>S103/P103</f>
        <v>0.14143033442215711</v>
      </c>
      <c r="U103" s="315">
        <f>(S103+Q103)/P103</f>
        <v>0.40516336284971183</v>
      </c>
      <c r="V103" s="316">
        <f>(VLOOKUP($O103,'2014 Avoided Costs'!$B$10:$H$54,6)*$I103)/($S103+$Q103)</f>
        <v>1.0904265851295729</v>
      </c>
      <c r="W103" s="317"/>
      <c r="X103" s="318">
        <f>(N103)/P103</f>
        <v>0.24025785086969539</v>
      </c>
      <c r="Y103" s="319">
        <f>(N103+Q103)/P103</f>
        <v>0.50399087929725006</v>
      </c>
      <c r="Z103" s="316">
        <f>(VLOOKUP($O103,'2014 Avoided Costs'!$B$10:$H$54,4)*$I103)/($N103+Q103)</f>
        <v>0.77903501236784334</v>
      </c>
      <c r="AA103" s="1"/>
    </row>
    <row r="104" spans="1:111" s="320" customFormat="1" ht="13.5" thickBot="1" x14ac:dyDescent="0.35">
      <c r="B104" s="321" t="s">
        <v>249</v>
      </c>
      <c r="C104" s="322"/>
      <c r="D104" s="322"/>
      <c r="E104" s="323"/>
      <c r="F104" s="324"/>
      <c r="G104" s="325"/>
      <c r="H104" s="326"/>
      <c r="I104" s="324">
        <f>I14</f>
        <v>14540.1</v>
      </c>
      <c r="J104" s="327"/>
      <c r="K104" s="328">
        <f>K14</f>
        <v>84938</v>
      </c>
      <c r="L104" s="329"/>
      <c r="M104" s="329"/>
      <c r="N104" s="330">
        <f>N14</f>
        <v>35762.296458466313</v>
      </c>
      <c r="O104" s="331">
        <f>O14</f>
        <v>28.847463222398744</v>
      </c>
      <c r="P104" s="332">
        <f>P14</f>
        <v>258659.15056279159</v>
      </c>
      <c r="Q104" s="333">
        <f>Q14</f>
        <v>49908.344188037736</v>
      </c>
      <c r="R104" s="333"/>
      <c r="S104" s="357">
        <f>S14</f>
        <v>62792.5</v>
      </c>
      <c r="T104" s="334">
        <f>S104/P104</f>
        <v>0.24276156425696069</v>
      </c>
      <c r="U104" s="335">
        <f>(S104+Q104)/P104</f>
        <v>0.43571180042470098</v>
      </c>
      <c r="V104" s="336">
        <f>(VLOOKUP($O104,'2016 Avoided Costs'!$B$10:$I$54,7)*$I104)/($S104+$Q104)</f>
        <v>2.6195284169456325</v>
      </c>
      <c r="W104" s="337"/>
      <c r="X104" s="338">
        <f>(N104)/P104</f>
        <v>0.13826031818574586</v>
      </c>
      <c r="Y104" s="339">
        <f>(N104+Q104)/P104</f>
        <v>0.33121055435348618</v>
      </c>
      <c r="Z104" s="336">
        <f>(VLOOKUP($O104,'2016 Avoided Costs'!$B$10:$I$54,5)*$I104)/($N104+Q104)</f>
        <v>2.9327861862937361</v>
      </c>
      <c r="AA104" s="1"/>
    </row>
    <row r="105" spans="1:111" ht="13.5" thickBot="1" x14ac:dyDescent="0.35">
      <c r="B105" s="285"/>
      <c r="C105" s="286"/>
      <c r="D105" s="286"/>
      <c r="E105" s="287"/>
      <c r="F105" s="288"/>
      <c r="G105" s="288"/>
      <c r="H105" s="288"/>
      <c r="I105" s="284"/>
      <c r="J105" s="284"/>
      <c r="K105" s="293"/>
      <c r="L105" s="289"/>
      <c r="M105" s="289"/>
      <c r="N105" s="290"/>
      <c r="O105" s="291"/>
      <c r="P105" s="292"/>
      <c r="Q105" s="293"/>
      <c r="R105" s="293"/>
      <c r="S105" s="294"/>
      <c r="T105" s="295"/>
      <c r="U105" s="296"/>
      <c r="V105" s="297"/>
      <c r="W105" s="296"/>
      <c r="X105" s="298"/>
      <c r="Y105" s="299"/>
      <c r="Z105" s="297"/>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row>
    <row r="106" spans="1:111" s="340" customFormat="1" ht="13.5" thickBot="1" x14ac:dyDescent="0.35">
      <c r="B106" s="341" t="s">
        <v>251</v>
      </c>
      <c r="C106" s="342"/>
      <c r="D106" s="342"/>
      <c r="E106" s="343"/>
      <c r="F106" s="344"/>
      <c r="G106" s="345"/>
      <c r="H106" s="346"/>
      <c r="I106" s="347">
        <f>SUM(I103:I104)</f>
        <v>260175.80910000001</v>
      </c>
      <c r="J106" s="347"/>
      <c r="K106" s="356">
        <f>SUM(K103:K104)</f>
        <v>1458019.1403999999</v>
      </c>
      <c r="L106" s="348"/>
      <c r="M106" s="348"/>
      <c r="N106" s="349">
        <f>SUM(N103:N104)</f>
        <v>803849.1582821128</v>
      </c>
      <c r="O106" s="350">
        <f>SUMPRODUCT(I103:I104,O103:O104)/SUM(I103:I104)</f>
        <v>18.923685693651986</v>
      </c>
      <c r="P106" s="351">
        <f>SUM(P103:P104)</f>
        <v>3455586.3645676351</v>
      </c>
      <c r="Q106" s="352">
        <f>SUM(Q103:Q104)</f>
        <v>893043.64000000036</v>
      </c>
      <c r="R106" s="352"/>
      <c r="S106" s="353">
        <f>SUM(S103:S104)</f>
        <v>514934.98500000004</v>
      </c>
      <c r="T106" s="70">
        <f>S106/P106</f>
        <v>0.14901522655603747</v>
      </c>
      <c r="U106" s="71">
        <f>(S106+Q106)/P106</f>
        <v>0.40744998864358223</v>
      </c>
      <c r="V106" s="72">
        <f>(0.056*V104)+(0.944*V103)</f>
        <v>1.1760562877112721</v>
      </c>
      <c r="W106" s="354"/>
      <c r="X106" s="74">
        <f>(N106)/P106</f>
        <v>0.23262308432643988</v>
      </c>
      <c r="Y106" s="94">
        <f>(N106+Q106)/P106</f>
        <v>0.49105784641398459</v>
      </c>
      <c r="Z106" s="95">
        <f>(0.056*Z104)+(0.944*Z103)</f>
        <v>0.89964507810769323</v>
      </c>
      <c r="AA106" s="1"/>
    </row>
    <row r="107" spans="1:111" s="8" customFormat="1" ht="13.5" thickBot="1" x14ac:dyDescent="0.35">
      <c r="B107" s="6"/>
      <c r="C107" s="75"/>
      <c r="D107" s="75"/>
      <c r="E107" s="103"/>
      <c r="F107" s="29"/>
      <c r="G107" s="29"/>
      <c r="H107" s="10"/>
      <c r="I107" s="178"/>
      <c r="J107" s="29"/>
      <c r="K107" s="29"/>
      <c r="L107" s="29"/>
      <c r="M107" s="29"/>
      <c r="N107" s="194"/>
      <c r="O107" s="193"/>
      <c r="P107" s="76"/>
      <c r="Q107" s="29"/>
      <c r="R107" s="65"/>
      <c r="S107" s="84"/>
      <c r="T107" s="77"/>
      <c r="U107" s="29"/>
      <c r="V107" s="78"/>
      <c r="W107" s="29"/>
      <c r="X107" s="11"/>
      <c r="Y107" s="11"/>
      <c r="Z107" s="6"/>
      <c r="AA107" s="1"/>
    </row>
    <row r="108" spans="1:111" s="8" customFormat="1" x14ac:dyDescent="0.3">
      <c r="B108" s="209" t="s">
        <v>196</v>
      </c>
      <c r="C108" s="206">
        <v>3.5200000000000002E-2</v>
      </c>
      <c r="D108" s="79"/>
      <c r="E108" s="104"/>
      <c r="F108" s="66"/>
      <c r="G108" s="184"/>
      <c r="H108" s="185"/>
      <c r="I108" s="178"/>
      <c r="J108" s="185"/>
      <c r="K108" s="185"/>
      <c r="L108" s="185"/>
      <c r="M108" s="185"/>
      <c r="N108" s="191"/>
      <c r="O108" s="178"/>
      <c r="P108" s="192"/>
      <c r="Q108" s="192"/>
      <c r="R108" s="192"/>
      <c r="S108" s="192"/>
      <c r="T108" s="186"/>
      <c r="U108" s="187"/>
      <c r="V108" s="188"/>
      <c r="W108" s="185"/>
      <c r="X108" s="66"/>
      <c r="Y108" s="66"/>
      <c r="Z108" s="66"/>
      <c r="AA108" s="1"/>
    </row>
    <row r="109" spans="1:111" s="8" customFormat="1" x14ac:dyDescent="0.3">
      <c r="B109" s="210" t="s">
        <v>17</v>
      </c>
      <c r="C109" s="207">
        <v>0.01</v>
      </c>
      <c r="D109" s="79"/>
      <c r="E109" s="105"/>
      <c r="G109" s="66"/>
      <c r="H109" s="23"/>
      <c r="I109" s="189"/>
      <c r="J109" s="6"/>
      <c r="K109" s="6"/>
      <c r="L109" s="6"/>
      <c r="M109" s="6"/>
      <c r="N109" s="6"/>
      <c r="O109" s="6"/>
      <c r="P109" s="91"/>
      <c r="Q109" s="29"/>
      <c r="R109" s="29"/>
      <c r="S109" s="190"/>
      <c r="T109" s="28"/>
      <c r="U109" s="28"/>
      <c r="V109" s="28"/>
      <c r="W109" s="28"/>
      <c r="X109" s="28"/>
      <c r="Y109" s="28"/>
      <c r="AA109" s="1"/>
    </row>
    <row r="110" spans="1:111" s="8" customFormat="1" ht="20.25" customHeight="1" thickBot="1" x14ac:dyDescent="0.35">
      <c r="B110" s="211" t="s">
        <v>18</v>
      </c>
      <c r="C110" s="208">
        <v>3.5200000000000002E-2</v>
      </c>
      <c r="E110" s="220"/>
      <c r="G110" s="66"/>
      <c r="H110" s="23"/>
      <c r="I110" s="23"/>
      <c r="Q110" s="28"/>
      <c r="R110" s="28"/>
      <c r="S110" s="23"/>
      <c r="T110" s="28"/>
      <c r="U110" s="28"/>
      <c r="V110" s="28"/>
      <c r="W110" s="28"/>
      <c r="X110" s="28"/>
      <c r="Y110" s="28"/>
      <c r="AA110" s="1"/>
    </row>
    <row r="111" spans="1:111" s="8" customFormat="1" ht="20.25" customHeight="1" x14ac:dyDescent="0.3">
      <c r="B111" s="219" t="s">
        <v>243</v>
      </c>
      <c r="D111" s="79"/>
      <c r="E111" s="104"/>
      <c r="G111" s="66"/>
      <c r="H111" s="23"/>
      <c r="I111" s="23"/>
      <c r="Q111" s="28"/>
      <c r="R111" s="28"/>
      <c r="S111" s="23"/>
      <c r="T111" s="28"/>
      <c r="U111" s="28"/>
      <c r="V111" s="28"/>
      <c r="W111" s="28"/>
      <c r="X111" s="28"/>
      <c r="Y111" s="28"/>
      <c r="AA111" s="1"/>
    </row>
    <row r="112" spans="1:111" s="8" customFormat="1" x14ac:dyDescent="0.3">
      <c r="B112" s="221">
        <f>K103-N103</f>
        <v>604994.27857635345</v>
      </c>
      <c r="C112" s="27"/>
      <c r="D112" s="27"/>
      <c r="E112" s="97"/>
      <c r="F112" s="28"/>
      <c r="G112" s="28"/>
      <c r="H112" s="119"/>
      <c r="I112" s="23"/>
      <c r="Q112" s="28"/>
      <c r="R112" s="28"/>
      <c r="S112" s="23"/>
      <c r="T112" s="28"/>
      <c r="U112" s="28"/>
      <c r="V112" s="28"/>
      <c r="W112" s="28"/>
      <c r="X112" s="28"/>
      <c r="Y112" s="28"/>
      <c r="AA112" s="1"/>
    </row>
    <row r="113" spans="2:27" s="27" customFormat="1" ht="12.75" customHeight="1" x14ac:dyDescent="0.3">
      <c r="B113" s="26" t="s">
        <v>168</v>
      </c>
      <c r="E113" s="97"/>
      <c r="G113" s="28"/>
      <c r="H113" s="26"/>
      <c r="I113" s="85"/>
      <c r="S113" s="26"/>
      <c r="AA113" s="276"/>
    </row>
    <row r="114" spans="2:27" s="27" customFormat="1" x14ac:dyDescent="0.3">
      <c r="B114" s="214">
        <v>893043.64</v>
      </c>
      <c r="E114" s="97"/>
      <c r="F114" s="180" t="s">
        <v>162</v>
      </c>
      <c r="G114" s="181"/>
      <c r="H114" s="182"/>
      <c r="I114" s="183"/>
      <c r="J114" s="180"/>
      <c r="K114" s="180"/>
      <c r="L114" s="180"/>
      <c r="M114" s="180"/>
      <c r="N114" s="180"/>
      <c r="O114" s="180"/>
      <c r="P114" s="180"/>
      <c r="Q114" s="180"/>
      <c r="R114" s="180"/>
      <c r="S114" s="182"/>
      <c r="AA114" s="276"/>
    </row>
    <row r="115" spans="2:27" s="27" customFormat="1" ht="16.899999999999999" customHeight="1" x14ac:dyDescent="0.3">
      <c r="B115" s="26" t="s">
        <v>166</v>
      </c>
      <c r="E115" s="97"/>
      <c r="G115" s="28"/>
      <c r="H115" s="26"/>
      <c r="I115" s="85"/>
      <c r="S115" s="26"/>
      <c r="AA115" s="276"/>
    </row>
    <row r="116" spans="2:27" s="27" customFormat="1" ht="14.5" customHeight="1" x14ac:dyDescent="0.3">
      <c r="B116" s="205">
        <f>B114/2</f>
        <v>446521.82</v>
      </c>
      <c r="E116" s="97"/>
      <c r="G116" s="69"/>
      <c r="H116" s="26"/>
      <c r="I116" s="85"/>
      <c r="S116" s="26"/>
      <c r="AA116" s="276"/>
    </row>
    <row r="117" spans="2:27" s="27" customFormat="1" ht="16.899999999999999" customHeight="1" x14ac:dyDescent="0.3">
      <c r="B117" s="26" t="s">
        <v>167</v>
      </c>
      <c r="E117" s="97"/>
      <c r="G117" s="28"/>
      <c r="H117" s="26"/>
      <c r="I117" s="85"/>
      <c r="S117" s="26"/>
      <c r="AA117" s="276"/>
    </row>
    <row r="118" spans="2:27" s="27" customFormat="1" ht="14.5" customHeight="1" x14ac:dyDescent="0.3">
      <c r="B118" s="205">
        <f>B114/2</f>
        <v>446521.82</v>
      </c>
      <c r="E118" s="97"/>
      <c r="G118" s="69"/>
      <c r="H118" s="26"/>
      <c r="I118" s="85"/>
      <c r="S118" s="26"/>
      <c r="AA118" s="276"/>
    </row>
    <row r="119" spans="2:27" s="27" customFormat="1" x14ac:dyDescent="0.3">
      <c r="E119" s="97"/>
      <c r="G119" s="28"/>
      <c r="H119" s="26"/>
      <c r="I119" s="85"/>
      <c r="S119" s="26"/>
      <c r="AA119" s="276"/>
    </row>
    <row r="120" spans="2:27" s="27" customFormat="1" ht="18" customHeight="1" x14ac:dyDescent="0.3">
      <c r="B120" s="179">
        <v>766935</v>
      </c>
      <c r="C120" s="67"/>
      <c r="E120" s="97"/>
      <c r="G120" s="28"/>
      <c r="H120" s="26"/>
      <c r="I120" s="85"/>
      <c r="S120" s="26"/>
      <c r="AA120" s="276"/>
    </row>
    <row r="121" spans="2:27" s="8" customFormat="1" x14ac:dyDescent="0.3">
      <c r="B121" s="27"/>
      <c r="C121" s="68"/>
      <c r="D121" s="27"/>
      <c r="E121" s="97"/>
      <c r="F121" s="28"/>
      <c r="G121" s="28"/>
      <c r="H121" s="119"/>
      <c r="I121" s="86"/>
      <c r="Q121" s="28"/>
      <c r="R121" s="28"/>
      <c r="S121" s="23"/>
      <c r="T121" s="28"/>
      <c r="U121" s="28"/>
      <c r="V121" s="28"/>
      <c r="W121" s="28"/>
      <c r="X121" s="28"/>
      <c r="Y121" s="28"/>
      <c r="AA121" s="1"/>
    </row>
    <row r="122" spans="2:27" s="8" customFormat="1" x14ac:dyDescent="0.3">
      <c r="B122" s="27"/>
      <c r="C122" s="69"/>
      <c r="D122" s="27"/>
      <c r="E122" s="97"/>
      <c r="F122" s="28"/>
      <c r="G122" s="28"/>
      <c r="H122" s="119"/>
      <c r="I122" s="86"/>
      <c r="Q122" s="28"/>
      <c r="R122" s="28"/>
      <c r="S122" s="23"/>
      <c r="T122" s="28"/>
      <c r="U122" s="28"/>
      <c r="V122" s="28"/>
      <c r="W122" s="28"/>
      <c r="X122" s="28"/>
      <c r="Y122" s="28"/>
      <c r="AA122" s="1"/>
    </row>
    <row r="123" spans="2:27" s="8" customFormat="1" x14ac:dyDescent="0.3">
      <c r="B123" s="80"/>
      <c r="C123" s="27"/>
      <c r="D123" s="27"/>
      <c r="E123" s="97"/>
      <c r="F123" s="28"/>
      <c r="G123" s="28"/>
      <c r="H123" s="119"/>
      <c r="I123" s="86"/>
      <c r="Q123" s="28"/>
      <c r="R123" s="28"/>
      <c r="S123" s="23"/>
      <c r="T123" s="28"/>
      <c r="U123" s="28"/>
      <c r="V123" s="28"/>
      <c r="W123" s="28"/>
      <c r="X123" s="28"/>
      <c r="Y123" s="28"/>
      <c r="AA123" s="1"/>
    </row>
    <row r="124" spans="2:27" s="8" customFormat="1" x14ac:dyDescent="0.3">
      <c r="C124" s="27"/>
      <c r="D124" s="27"/>
      <c r="E124" s="97"/>
      <c r="F124" s="28"/>
      <c r="G124" s="28"/>
      <c r="H124" s="119"/>
      <c r="I124" s="86"/>
      <c r="Q124" s="28"/>
      <c r="R124" s="28"/>
      <c r="S124" s="23"/>
      <c r="T124" s="28"/>
      <c r="U124" s="28"/>
      <c r="V124" s="28"/>
      <c r="W124" s="28"/>
      <c r="X124" s="28"/>
      <c r="Y124" s="28"/>
      <c r="AA124" s="1"/>
    </row>
    <row r="125" spans="2:27" s="8" customFormat="1" x14ac:dyDescent="0.3">
      <c r="C125" s="27"/>
      <c r="D125" s="27"/>
      <c r="E125" s="97"/>
      <c r="F125" s="28"/>
      <c r="G125" s="28"/>
      <c r="H125" s="119"/>
      <c r="I125" s="86"/>
      <c r="Q125" s="28"/>
      <c r="R125" s="28"/>
      <c r="S125" s="87"/>
      <c r="T125" s="28"/>
      <c r="U125" s="28"/>
      <c r="V125" s="28"/>
      <c r="W125" s="28"/>
      <c r="X125" s="28"/>
      <c r="Y125" s="28"/>
      <c r="AA125" s="1"/>
    </row>
    <row r="126" spans="2:27" s="8" customFormat="1" x14ac:dyDescent="0.3">
      <c r="C126" s="27"/>
      <c r="D126" s="27"/>
      <c r="E126" s="97"/>
      <c r="F126" s="28"/>
      <c r="G126" s="28"/>
      <c r="H126" s="119"/>
      <c r="I126" s="86"/>
      <c r="Q126" s="28"/>
      <c r="R126" s="28"/>
      <c r="S126" s="23"/>
      <c r="T126" s="28"/>
      <c r="U126" s="28"/>
      <c r="V126" s="28"/>
      <c r="W126" s="28"/>
      <c r="X126" s="28"/>
      <c r="Y126" s="28"/>
      <c r="Z126" s="6"/>
      <c r="AA126" s="3"/>
    </row>
    <row r="127" spans="2:27" s="6" customFormat="1" x14ac:dyDescent="0.3">
      <c r="B127" s="8"/>
      <c r="C127" s="27"/>
      <c r="D127" s="27"/>
      <c r="E127" s="97"/>
      <c r="F127" s="28"/>
      <c r="G127" s="28"/>
      <c r="H127" s="119"/>
      <c r="I127" s="119"/>
      <c r="J127" s="8"/>
      <c r="K127" s="8"/>
      <c r="L127" s="8"/>
      <c r="M127" s="8"/>
      <c r="N127" s="8"/>
      <c r="O127" s="8"/>
      <c r="P127" s="8"/>
      <c r="Q127" s="28"/>
      <c r="R127" s="28"/>
      <c r="S127" s="23"/>
      <c r="T127" s="28"/>
      <c r="U127" s="28"/>
      <c r="V127" s="28"/>
      <c r="W127" s="28"/>
      <c r="X127" s="28"/>
      <c r="Y127" s="28"/>
      <c r="Z127" s="8"/>
      <c r="AA127" s="3"/>
    </row>
    <row r="128" spans="2:27" s="8" customFormat="1" x14ac:dyDescent="0.3">
      <c r="C128" s="27"/>
      <c r="D128" s="27"/>
      <c r="E128" s="97"/>
      <c r="F128" s="28"/>
      <c r="G128" s="28"/>
      <c r="H128" s="119"/>
      <c r="I128" s="119"/>
      <c r="Q128" s="28"/>
      <c r="R128" s="28"/>
      <c r="S128" s="23"/>
      <c r="T128" s="28"/>
      <c r="U128" s="28"/>
      <c r="V128" s="28"/>
      <c r="W128" s="28"/>
      <c r="X128" s="28"/>
      <c r="Y128" s="28"/>
      <c r="AA128" s="1"/>
    </row>
    <row r="129" spans="3:27" s="8" customFormat="1" x14ac:dyDescent="0.3">
      <c r="C129" s="27"/>
      <c r="D129" s="27"/>
      <c r="E129" s="97"/>
      <c r="F129" s="28"/>
      <c r="G129" s="28"/>
      <c r="H129" s="119"/>
      <c r="I129" s="119"/>
      <c r="Q129" s="28"/>
      <c r="R129" s="28"/>
      <c r="S129" s="23"/>
      <c r="T129" s="28"/>
      <c r="U129" s="28"/>
      <c r="V129" s="28"/>
      <c r="W129" s="28"/>
      <c r="X129" s="28"/>
      <c r="Y129" s="28"/>
      <c r="AA129" s="1"/>
    </row>
    <row r="130" spans="3:27" s="8" customFormat="1" x14ac:dyDescent="0.3">
      <c r="C130" s="27"/>
      <c r="D130" s="27"/>
      <c r="E130" s="97"/>
      <c r="F130" s="28"/>
      <c r="G130" s="28"/>
      <c r="H130" s="119"/>
      <c r="I130" s="119"/>
      <c r="Q130" s="28"/>
      <c r="R130" s="28"/>
      <c r="S130" s="23"/>
      <c r="T130" s="28"/>
      <c r="U130" s="28"/>
      <c r="V130" s="28"/>
      <c r="W130" s="28"/>
      <c r="X130" s="28"/>
      <c r="Y130" s="28"/>
      <c r="AA130" s="1"/>
    </row>
    <row r="131" spans="3:27" s="8" customFormat="1" x14ac:dyDescent="0.3">
      <c r="C131" s="27"/>
      <c r="D131" s="27"/>
      <c r="E131" s="97"/>
      <c r="F131" s="28"/>
      <c r="G131" s="28"/>
      <c r="H131" s="119"/>
      <c r="I131" s="119"/>
      <c r="Q131" s="28"/>
      <c r="R131" s="28"/>
      <c r="S131" s="23"/>
      <c r="T131" s="28"/>
      <c r="U131" s="28"/>
      <c r="V131" s="28"/>
      <c r="W131" s="28"/>
      <c r="X131" s="28"/>
      <c r="Y131" s="28"/>
      <c r="AA131" s="1"/>
    </row>
    <row r="132" spans="3:27" s="8" customFormat="1" x14ac:dyDescent="0.3">
      <c r="C132" s="27"/>
      <c r="D132" s="27"/>
      <c r="E132" s="97"/>
      <c r="F132" s="28"/>
      <c r="G132" s="28"/>
      <c r="H132" s="119"/>
      <c r="I132" s="119"/>
      <c r="Q132" s="28"/>
      <c r="R132" s="28"/>
      <c r="S132" s="23"/>
      <c r="T132" s="28"/>
      <c r="U132" s="28"/>
      <c r="V132" s="28"/>
      <c r="W132" s="28"/>
      <c r="X132" s="28"/>
      <c r="Y132" s="28"/>
      <c r="AA132" s="1"/>
    </row>
    <row r="133" spans="3:27" s="8" customFormat="1" x14ac:dyDescent="0.3">
      <c r="C133" s="27"/>
      <c r="D133" s="27"/>
      <c r="E133" s="97"/>
      <c r="F133" s="28"/>
      <c r="G133" s="28"/>
      <c r="H133" s="119"/>
      <c r="I133" s="119"/>
      <c r="Q133" s="28"/>
      <c r="R133" s="28"/>
      <c r="S133" s="23"/>
      <c r="T133" s="28"/>
      <c r="U133" s="28"/>
      <c r="V133" s="28"/>
      <c r="W133" s="28"/>
      <c r="X133" s="28"/>
      <c r="Y133" s="28"/>
      <c r="AA133" s="1"/>
    </row>
    <row r="134" spans="3:27" s="8" customFormat="1" x14ac:dyDescent="0.3">
      <c r="C134" s="27"/>
      <c r="D134" s="27"/>
      <c r="E134" s="97"/>
      <c r="F134" s="28"/>
      <c r="G134" s="28"/>
      <c r="H134" s="119"/>
      <c r="I134" s="119"/>
      <c r="Q134" s="28"/>
      <c r="R134" s="28"/>
      <c r="S134" s="23"/>
      <c r="T134" s="28"/>
      <c r="U134" s="28"/>
      <c r="V134" s="28"/>
      <c r="W134" s="28"/>
      <c r="X134" s="28"/>
      <c r="Y134" s="28"/>
      <c r="AA134" s="1"/>
    </row>
    <row r="135" spans="3:27" s="8" customFormat="1" x14ac:dyDescent="0.3">
      <c r="C135" s="27"/>
      <c r="D135" s="27"/>
      <c r="E135" s="97"/>
      <c r="F135" s="28"/>
      <c r="G135" s="28"/>
      <c r="H135" s="119"/>
      <c r="I135" s="119"/>
      <c r="Q135" s="28"/>
      <c r="R135" s="28"/>
      <c r="S135" s="23"/>
      <c r="T135" s="28"/>
      <c r="U135" s="28"/>
      <c r="V135" s="28"/>
      <c r="W135" s="28"/>
      <c r="X135" s="28"/>
      <c r="Y135" s="28"/>
      <c r="AA135" s="1"/>
    </row>
    <row r="136" spans="3:27" s="8" customFormat="1" x14ac:dyDescent="0.3">
      <c r="C136" s="27"/>
      <c r="D136" s="27"/>
      <c r="E136" s="97"/>
      <c r="F136" s="28"/>
      <c r="G136" s="28"/>
      <c r="H136" s="119"/>
      <c r="I136" s="119"/>
      <c r="Q136" s="28"/>
      <c r="R136" s="28"/>
      <c r="S136" s="23"/>
      <c r="T136" s="28"/>
      <c r="U136" s="28"/>
      <c r="V136" s="28"/>
      <c r="W136" s="28"/>
      <c r="X136" s="28"/>
      <c r="Y136" s="28"/>
      <c r="AA136" s="1"/>
    </row>
    <row r="137" spans="3:27" s="8" customFormat="1" x14ac:dyDescent="0.3">
      <c r="C137" s="27"/>
      <c r="D137" s="27"/>
      <c r="E137" s="97"/>
      <c r="F137" s="28"/>
      <c r="G137" s="28"/>
      <c r="H137" s="119"/>
      <c r="I137" s="119"/>
      <c r="Q137" s="28"/>
      <c r="R137" s="28"/>
      <c r="S137" s="23"/>
      <c r="T137" s="28"/>
      <c r="U137" s="28"/>
      <c r="V137" s="28"/>
      <c r="W137" s="28"/>
      <c r="X137" s="28"/>
      <c r="Y137" s="28"/>
      <c r="AA137" s="1"/>
    </row>
    <row r="138" spans="3:27" s="8" customFormat="1" x14ac:dyDescent="0.3">
      <c r="C138" s="27"/>
      <c r="D138" s="27"/>
      <c r="E138" s="97"/>
      <c r="F138" s="28"/>
      <c r="G138" s="28"/>
      <c r="H138" s="119"/>
      <c r="I138" s="119"/>
      <c r="Q138" s="28"/>
      <c r="R138" s="28"/>
      <c r="S138" s="23"/>
      <c r="T138" s="28"/>
      <c r="U138" s="28"/>
      <c r="V138" s="28"/>
      <c r="W138" s="28"/>
      <c r="X138" s="28"/>
      <c r="Y138" s="28"/>
      <c r="AA138" s="1"/>
    </row>
    <row r="139" spans="3:27" s="8" customFormat="1" x14ac:dyDescent="0.3">
      <c r="C139" s="27"/>
      <c r="D139" s="27"/>
      <c r="E139" s="97"/>
      <c r="F139" s="28"/>
      <c r="G139" s="28"/>
      <c r="H139" s="119"/>
      <c r="I139" s="119"/>
      <c r="Q139" s="28"/>
      <c r="R139" s="28"/>
      <c r="S139" s="23"/>
      <c r="T139" s="28"/>
      <c r="U139" s="28"/>
      <c r="V139" s="28"/>
      <c r="W139" s="28"/>
      <c r="X139" s="28"/>
      <c r="Y139" s="28"/>
      <c r="AA139" s="1"/>
    </row>
    <row r="140" spans="3:27" s="8" customFormat="1" x14ac:dyDescent="0.3">
      <c r="C140" s="27"/>
      <c r="D140" s="27"/>
      <c r="E140" s="97"/>
      <c r="F140" s="28"/>
      <c r="G140" s="28"/>
      <c r="H140" s="119"/>
      <c r="I140" s="119"/>
      <c r="Q140" s="28"/>
      <c r="R140" s="28"/>
      <c r="S140" s="23"/>
      <c r="T140" s="28"/>
      <c r="U140" s="28"/>
      <c r="V140" s="28"/>
      <c r="W140" s="28"/>
      <c r="X140" s="28"/>
      <c r="Y140" s="28"/>
      <c r="AA140" s="1"/>
    </row>
    <row r="141" spans="3:27" s="8" customFormat="1" x14ac:dyDescent="0.3">
      <c r="C141" s="27"/>
      <c r="D141" s="27"/>
      <c r="E141" s="97"/>
      <c r="F141" s="28"/>
      <c r="G141" s="28"/>
      <c r="H141" s="119"/>
      <c r="I141" s="119"/>
      <c r="Q141" s="28"/>
      <c r="R141" s="28"/>
      <c r="S141" s="23"/>
      <c r="T141" s="28"/>
      <c r="U141" s="28"/>
      <c r="V141" s="28"/>
      <c r="W141" s="28"/>
      <c r="X141" s="28"/>
      <c r="Y141" s="28"/>
      <c r="AA141" s="1"/>
    </row>
    <row r="142" spans="3:27" s="8" customFormat="1" x14ac:dyDescent="0.3">
      <c r="C142" s="27"/>
      <c r="D142" s="27"/>
      <c r="E142" s="97"/>
      <c r="F142" s="28"/>
      <c r="G142" s="28"/>
      <c r="H142" s="119"/>
      <c r="I142" s="119"/>
      <c r="Q142" s="28"/>
      <c r="R142" s="28"/>
      <c r="S142" s="23"/>
      <c r="T142" s="28"/>
      <c r="U142" s="28"/>
      <c r="V142" s="28"/>
      <c r="W142" s="28"/>
      <c r="X142" s="28"/>
      <c r="Y142" s="28"/>
      <c r="AA142" s="1"/>
    </row>
    <row r="143" spans="3:27" s="8" customFormat="1" x14ac:dyDescent="0.3">
      <c r="C143" s="27"/>
      <c r="D143" s="27"/>
      <c r="E143" s="97"/>
      <c r="F143" s="28"/>
      <c r="G143" s="28"/>
      <c r="H143" s="119"/>
      <c r="I143" s="119"/>
      <c r="Q143" s="28"/>
      <c r="R143" s="28"/>
      <c r="S143" s="23"/>
      <c r="T143" s="28"/>
      <c r="U143" s="28"/>
      <c r="V143" s="28"/>
      <c r="W143" s="28"/>
      <c r="X143" s="28"/>
      <c r="Y143" s="28"/>
      <c r="AA143" s="1"/>
    </row>
    <row r="144" spans="3:27" s="8" customFormat="1" x14ac:dyDescent="0.3">
      <c r="C144" s="27"/>
      <c r="D144" s="27"/>
      <c r="E144" s="97"/>
      <c r="F144" s="28"/>
      <c r="G144" s="28"/>
      <c r="H144" s="119"/>
      <c r="I144" s="119"/>
      <c r="Q144" s="28"/>
      <c r="R144" s="28"/>
      <c r="S144" s="23"/>
      <c r="T144" s="28"/>
      <c r="U144" s="28"/>
      <c r="V144" s="28"/>
      <c r="W144" s="28"/>
      <c r="X144" s="28"/>
      <c r="Y144" s="28"/>
      <c r="AA144" s="1"/>
    </row>
    <row r="145" spans="3:27" s="8" customFormat="1" x14ac:dyDescent="0.3">
      <c r="C145" s="27"/>
      <c r="D145" s="27"/>
      <c r="E145" s="97"/>
      <c r="F145" s="28"/>
      <c r="G145" s="28"/>
      <c r="H145" s="119"/>
      <c r="I145" s="119"/>
      <c r="Q145" s="28"/>
      <c r="R145" s="28"/>
      <c r="S145" s="23"/>
      <c r="T145" s="28"/>
      <c r="U145" s="28"/>
      <c r="V145" s="28"/>
      <c r="W145" s="28"/>
      <c r="X145" s="28"/>
      <c r="Y145" s="28"/>
      <c r="AA145" s="1"/>
    </row>
    <row r="146" spans="3:27" s="8" customFormat="1" x14ac:dyDescent="0.3">
      <c r="C146" s="27"/>
      <c r="D146" s="27"/>
      <c r="E146" s="97"/>
      <c r="F146" s="28"/>
      <c r="G146" s="28"/>
      <c r="H146" s="119"/>
      <c r="I146" s="119"/>
      <c r="Q146" s="28"/>
      <c r="R146" s="28"/>
      <c r="S146" s="23"/>
      <c r="T146" s="28"/>
      <c r="U146" s="28"/>
      <c r="V146" s="28"/>
      <c r="W146" s="28"/>
      <c r="X146" s="28"/>
      <c r="Y146" s="28"/>
      <c r="AA146" s="1"/>
    </row>
    <row r="147" spans="3:27" s="8" customFormat="1" x14ac:dyDescent="0.3">
      <c r="C147" s="27"/>
      <c r="D147" s="27"/>
      <c r="E147" s="97"/>
      <c r="F147" s="28"/>
      <c r="G147" s="28"/>
      <c r="H147" s="119"/>
      <c r="I147" s="119"/>
      <c r="Q147" s="28"/>
      <c r="R147" s="28"/>
      <c r="S147" s="23"/>
      <c r="T147" s="28"/>
      <c r="U147" s="28"/>
      <c r="V147" s="28"/>
      <c r="W147" s="28"/>
      <c r="X147" s="28"/>
      <c r="Y147" s="28"/>
      <c r="AA147" s="1"/>
    </row>
    <row r="148" spans="3:27" s="8" customFormat="1" x14ac:dyDescent="0.3">
      <c r="C148" s="27"/>
      <c r="D148" s="27"/>
      <c r="E148" s="97"/>
      <c r="F148" s="28"/>
      <c r="G148" s="28"/>
      <c r="H148" s="119"/>
      <c r="I148" s="119"/>
      <c r="Q148" s="28"/>
      <c r="R148" s="28"/>
      <c r="S148" s="23"/>
      <c r="T148" s="28"/>
      <c r="U148" s="28"/>
      <c r="V148" s="28"/>
      <c r="W148" s="28"/>
      <c r="X148" s="28"/>
      <c r="Y148" s="28"/>
      <c r="AA148" s="1"/>
    </row>
    <row r="149" spans="3:27" s="8" customFormat="1" x14ac:dyDescent="0.3">
      <c r="C149" s="27"/>
      <c r="D149" s="27"/>
      <c r="E149" s="97"/>
      <c r="F149" s="28"/>
      <c r="G149" s="28"/>
      <c r="H149" s="119"/>
      <c r="I149" s="119"/>
      <c r="Q149" s="28"/>
      <c r="R149" s="28"/>
      <c r="S149" s="23"/>
      <c r="T149" s="28"/>
      <c r="U149" s="28"/>
      <c r="V149" s="28"/>
      <c r="W149" s="28"/>
      <c r="X149" s="28"/>
      <c r="Y149" s="28"/>
      <c r="AA149" s="1"/>
    </row>
    <row r="150" spans="3:27" s="8" customFormat="1" x14ac:dyDescent="0.3">
      <c r="C150" s="27"/>
      <c r="D150" s="27"/>
      <c r="E150" s="97"/>
      <c r="F150" s="28"/>
      <c r="G150" s="28"/>
      <c r="H150" s="119"/>
      <c r="I150" s="119"/>
      <c r="Q150" s="28"/>
      <c r="R150" s="28"/>
      <c r="S150" s="23"/>
      <c r="T150" s="28"/>
      <c r="U150" s="28"/>
      <c r="V150" s="28"/>
      <c r="W150" s="28"/>
      <c r="X150" s="28"/>
      <c r="Y150" s="28"/>
      <c r="AA150" s="1"/>
    </row>
    <row r="151" spans="3:27" s="8" customFormat="1" x14ac:dyDescent="0.3">
      <c r="C151" s="27"/>
      <c r="D151" s="27"/>
      <c r="E151" s="97"/>
      <c r="F151" s="28"/>
      <c r="G151" s="28"/>
      <c r="H151" s="119"/>
      <c r="I151" s="119"/>
      <c r="Q151" s="28"/>
      <c r="R151" s="28"/>
      <c r="S151" s="23"/>
      <c r="T151" s="28"/>
      <c r="U151" s="28"/>
      <c r="V151" s="28"/>
      <c r="W151" s="28"/>
      <c r="X151" s="28"/>
      <c r="Y151" s="28"/>
      <c r="AA151" s="1"/>
    </row>
    <row r="152" spans="3:27" s="8" customFormat="1" x14ac:dyDescent="0.3">
      <c r="C152" s="27"/>
      <c r="D152" s="27"/>
      <c r="E152" s="97"/>
      <c r="F152" s="28"/>
      <c r="G152" s="28"/>
      <c r="H152" s="119"/>
      <c r="I152" s="119"/>
      <c r="Q152" s="28"/>
      <c r="R152" s="28"/>
      <c r="S152" s="23"/>
      <c r="T152" s="28"/>
      <c r="U152" s="28"/>
      <c r="V152" s="28"/>
      <c r="W152" s="28"/>
      <c r="X152" s="28"/>
      <c r="Y152" s="28"/>
      <c r="AA152" s="1"/>
    </row>
    <row r="153" spans="3:27" s="8" customFormat="1" x14ac:dyDescent="0.3">
      <c r="C153" s="27"/>
      <c r="D153" s="27"/>
      <c r="E153" s="97"/>
      <c r="F153" s="28"/>
      <c r="G153" s="28"/>
      <c r="H153" s="119"/>
      <c r="I153" s="119"/>
      <c r="Q153" s="28"/>
      <c r="R153" s="28"/>
      <c r="S153" s="23"/>
      <c r="T153" s="28"/>
      <c r="U153" s="28"/>
      <c r="V153" s="28"/>
      <c r="W153" s="28"/>
      <c r="X153" s="28"/>
      <c r="Y153" s="28"/>
      <c r="AA153" s="1"/>
    </row>
    <row r="154" spans="3:27" s="8" customFormat="1" x14ac:dyDescent="0.3">
      <c r="C154" s="27"/>
      <c r="D154" s="27"/>
      <c r="E154" s="97"/>
      <c r="F154" s="28"/>
      <c r="G154" s="28"/>
      <c r="H154" s="119"/>
      <c r="I154" s="119"/>
      <c r="Q154" s="28"/>
      <c r="R154" s="28"/>
      <c r="S154" s="23"/>
      <c r="T154" s="28"/>
      <c r="U154" s="28"/>
      <c r="V154" s="28"/>
      <c r="W154" s="28"/>
      <c r="X154" s="28"/>
      <c r="Y154" s="28"/>
      <c r="AA154" s="1"/>
    </row>
    <row r="155" spans="3:27" s="8" customFormat="1" x14ac:dyDescent="0.3">
      <c r="C155" s="27"/>
      <c r="D155" s="27"/>
      <c r="E155" s="97"/>
      <c r="F155" s="28"/>
      <c r="G155" s="28"/>
      <c r="H155" s="119"/>
      <c r="I155" s="119"/>
      <c r="Q155" s="28"/>
      <c r="R155" s="28"/>
      <c r="S155" s="23"/>
      <c r="T155" s="28"/>
      <c r="U155" s="28"/>
      <c r="V155" s="28"/>
      <c r="W155" s="28"/>
      <c r="X155" s="28"/>
      <c r="Y155" s="28"/>
      <c r="AA155" s="1"/>
    </row>
    <row r="156" spans="3:27" s="8" customFormat="1" x14ac:dyDescent="0.3">
      <c r="C156" s="27"/>
      <c r="D156" s="27"/>
      <c r="E156" s="97"/>
      <c r="F156" s="28"/>
      <c r="G156" s="28"/>
      <c r="H156" s="119"/>
      <c r="I156" s="119"/>
      <c r="Q156" s="28"/>
      <c r="R156" s="28"/>
      <c r="S156" s="23"/>
      <c r="T156" s="28"/>
      <c r="U156" s="28"/>
      <c r="V156" s="28"/>
      <c r="W156" s="28"/>
      <c r="X156" s="28"/>
      <c r="Y156" s="28"/>
      <c r="AA156" s="1"/>
    </row>
    <row r="157" spans="3:27" s="8" customFormat="1" x14ac:dyDescent="0.3">
      <c r="C157" s="27"/>
      <c r="D157" s="27"/>
      <c r="E157" s="97"/>
      <c r="F157" s="28"/>
      <c r="G157" s="28"/>
      <c r="H157" s="119"/>
      <c r="I157" s="119"/>
      <c r="Q157" s="28"/>
      <c r="R157" s="28"/>
      <c r="S157" s="23"/>
      <c r="T157" s="28"/>
      <c r="U157" s="28"/>
      <c r="V157" s="28"/>
      <c r="W157" s="28"/>
      <c r="X157" s="28"/>
      <c r="Y157" s="28"/>
      <c r="AA157" s="1"/>
    </row>
    <row r="158" spans="3:27" s="8" customFormat="1" x14ac:dyDescent="0.3">
      <c r="C158" s="27"/>
      <c r="D158" s="27"/>
      <c r="E158" s="97"/>
      <c r="F158" s="28"/>
      <c r="G158" s="28"/>
      <c r="H158" s="119"/>
      <c r="I158" s="119"/>
      <c r="Q158" s="28"/>
      <c r="R158" s="28"/>
      <c r="S158" s="23"/>
      <c r="T158" s="28"/>
      <c r="U158" s="28"/>
      <c r="V158" s="28"/>
      <c r="W158" s="28"/>
      <c r="X158" s="28"/>
      <c r="Y158" s="28"/>
      <c r="AA158" s="1"/>
    </row>
    <row r="159" spans="3:27" s="8" customFormat="1" x14ac:dyDescent="0.3">
      <c r="C159" s="27"/>
      <c r="D159" s="27"/>
      <c r="E159" s="97"/>
      <c r="F159" s="28"/>
      <c r="G159" s="28"/>
      <c r="H159" s="119"/>
      <c r="I159" s="119"/>
      <c r="Q159" s="28"/>
      <c r="R159" s="28"/>
      <c r="S159" s="23"/>
      <c r="T159" s="28"/>
      <c r="U159" s="28"/>
      <c r="V159" s="28"/>
      <c r="W159" s="28"/>
      <c r="X159" s="28"/>
      <c r="Y159" s="28"/>
      <c r="AA159" s="1"/>
    </row>
    <row r="160" spans="3:27" s="8" customFormat="1" x14ac:dyDescent="0.3">
      <c r="C160" s="27"/>
      <c r="D160" s="27"/>
      <c r="E160" s="97"/>
      <c r="F160" s="28"/>
      <c r="G160" s="28"/>
      <c r="H160" s="119"/>
      <c r="I160" s="119"/>
      <c r="Q160" s="28"/>
      <c r="R160" s="28"/>
      <c r="S160" s="23"/>
      <c r="T160" s="28"/>
      <c r="U160" s="28"/>
      <c r="V160" s="28"/>
      <c r="W160" s="28"/>
      <c r="X160" s="28"/>
      <c r="Y160" s="28"/>
      <c r="AA160" s="1"/>
    </row>
    <row r="161" spans="3:27" s="8" customFormat="1" x14ac:dyDescent="0.3">
      <c r="C161" s="27"/>
      <c r="D161" s="27"/>
      <c r="E161" s="97"/>
      <c r="F161" s="28"/>
      <c r="G161" s="28"/>
      <c r="H161" s="119"/>
      <c r="I161" s="119"/>
      <c r="Q161" s="28"/>
      <c r="R161" s="28"/>
      <c r="S161" s="23"/>
      <c r="T161" s="28"/>
      <c r="U161" s="28"/>
      <c r="V161" s="28"/>
      <c r="W161" s="28"/>
      <c r="X161" s="28"/>
      <c r="Y161" s="28"/>
      <c r="AA161" s="1"/>
    </row>
    <row r="162" spans="3:27" s="8" customFormat="1" x14ac:dyDescent="0.3">
      <c r="C162" s="27"/>
      <c r="D162" s="27"/>
      <c r="E162" s="97"/>
      <c r="F162" s="28"/>
      <c r="G162" s="28"/>
      <c r="H162" s="119"/>
      <c r="I162" s="119"/>
      <c r="Q162" s="28"/>
      <c r="R162" s="28"/>
      <c r="S162" s="23"/>
      <c r="T162" s="28"/>
      <c r="U162" s="28"/>
      <c r="V162" s="28"/>
      <c r="W162" s="28"/>
      <c r="X162" s="28"/>
      <c r="Y162" s="28"/>
      <c r="AA162" s="1"/>
    </row>
    <row r="163" spans="3:27" s="8" customFormat="1" x14ac:dyDescent="0.3">
      <c r="C163" s="27"/>
      <c r="D163" s="27"/>
      <c r="E163" s="97"/>
      <c r="F163" s="28"/>
      <c r="G163" s="28"/>
      <c r="H163" s="119"/>
      <c r="I163" s="119"/>
      <c r="Q163" s="28"/>
      <c r="R163" s="28"/>
      <c r="S163" s="23"/>
      <c r="T163" s="28"/>
      <c r="U163" s="28"/>
      <c r="V163" s="28"/>
      <c r="W163" s="28"/>
      <c r="X163" s="28"/>
      <c r="Y163" s="28"/>
      <c r="AA163" s="1"/>
    </row>
    <row r="164" spans="3:27" s="8" customFormat="1" x14ac:dyDescent="0.3">
      <c r="C164" s="27"/>
      <c r="D164" s="27"/>
      <c r="E164" s="97"/>
      <c r="F164" s="28"/>
      <c r="G164" s="28"/>
      <c r="H164" s="119"/>
      <c r="I164" s="119"/>
      <c r="Q164" s="28"/>
      <c r="R164" s="28"/>
      <c r="S164" s="23"/>
      <c r="T164" s="28"/>
      <c r="U164" s="28"/>
      <c r="V164" s="28"/>
      <c r="W164" s="28"/>
      <c r="X164" s="28"/>
      <c r="Y164" s="28"/>
      <c r="AA164" s="1"/>
    </row>
    <row r="165" spans="3:27" s="8" customFormat="1" x14ac:dyDescent="0.3">
      <c r="C165" s="27"/>
      <c r="D165" s="27"/>
      <c r="E165" s="97"/>
      <c r="F165" s="28"/>
      <c r="G165" s="28"/>
      <c r="H165" s="119"/>
      <c r="I165" s="119"/>
      <c r="Q165" s="28"/>
      <c r="R165" s="28"/>
      <c r="S165" s="23"/>
      <c r="T165" s="28"/>
      <c r="U165" s="28"/>
      <c r="V165" s="28"/>
      <c r="W165" s="28"/>
      <c r="X165" s="28"/>
      <c r="Y165" s="28"/>
      <c r="AA165" s="1"/>
    </row>
    <row r="166" spans="3:27" s="8" customFormat="1" x14ac:dyDescent="0.3">
      <c r="C166" s="27"/>
      <c r="D166" s="27"/>
      <c r="E166" s="97"/>
      <c r="F166" s="28"/>
      <c r="G166" s="28"/>
      <c r="H166" s="119"/>
      <c r="I166" s="119"/>
      <c r="Q166" s="28"/>
      <c r="R166" s="28"/>
      <c r="S166" s="23"/>
      <c r="T166" s="28"/>
      <c r="U166" s="28"/>
      <c r="V166" s="28"/>
      <c r="W166" s="28"/>
      <c r="X166" s="28"/>
      <c r="Y166" s="28"/>
      <c r="AA166" s="1"/>
    </row>
    <row r="167" spans="3:27" s="8" customFormat="1" x14ac:dyDescent="0.3">
      <c r="C167" s="27"/>
      <c r="D167" s="27"/>
      <c r="E167" s="97"/>
      <c r="F167" s="28"/>
      <c r="G167" s="28"/>
      <c r="H167" s="119"/>
      <c r="I167" s="119"/>
      <c r="Q167" s="28"/>
      <c r="R167" s="28"/>
      <c r="S167" s="23"/>
      <c r="T167" s="28"/>
      <c r="U167" s="28"/>
      <c r="V167" s="28"/>
      <c r="W167" s="28"/>
      <c r="X167" s="28"/>
      <c r="Y167" s="28"/>
      <c r="AA167" s="1"/>
    </row>
    <row r="168" spans="3:27" s="8" customFormat="1" x14ac:dyDescent="0.3">
      <c r="C168" s="27"/>
      <c r="D168" s="27"/>
      <c r="E168" s="97"/>
      <c r="F168" s="28"/>
      <c r="G168" s="28"/>
      <c r="H168" s="119"/>
      <c r="I168" s="119"/>
      <c r="Q168" s="28"/>
      <c r="R168" s="28"/>
      <c r="S168" s="23"/>
      <c r="T168" s="28"/>
      <c r="U168" s="28"/>
      <c r="V168" s="28"/>
      <c r="W168" s="28"/>
      <c r="X168" s="28"/>
      <c r="Y168" s="28"/>
      <c r="AA168" s="1"/>
    </row>
    <row r="169" spans="3:27" s="8" customFormat="1" x14ac:dyDescent="0.3">
      <c r="C169" s="27"/>
      <c r="D169" s="27"/>
      <c r="E169" s="97"/>
      <c r="F169" s="28"/>
      <c r="G169" s="28"/>
      <c r="H169" s="119"/>
      <c r="I169" s="119"/>
      <c r="Q169" s="28"/>
      <c r="R169" s="28"/>
      <c r="S169" s="23"/>
      <c r="T169" s="28"/>
      <c r="U169" s="28"/>
      <c r="V169" s="28"/>
      <c r="W169" s="28"/>
      <c r="X169" s="28"/>
      <c r="Y169" s="28"/>
      <c r="AA169" s="1"/>
    </row>
    <row r="170" spans="3:27" s="8" customFormat="1" x14ac:dyDescent="0.3">
      <c r="C170" s="27"/>
      <c r="D170" s="27"/>
      <c r="E170" s="97"/>
      <c r="F170" s="28"/>
      <c r="G170" s="28"/>
      <c r="H170" s="119"/>
      <c r="I170" s="119"/>
      <c r="Q170" s="28"/>
      <c r="R170" s="28"/>
      <c r="S170" s="23"/>
      <c r="T170" s="28"/>
      <c r="U170" s="28"/>
      <c r="V170" s="28"/>
      <c r="W170" s="28"/>
      <c r="X170" s="28"/>
      <c r="Y170" s="28"/>
      <c r="AA170" s="1"/>
    </row>
    <row r="171" spans="3:27" s="8" customFormat="1" x14ac:dyDescent="0.3">
      <c r="C171" s="27"/>
      <c r="D171" s="27"/>
      <c r="E171" s="97"/>
      <c r="F171" s="28"/>
      <c r="G171" s="28"/>
      <c r="H171" s="119"/>
      <c r="I171" s="119"/>
      <c r="Q171" s="28"/>
      <c r="R171" s="28"/>
      <c r="S171" s="23"/>
      <c r="T171" s="28"/>
      <c r="U171" s="28"/>
      <c r="V171" s="28"/>
      <c r="W171" s="28"/>
      <c r="X171" s="28"/>
      <c r="Y171" s="28"/>
      <c r="AA171" s="1"/>
    </row>
    <row r="172" spans="3:27" s="8" customFormat="1" x14ac:dyDescent="0.3">
      <c r="C172" s="27"/>
      <c r="D172" s="27"/>
      <c r="E172" s="97"/>
      <c r="F172" s="28"/>
      <c r="G172" s="28"/>
      <c r="H172" s="119"/>
      <c r="I172" s="119"/>
      <c r="Q172" s="28"/>
      <c r="R172" s="28"/>
      <c r="S172" s="23"/>
      <c r="T172" s="28"/>
      <c r="U172" s="28"/>
      <c r="V172" s="28"/>
      <c r="W172" s="28"/>
      <c r="X172" s="28"/>
      <c r="Y172" s="28"/>
      <c r="AA172" s="1"/>
    </row>
    <row r="173" spans="3:27" s="8" customFormat="1" x14ac:dyDescent="0.3">
      <c r="C173" s="27"/>
      <c r="D173" s="27"/>
      <c r="E173" s="97"/>
      <c r="F173" s="28"/>
      <c r="G173" s="28"/>
      <c r="H173" s="119"/>
      <c r="I173" s="119"/>
      <c r="Q173" s="28"/>
      <c r="R173" s="28"/>
      <c r="S173" s="23"/>
      <c r="T173" s="28"/>
      <c r="U173" s="28"/>
      <c r="V173" s="28"/>
      <c r="W173" s="28"/>
      <c r="X173" s="28"/>
      <c r="Y173" s="28"/>
      <c r="AA173" s="1"/>
    </row>
    <row r="174" spans="3:27" s="8" customFormat="1" x14ac:dyDescent="0.3">
      <c r="C174" s="27"/>
      <c r="D174" s="27"/>
      <c r="E174" s="97"/>
      <c r="F174" s="28"/>
      <c r="G174" s="28"/>
      <c r="H174" s="119"/>
      <c r="I174" s="119"/>
      <c r="Q174" s="28"/>
      <c r="R174" s="28"/>
      <c r="S174" s="23"/>
      <c r="T174" s="28"/>
      <c r="U174" s="28"/>
      <c r="V174" s="28"/>
      <c r="W174" s="28"/>
      <c r="X174" s="28"/>
      <c r="Y174" s="28"/>
      <c r="AA174" s="1"/>
    </row>
    <row r="175" spans="3:27" s="8" customFormat="1" x14ac:dyDescent="0.3">
      <c r="C175" s="27"/>
      <c r="D175" s="27"/>
      <c r="E175" s="97"/>
      <c r="F175" s="28"/>
      <c r="G175" s="28"/>
      <c r="H175" s="119"/>
      <c r="I175" s="119"/>
      <c r="Q175" s="28"/>
      <c r="R175" s="28"/>
      <c r="S175" s="23"/>
      <c r="T175" s="28"/>
      <c r="U175" s="28"/>
      <c r="V175" s="28"/>
      <c r="W175" s="28"/>
      <c r="X175" s="28"/>
      <c r="Y175" s="28"/>
      <c r="AA175" s="1"/>
    </row>
    <row r="176" spans="3:27" s="8" customFormat="1" x14ac:dyDescent="0.3">
      <c r="C176" s="27"/>
      <c r="D176" s="27"/>
      <c r="E176" s="97"/>
      <c r="F176" s="28"/>
      <c r="G176" s="28"/>
      <c r="H176" s="119"/>
      <c r="I176" s="119"/>
      <c r="Q176" s="28"/>
      <c r="R176" s="28"/>
      <c r="S176" s="23"/>
      <c r="T176" s="28"/>
      <c r="U176" s="28"/>
      <c r="V176" s="28"/>
      <c r="W176" s="28"/>
      <c r="X176" s="28"/>
      <c r="Y176" s="28"/>
      <c r="AA176" s="1"/>
    </row>
    <row r="177" spans="3:27" s="8" customFormat="1" x14ac:dyDescent="0.3">
      <c r="C177" s="27"/>
      <c r="D177" s="27"/>
      <c r="E177" s="97"/>
      <c r="F177" s="28"/>
      <c r="G177" s="28"/>
      <c r="H177" s="119"/>
      <c r="I177" s="119"/>
      <c r="Q177" s="28"/>
      <c r="R177" s="28"/>
      <c r="S177" s="23"/>
      <c r="T177" s="28"/>
      <c r="U177" s="28"/>
      <c r="V177" s="28"/>
      <c r="W177" s="28"/>
      <c r="X177" s="28"/>
      <c r="Y177" s="28"/>
      <c r="AA177" s="1"/>
    </row>
    <row r="178" spans="3:27" s="8" customFormat="1" x14ac:dyDescent="0.3">
      <c r="C178" s="27"/>
      <c r="D178" s="27"/>
      <c r="E178" s="97"/>
      <c r="F178" s="28"/>
      <c r="G178" s="28"/>
      <c r="H178" s="119"/>
      <c r="I178" s="119"/>
      <c r="Q178" s="28"/>
      <c r="R178" s="28"/>
      <c r="S178" s="23"/>
      <c r="T178" s="28"/>
      <c r="U178" s="28"/>
      <c r="V178" s="28"/>
      <c r="W178" s="28"/>
      <c r="X178" s="28"/>
      <c r="Y178" s="28"/>
      <c r="AA178" s="1"/>
    </row>
    <row r="179" spans="3:27" s="8" customFormat="1" x14ac:dyDescent="0.3">
      <c r="C179" s="27"/>
      <c r="D179" s="27"/>
      <c r="E179" s="97"/>
      <c r="F179" s="28"/>
      <c r="G179" s="28"/>
      <c r="H179" s="119"/>
      <c r="I179" s="119"/>
      <c r="Q179" s="28"/>
      <c r="R179" s="28"/>
      <c r="S179" s="23"/>
      <c r="T179" s="28"/>
      <c r="U179" s="28"/>
      <c r="V179" s="28"/>
      <c r="W179" s="28"/>
      <c r="X179" s="28"/>
      <c r="Y179" s="28"/>
      <c r="AA179" s="1"/>
    </row>
    <row r="180" spans="3:27" s="8" customFormat="1" x14ac:dyDescent="0.3">
      <c r="C180" s="27"/>
      <c r="D180" s="27"/>
      <c r="E180" s="97"/>
      <c r="F180" s="28"/>
      <c r="G180" s="28"/>
      <c r="H180" s="119"/>
      <c r="I180" s="119"/>
      <c r="Q180" s="28"/>
      <c r="R180" s="28"/>
      <c r="S180" s="23"/>
      <c r="T180" s="28"/>
      <c r="U180" s="28"/>
      <c r="V180" s="28"/>
      <c r="W180" s="28"/>
      <c r="X180" s="28"/>
      <c r="Y180" s="28"/>
      <c r="AA180" s="1"/>
    </row>
    <row r="181" spans="3:27" s="8" customFormat="1" x14ac:dyDescent="0.3">
      <c r="C181" s="27"/>
      <c r="D181" s="27"/>
      <c r="E181" s="97"/>
      <c r="F181" s="28"/>
      <c r="G181" s="28"/>
      <c r="H181" s="119"/>
      <c r="I181" s="119"/>
      <c r="Q181" s="28"/>
      <c r="R181" s="28"/>
      <c r="S181" s="23"/>
      <c r="T181" s="28"/>
      <c r="U181" s="28"/>
      <c r="V181" s="28"/>
      <c r="W181" s="28"/>
      <c r="X181" s="28"/>
      <c r="Y181" s="28"/>
      <c r="AA181" s="1"/>
    </row>
    <row r="182" spans="3:27" s="8" customFormat="1" x14ac:dyDescent="0.3">
      <c r="C182" s="27"/>
      <c r="D182" s="27"/>
      <c r="E182" s="97"/>
      <c r="F182" s="28"/>
      <c r="G182" s="28"/>
      <c r="H182" s="119"/>
      <c r="I182" s="119"/>
      <c r="Q182" s="28"/>
      <c r="R182" s="28"/>
      <c r="S182" s="23"/>
      <c r="T182" s="28"/>
      <c r="U182" s="28"/>
      <c r="V182" s="28"/>
      <c r="W182" s="28"/>
      <c r="X182" s="28"/>
      <c r="Y182" s="28"/>
      <c r="AA182" s="1"/>
    </row>
    <row r="183" spans="3:27" s="8" customFormat="1" x14ac:dyDescent="0.3">
      <c r="C183" s="27"/>
      <c r="D183" s="27"/>
      <c r="E183" s="97"/>
      <c r="F183" s="28"/>
      <c r="G183" s="28"/>
      <c r="H183" s="119"/>
      <c r="I183" s="119"/>
      <c r="Q183" s="28"/>
      <c r="R183" s="28"/>
      <c r="S183" s="23"/>
      <c r="T183" s="28"/>
      <c r="U183" s="28"/>
      <c r="V183" s="28"/>
      <c r="W183" s="28"/>
      <c r="X183" s="28"/>
      <c r="Y183" s="28"/>
      <c r="AA183" s="1"/>
    </row>
    <row r="184" spans="3:27" s="8" customFormat="1" x14ac:dyDescent="0.3">
      <c r="C184" s="27"/>
      <c r="D184" s="27"/>
      <c r="E184" s="97"/>
      <c r="F184" s="28"/>
      <c r="G184" s="28"/>
      <c r="H184" s="119"/>
      <c r="I184" s="119"/>
      <c r="Q184" s="28"/>
      <c r="R184" s="28"/>
      <c r="S184" s="23"/>
      <c r="T184" s="28"/>
      <c r="U184" s="28"/>
      <c r="V184" s="28"/>
      <c r="W184" s="28"/>
      <c r="X184" s="28"/>
      <c r="Y184" s="28"/>
      <c r="AA184" s="1"/>
    </row>
    <row r="185" spans="3:27" s="8" customFormat="1" x14ac:dyDescent="0.3">
      <c r="C185" s="27"/>
      <c r="D185" s="27"/>
      <c r="E185" s="97"/>
      <c r="F185" s="28"/>
      <c r="G185" s="28"/>
      <c r="H185" s="119"/>
      <c r="I185" s="119"/>
      <c r="Q185" s="28"/>
      <c r="R185" s="28"/>
      <c r="S185" s="23"/>
      <c r="T185" s="28"/>
      <c r="U185" s="28"/>
      <c r="V185" s="28"/>
      <c r="W185" s="28"/>
      <c r="X185" s="28"/>
      <c r="Y185" s="28"/>
      <c r="AA185" s="1"/>
    </row>
    <row r="186" spans="3:27" s="8" customFormat="1" x14ac:dyDescent="0.3">
      <c r="C186" s="27"/>
      <c r="D186" s="27"/>
      <c r="E186" s="97"/>
      <c r="F186" s="28"/>
      <c r="G186" s="28"/>
      <c r="H186" s="119"/>
      <c r="I186" s="119"/>
      <c r="Q186" s="28"/>
      <c r="R186" s="28"/>
      <c r="S186" s="23"/>
      <c r="T186" s="28"/>
      <c r="U186" s="28"/>
      <c r="V186" s="28"/>
      <c r="W186" s="28"/>
      <c r="X186" s="28"/>
      <c r="Y186" s="28"/>
      <c r="AA186" s="1"/>
    </row>
    <row r="187" spans="3:27" s="8" customFormat="1" x14ac:dyDescent="0.3">
      <c r="C187" s="27"/>
      <c r="D187" s="27"/>
      <c r="E187" s="97"/>
      <c r="F187" s="28"/>
      <c r="G187" s="28"/>
      <c r="H187" s="119"/>
      <c r="I187" s="119"/>
      <c r="Q187" s="28"/>
      <c r="R187" s="28"/>
      <c r="S187" s="23"/>
      <c r="T187" s="28"/>
      <c r="U187" s="28"/>
      <c r="V187" s="28"/>
      <c r="W187" s="28"/>
      <c r="X187" s="28"/>
      <c r="Y187" s="28"/>
      <c r="AA187" s="1"/>
    </row>
    <row r="188" spans="3:27" s="8" customFormat="1" x14ac:dyDescent="0.3">
      <c r="C188" s="27"/>
      <c r="D188" s="27"/>
      <c r="E188" s="97"/>
      <c r="F188" s="28"/>
      <c r="G188" s="28"/>
      <c r="H188" s="119"/>
      <c r="I188" s="119"/>
      <c r="Q188" s="28"/>
      <c r="R188" s="28"/>
      <c r="S188" s="23"/>
      <c r="T188" s="28"/>
      <c r="U188" s="28"/>
      <c r="V188" s="28"/>
      <c r="W188" s="28"/>
      <c r="X188" s="28"/>
      <c r="Y188" s="28"/>
      <c r="AA188" s="1"/>
    </row>
    <row r="189" spans="3:27" s="8" customFormat="1" x14ac:dyDescent="0.3">
      <c r="C189" s="27"/>
      <c r="D189" s="27"/>
      <c r="E189" s="97"/>
      <c r="F189" s="28"/>
      <c r="G189" s="28"/>
      <c r="H189" s="119"/>
      <c r="I189" s="119"/>
      <c r="Q189" s="28"/>
      <c r="R189" s="28"/>
      <c r="S189" s="23"/>
      <c r="T189" s="28"/>
      <c r="U189" s="28"/>
      <c r="V189" s="28"/>
      <c r="W189" s="28"/>
      <c r="X189" s="28"/>
      <c r="Y189" s="28"/>
      <c r="AA189" s="1"/>
    </row>
    <row r="190" spans="3:27" s="8" customFormat="1" x14ac:dyDescent="0.3">
      <c r="C190" s="27"/>
      <c r="D190" s="27"/>
      <c r="E190" s="97"/>
      <c r="F190" s="28"/>
      <c r="G190" s="28"/>
      <c r="H190" s="119"/>
      <c r="I190" s="119"/>
      <c r="Q190" s="28"/>
      <c r="R190" s="28"/>
      <c r="S190" s="23"/>
      <c r="T190" s="28"/>
      <c r="U190" s="28"/>
      <c r="V190" s="28"/>
      <c r="W190" s="28"/>
      <c r="X190" s="28"/>
      <c r="Y190" s="28"/>
      <c r="AA190" s="1"/>
    </row>
    <row r="191" spans="3:27" s="8" customFormat="1" x14ac:dyDescent="0.3">
      <c r="C191" s="27"/>
      <c r="D191" s="27"/>
      <c r="E191" s="97"/>
      <c r="F191" s="28"/>
      <c r="G191" s="28"/>
      <c r="H191" s="119"/>
      <c r="I191" s="119"/>
      <c r="Q191" s="28"/>
      <c r="R191" s="28"/>
      <c r="S191" s="23"/>
      <c r="T191" s="28"/>
      <c r="U191" s="28"/>
      <c r="V191" s="28"/>
      <c r="W191" s="28"/>
      <c r="X191" s="28"/>
      <c r="Y191" s="28"/>
      <c r="AA191" s="1"/>
    </row>
    <row r="192" spans="3:27" s="8" customFormat="1" x14ac:dyDescent="0.3">
      <c r="C192" s="27"/>
      <c r="D192" s="27"/>
      <c r="E192" s="97"/>
      <c r="F192" s="28"/>
      <c r="G192" s="28"/>
      <c r="H192" s="119"/>
      <c r="I192" s="119"/>
      <c r="Q192" s="28"/>
      <c r="R192" s="28"/>
      <c r="S192" s="23"/>
      <c r="T192" s="28"/>
      <c r="U192" s="28"/>
      <c r="V192" s="28"/>
      <c r="W192" s="28"/>
      <c r="X192" s="28"/>
      <c r="Y192" s="28"/>
      <c r="AA192" s="1"/>
    </row>
    <row r="193" spans="3:27" s="8" customFormat="1" x14ac:dyDescent="0.3">
      <c r="C193" s="27"/>
      <c r="D193" s="27"/>
      <c r="E193" s="97"/>
      <c r="F193" s="28"/>
      <c r="G193" s="28"/>
      <c r="H193" s="119"/>
      <c r="I193" s="119"/>
      <c r="Q193" s="28"/>
      <c r="R193" s="28"/>
      <c r="S193" s="23"/>
      <c r="T193" s="28"/>
      <c r="U193" s="28"/>
      <c r="V193" s="28"/>
      <c r="W193" s="28"/>
      <c r="X193" s="28"/>
      <c r="Y193" s="28"/>
      <c r="AA193" s="1"/>
    </row>
    <row r="194" spans="3:27" s="8" customFormat="1" x14ac:dyDescent="0.3">
      <c r="C194" s="27"/>
      <c r="D194" s="27"/>
      <c r="E194" s="97"/>
      <c r="F194" s="28"/>
      <c r="G194" s="28"/>
      <c r="H194" s="119"/>
      <c r="I194" s="119"/>
      <c r="Q194" s="28"/>
      <c r="R194" s="28"/>
      <c r="S194" s="23"/>
      <c r="T194" s="28"/>
      <c r="U194" s="28"/>
      <c r="V194" s="28"/>
      <c r="W194" s="28"/>
      <c r="X194" s="28"/>
      <c r="Y194" s="28"/>
      <c r="AA194" s="1"/>
    </row>
    <row r="195" spans="3:27" s="8" customFormat="1" x14ac:dyDescent="0.3">
      <c r="C195" s="27"/>
      <c r="D195" s="27"/>
      <c r="E195" s="97"/>
      <c r="F195" s="28"/>
      <c r="G195" s="28"/>
      <c r="H195" s="119"/>
      <c r="I195" s="119"/>
      <c r="Q195" s="28"/>
      <c r="R195" s="28"/>
      <c r="S195" s="23"/>
      <c r="T195" s="28"/>
      <c r="U195" s="28"/>
      <c r="V195" s="28"/>
      <c r="W195" s="28"/>
      <c r="X195" s="28"/>
      <c r="Y195" s="28"/>
      <c r="AA195" s="1"/>
    </row>
    <row r="196" spans="3:27" s="8" customFormat="1" x14ac:dyDescent="0.3">
      <c r="C196" s="27"/>
      <c r="D196" s="27"/>
      <c r="E196" s="97"/>
      <c r="F196" s="28"/>
      <c r="G196" s="28"/>
      <c r="H196" s="119"/>
      <c r="I196" s="119"/>
      <c r="Q196" s="28"/>
      <c r="R196" s="28"/>
      <c r="S196" s="23"/>
      <c r="T196" s="28"/>
      <c r="U196" s="28"/>
      <c r="V196" s="28"/>
      <c r="W196" s="28"/>
      <c r="X196" s="28"/>
      <c r="Y196" s="28"/>
      <c r="AA196" s="1"/>
    </row>
    <row r="197" spans="3:27" s="8" customFormat="1" x14ac:dyDescent="0.3">
      <c r="C197" s="27"/>
      <c r="D197" s="27"/>
      <c r="E197" s="97"/>
      <c r="F197" s="28"/>
      <c r="G197" s="28"/>
      <c r="H197" s="119"/>
      <c r="I197" s="119"/>
      <c r="Q197" s="28"/>
      <c r="R197" s="28"/>
      <c r="S197" s="23"/>
      <c r="T197" s="28"/>
      <c r="U197" s="28"/>
      <c r="V197" s="28"/>
      <c r="W197" s="28"/>
      <c r="X197" s="28"/>
      <c r="Y197" s="28"/>
      <c r="AA197" s="1"/>
    </row>
    <row r="198" spans="3:27" s="8" customFormat="1" x14ac:dyDescent="0.3">
      <c r="C198" s="27"/>
      <c r="D198" s="27"/>
      <c r="E198" s="97"/>
      <c r="F198" s="28"/>
      <c r="G198" s="28"/>
      <c r="H198" s="119"/>
      <c r="I198" s="119"/>
      <c r="Q198" s="28"/>
      <c r="R198" s="28"/>
      <c r="S198" s="23"/>
      <c r="T198" s="28"/>
      <c r="U198" s="28"/>
      <c r="V198" s="28"/>
      <c r="W198" s="28"/>
      <c r="X198" s="28"/>
      <c r="Y198" s="28"/>
      <c r="AA198" s="1"/>
    </row>
    <row r="199" spans="3:27" s="8" customFormat="1" x14ac:dyDescent="0.3">
      <c r="C199" s="27"/>
      <c r="D199" s="27"/>
      <c r="E199" s="97"/>
      <c r="F199" s="28"/>
      <c r="G199" s="28"/>
      <c r="H199" s="119"/>
      <c r="I199" s="119"/>
      <c r="Q199" s="28"/>
      <c r="R199" s="28"/>
      <c r="S199" s="23"/>
      <c r="T199" s="28"/>
      <c r="U199" s="28"/>
      <c r="V199" s="28"/>
      <c r="W199" s="28"/>
      <c r="X199" s="28"/>
      <c r="Y199" s="28"/>
      <c r="AA199" s="1"/>
    </row>
    <row r="200" spans="3:27" s="8" customFormat="1" x14ac:dyDescent="0.3">
      <c r="C200" s="27"/>
      <c r="D200" s="27"/>
      <c r="E200" s="97"/>
      <c r="F200" s="28"/>
      <c r="G200" s="28"/>
      <c r="H200" s="119"/>
      <c r="I200" s="119"/>
      <c r="Q200" s="28"/>
      <c r="R200" s="28"/>
      <c r="S200" s="23"/>
      <c r="T200" s="28"/>
      <c r="U200" s="28"/>
      <c r="V200" s="28"/>
      <c r="W200" s="28"/>
      <c r="X200" s="28"/>
      <c r="Y200" s="28"/>
      <c r="AA200" s="1"/>
    </row>
    <row r="201" spans="3:27" s="8" customFormat="1" x14ac:dyDescent="0.3">
      <c r="C201" s="27"/>
      <c r="D201" s="27"/>
      <c r="E201" s="97"/>
      <c r="F201" s="28"/>
      <c r="G201" s="28"/>
      <c r="H201" s="119"/>
      <c r="I201" s="119"/>
      <c r="Q201" s="28"/>
      <c r="R201" s="28"/>
      <c r="S201" s="23"/>
      <c r="T201" s="28"/>
      <c r="U201" s="28"/>
      <c r="V201" s="28"/>
      <c r="W201" s="28"/>
      <c r="X201" s="28"/>
      <c r="Y201" s="28"/>
      <c r="AA201" s="1"/>
    </row>
    <row r="202" spans="3:27" s="8" customFormat="1" x14ac:dyDescent="0.3">
      <c r="C202" s="27"/>
      <c r="D202" s="27"/>
      <c r="E202" s="97"/>
      <c r="F202" s="28"/>
      <c r="G202" s="28"/>
      <c r="H202" s="119"/>
      <c r="I202" s="119"/>
      <c r="Q202" s="28"/>
      <c r="R202" s="28"/>
      <c r="S202" s="23"/>
      <c r="T202" s="28"/>
      <c r="U202" s="28"/>
      <c r="V202" s="28"/>
      <c r="W202" s="28"/>
      <c r="X202" s="28"/>
      <c r="Y202" s="28"/>
      <c r="AA202" s="1"/>
    </row>
    <row r="203" spans="3:27" s="8" customFormat="1" x14ac:dyDescent="0.3">
      <c r="C203" s="27"/>
      <c r="D203" s="27"/>
      <c r="E203" s="97"/>
      <c r="F203" s="28"/>
      <c r="G203" s="28"/>
      <c r="H203" s="119"/>
      <c r="I203" s="119"/>
      <c r="Q203" s="28"/>
      <c r="R203" s="28"/>
      <c r="S203" s="23"/>
      <c r="T203" s="28"/>
      <c r="U203" s="28"/>
      <c r="V203" s="28"/>
      <c r="W203" s="28"/>
      <c r="X203" s="28"/>
      <c r="Y203" s="28"/>
      <c r="AA203" s="1"/>
    </row>
    <row r="204" spans="3:27" s="8" customFormat="1" x14ac:dyDescent="0.3">
      <c r="C204" s="27"/>
      <c r="D204" s="27"/>
      <c r="E204" s="97"/>
      <c r="F204" s="28"/>
      <c r="G204" s="28"/>
      <c r="H204" s="119"/>
      <c r="I204" s="119"/>
      <c r="Q204" s="28"/>
      <c r="R204" s="28"/>
      <c r="S204" s="23"/>
      <c r="T204" s="28"/>
      <c r="U204" s="28"/>
      <c r="V204" s="28"/>
      <c r="W204" s="28"/>
      <c r="X204" s="28"/>
      <c r="Y204" s="28"/>
      <c r="AA204" s="1"/>
    </row>
    <row r="205" spans="3:27" s="8" customFormat="1" x14ac:dyDescent="0.3">
      <c r="C205" s="27"/>
      <c r="D205" s="27"/>
      <c r="E205" s="97"/>
      <c r="F205" s="28"/>
      <c r="G205" s="28"/>
      <c r="H205" s="119"/>
      <c r="I205" s="119"/>
      <c r="Q205" s="28"/>
      <c r="R205" s="28"/>
      <c r="S205" s="23"/>
      <c r="T205" s="28"/>
      <c r="U205" s="28"/>
      <c r="V205" s="28"/>
      <c r="W205" s="28"/>
      <c r="X205" s="28"/>
      <c r="Y205" s="28"/>
      <c r="AA205" s="1"/>
    </row>
    <row r="206" spans="3:27" s="8" customFormat="1" x14ac:dyDescent="0.3">
      <c r="C206" s="27"/>
      <c r="D206" s="27"/>
      <c r="E206" s="97"/>
      <c r="F206" s="28"/>
      <c r="G206" s="28"/>
      <c r="H206" s="119"/>
      <c r="I206" s="119"/>
      <c r="Q206" s="28"/>
      <c r="R206" s="28"/>
      <c r="S206" s="23"/>
      <c r="T206" s="28"/>
      <c r="U206" s="28"/>
      <c r="V206" s="28"/>
      <c r="W206" s="28"/>
      <c r="X206" s="28"/>
      <c r="Y206" s="28"/>
      <c r="AA206" s="1"/>
    </row>
    <row r="207" spans="3:27" s="8" customFormat="1" x14ac:dyDescent="0.3">
      <c r="C207" s="27"/>
      <c r="D207" s="27"/>
      <c r="E207" s="97"/>
      <c r="F207" s="28"/>
      <c r="G207" s="28"/>
      <c r="H207" s="119"/>
      <c r="I207" s="119"/>
      <c r="Q207" s="28"/>
      <c r="R207" s="28"/>
      <c r="S207" s="23"/>
      <c r="T207" s="28"/>
      <c r="U207" s="28"/>
      <c r="V207" s="28"/>
      <c r="W207" s="28"/>
      <c r="X207" s="28"/>
      <c r="Y207" s="28"/>
      <c r="AA207" s="1"/>
    </row>
    <row r="208" spans="3:27" s="8" customFormat="1" x14ac:dyDescent="0.3">
      <c r="C208" s="27"/>
      <c r="D208" s="27"/>
      <c r="E208" s="97"/>
      <c r="F208" s="28"/>
      <c r="G208" s="28"/>
      <c r="H208" s="119"/>
      <c r="I208" s="119"/>
      <c r="Q208" s="28"/>
      <c r="R208" s="28"/>
      <c r="S208" s="23"/>
      <c r="T208" s="28"/>
      <c r="U208" s="28"/>
      <c r="V208" s="28"/>
      <c r="W208" s="28"/>
      <c r="X208" s="28"/>
      <c r="Y208" s="28"/>
      <c r="AA208" s="1"/>
    </row>
    <row r="209" spans="3:27" s="8" customFormat="1" x14ac:dyDescent="0.3">
      <c r="C209" s="27"/>
      <c r="D209" s="27"/>
      <c r="E209" s="97"/>
      <c r="F209" s="28"/>
      <c r="G209" s="28"/>
      <c r="H209" s="119"/>
      <c r="I209" s="119"/>
      <c r="Q209" s="28"/>
      <c r="R209" s="28"/>
      <c r="S209" s="23"/>
      <c r="T209" s="28"/>
      <c r="U209" s="28"/>
      <c r="V209" s="28"/>
      <c r="W209" s="28"/>
      <c r="X209" s="28"/>
      <c r="Y209" s="28"/>
      <c r="AA209" s="1"/>
    </row>
    <row r="210" spans="3:27" s="8" customFormat="1" x14ac:dyDescent="0.3">
      <c r="C210" s="27"/>
      <c r="D210" s="27"/>
      <c r="E210" s="97"/>
      <c r="F210" s="28"/>
      <c r="G210" s="28"/>
      <c r="H210" s="119"/>
      <c r="I210" s="119"/>
      <c r="Q210" s="28"/>
      <c r="R210" s="28"/>
      <c r="S210" s="23"/>
      <c r="T210" s="28"/>
      <c r="U210" s="28"/>
      <c r="V210" s="28"/>
      <c r="W210" s="28"/>
      <c r="X210" s="28"/>
      <c r="Y210" s="28"/>
      <c r="AA210" s="1"/>
    </row>
    <row r="211" spans="3:27" s="8" customFormat="1" x14ac:dyDescent="0.3">
      <c r="C211" s="27"/>
      <c r="D211" s="27"/>
      <c r="E211" s="97"/>
      <c r="F211" s="28"/>
      <c r="G211" s="28"/>
      <c r="H211" s="119"/>
      <c r="I211" s="119"/>
      <c r="Q211" s="28"/>
      <c r="R211" s="28"/>
      <c r="S211" s="23"/>
      <c r="T211" s="28"/>
      <c r="U211" s="28"/>
      <c r="V211" s="28"/>
      <c r="W211" s="28"/>
      <c r="X211" s="28"/>
      <c r="Y211" s="28"/>
      <c r="AA211" s="1"/>
    </row>
    <row r="212" spans="3:27" s="8" customFormat="1" x14ac:dyDescent="0.3">
      <c r="C212" s="27"/>
      <c r="D212" s="27"/>
      <c r="E212" s="97"/>
      <c r="F212" s="28"/>
      <c r="G212" s="28"/>
      <c r="H212" s="119"/>
      <c r="I212" s="119"/>
      <c r="Q212" s="28"/>
      <c r="R212" s="28"/>
      <c r="S212" s="23"/>
      <c r="T212" s="28"/>
      <c r="U212" s="28"/>
      <c r="V212" s="28"/>
      <c r="W212" s="28"/>
      <c r="X212" s="28"/>
      <c r="Y212" s="28"/>
      <c r="AA212" s="1"/>
    </row>
    <row r="213" spans="3:27" s="8" customFormat="1" x14ac:dyDescent="0.3">
      <c r="C213" s="27"/>
      <c r="D213" s="27"/>
      <c r="E213" s="97"/>
      <c r="F213" s="28"/>
      <c r="G213" s="28"/>
      <c r="H213" s="119"/>
      <c r="I213" s="119"/>
      <c r="Q213" s="28"/>
      <c r="R213" s="28"/>
      <c r="S213" s="23"/>
      <c r="T213" s="28"/>
      <c r="U213" s="28"/>
      <c r="V213" s="28"/>
      <c r="W213" s="28"/>
      <c r="X213" s="28"/>
      <c r="Y213" s="28"/>
      <c r="AA213" s="1"/>
    </row>
    <row r="214" spans="3:27" s="8" customFormat="1" x14ac:dyDescent="0.3">
      <c r="C214" s="27"/>
      <c r="D214" s="27"/>
      <c r="E214" s="97"/>
      <c r="F214" s="28"/>
      <c r="G214" s="28"/>
      <c r="H214" s="119"/>
      <c r="I214" s="119"/>
      <c r="Q214" s="28"/>
      <c r="R214" s="28"/>
      <c r="S214" s="23"/>
      <c r="T214" s="28"/>
      <c r="U214" s="28"/>
      <c r="V214" s="28"/>
      <c r="W214" s="28"/>
      <c r="X214" s="28"/>
      <c r="Y214" s="28"/>
      <c r="AA214" s="1"/>
    </row>
    <row r="215" spans="3:27" s="8" customFormat="1" x14ac:dyDescent="0.3">
      <c r="C215" s="27"/>
      <c r="D215" s="27"/>
      <c r="E215" s="97"/>
      <c r="F215" s="28"/>
      <c r="G215" s="28"/>
      <c r="H215" s="119"/>
      <c r="I215" s="119"/>
      <c r="Q215" s="28"/>
      <c r="R215" s="28"/>
      <c r="S215" s="23"/>
      <c r="T215" s="28"/>
      <c r="U215" s="28"/>
      <c r="V215" s="28"/>
      <c r="W215" s="28"/>
      <c r="X215" s="28"/>
      <c r="Y215" s="28"/>
      <c r="AA215" s="1"/>
    </row>
    <row r="216" spans="3:27" s="8" customFormat="1" x14ac:dyDescent="0.3">
      <c r="C216" s="27"/>
      <c r="D216" s="27"/>
      <c r="E216" s="97"/>
      <c r="F216" s="28"/>
      <c r="G216" s="28"/>
      <c r="H216" s="119"/>
      <c r="I216" s="119"/>
      <c r="Q216" s="28"/>
      <c r="R216" s="28"/>
      <c r="S216" s="23"/>
      <c r="T216" s="28"/>
      <c r="U216" s="28"/>
      <c r="V216" s="28"/>
      <c r="W216" s="28"/>
      <c r="X216" s="28"/>
      <c r="Y216" s="28"/>
      <c r="AA216" s="1"/>
    </row>
    <row r="217" spans="3:27" s="8" customFormat="1" x14ac:dyDescent="0.3">
      <c r="C217" s="27"/>
      <c r="D217" s="27"/>
      <c r="E217" s="97"/>
      <c r="F217" s="28"/>
      <c r="G217" s="28"/>
      <c r="H217" s="119"/>
      <c r="I217" s="119"/>
      <c r="Q217" s="28"/>
      <c r="R217" s="28"/>
      <c r="S217" s="23"/>
      <c r="T217" s="28"/>
      <c r="U217" s="28"/>
      <c r="V217" s="28"/>
      <c r="W217" s="28"/>
      <c r="X217" s="28"/>
      <c r="Y217" s="28"/>
      <c r="AA217" s="1"/>
    </row>
    <row r="218" spans="3:27" s="8" customFormat="1" x14ac:dyDescent="0.3">
      <c r="C218" s="27"/>
      <c r="D218" s="27"/>
      <c r="E218" s="97"/>
      <c r="F218" s="28"/>
      <c r="G218" s="28"/>
      <c r="H218" s="119"/>
      <c r="I218" s="119"/>
      <c r="Q218" s="28"/>
      <c r="R218" s="28"/>
      <c r="S218" s="23"/>
      <c r="T218" s="28"/>
      <c r="U218" s="28"/>
      <c r="V218" s="28"/>
      <c r="W218" s="28"/>
      <c r="X218" s="28"/>
      <c r="Y218" s="28"/>
      <c r="AA218" s="1"/>
    </row>
    <row r="219" spans="3:27" s="8" customFormat="1" x14ac:dyDescent="0.3">
      <c r="C219" s="27"/>
      <c r="D219" s="27"/>
      <c r="E219" s="97"/>
      <c r="F219" s="28"/>
      <c r="G219" s="28"/>
      <c r="H219" s="119"/>
      <c r="I219" s="119"/>
      <c r="Q219" s="28"/>
      <c r="R219" s="28"/>
      <c r="S219" s="23"/>
      <c r="T219" s="28"/>
      <c r="U219" s="28"/>
      <c r="V219" s="28"/>
      <c r="W219" s="28"/>
      <c r="X219" s="28"/>
      <c r="Y219" s="28"/>
      <c r="AA219" s="1"/>
    </row>
    <row r="220" spans="3:27" s="8" customFormat="1" x14ac:dyDescent="0.3">
      <c r="C220" s="27"/>
      <c r="D220" s="27"/>
      <c r="E220" s="97"/>
      <c r="F220" s="28"/>
      <c r="G220" s="28"/>
      <c r="H220" s="119"/>
      <c r="I220" s="119"/>
      <c r="Q220" s="28"/>
      <c r="R220" s="28"/>
      <c r="S220" s="23"/>
      <c r="T220" s="28"/>
      <c r="U220" s="28"/>
      <c r="V220" s="28"/>
      <c r="W220" s="28"/>
      <c r="X220" s="28"/>
      <c r="Y220" s="28"/>
      <c r="AA220" s="1"/>
    </row>
    <row r="221" spans="3:27" s="8" customFormat="1" x14ac:dyDescent="0.3">
      <c r="C221" s="27"/>
      <c r="D221" s="27"/>
      <c r="E221" s="97"/>
      <c r="F221" s="28"/>
      <c r="G221" s="28"/>
      <c r="H221" s="119"/>
      <c r="I221" s="119"/>
      <c r="Q221" s="28"/>
      <c r="R221" s="28"/>
      <c r="S221" s="23"/>
      <c r="T221" s="28"/>
      <c r="U221" s="28"/>
      <c r="V221" s="28"/>
      <c r="W221" s="28"/>
      <c r="X221" s="28"/>
      <c r="Y221" s="28"/>
      <c r="AA221" s="1"/>
    </row>
    <row r="222" spans="3:27" s="8" customFormat="1" x14ac:dyDescent="0.3">
      <c r="C222" s="27"/>
      <c r="D222" s="27"/>
      <c r="E222" s="97"/>
      <c r="F222" s="28"/>
      <c r="G222" s="28"/>
      <c r="H222" s="119"/>
      <c r="I222" s="119"/>
      <c r="Q222" s="28"/>
      <c r="R222" s="28"/>
      <c r="S222" s="23"/>
      <c r="T222" s="28"/>
      <c r="U222" s="28"/>
      <c r="V222" s="28"/>
      <c r="W222" s="28"/>
      <c r="X222" s="28"/>
      <c r="Y222" s="28"/>
      <c r="AA222" s="1"/>
    </row>
    <row r="223" spans="3:27" s="8" customFormat="1" x14ac:dyDescent="0.3">
      <c r="C223" s="27"/>
      <c r="D223" s="27"/>
      <c r="E223" s="97"/>
      <c r="F223" s="28"/>
      <c r="G223" s="28"/>
      <c r="H223" s="119"/>
      <c r="I223" s="119"/>
      <c r="Q223" s="28"/>
      <c r="R223" s="28"/>
      <c r="S223" s="23"/>
      <c r="T223" s="28"/>
      <c r="U223" s="28"/>
      <c r="V223" s="28"/>
      <c r="W223" s="28"/>
      <c r="X223" s="28"/>
      <c r="Y223" s="28"/>
      <c r="AA223" s="1"/>
    </row>
    <row r="224" spans="3:27" s="8" customFormat="1" x14ac:dyDescent="0.3">
      <c r="C224" s="27"/>
      <c r="D224" s="27"/>
      <c r="E224" s="97"/>
      <c r="F224" s="28"/>
      <c r="G224" s="28"/>
      <c r="H224" s="119"/>
      <c r="I224" s="119"/>
      <c r="Q224" s="28"/>
      <c r="R224" s="28"/>
      <c r="S224" s="23"/>
      <c r="T224" s="28"/>
      <c r="U224" s="28"/>
      <c r="V224" s="28"/>
      <c r="W224" s="28"/>
      <c r="X224" s="28"/>
      <c r="Y224" s="28"/>
      <c r="AA224" s="1"/>
    </row>
    <row r="225" spans="3:27" s="8" customFormat="1" x14ac:dyDescent="0.3">
      <c r="C225" s="27"/>
      <c r="D225" s="27"/>
      <c r="E225" s="97"/>
      <c r="F225" s="28"/>
      <c r="G225" s="28"/>
      <c r="H225" s="119"/>
      <c r="I225" s="119"/>
      <c r="Q225" s="28"/>
      <c r="R225" s="28"/>
      <c r="S225" s="23"/>
      <c r="T225" s="28"/>
      <c r="U225" s="28"/>
      <c r="V225" s="28"/>
      <c r="W225" s="28"/>
      <c r="X225" s="28"/>
      <c r="Y225" s="28"/>
      <c r="AA225" s="1"/>
    </row>
    <row r="226" spans="3:27" s="8" customFormat="1" x14ac:dyDescent="0.3">
      <c r="C226" s="27"/>
      <c r="D226" s="27"/>
      <c r="E226" s="97"/>
      <c r="F226" s="28"/>
      <c r="G226" s="28"/>
      <c r="H226" s="119"/>
      <c r="I226" s="119"/>
      <c r="Q226" s="28"/>
      <c r="R226" s="28"/>
      <c r="S226" s="23"/>
      <c r="T226" s="28"/>
      <c r="U226" s="28"/>
      <c r="V226" s="28"/>
      <c r="W226" s="28"/>
      <c r="X226" s="28"/>
      <c r="Y226" s="28"/>
      <c r="AA226" s="1"/>
    </row>
    <row r="227" spans="3:27" s="8" customFormat="1" x14ac:dyDescent="0.3">
      <c r="C227" s="27"/>
      <c r="D227" s="27"/>
      <c r="E227" s="97"/>
      <c r="F227" s="28"/>
      <c r="G227" s="28"/>
      <c r="H227" s="119"/>
      <c r="I227" s="119"/>
      <c r="Q227" s="28"/>
      <c r="R227" s="28"/>
      <c r="S227" s="23"/>
      <c r="T227" s="28"/>
      <c r="U227" s="28"/>
      <c r="V227" s="28"/>
      <c r="W227" s="28"/>
      <c r="X227" s="28"/>
      <c r="Y227" s="28"/>
      <c r="AA227" s="1"/>
    </row>
    <row r="228" spans="3:27" s="8" customFormat="1" x14ac:dyDescent="0.3">
      <c r="C228" s="27"/>
      <c r="D228" s="27"/>
      <c r="E228" s="97"/>
      <c r="F228" s="28"/>
      <c r="G228" s="28"/>
      <c r="H228" s="119"/>
      <c r="I228" s="119"/>
      <c r="Q228" s="28"/>
      <c r="R228" s="28"/>
      <c r="S228" s="23"/>
      <c r="T228" s="28"/>
      <c r="U228" s="28"/>
      <c r="V228" s="28"/>
      <c r="W228" s="28"/>
      <c r="X228" s="28"/>
      <c r="Y228" s="28"/>
      <c r="AA228" s="1"/>
    </row>
    <row r="229" spans="3:27" s="8" customFormat="1" x14ac:dyDescent="0.3">
      <c r="C229" s="27"/>
      <c r="D229" s="27"/>
      <c r="E229" s="97"/>
      <c r="F229" s="28"/>
      <c r="G229" s="28"/>
      <c r="H229" s="119"/>
      <c r="I229" s="119"/>
      <c r="Q229" s="28"/>
      <c r="R229" s="28"/>
      <c r="S229" s="23"/>
      <c r="T229" s="28"/>
      <c r="U229" s="28"/>
      <c r="V229" s="28"/>
      <c r="W229" s="28"/>
      <c r="X229" s="28"/>
      <c r="Y229" s="28"/>
      <c r="AA229" s="1"/>
    </row>
    <row r="230" spans="3:27" s="8" customFormat="1" x14ac:dyDescent="0.3">
      <c r="C230" s="27"/>
      <c r="D230" s="27"/>
      <c r="E230" s="97"/>
      <c r="F230" s="28"/>
      <c r="G230" s="28"/>
      <c r="H230" s="119"/>
      <c r="I230" s="119"/>
      <c r="Q230" s="28"/>
      <c r="R230" s="28"/>
      <c r="S230" s="23"/>
      <c r="T230" s="28"/>
      <c r="U230" s="28"/>
      <c r="V230" s="28"/>
      <c r="W230" s="28"/>
      <c r="X230" s="28"/>
      <c r="Y230" s="28"/>
      <c r="AA230" s="1"/>
    </row>
    <row r="231" spans="3:27" s="8" customFormat="1" x14ac:dyDescent="0.3">
      <c r="C231" s="27"/>
      <c r="D231" s="27"/>
      <c r="E231" s="97"/>
      <c r="F231" s="28"/>
      <c r="G231" s="28"/>
      <c r="H231" s="119"/>
      <c r="I231" s="119"/>
      <c r="Q231" s="28"/>
      <c r="R231" s="28"/>
      <c r="S231" s="23"/>
      <c r="T231" s="28"/>
      <c r="U231" s="28"/>
      <c r="V231" s="28"/>
      <c r="W231" s="28"/>
      <c r="X231" s="28"/>
      <c r="Y231" s="28"/>
      <c r="AA231" s="1"/>
    </row>
    <row r="232" spans="3:27" s="8" customFormat="1" x14ac:dyDescent="0.3">
      <c r="C232" s="27"/>
      <c r="D232" s="27"/>
      <c r="E232" s="97"/>
      <c r="F232" s="28"/>
      <c r="G232" s="28"/>
      <c r="H232" s="119"/>
      <c r="I232" s="119"/>
      <c r="Q232" s="28"/>
      <c r="R232" s="28"/>
      <c r="S232" s="23"/>
      <c r="T232" s="28"/>
      <c r="U232" s="28"/>
      <c r="V232" s="28"/>
      <c r="W232" s="28"/>
      <c r="X232" s="28"/>
      <c r="Y232" s="28"/>
      <c r="AA232" s="1"/>
    </row>
    <row r="233" spans="3:27" s="8" customFormat="1" x14ac:dyDescent="0.3">
      <c r="C233" s="27"/>
      <c r="D233" s="27"/>
      <c r="E233" s="97"/>
      <c r="F233" s="28"/>
      <c r="G233" s="28"/>
      <c r="H233" s="119"/>
      <c r="I233" s="119"/>
      <c r="Q233" s="28"/>
      <c r="R233" s="28"/>
      <c r="S233" s="23"/>
      <c r="T233" s="28"/>
      <c r="U233" s="28"/>
      <c r="V233" s="28"/>
      <c r="W233" s="28"/>
      <c r="X233" s="28"/>
      <c r="Y233" s="28"/>
      <c r="AA233" s="1"/>
    </row>
    <row r="234" spans="3:27" s="8" customFormat="1" x14ac:dyDescent="0.3">
      <c r="C234" s="27"/>
      <c r="D234" s="27"/>
      <c r="E234" s="97"/>
      <c r="F234" s="28"/>
      <c r="G234" s="28"/>
      <c r="H234" s="119"/>
      <c r="I234" s="119"/>
      <c r="Q234" s="28"/>
      <c r="R234" s="28"/>
      <c r="S234" s="23"/>
      <c r="T234" s="28"/>
      <c r="U234" s="28"/>
      <c r="V234" s="28"/>
      <c r="W234" s="28"/>
      <c r="X234" s="28"/>
      <c r="Y234" s="28"/>
      <c r="AA234" s="1"/>
    </row>
    <row r="235" spans="3:27" s="8" customFormat="1" x14ac:dyDescent="0.3">
      <c r="C235" s="27"/>
      <c r="D235" s="27"/>
      <c r="E235" s="97"/>
      <c r="F235" s="28"/>
      <c r="G235" s="28"/>
      <c r="H235" s="119"/>
      <c r="I235" s="119"/>
      <c r="Q235" s="28"/>
      <c r="R235" s="28"/>
      <c r="S235" s="23"/>
      <c r="T235" s="28"/>
      <c r="U235" s="28"/>
      <c r="V235" s="28"/>
      <c r="W235" s="28"/>
      <c r="X235" s="28"/>
      <c r="Y235" s="28"/>
      <c r="AA235" s="1"/>
    </row>
    <row r="236" spans="3:27" s="8" customFormat="1" x14ac:dyDescent="0.3">
      <c r="C236" s="27"/>
      <c r="D236" s="27"/>
      <c r="E236" s="97"/>
      <c r="F236" s="28"/>
      <c r="G236" s="28"/>
      <c r="H236" s="119"/>
      <c r="I236" s="119"/>
      <c r="Q236" s="28"/>
      <c r="R236" s="28"/>
      <c r="S236" s="23"/>
      <c r="T236" s="28"/>
      <c r="U236" s="28"/>
      <c r="V236" s="28"/>
      <c r="W236" s="28"/>
      <c r="X236" s="28"/>
      <c r="Y236" s="28"/>
      <c r="AA236" s="1"/>
    </row>
    <row r="237" spans="3:27" s="8" customFormat="1" x14ac:dyDescent="0.3">
      <c r="C237" s="27"/>
      <c r="D237" s="27"/>
      <c r="E237" s="97"/>
      <c r="F237" s="28"/>
      <c r="G237" s="28"/>
      <c r="H237" s="119"/>
      <c r="I237" s="119"/>
      <c r="Q237" s="28"/>
      <c r="R237" s="28"/>
      <c r="S237" s="23"/>
      <c r="T237" s="28"/>
      <c r="U237" s="28"/>
      <c r="V237" s="28"/>
      <c r="W237" s="28"/>
      <c r="X237" s="28"/>
      <c r="Y237" s="28"/>
      <c r="AA237" s="1"/>
    </row>
    <row r="238" spans="3:27" s="8" customFormat="1" x14ac:dyDescent="0.3">
      <c r="C238" s="27"/>
      <c r="D238" s="27"/>
      <c r="E238" s="97"/>
      <c r="F238" s="28"/>
      <c r="G238" s="28"/>
      <c r="H238" s="119"/>
      <c r="I238" s="119"/>
      <c r="Q238" s="28"/>
      <c r="R238" s="28"/>
      <c r="S238" s="23"/>
      <c r="T238" s="28"/>
      <c r="U238" s="28"/>
      <c r="V238" s="28"/>
      <c r="W238" s="28"/>
      <c r="X238" s="28"/>
      <c r="Y238" s="28"/>
      <c r="AA238" s="1"/>
    </row>
    <row r="239" spans="3:27" s="8" customFormat="1" x14ac:dyDescent="0.3">
      <c r="C239" s="27"/>
      <c r="D239" s="27"/>
      <c r="E239" s="97"/>
      <c r="F239" s="28"/>
      <c r="G239" s="28"/>
      <c r="H239" s="119"/>
      <c r="I239" s="119"/>
      <c r="Q239" s="28"/>
      <c r="R239" s="28"/>
      <c r="S239" s="23"/>
      <c r="T239" s="28"/>
      <c r="U239" s="28"/>
      <c r="V239" s="28"/>
      <c r="W239" s="28"/>
      <c r="X239" s="28"/>
      <c r="Y239" s="28"/>
      <c r="AA239" s="1"/>
    </row>
    <row r="240" spans="3:27" s="8" customFormat="1" x14ac:dyDescent="0.3">
      <c r="C240" s="27"/>
      <c r="D240" s="27"/>
      <c r="E240" s="97"/>
      <c r="F240" s="28"/>
      <c r="G240" s="28"/>
      <c r="H240" s="119"/>
      <c r="I240" s="119"/>
      <c r="Q240" s="28"/>
      <c r="R240" s="28"/>
      <c r="S240" s="23"/>
      <c r="T240" s="28"/>
      <c r="U240" s="28"/>
      <c r="V240" s="28"/>
      <c r="W240" s="28"/>
      <c r="X240" s="28"/>
      <c r="Y240" s="28"/>
      <c r="AA240" s="1"/>
    </row>
    <row r="241" spans="3:27" s="8" customFormat="1" x14ac:dyDescent="0.3">
      <c r="C241" s="27"/>
      <c r="D241" s="27"/>
      <c r="E241" s="97"/>
      <c r="F241" s="28"/>
      <c r="G241" s="28"/>
      <c r="H241" s="119"/>
      <c r="I241" s="119"/>
      <c r="Q241" s="28"/>
      <c r="R241" s="28"/>
      <c r="S241" s="23"/>
      <c r="T241" s="28"/>
      <c r="U241" s="28"/>
      <c r="V241" s="28"/>
      <c r="W241" s="28"/>
      <c r="X241" s="28"/>
      <c r="Y241" s="28"/>
      <c r="AA241" s="1"/>
    </row>
    <row r="242" spans="3:27" s="8" customFormat="1" x14ac:dyDescent="0.3">
      <c r="C242" s="27"/>
      <c r="D242" s="27"/>
      <c r="E242" s="97"/>
      <c r="F242" s="28"/>
      <c r="G242" s="28"/>
      <c r="H242" s="119"/>
      <c r="I242" s="119"/>
      <c r="Q242" s="28"/>
      <c r="R242" s="28"/>
      <c r="S242" s="23"/>
      <c r="T242" s="28"/>
      <c r="U242" s="28"/>
      <c r="V242" s="28"/>
      <c r="W242" s="28"/>
      <c r="X242" s="28"/>
      <c r="Y242" s="28"/>
      <c r="AA242" s="1"/>
    </row>
    <row r="243" spans="3:27" s="8" customFormat="1" x14ac:dyDescent="0.3">
      <c r="C243" s="27"/>
      <c r="D243" s="27"/>
      <c r="E243" s="97"/>
      <c r="F243" s="28"/>
      <c r="G243" s="28"/>
      <c r="H243" s="119"/>
      <c r="I243" s="119"/>
      <c r="Q243" s="28"/>
      <c r="R243" s="28"/>
      <c r="S243" s="23"/>
      <c r="T243" s="28"/>
      <c r="U243" s="28"/>
      <c r="V243" s="28"/>
      <c r="W243" s="28"/>
      <c r="X243" s="28"/>
      <c r="Y243" s="28"/>
      <c r="AA243" s="1"/>
    </row>
    <row r="244" spans="3:27" s="8" customFormat="1" x14ac:dyDescent="0.3">
      <c r="C244" s="27"/>
      <c r="D244" s="27"/>
      <c r="E244" s="97"/>
      <c r="F244" s="28"/>
      <c r="G244" s="28"/>
      <c r="H244" s="119"/>
      <c r="I244" s="119"/>
      <c r="Q244" s="28"/>
      <c r="R244" s="28"/>
      <c r="S244" s="23"/>
      <c r="T244" s="28"/>
      <c r="U244" s="28"/>
      <c r="V244" s="28"/>
      <c r="W244" s="28"/>
      <c r="X244" s="28"/>
      <c r="Y244" s="28"/>
      <c r="AA244" s="1"/>
    </row>
    <row r="245" spans="3:27" s="8" customFormat="1" x14ac:dyDescent="0.3">
      <c r="C245" s="27"/>
      <c r="D245" s="27"/>
      <c r="E245" s="97"/>
      <c r="F245" s="28"/>
      <c r="G245" s="28"/>
      <c r="H245" s="119"/>
      <c r="I245" s="119"/>
      <c r="Q245" s="28"/>
      <c r="R245" s="28"/>
      <c r="S245" s="23"/>
      <c r="T245" s="28"/>
      <c r="U245" s="28"/>
      <c r="V245" s="28"/>
      <c r="W245" s="28"/>
      <c r="X245" s="28"/>
      <c r="Y245" s="28"/>
      <c r="AA245" s="1"/>
    </row>
    <row r="246" spans="3:27" s="8" customFormat="1" x14ac:dyDescent="0.3">
      <c r="C246" s="27"/>
      <c r="D246" s="27"/>
      <c r="E246" s="97"/>
      <c r="F246" s="28"/>
      <c r="G246" s="28"/>
      <c r="H246" s="119"/>
      <c r="I246" s="119"/>
      <c r="Q246" s="28"/>
      <c r="R246" s="28"/>
      <c r="S246" s="23"/>
      <c r="T246" s="28"/>
      <c r="U246" s="28"/>
      <c r="V246" s="28"/>
      <c r="W246" s="28"/>
      <c r="X246" s="28"/>
      <c r="Y246" s="28"/>
      <c r="AA246" s="1"/>
    </row>
    <row r="247" spans="3:27" s="8" customFormat="1" x14ac:dyDescent="0.3">
      <c r="C247" s="27"/>
      <c r="D247" s="27"/>
      <c r="E247" s="97"/>
      <c r="F247" s="28"/>
      <c r="G247" s="28"/>
      <c r="H247" s="119"/>
      <c r="I247" s="119"/>
      <c r="Q247" s="28"/>
      <c r="R247" s="28"/>
      <c r="S247" s="23"/>
      <c r="T247" s="28"/>
      <c r="U247" s="28"/>
      <c r="V247" s="28"/>
      <c r="W247" s="28"/>
      <c r="X247" s="28"/>
      <c r="Y247" s="28"/>
      <c r="AA247" s="1"/>
    </row>
    <row r="248" spans="3:27" s="8" customFormat="1" x14ac:dyDescent="0.3">
      <c r="C248" s="27"/>
      <c r="D248" s="27"/>
      <c r="E248" s="97"/>
      <c r="F248" s="28"/>
      <c r="G248" s="28"/>
      <c r="H248" s="119"/>
      <c r="I248" s="119"/>
      <c r="Q248" s="28"/>
      <c r="R248" s="28"/>
      <c r="S248" s="23"/>
      <c r="T248" s="28"/>
      <c r="U248" s="28"/>
      <c r="V248" s="28"/>
      <c r="W248" s="28"/>
      <c r="X248" s="28"/>
      <c r="Y248" s="28"/>
      <c r="AA248" s="1"/>
    </row>
    <row r="249" spans="3:27" s="8" customFormat="1" x14ac:dyDescent="0.3">
      <c r="C249" s="27"/>
      <c r="D249" s="27"/>
      <c r="E249" s="97"/>
      <c r="F249" s="28"/>
      <c r="G249" s="28"/>
      <c r="H249" s="119"/>
      <c r="I249" s="119"/>
      <c r="Q249" s="28"/>
      <c r="R249" s="28"/>
      <c r="S249" s="23"/>
      <c r="T249" s="28"/>
      <c r="U249" s="28"/>
      <c r="V249" s="28"/>
      <c r="W249" s="28"/>
      <c r="X249" s="28"/>
      <c r="Y249" s="28"/>
      <c r="AA249" s="1"/>
    </row>
    <row r="250" spans="3:27" s="8" customFormat="1" x14ac:dyDescent="0.3">
      <c r="C250" s="27"/>
      <c r="D250" s="27"/>
      <c r="E250" s="97"/>
      <c r="F250" s="28"/>
      <c r="G250" s="28"/>
      <c r="H250" s="119"/>
      <c r="I250" s="119"/>
      <c r="Q250" s="28"/>
      <c r="R250" s="28"/>
      <c r="S250" s="23"/>
      <c r="T250" s="28"/>
      <c r="U250" s="28"/>
      <c r="V250" s="28"/>
      <c r="W250" s="28"/>
      <c r="X250" s="28"/>
      <c r="Y250" s="28"/>
      <c r="AA250" s="1"/>
    </row>
    <row r="251" spans="3:27" s="8" customFormat="1" x14ac:dyDescent="0.3">
      <c r="C251" s="27"/>
      <c r="D251" s="27"/>
      <c r="E251" s="97"/>
      <c r="F251" s="28"/>
      <c r="G251" s="28"/>
      <c r="H251" s="119"/>
      <c r="I251" s="119"/>
      <c r="Q251" s="28"/>
      <c r="R251" s="28"/>
      <c r="S251" s="23"/>
      <c r="T251" s="28"/>
      <c r="U251" s="28"/>
      <c r="V251" s="28"/>
      <c r="W251" s="28"/>
      <c r="X251" s="28"/>
      <c r="Y251" s="28"/>
      <c r="AA251" s="1"/>
    </row>
    <row r="252" spans="3:27" s="8" customFormat="1" x14ac:dyDescent="0.3">
      <c r="C252" s="27"/>
      <c r="D252" s="27"/>
      <c r="E252" s="97"/>
      <c r="F252" s="28"/>
      <c r="G252" s="28"/>
      <c r="H252" s="119"/>
      <c r="I252" s="119"/>
      <c r="Q252" s="28"/>
      <c r="R252" s="28"/>
      <c r="S252" s="23"/>
      <c r="T252" s="28"/>
      <c r="U252" s="28"/>
      <c r="V252" s="28"/>
      <c r="W252" s="28"/>
      <c r="X252" s="28"/>
      <c r="Y252" s="28"/>
      <c r="AA252" s="1"/>
    </row>
    <row r="253" spans="3:27" s="8" customFormat="1" x14ac:dyDescent="0.3">
      <c r="C253" s="27"/>
      <c r="D253" s="27"/>
      <c r="E253" s="97"/>
      <c r="F253" s="28"/>
      <c r="G253" s="28"/>
      <c r="H253" s="119"/>
      <c r="I253" s="119"/>
      <c r="Q253" s="28"/>
      <c r="R253" s="28"/>
      <c r="S253" s="23"/>
      <c r="T253" s="28"/>
      <c r="U253" s="28"/>
      <c r="V253" s="28"/>
      <c r="W253" s="28"/>
      <c r="X253" s="28"/>
      <c r="Y253" s="28"/>
      <c r="AA253" s="1"/>
    </row>
    <row r="254" spans="3:27" s="8" customFormat="1" x14ac:dyDescent="0.3">
      <c r="C254" s="27"/>
      <c r="D254" s="27"/>
      <c r="E254" s="97"/>
      <c r="F254" s="28"/>
      <c r="G254" s="28"/>
      <c r="H254" s="119"/>
      <c r="I254" s="119"/>
      <c r="Q254" s="28"/>
      <c r="R254" s="28"/>
      <c r="S254" s="23"/>
      <c r="T254" s="28"/>
      <c r="U254" s="28"/>
      <c r="V254" s="28"/>
      <c r="W254" s="28"/>
      <c r="X254" s="28"/>
      <c r="Y254" s="28"/>
      <c r="AA254" s="1"/>
    </row>
    <row r="255" spans="3:27" s="8" customFormat="1" x14ac:dyDescent="0.3">
      <c r="C255" s="27"/>
      <c r="D255" s="27"/>
      <c r="E255" s="97"/>
      <c r="F255" s="28"/>
      <c r="G255" s="28"/>
      <c r="H255" s="119"/>
      <c r="I255" s="119"/>
      <c r="Q255" s="28"/>
      <c r="R255" s="28"/>
      <c r="S255" s="23"/>
      <c r="T255" s="28"/>
      <c r="U255" s="28"/>
      <c r="V255" s="28"/>
      <c r="W255" s="28"/>
      <c r="X255" s="28"/>
      <c r="Y255" s="28"/>
      <c r="AA255" s="1"/>
    </row>
    <row r="256" spans="3:27" s="8" customFormat="1" x14ac:dyDescent="0.3">
      <c r="C256" s="27"/>
      <c r="D256" s="27"/>
      <c r="E256" s="97"/>
      <c r="F256" s="28"/>
      <c r="G256" s="28"/>
      <c r="H256" s="119"/>
      <c r="I256" s="119"/>
      <c r="Q256" s="28"/>
      <c r="R256" s="28"/>
      <c r="S256" s="23"/>
      <c r="T256" s="28"/>
      <c r="U256" s="28"/>
      <c r="V256" s="28"/>
      <c r="W256" s="28"/>
      <c r="X256" s="28"/>
      <c r="Y256" s="28"/>
      <c r="AA256" s="1"/>
    </row>
    <row r="257" spans="3:27" s="8" customFormat="1" x14ac:dyDescent="0.3">
      <c r="C257" s="27"/>
      <c r="D257" s="27"/>
      <c r="E257" s="97"/>
      <c r="F257" s="28"/>
      <c r="G257" s="28"/>
      <c r="H257" s="119"/>
      <c r="I257" s="119"/>
      <c r="Q257" s="28"/>
      <c r="R257" s="28"/>
      <c r="S257" s="23"/>
      <c r="T257" s="28"/>
      <c r="U257" s="28"/>
      <c r="V257" s="28"/>
      <c r="W257" s="28"/>
      <c r="X257" s="28"/>
      <c r="Y257" s="28"/>
      <c r="AA257" s="1"/>
    </row>
    <row r="258" spans="3:27" s="8" customFormat="1" x14ac:dyDescent="0.3">
      <c r="C258" s="27"/>
      <c r="D258" s="27"/>
      <c r="E258" s="97"/>
      <c r="F258" s="28"/>
      <c r="G258" s="28"/>
      <c r="H258" s="119"/>
      <c r="I258" s="119"/>
      <c r="Q258" s="28"/>
      <c r="R258" s="28"/>
      <c r="S258" s="23"/>
      <c r="T258" s="28"/>
      <c r="U258" s="28"/>
      <c r="V258" s="28"/>
      <c r="W258" s="28"/>
      <c r="X258" s="28"/>
      <c r="Y258" s="28"/>
      <c r="AA258" s="1"/>
    </row>
    <row r="259" spans="3:27" s="8" customFormat="1" x14ac:dyDescent="0.3">
      <c r="C259" s="27"/>
      <c r="D259" s="27"/>
      <c r="E259" s="97"/>
      <c r="F259" s="28"/>
      <c r="G259" s="28"/>
      <c r="H259" s="119"/>
      <c r="I259" s="119"/>
      <c r="Q259" s="28"/>
      <c r="R259" s="28"/>
      <c r="S259" s="23"/>
      <c r="T259" s="28"/>
      <c r="U259" s="28"/>
      <c r="V259" s="28"/>
      <c r="W259" s="28"/>
      <c r="X259" s="28"/>
      <c r="Y259" s="28"/>
      <c r="AA259" s="1"/>
    </row>
    <row r="260" spans="3:27" s="8" customFormat="1" x14ac:dyDescent="0.3">
      <c r="C260" s="27"/>
      <c r="D260" s="27"/>
      <c r="E260" s="97"/>
      <c r="F260" s="28"/>
      <c r="G260" s="28"/>
      <c r="H260" s="119"/>
      <c r="I260" s="119"/>
      <c r="Q260" s="28"/>
      <c r="R260" s="28"/>
      <c r="S260" s="23"/>
      <c r="T260" s="28"/>
      <c r="U260" s="28"/>
      <c r="V260" s="28"/>
      <c r="W260" s="28"/>
      <c r="X260" s="28"/>
      <c r="Y260" s="28"/>
      <c r="AA260" s="1"/>
    </row>
    <row r="261" spans="3:27" s="8" customFormat="1" x14ac:dyDescent="0.3">
      <c r="C261" s="27"/>
      <c r="D261" s="27"/>
      <c r="E261" s="97"/>
      <c r="F261" s="28"/>
      <c r="G261" s="28"/>
      <c r="H261" s="119"/>
      <c r="I261" s="119"/>
      <c r="Q261" s="28"/>
      <c r="R261" s="28"/>
      <c r="S261" s="23"/>
      <c r="T261" s="28"/>
      <c r="U261" s="28"/>
      <c r="V261" s="28"/>
      <c r="W261" s="28"/>
      <c r="X261" s="28"/>
      <c r="Y261" s="28"/>
      <c r="AA261" s="1"/>
    </row>
    <row r="262" spans="3:27" s="8" customFormat="1" x14ac:dyDescent="0.3">
      <c r="C262" s="27"/>
      <c r="D262" s="27"/>
      <c r="E262" s="97"/>
      <c r="F262" s="28"/>
      <c r="G262" s="28"/>
      <c r="H262" s="119"/>
      <c r="I262" s="119"/>
      <c r="Q262" s="28"/>
      <c r="R262" s="28"/>
      <c r="S262" s="23"/>
      <c r="T262" s="28"/>
      <c r="U262" s="28"/>
      <c r="V262" s="28"/>
      <c r="W262" s="28"/>
      <c r="X262" s="28"/>
      <c r="Y262" s="28"/>
      <c r="AA262" s="1"/>
    </row>
    <row r="263" spans="3:27" s="8" customFormat="1" x14ac:dyDescent="0.3">
      <c r="C263" s="27"/>
      <c r="D263" s="27"/>
      <c r="E263" s="97"/>
      <c r="F263" s="28"/>
      <c r="G263" s="28"/>
      <c r="H263" s="119"/>
      <c r="I263" s="119"/>
      <c r="Q263" s="28"/>
      <c r="R263" s="28"/>
      <c r="S263" s="23"/>
      <c r="T263" s="28"/>
      <c r="U263" s="28"/>
      <c r="V263" s="28"/>
      <c r="W263" s="28"/>
      <c r="X263" s="28"/>
      <c r="Y263" s="28"/>
      <c r="AA263" s="1"/>
    </row>
    <row r="264" spans="3:27" s="8" customFormat="1" x14ac:dyDescent="0.3">
      <c r="C264" s="27"/>
      <c r="D264" s="27"/>
      <c r="E264" s="97"/>
      <c r="F264" s="28"/>
      <c r="G264" s="28"/>
      <c r="H264" s="119"/>
      <c r="I264" s="119"/>
      <c r="Q264" s="28"/>
      <c r="R264" s="28"/>
      <c r="S264" s="23"/>
      <c r="T264" s="28"/>
      <c r="U264" s="28"/>
      <c r="V264" s="28"/>
      <c r="W264" s="28"/>
      <c r="X264" s="28"/>
      <c r="Y264" s="28"/>
      <c r="AA264" s="1"/>
    </row>
    <row r="265" spans="3:27" s="8" customFormat="1" x14ac:dyDescent="0.3">
      <c r="C265" s="27"/>
      <c r="D265" s="27"/>
      <c r="E265" s="97"/>
      <c r="F265" s="28"/>
      <c r="G265" s="28"/>
      <c r="H265" s="119"/>
      <c r="I265" s="119"/>
      <c r="Q265" s="28"/>
      <c r="R265" s="28"/>
      <c r="S265" s="23"/>
      <c r="T265" s="28"/>
      <c r="U265" s="28"/>
      <c r="V265" s="28"/>
      <c r="W265" s="28"/>
      <c r="X265" s="28"/>
      <c r="Y265" s="28"/>
      <c r="AA265" s="1"/>
    </row>
    <row r="266" spans="3:27" s="8" customFormat="1" x14ac:dyDescent="0.3">
      <c r="C266" s="27"/>
      <c r="D266" s="27"/>
      <c r="E266" s="97"/>
      <c r="F266" s="28"/>
      <c r="G266" s="28"/>
      <c r="H266" s="119"/>
      <c r="I266" s="119"/>
      <c r="Q266" s="28"/>
      <c r="R266" s="28"/>
      <c r="S266" s="23"/>
      <c r="T266" s="28"/>
      <c r="U266" s="28"/>
      <c r="V266" s="28"/>
      <c r="W266" s="28"/>
      <c r="X266" s="28"/>
      <c r="Y266" s="28"/>
      <c r="AA266" s="1"/>
    </row>
    <row r="267" spans="3:27" s="8" customFormat="1" x14ac:dyDescent="0.3">
      <c r="C267" s="27"/>
      <c r="D267" s="27"/>
      <c r="E267" s="97"/>
      <c r="F267" s="28"/>
      <c r="G267" s="28"/>
      <c r="H267" s="119"/>
      <c r="I267" s="119"/>
      <c r="Q267" s="28"/>
      <c r="R267" s="28"/>
      <c r="S267" s="23"/>
      <c r="T267" s="28"/>
      <c r="U267" s="28"/>
      <c r="V267" s="28"/>
      <c r="W267" s="28"/>
      <c r="X267" s="28"/>
      <c r="Y267" s="28"/>
      <c r="AA267" s="1"/>
    </row>
    <row r="268" spans="3:27" s="8" customFormat="1" x14ac:dyDescent="0.3">
      <c r="C268" s="27"/>
      <c r="D268" s="27"/>
      <c r="E268" s="97"/>
      <c r="F268" s="28"/>
      <c r="G268" s="28"/>
      <c r="H268" s="119"/>
      <c r="I268" s="119"/>
      <c r="Q268" s="28"/>
      <c r="R268" s="28"/>
      <c r="S268" s="23"/>
      <c r="T268" s="28"/>
      <c r="U268" s="28"/>
      <c r="V268" s="28"/>
      <c r="W268" s="28"/>
      <c r="X268" s="28"/>
      <c r="Y268" s="28"/>
      <c r="AA268" s="1"/>
    </row>
    <row r="269" spans="3:27" s="8" customFormat="1" x14ac:dyDescent="0.3">
      <c r="C269" s="27"/>
      <c r="D269" s="27"/>
      <c r="E269" s="97"/>
      <c r="F269" s="28"/>
      <c r="G269" s="28"/>
      <c r="H269" s="119"/>
      <c r="I269" s="119"/>
      <c r="Q269" s="28"/>
      <c r="R269" s="28"/>
      <c r="S269" s="23"/>
      <c r="T269" s="28"/>
      <c r="U269" s="28"/>
      <c r="V269" s="28"/>
      <c r="W269" s="28"/>
      <c r="X269" s="28"/>
      <c r="Y269" s="28"/>
      <c r="AA269" s="1"/>
    </row>
    <row r="270" spans="3:27" s="8" customFormat="1" x14ac:dyDescent="0.3">
      <c r="C270" s="27"/>
      <c r="D270" s="27"/>
      <c r="E270" s="97"/>
      <c r="F270" s="28"/>
      <c r="G270" s="28"/>
      <c r="H270" s="119"/>
      <c r="I270" s="119"/>
      <c r="Q270" s="28"/>
      <c r="R270" s="28"/>
      <c r="S270" s="23"/>
      <c r="T270" s="28"/>
      <c r="U270" s="28"/>
      <c r="V270" s="28"/>
      <c r="W270" s="28"/>
      <c r="X270" s="28"/>
      <c r="Y270" s="28"/>
      <c r="AA270" s="1"/>
    </row>
    <row r="271" spans="3:27" s="8" customFormat="1" x14ac:dyDescent="0.3">
      <c r="C271" s="27"/>
      <c r="D271" s="27"/>
      <c r="E271" s="97"/>
      <c r="F271" s="28"/>
      <c r="G271" s="28"/>
      <c r="H271" s="119"/>
      <c r="I271" s="119"/>
      <c r="Q271" s="28"/>
      <c r="R271" s="28"/>
      <c r="S271" s="23"/>
      <c r="T271" s="28"/>
      <c r="U271" s="28"/>
      <c r="V271" s="28"/>
      <c r="W271" s="28"/>
      <c r="X271" s="28"/>
      <c r="Y271" s="28"/>
      <c r="AA271" s="1"/>
    </row>
    <row r="272" spans="3:27" s="8" customFormat="1" x14ac:dyDescent="0.3">
      <c r="C272" s="27"/>
      <c r="D272" s="27"/>
      <c r="E272" s="97"/>
      <c r="F272" s="28"/>
      <c r="G272" s="28"/>
      <c r="H272" s="119"/>
      <c r="I272" s="119"/>
      <c r="Q272" s="28"/>
      <c r="R272" s="28"/>
      <c r="S272" s="23"/>
      <c r="T272" s="28"/>
      <c r="U272" s="28"/>
      <c r="V272" s="28"/>
      <c r="W272" s="28"/>
      <c r="X272" s="28"/>
      <c r="Y272" s="28"/>
      <c r="AA272" s="1"/>
    </row>
    <row r="273" spans="3:27" s="8" customFormat="1" x14ac:dyDescent="0.3">
      <c r="C273" s="27"/>
      <c r="D273" s="27"/>
      <c r="E273" s="97"/>
      <c r="F273" s="28"/>
      <c r="G273" s="28"/>
      <c r="H273" s="119"/>
      <c r="I273" s="119"/>
      <c r="Q273" s="28"/>
      <c r="R273" s="28"/>
      <c r="S273" s="23"/>
      <c r="T273" s="28"/>
      <c r="U273" s="28"/>
      <c r="V273" s="28"/>
      <c r="W273" s="28"/>
      <c r="X273" s="28"/>
      <c r="Y273" s="28"/>
      <c r="AA273" s="1"/>
    </row>
    <row r="274" spans="3:27" s="8" customFormat="1" x14ac:dyDescent="0.3">
      <c r="C274" s="27"/>
      <c r="D274" s="27"/>
      <c r="E274" s="97"/>
      <c r="F274" s="28"/>
      <c r="G274" s="28"/>
      <c r="H274" s="119"/>
      <c r="I274" s="119"/>
      <c r="Q274" s="28"/>
      <c r="R274" s="28"/>
      <c r="S274" s="23"/>
      <c r="T274" s="28"/>
      <c r="U274" s="28"/>
      <c r="V274" s="28"/>
      <c r="W274" s="28"/>
      <c r="X274" s="28"/>
      <c r="Y274" s="28"/>
      <c r="AA274" s="1"/>
    </row>
    <row r="275" spans="3:27" s="8" customFormat="1" x14ac:dyDescent="0.3">
      <c r="C275" s="27"/>
      <c r="D275" s="27"/>
      <c r="E275" s="97"/>
      <c r="F275" s="28"/>
      <c r="G275" s="28"/>
      <c r="H275" s="119"/>
      <c r="I275" s="119"/>
      <c r="Q275" s="28"/>
      <c r="R275" s="28"/>
      <c r="S275" s="23"/>
      <c r="T275" s="28"/>
      <c r="U275" s="28"/>
      <c r="V275" s="28"/>
      <c r="W275" s="28"/>
      <c r="X275" s="28"/>
      <c r="Y275" s="28"/>
      <c r="AA275" s="1"/>
    </row>
    <row r="276" spans="3:27" s="8" customFormat="1" x14ac:dyDescent="0.3">
      <c r="C276" s="27"/>
      <c r="D276" s="27"/>
      <c r="E276" s="97"/>
      <c r="F276" s="28"/>
      <c r="G276" s="28"/>
      <c r="H276" s="119"/>
      <c r="I276" s="119"/>
      <c r="Q276" s="28"/>
      <c r="R276" s="28"/>
      <c r="S276" s="23"/>
      <c r="T276" s="28"/>
      <c r="U276" s="28"/>
      <c r="V276" s="28"/>
      <c r="W276" s="28"/>
      <c r="X276" s="28"/>
      <c r="Y276" s="28"/>
      <c r="AA276" s="1"/>
    </row>
    <row r="277" spans="3:27" s="8" customFormat="1" x14ac:dyDescent="0.3">
      <c r="C277" s="27"/>
      <c r="D277" s="27"/>
      <c r="E277" s="97"/>
      <c r="F277" s="28"/>
      <c r="G277" s="28"/>
      <c r="H277" s="119"/>
      <c r="I277" s="119"/>
      <c r="Q277" s="28"/>
      <c r="R277" s="28"/>
      <c r="S277" s="23"/>
      <c r="T277" s="28"/>
      <c r="U277" s="28"/>
      <c r="V277" s="28"/>
      <c r="W277" s="28"/>
      <c r="X277" s="28"/>
      <c r="Y277" s="28"/>
      <c r="AA277" s="1"/>
    </row>
    <row r="278" spans="3:27" s="8" customFormat="1" x14ac:dyDescent="0.3">
      <c r="C278" s="27"/>
      <c r="D278" s="27"/>
      <c r="E278" s="97"/>
      <c r="F278" s="28"/>
      <c r="G278" s="28"/>
      <c r="H278" s="119"/>
      <c r="I278" s="119"/>
      <c r="Q278" s="28"/>
      <c r="R278" s="28"/>
      <c r="S278" s="23"/>
      <c r="T278" s="28"/>
      <c r="U278" s="28"/>
      <c r="V278" s="28"/>
      <c r="W278" s="28"/>
      <c r="X278" s="28"/>
      <c r="Y278" s="28"/>
      <c r="AA278" s="1"/>
    </row>
    <row r="279" spans="3:27" s="8" customFormat="1" x14ac:dyDescent="0.3">
      <c r="C279" s="27"/>
      <c r="D279" s="27"/>
      <c r="E279" s="97"/>
      <c r="F279" s="28"/>
      <c r="G279" s="28"/>
      <c r="H279" s="119"/>
      <c r="I279" s="119"/>
      <c r="Q279" s="28"/>
      <c r="R279" s="28"/>
      <c r="S279" s="23"/>
      <c r="T279" s="28"/>
      <c r="U279" s="28"/>
      <c r="V279" s="28"/>
      <c r="W279" s="28"/>
      <c r="X279" s="28"/>
      <c r="Y279" s="28"/>
      <c r="AA279" s="1"/>
    </row>
    <row r="280" spans="3:27" s="8" customFormat="1" x14ac:dyDescent="0.3">
      <c r="C280" s="27"/>
      <c r="D280" s="27"/>
      <c r="E280" s="97"/>
      <c r="F280" s="28"/>
      <c r="G280" s="28"/>
      <c r="H280" s="119"/>
      <c r="I280" s="119"/>
      <c r="Q280" s="28"/>
      <c r="R280" s="28"/>
      <c r="S280" s="23"/>
      <c r="T280" s="28"/>
      <c r="U280" s="28"/>
      <c r="V280" s="28"/>
      <c r="W280" s="28"/>
      <c r="X280" s="28"/>
      <c r="Y280" s="28"/>
      <c r="AA280" s="1"/>
    </row>
    <row r="281" spans="3:27" s="8" customFormat="1" x14ac:dyDescent="0.3">
      <c r="C281" s="27"/>
      <c r="D281" s="27"/>
      <c r="E281" s="97"/>
      <c r="F281" s="28"/>
      <c r="G281" s="28"/>
      <c r="H281" s="119"/>
      <c r="I281" s="119"/>
      <c r="Q281" s="28"/>
      <c r="R281" s="28"/>
      <c r="S281" s="23"/>
      <c r="T281" s="28"/>
      <c r="U281" s="28"/>
      <c r="V281" s="28"/>
      <c r="W281" s="28"/>
      <c r="X281" s="28"/>
      <c r="Y281" s="28"/>
      <c r="AA281" s="1"/>
    </row>
    <row r="282" spans="3:27" s="8" customFormat="1" x14ac:dyDescent="0.3">
      <c r="C282" s="27"/>
      <c r="D282" s="27"/>
      <c r="E282" s="97"/>
      <c r="F282" s="28"/>
      <c r="G282" s="28"/>
      <c r="H282" s="119"/>
      <c r="I282" s="119"/>
      <c r="Q282" s="28"/>
      <c r="R282" s="28"/>
      <c r="S282" s="23"/>
      <c r="T282" s="28"/>
      <c r="U282" s="28"/>
      <c r="V282" s="28"/>
      <c r="W282" s="28"/>
      <c r="X282" s="28"/>
      <c r="Y282" s="28"/>
      <c r="AA282" s="1"/>
    </row>
    <row r="283" spans="3:27" s="8" customFormat="1" x14ac:dyDescent="0.3">
      <c r="C283" s="27"/>
      <c r="D283" s="27"/>
      <c r="E283" s="97"/>
      <c r="F283" s="28"/>
      <c r="G283" s="28"/>
      <c r="H283" s="119"/>
      <c r="I283" s="119"/>
      <c r="Q283" s="28"/>
      <c r="R283" s="28"/>
      <c r="S283" s="23"/>
      <c r="T283" s="28"/>
      <c r="U283" s="28"/>
      <c r="V283" s="28"/>
      <c r="W283" s="28"/>
      <c r="X283" s="28"/>
      <c r="Y283" s="28"/>
      <c r="AA283" s="1"/>
    </row>
    <row r="284" spans="3:27" s="8" customFormat="1" x14ac:dyDescent="0.3">
      <c r="C284" s="27"/>
      <c r="D284" s="27"/>
      <c r="E284" s="97"/>
      <c r="F284" s="28"/>
      <c r="G284" s="28"/>
      <c r="H284" s="119"/>
      <c r="I284" s="119"/>
      <c r="Q284" s="28"/>
      <c r="R284" s="28"/>
      <c r="S284" s="23"/>
      <c r="T284" s="28"/>
      <c r="U284" s="28"/>
      <c r="V284" s="28"/>
      <c r="W284" s="28"/>
      <c r="X284" s="28"/>
      <c r="Y284" s="28"/>
      <c r="AA284" s="1"/>
    </row>
    <row r="285" spans="3:27" s="8" customFormat="1" x14ac:dyDescent="0.3">
      <c r="C285" s="27"/>
      <c r="D285" s="27"/>
      <c r="E285" s="97"/>
      <c r="F285" s="28"/>
      <c r="G285" s="28"/>
      <c r="H285" s="119"/>
      <c r="I285" s="119"/>
      <c r="Q285" s="28"/>
      <c r="R285" s="28"/>
      <c r="S285" s="23"/>
      <c r="T285" s="28"/>
      <c r="U285" s="28"/>
      <c r="V285" s="28"/>
      <c r="W285" s="28"/>
      <c r="X285" s="28"/>
      <c r="Y285" s="28"/>
      <c r="AA285" s="1"/>
    </row>
    <row r="286" spans="3:27" s="8" customFormat="1" x14ac:dyDescent="0.3">
      <c r="C286" s="27"/>
      <c r="D286" s="27"/>
      <c r="E286" s="97"/>
      <c r="F286" s="28"/>
      <c r="G286" s="28"/>
      <c r="H286" s="119"/>
      <c r="I286" s="119"/>
      <c r="Q286" s="28"/>
      <c r="R286" s="28"/>
      <c r="S286" s="23"/>
      <c r="T286" s="28"/>
      <c r="U286" s="28"/>
      <c r="V286" s="28"/>
      <c r="W286" s="28"/>
      <c r="X286" s="28"/>
      <c r="Y286" s="28"/>
      <c r="AA286" s="1"/>
    </row>
    <row r="287" spans="3:27" s="8" customFormat="1" x14ac:dyDescent="0.3">
      <c r="C287" s="27"/>
      <c r="D287" s="27"/>
      <c r="E287" s="97"/>
      <c r="F287" s="28"/>
      <c r="G287" s="28"/>
      <c r="H287" s="119"/>
      <c r="I287" s="119"/>
      <c r="Q287" s="28"/>
      <c r="R287" s="28"/>
      <c r="S287" s="23"/>
      <c r="T287" s="28"/>
      <c r="U287" s="28"/>
      <c r="V287" s="28"/>
      <c r="W287" s="28"/>
      <c r="X287" s="28"/>
      <c r="Y287" s="28"/>
      <c r="AA287" s="1"/>
    </row>
    <row r="288" spans="3:27" s="8" customFormat="1" x14ac:dyDescent="0.3">
      <c r="C288" s="27"/>
      <c r="D288" s="27"/>
      <c r="E288" s="97"/>
      <c r="F288" s="28"/>
      <c r="G288" s="28"/>
      <c r="H288" s="119"/>
      <c r="I288" s="119"/>
      <c r="Q288" s="28"/>
      <c r="R288" s="28"/>
      <c r="S288" s="23"/>
      <c r="T288" s="28"/>
      <c r="U288" s="28"/>
      <c r="V288" s="28"/>
      <c r="W288" s="28"/>
      <c r="X288" s="28"/>
      <c r="Y288" s="28"/>
      <c r="AA288" s="1"/>
    </row>
    <row r="289" spans="3:27" s="8" customFormat="1" x14ac:dyDescent="0.3">
      <c r="C289" s="27"/>
      <c r="D289" s="27"/>
      <c r="E289" s="97"/>
      <c r="F289" s="28"/>
      <c r="G289" s="28"/>
      <c r="H289" s="119"/>
      <c r="I289" s="119"/>
      <c r="Q289" s="28"/>
      <c r="R289" s="28"/>
      <c r="S289" s="23"/>
      <c r="T289" s="28"/>
      <c r="U289" s="28"/>
      <c r="V289" s="28"/>
      <c r="W289" s="28"/>
      <c r="X289" s="28"/>
      <c r="Y289" s="28"/>
      <c r="AA289" s="1"/>
    </row>
    <row r="290" spans="3:27" s="8" customFormat="1" x14ac:dyDescent="0.3">
      <c r="C290" s="27"/>
      <c r="D290" s="27"/>
      <c r="E290" s="97"/>
      <c r="F290" s="28"/>
      <c r="G290" s="28"/>
      <c r="H290" s="119"/>
      <c r="I290" s="119"/>
      <c r="Q290" s="28"/>
      <c r="R290" s="28"/>
      <c r="S290" s="23"/>
      <c r="T290" s="28"/>
      <c r="U290" s="28"/>
      <c r="V290" s="28"/>
      <c r="W290" s="28"/>
      <c r="X290" s="28"/>
      <c r="Y290" s="28"/>
      <c r="AA290" s="1"/>
    </row>
    <row r="291" spans="3:27" s="8" customFormat="1" x14ac:dyDescent="0.3">
      <c r="C291" s="27"/>
      <c r="D291" s="27"/>
      <c r="E291" s="97"/>
      <c r="F291" s="28"/>
      <c r="G291" s="28"/>
      <c r="H291" s="119"/>
      <c r="I291" s="119"/>
      <c r="Q291" s="28"/>
      <c r="R291" s="28"/>
      <c r="S291" s="23"/>
      <c r="T291" s="28"/>
      <c r="U291" s="28"/>
      <c r="V291" s="28"/>
      <c r="W291" s="28"/>
      <c r="X291" s="28"/>
      <c r="Y291" s="28"/>
      <c r="AA291" s="1"/>
    </row>
    <row r="292" spans="3:27" s="8" customFormat="1" x14ac:dyDescent="0.3">
      <c r="C292" s="27"/>
      <c r="D292" s="27"/>
      <c r="E292" s="97"/>
      <c r="F292" s="28"/>
      <c r="G292" s="28"/>
      <c r="H292" s="119"/>
      <c r="I292" s="119"/>
      <c r="Q292" s="28"/>
      <c r="R292" s="28"/>
      <c r="S292" s="23"/>
      <c r="T292" s="28"/>
      <c r="U292" s="28"/>
      <c r="V292" s="28"/>
      <c r="W292" s="28"/>
      <c r="X292" s="28"/>
      <c r="Y292" s="28"/>
      <c r="AA292" s="1"/>
    </row>
    <row r="293" spans="3:27" s="8" customFormat="1" x14ac:dyDescent="0.3">
      <c r="C293" s="27"/>
      <c r="D293" s="27"/>
      <c r="E293" s="97"/>
      <c r="F293" s="28"/>
      <c r="G293" s="28"/>
      <c r="H293" s="119"/>
      <c r="I293" s="119"/>
      <c r="Q293" s="28"/>
      <c r="R293" s="28"/>
      <c r="S293" s="23"/>
      <c r="T293" s="28"/>
      <c r="U293" s="28"/>
      <c r="V293" s="28"/>
      <c r="W293" s="28"/>
      <c r="X293" s="28"/>
      <c r="Y293" s="28"/>
      <c r="AA293" s="1"/>
    </row>
    <row r="294" spans="3:27" s="8" customFormat="1" x14ac:dyDescent="0.3">
      <c r="C294" s="27"/>
      <c r="D294" s="27"/>
      <c r="E294" s="97"/>
      <c r="F294" s="28"/>
      <c r="G294" s="28"/>
      <c r="H294" s="119"/>
      <c r="I294" s="119"/>
      <c r="Q294" s="28"/>
      <c r="R294" s="28"/>
      <c r="S294" s="23"/>
      <c r="T294" s="28"/>
      <c r="U294" s="28"/>
      <c r="V294" s="28"/>
      <c r="W294" s="28"/>
      <c r="X294" s="28"/>
      <c r="Y294" s="28"/>
      <c r="AA294" s="1"/>
    </row>
    <row r="295" spans="3:27" s="8" customFormat="1" x14ac:dyDescent="0.3">
      <c r="C295" s="27"/>
      <c r="D295" s="27"/>
      <c r="E295" s="97"/>
      <c r="F295" s="28"/>
      <c r="G295" s="28"/>
      <c r="H295" s="119"/>
      <c r="I295" s="119"/>
      <c r="Q295" s="28"/>
      <c r="R295" s="28"/>
      <c r="S295" s="23"/>
      <c r="T295" s="28"/>
      <c r="U295" s="28"/>
      <c r="V295" s="28"/>
      <c r="W295" s="28"/>
      <c r="X295" s="28"/>
      <c r="Y295" s="28"/>
      <c r="AA295" s="1"/>
    </row>
    <row r="296" spans="3:27" s="8" customFormat="1" x14ac:dyDescent="0.3">
      <c r="C296" s="27"/>
      <c r="D296" s="27"/>
      <c r="E296" s="97"/>
      <c r="F296" s="28"/>
      <c r="G296" s="28"/>
      <c r="H296" s="119"/>
      <c r="I296" s="119"/>
      <c r="Q296" s="28"/>
      <c r="R296" s="28"/>
      <c r="S296" s="23"/>
      <c r="T296" s="28"/>
      <c r="U296" s="28"/>
      <c r="V296" s="28"/>
      <c r="W296" s="28"/>
      <c r="X296" s="28"/>
      <c r="Y296" s="28"/>
      <c r="AA296" s="1"/>
    </row>
    <row r="297" spans="3:27" s="8" customFormat="1" x14ac:dyDescent="0.3">
      <c r="C297" s="27"/>
      <c r="D297" s="27"/>
      <c r="E297" s="97"/>
      <c r="F297" s="28"/>
      <c r="G297" s="28"/>
      <c r="H297" s="119"/>
      <c r="I297" s="119"/>
      <c r="Q297" s="28"/>
      <c r="R297" s="28"/>
      <c r="S297" s="23"/>
      <c r="T297" s="28"/>
      <c r="U297" s="28"/>
      <c r="V297" s="28"/>
      <c r="W297" s="28"/>
      <c r="X297" s="28"/>
      <c r="Y297" s="28"/>
      <c r="AA297" s="1"/>
    </row>
    <row r="298" spans="3:27" s="8" customFormat="1" x14ac:dyDescent="0.3">
      <c r="C298" s="27"/>
      <c r="D298" s="27"/>
      <c r="E298" s="97"/>
      <c r="F298" s="28"/>
      <c r="G298" s="28"/>
      <c r="H298" s="119"/>
      <c r="I298" s="119"/>
      <c r="Q298" s="28"/>
      <c r="R298" s="28"/>
      <c r="S298" s="23"/>
      <c r="T298" s="28"/>
      <c r="U298" s="28"/>
      <c r="V298" s="28"/>
      <c r="W298" s="28"/>
      <c r="X298" s="28"/>
      <c r="Y298" s="28"/>
      <c r="AA298" s="1"/>
    </row>
    <row r="299" spans="3:27" s="8" customFormat="1" x14ac:dyDescent="0.3">
      <c r="C299" s="27"/>
      <c r="D299" s="27"/>
      <c r="E299" s="97"/>
      <c r="F299" s="28"/>
      <c r="G299" s="28"/>
      <c r="H299" s="119"/>
      <c r="I299" s="119"/>
      <c r="Q299" s="28"/>
      <c r="R299" s="28"/>
      <c r="S299" s="23"/>
      <c r="T299" s="28"/>
      <c r="U299" s="28"/>
      <c r="V299" s="28"/>
      <c r="W299" s="28"/>
      <c r="X299" s="28"/>
      <c r="Y299" s="28"/>
      <c r="AA299" s="1"/>
    </row>
    <row r="300" spans="3:27" s="8" customFormat="1" x14ac:dyDescent="0.3">
      <c r="C300" s="27"/>
      <c r="D300" s="27"/>
      <c r="E300" s="97"/>
      <c r="F300" s="28"/>
      <c r="G300" s="28"/>
      <c r="H300" s="119"/>
      <c r="I300" s="119"/>
      <c r="Q300" s="28"/>
      <c r="R300" s="28"/>
      <c r="S300" s="23"/>
      <c r="T300" s="28"/>
      <c r="U300" s="28"/>
      <c r="V300" s="28"/>
      <c r="W300" s="28"/>
      <c r="X300" s="28"/>
      <c r="Y300" s="28"/>
      <c r="AA300" s="1"/>
    </row>
    <row r="301" spans="3:27" s="8" customFormat="1" x14ac:dyDescent="0.3">
      <c r="C301" s="27"/>
      <c r="D301" s="27"/>
      <c r="E301" s="97"/>
      <c r="F301" s="28"/>
      <c r="G301" s="28"/>
      <c r="H301" s="119"/>
      <c r="I301" s="119"/>
      <c r="Q301" s="28"/>
      <c r="R301" s="28"/>
      <c r="S301" s="23"/>
      <c r="T301" s="28"/>
      <c r="U301" s="28"/>
      <c r="V301" s="28"/>
      <c r="W301" s="28"/>
      <c r="X301" s="28"/>
      <c r="Y301" s="28"/>
      <c r="AA301" s="1"/>
    </row>
    <row r="302" spans="3:27" s="8" customFormat="1" x14ac:dyDescent="0.3">
      <c r="C302" s="27"/>
      <c r="D302" s="27"/>
      <c r="E302" s="97"/>
      <c r="F302" s="28"/>
      <c r="G302" s="28"/>
      <c r="H302" s="119"/>
      <c r="I302" s="119"/>
      <c r="Q302" s="28"/>
      <c r="R302" s="28"/>
      <c r="S302" s="23"/>
      <c r="T302" s="28"/>
      <c r="U302" s="28"/>
      <c r="V302" s="28"/>
      <c r="W302" s="28"/>
      <c r="X302" s="28"/>
      <c r="Y302" s="28"/>
      <c r="AA302" s="1"/>
    </row>
    <row r="303" spans="3:27" s="8" customFormat="1" x14ac:dyDescent="0.3">
      <c r="C303" s="27"/>
      <c r="D303" s="27"/>
      <c r="E303" s="97"/>
      <c r="F303" s="28"/>
      <c r="G303" s="28"/>
      <c r="H303" s="119"/>
      <c r="I303" s="119"/>
      <c r="Q303" s="28"/>
      <c r="R303" s="28"/>
      <c r="S303" s="23"/>
      <c r="T303" s="28"/>
      <c r="U303" s="28"/>
      <c r="V303" s="28"/>
      <c r="W303" s="28"/>
      <c r="X303" s="28"/>
      <c r="Y303" s="28"/>
      <c r="AA303" s="1"/>
    </row>
    <row r="304" spans="3:27" s="8" customFormat="1" x14ac:dyDescent="0.3">
      <c r="C304" s="27"/>
      <c r="D304" s="27"/>
      <c r="E304" s="97"/>
      <c r="F304" s="28"/>
      <c r="G304" s="28"/>
      <c r="H304" s="119"/>
      <c r="I304" s="119"/>
      <c r="Q304" s="28"/>
      <c r="R304" s="28"/>
      <c r="S304" s="23"/>
      <c r="T304" s="28"/>
      <c r="U304" s="28"/>
      <c r="V304" s="28"/>
      <c r="W304" s="28"/>
      <c r="X304" s="28"/>
      <c r="Y304" s="28"/>
      <c r="AA304" s="1"/>
    </row>
    <row r="305" spans="3:27" s="8" customFormat="1" x14ac:dyDescent="0.3">
      <c r="C305" s="27"/>
      <c r="D305" s="27"/>
      <c r="E305" s="97"/>
      <c r="F305" s="28"/>
      <c r="G305" s="28"/>
      <c r="H305" s="119"/>
      <c r="I305" s="119"/>
      <c r="Q305" s="28"/>
      <c r="R305" s="28"/>
      <c r="S305" s="23"/>
      <c r="T305" s="28"/>
      <c r="U305" s="28"/>
      <c r="V305" s="28"/>
      <c r="W305" s="28"/>
      <c r="X305" s="28"/>
      <c r="Y305" s="28"/>
      <c r="AA305" s="1"/>
    </row>
    <row r="306" spans="3:27" s="8" customFormat="1" x14ac:dyDescent="0.3">
      <c r="C306" s="27"/>
      <c r="D306" s="27"/>
      <c r="E306" s="97"/>
      <c r="F306" s="28"/>
      <c r="G306" s="28"/>
      <c r="H306" s="119"/>
      <c r="I306" s="119"/>
      <c r="Q306" s="28"/>
      <c r="R306" s="28"/>
      <c r="S306" s="23"/>
      <c r="T306" s="28"/>
      <c r="U306" s="28"/>
      <c r="V306" s="28"/>
      <c r="W306" s="28"/>
      <c r="X306" s="28"/>
      <c r="Y306" s="28"/>
      <c r="AA306" s="1"/>
    </row>
    <row r="307" spans="3:27" s="8" customFormat="1" x14ac:dyDescent="0.3">
      <c r="C307" s="27"/>
      <c r="D307" s="27"/>
      <c r="E307" s="97"/>
      <c r="F307" s="28"/>
      <c r="G307" s="28"/>
      <c r="H307" s="119"/>
      <c r="I307" s="119"/>
      <c r="Q307" s="28"/>
      <c r="R307" s="28"/>
      <c r="S307" s="23"/>
      <c r="T307" s="28"/>
      <c r="U307" s="28"/>
      <c r="V307" s="28"/>
      <c r="W307" s="28"/>
      <c r="X307" s="28"/>
      <c r="Y307" s="28"/>
      <c r="AA307" s="1"/>
    </row>
    <row r="308" spans="3:27" s="8" customFormat="1" x14ac:dyDescent="0.3">
      <c r="C308" s="27"/>
      <c r="D308" s="27"/>
      <c r="E308" s="97"/>
      <c r="F308" s="28"/>
      <c r="G308" s="28"/>
      <c r="H308" s="119"/>
      <c r="I308" s="119"/>
      <c r="Q308" s="28"/>
      <c r="R308" s="28"/>
      <c r="S308" s="23"/>
      <c r="T308" s="28"/>
      <c r="U308" s="28"/>
      <c r="V308" s="28"/>
      <c r="W308" s="28"/>
      <c r="X308" s="28"/>
      <c r="Y308" s="28"/>
      <c r="AA308" s="1"/>
    </row>
    <row r="309" spans="3:27" s="8" customFormat="1" x14ac:dyDescent="0.3">
      <c r="C309" s="27"/>
      <c r="D309" s="27"/>
      <c r="E309" s="97"/>
      <c r="F309" s="28"/>
      <c r="G309" s="28"/>
      <c r="H309" s="119"/>
      <c r="I309" s="119"/>
      <c r="Q309" s="28"/>
      <c r="R309" s="28"/>
      <c r="S309" s="23"/>
      <c r="T309" s="28"/>
      <c r="U309" s="28"/>
      <c r="V309" s="28"/>
      <c r="W309" s="28"/>
      <c r="X309" s="28"/>
      <c r="Y309" s="28"/>
      <c r="AA309" s="1"/>
    </row>
    <row r="310" spans="3:27" s="8" customFormat="1" x14ac:dyDescent="0.3">
      <c r="C310" s="27"/>
      <c r="D310" s="27"/>
      <c r="E310" s="97"/>
      <c r="F310" s="28"/>
      <c r="G310" s="28"/>
      <c r="H310" s="119"/>
      <c r="I310" s="119"/>
      <c r="Q310" s="28"/>
      <c r="R310" s="28"/>
      <c r="S310" s="23"/>
      <c r="T310" s="28"/>
      <c r="U310" s="28"/>
      <c r="V310" s="28"/>
      <c r="W310" s="28"/>
      <c r="X310" s="28"/>
      <c r="Y310" s="28"/>
      <c r="AA310" s="1"/>
    </row>
    <row r="311" spans="3:27" s="8" customFormat="1" x14ac:dyDescent="0.3">
      <c r="C311" s="27"/>
      <c r="D311" s="27"/>
      <c r="E311" s="97"/>
      <c r="F311" s="28"/>
      <c r="G311" s="28"/>
      <c r="H311" s="119"/>
      <c r="I311" s="119"/>
      <c r="Q311" s="28"/>
      <c r="R311" s="28"/>
      <c r="S311" s="23"/>
      <c r="T311" s="28"/>
      <c r="U311" s="28"/>
      <c r="V311" s="28"/>
      <c r="W311" s="28"/>
      <c r="X311" s="28"/>
      <c r="Y311" s="28"/>
      <c r="AA311" s="1"/>
    </row>
    <row r="312" spans="3:27" s="8" customFormat="1" x14ac:dyDescent="0.3">
      <c r="C312" s="27"/>
      <c r="D312" s="27"/>
      <c r="E312" s="97"/>
      <c r="F312" s="28"/>
      <c r="G312" s="28"/>
      <c r="H312" s="119"/>
      <c r="I312" s="119"/>
      <c r="Q312" s="28"/>
      <c r="R312" s="28"/>
      <c r="S312" s="23"/>
      <c r="T312" s="28"/>
      <c r="U312" s="28"/>
      <c r="V312" s="28"/>
      <c r="W312" s="28"/>
      <c r="X312" s="28"/>
      <c r="Y312" s="28"/>
      <c r="AA312" s="1"/>
    </row>
    <row r="313" spans="3:27" s="8" customFormat="1" x14ac:dyDescent="0.3">
      <c r="C313" s="27"/>
      <c r="D313" s="27"/>
      <c r="E313" s="97"/>
      <c r="F313" s="28"/>
      <c r="G313" s="28"/>
      <c r="H313" s="119"/>
      <c r="I313" s="119"/>
      <c r="Q313" s="28"/>
      <c r="R313" s="28"/>
      <c r="S313" s="23"/>
      <c r="T313" s="28"/>
      <c r="U313" s="28"/>
      <c r="V313" s="28"/>
      <c r="W313" s="28"/>
      <c r="X313" s="28"/>
      <c r="Y313" s="28"/>
      <c r="AA313" s="1"/>
    </row>
    <row r="314" spans="3:27" s="8" customFormat="1" x14ac:dyDescent="0.3">
      <c r="C314" s="27"/>
      <c r="D314" s="27"/>
      <c r="E314" s="97"/>
      <c r="F314" s="28"/>
      <c r="G314" s="28"/>
      <c r="H314" s="119"/>
      <c r="I314" s="119"/>
      <c r="Q314" s="28"/>
      <c r="R314" s="28"/>
      <c r="S314" s="23"/>
      <c r="T314" s="28"/>
      <c r="U314" s="28"/>
      <c r="V314" s="28"/>
      <c r="W314" s="28"/>
      <c r="X314" s="28"/>
      <c r="Y314" s="28"/>
      <c r="AA314" s="1"/>
    </row>
    <row r="315" spans="3:27" s="8" customFormat="1" x14ac:dyDescent="0.3">
      <c r="C315" s="27"/>
      <c r="D315" s="27"/>
      <c r="E315" s="97"/>
      <c r="F315" s="28"/>
      <c r="G315" s="28"/>
      <c r="H315" s="119"/>
      <c r="I315" s="119"/>
      <c r="Q315" s="28"/>
      <c r="R315" s="28"/>
      <c r="S315" s="23"/>
      <c r="T315" s="28"/>
      <c r="U315" s="28"/>
      <c r="V315" s="28"/>
      <c r="W315" s="28"/>
      <c r="X315" s="28"/>
      <c r="Y315" s="28"/>
      <c r="AA315" s="1"/>
    </row>
    <row r="316" spans="3:27" s="8" customFormat="1" x14ac:dyDescent="0.3">
      <c r="C316" s="27"/>
      <c r="D316" s="27"/>
      <c r="E316" s="97"/>
      <c r="F316" s="28"/>
      <c r="G316" s="28"/>
      <c r="H316" s="119"/>
      <c r="I316" s="119"/>
      <c r="Q316" s="28"/>
      <c r="R316" s="28"/>
      <c r="S316" s="23"/>
      <c r="T316" s="28"/>
      <c r="U316" s="28"/>
      <c r="V316" s="28"/>
      <c r="W316" s="28"/>
      <c r="X316" s="28"/>
      <c r="Y316" s="28"/>
      <c r="AA316" s="1"/>
    </row>
    <row r="317" spans="3:27" s="8" customFormat="1" x14ac:dyDescent="0.3">
      <c r="C317" s="27"/>
      <c r="D317" s="27"/>
      <c r="E317" s="97"/>
      <c r="F317" s="28"/>
      <c r="G317" s="28"/>
      <c r="H317" s="119"/>
      <c r="I317" s="119"/>
      <c r="Q317" s="28"/>
      <c r="R317" s="28"/>
      <c r="S317" s="23"/>
      <c r="T317" s="28"/>
      <c r="U317" s="28"/>
      <c r="V317" s="28"/>
      <c r="W317" s="28"/>
      <c r="X317" s="28"/>
      <c r="Y317" s="28"/>
      <c r="AA317" s="1"/>
    </row>
    <row r="318" spans="3:27" s="8" customFormat="1" x14ac:dyDescent="0.3">
      <c r="C318" s="27"/>
      <c r="D318" s="27"/>
      <c r="E318" s="97"/>
      <c r="F318" s="28"/>
      <c r="G318" s="28"/>
      <c r="H318" s="119"/>
      <c r="I318" s="119"/>
      <c r="Q318" s="28"/>
      <c r="R318" s="28"/>
      <c r="S318" s="23"/>
      <c r="T318" s="28"/>
      <c r="U318" s="28"/>
      <c r="V318" s="28"/>
      <c r="W318" s="28"/>
      <c r="X318" s="28"/>
      <c r="Y318" s="28"/>
      <c r="AA318" s="1"/>
    </row>
    <row r="319" spans="3:27" s="8" customFormat="1" x14ac:dyDescent="0.3">
      <c r="C319" s="27"/>
      <c r="D319" s="27"/>
      <c r="E319" s="97"/>
      <c r="F319" s="28"/>
      <c r="G319" s="28"/>
      <c r="H319" s="119"/>
      <c r="I319" s="119"/>
      <c r="Q319" s="28"/>
      <c r="R319" s="28"/>
      <c r="S319" s="23"/>
      <c r="T319" s="28"/>
      <c r="U319" s="28"/>
      <c r="V319" s="28"/>
      <c r="W319" s="28"/>
      <c r="X319" s="28"/>
      <c r="Y319" s="28"/>
      <c r="AA319" s="1"/>
    </row>
    <row r="320" spans="3:27" s="8" customFormat="1" x14ac:dyDescent="0.3">
      <c r="C320" s="27"/>
      <c r="D320" s="27"/>
      <c r="E320" s="97"/>
      <c r="F320" s="28"/>
      <c r="G320" s="28"/>
      <c r="H320" s="119"/>
      <c r="I320" s="119"/>
      <c r="Q320" s="28"/>
      <c r="R320" s="28"/>
      <c r="S320" s="23"/>
      <c r="T320" s="28"/>
      <c r="U320" s="28"/>
      <c r="V320" s="28"/>
      <c r="W320" s="28"/>
      <c r="X320" s="28"/>
      <c r="Y320" s="28"/>
      <c r="AA320" s="1"/>
    </row>
    <row r="321" spans="3:27" s="8" customFormat="1" x14ac:dyDescent="0.3">
      <c r="C321" s="27"/>
      <c r="D321" s="27"/>
      <c r="E321" s="97"/>
      <c r="F321" s="28"/>
      <c r="G321" s="28"/>
      <c r="H321" s="119"/>
      <c r="I321" s="119"/>
      <c r="Q321" s="28"/>
      <c r="R321" s="28"/>
      <c r="S321" s="23"/>
      <c r="T321" s="28"/>
      <c r="U321" s="28"/>
      <c r="V321" s="28"/>
      <c r="W321" s="28"/>
      <c r="X321" s="28"/>
      <c r="Y321" s="28"/>
      <c r="AA321" s="1"/>
    </row>
    <row r="322" spans="3:27" s="8" customFormat="1" x14ac:dyDescent="0.3">
      <c r="C322" s="27"/>
      <c r="D322" s="27"/>
      <c r="E322" s="97"/>
      <c r="F322" s="28"/>
      <c r="G322" s="28"/>
      <c r="H322" s="119"/>
      <c r="I322" s="119"/>
      <c r="Q322" s="28"/>
      <c r="R322" s="28"/>
      <c r="S322" s="23"/>
      <c r="T322" s="28"/>
      <c r="U322" s="28"/>
      <c r="V322" s="28"/>
      <c r="W322" s="28"/>
      <c r="X322" s="28"/>
      <c r="Y322" s="28"/>
      <c r="AA322" s="1"/>
    </row>
    <row r="323" spans="3:27" s="8" customFormat="1" x14ac:dyDescent="0.3">
      <c r="C323" s="27"/>
      <c r="D323" s="27"/>
      <c r="E323" s="97"/>
      <c r="F323" s="28"/>
      <c r="G323" s="28"/>
      <c r="H323" s="119"/>
      <c r="I323" s="119"/>
      <c r="Q323" s="28"/>
      <c r="R323" s="28"/>
      <c r="S323" s="23"/>
      <c r="T323" s="28"/>
      <c r="U323" s="28"/>
      <c r="V323" s="28"/>
      <c r="W323" s="28"/>
      <c r="X323" s="28"/>
      <c r="Y323" s="28"/>
      <c r="AA323" s="1"/>
    </row>
    <row r="324" spans="3:27" s="8" customFormat="1" x14ac:dyDescent="0.3">
      <c r="C324" s="27"/>
      <c r="D324" s="27"/>
      <c r="E324" s="97"/>
      <c r="F324" s="28"/>
      <c r="G324" s="28"/>
      <c r="H324" s="119"/>
      <c r="I324" s="119"/>
      <c r="Q324" s="28"/>
      <c r="R324" s="28"/>
      <c r="S324" s="23"/>
      <c r="T324" s="28"/>
      <c r="U324" s="28"/>
      <c r="V324" s="28"/>
      <c r="W324" s="28"/>
      <c r="X324" s="28"/>
      <c r="Y324" s="28"/>
      <c r="AA324" s="1"/>
    </row>
    <row r="325" spans="3:27" s="8" customFormat="1" x14ac:dyDescent="0.3">
      <c r="C325" s="27"/>
      <c r="D325" s="27"/>
      <c r="E325" s="97"/>
      <c r="F325" s="28"/>
      <c r="G325" s="28"/>
      <c r="H325" s="119"/>
      <c r="I325" s="119"/>
      <c r="Q325" s="28"/>
      <c r="R325" s="28"/>
      <c r="S325" s="23"/>
      <c r="T325" s="28"/>
      <c r="U325" s="28"/>
      <c r="V325" s="28"/>
      <c r="W325" s="28"/>
      <c r="X325" s="28"/>
      <c r="Y325" s="28"/>
      <c r="AA325" s="1"/>
    </row>
    <row r="326" spans="3:27" s="8" customFormat="1" x14ac:dyDescent="0.3">
      <c r="C326" s="27"/>
      <c r="D326" s="27"/>
      <c r="E326" s="97"/>
      <c r="F326" s="28"/>
      <c r="G326" s="28"/>
      <c r="H326" s="119"/>
      <c r="I326" s="119"/>
      <c r="Q326" s="28"/>
      <c r="R326" s="28"/>
      <c r="S326" s="23"/>
      <c r="T326" s="28"/>
      <c r="U326" s="28"/>
      <c r="V326" s="28"/>
      <c r="W326" s="28"/>
      <c r="X326" s="28"/>
      <c r="Y326" s="28"/>
      <c r="AA326" s="1"/>
    </row>
    <row r="327" spans="3:27" s="8" customFormat="1" x14ac:dyDescent="0.3">
      <c r="C327" s="27"/>
      <c r="D327" s="27"/>
      <c r="E327" s="97"/>
      <c r="F327" s="28"/>
      <c r="G327" s="28"/>
      <c r="H327" s="119"/>
      <c r="I327" s="119"/>
      <c r="Q327" s="28"/>
      <c r="R327" s="28"/>
      <c r="S327" s="23"/>
      <c r="T327" s="28"/>
      <c r="U327" s="28"/>
      <c r="V327" s="28"/>
      <c r="W327" s="28"/>
      <c r="X327" s="28"/>
      <c r="Y327" s="28"/>
      <c r="AA327" s="1"/>
    </row>
    <row r="328" spans="3:27" s="8" customFormat="1" x14ac:dyDescent="0.3">
      <c r="C328" s="27"/>
      <c r="D328" s="27"/>
      <c r="E328" s="97"/>
      <c r="F328" s="28"/>
      <c r="G328" s="28"/>
      <c r="H328" s="119"/>
      <c r="I328" s="119"/>
      <c r="Q328" s="28"/>
      <c r="R328" s="28"/>
      <c r="S328" s="23"/>
      <c r="T328" s="28"/>
      <c r="U328" s="28"/>
      <c r="V328" s="28"/>
      <c r="W328" s="28"/>
      <c r="X328" s="28"/>
      <c r="Y328" s="28"/>
      <c r="AA328" s="1"/>
    </row>
    <row r="329" spans="3:27" s="8" customFormat="1" x14ac:dyDescent="0.3">
      <c r="C329" s="27"/>
      <c r="D329" s="27"/>
      <c r="E329" s="97"/>
      <c r="F329" s="28"/>
      <c r="G329" s="28"/>
      <c r="H329" s="119"/>
      <c r="I329" s="119"/>
      <c r="Q329" s="28"/>
      <c r="R329" s="28"/>
      <c r="S329" s="23"/>
      <c r="T329" s="28"/>
      <c r="U329" s="28"/>
      <c r="V329" s="28"/>
      <c r="W329" s="28"/>
      <c r="X329" s="28"/>
      <c r="Y329" s="28"/>
      <c r="AA329" s="1"/>
    </row>
    <row r="330" spans="3:27" s="8" customFormat="1" x14ac:dyDescent="0.3">
      <c r="C330" s="27"/>
      <c r="D330" s="27"/>
      <c r="E330" s="97"/>
      <c r="F330" s="28"/>
      <c r="G330" s="28"/>
      <c r="H330" s="119"/>
      <c r="I330" s="119"/>
      <c r="Q330" s="28"/>
      <c r="R330" s="28"/>
      <c r="S330" s="23"/>
      <c r="T330" s="28"/>
      <c r="U330" s="28"/>
      <c r="V330" s="28"/>
      <c r="W330" s="28"/>
      <c r="X330" s="28"/>
      <c r="Y330" s="28"/>
      <c r="AA330" s="1"/>
    </row>
    <row r="331" spans="3:27" s="8" customFormat="1" x14ac:dyDescent="0.3">
      <c r="C331" s="27"/>
      <c r="D331" s="27"/>
      <c r="E331" s="97"/>
      <c r="F331" s="28"/>
      <c r="G331" s="28"/>
      <c r="H331" s="119"/>
      <c r="I331" s="119"/>
      <c r="Q331" s="28"/>
      <c r="R331" s="28"/>
      <c r="S331" s="23"/>
      <c r="T331" s="28"/>
      <c r="U331" s="28"/>
      <c r="V331" s="28"/>
      <c r="W331" s="28"/>
      <c r="X331" s="28"/>
      <c r="Y331" s="28"/>
      <c r="AA331" s="1"/>
    </row>
    <row r="332" spans="3:27" s="8" customFormat="1" x14ac:dyDescent="0.3">
      <c r="C332" s="27"/>
      <c r="D332" s="27"/>
      <c r="E332" s="97"/>
      <c r="F332" s="28"/>
      <c r="G332" s="28"/>
      <c r="H332" s="119"/>
      <c r="I332" s="119"/>
      <c r="Q332" s="28"/>
      <c r="R332" s="28"/>
      <c r="S332" s="23"/>
      <c r="T332" s="28"/>
      <c r="U332" s="28"/>
      <c r="V332" s="28"/>
      <c r="W332" s="28"/>
      <c r="X332" s="28"/>
      <c r="Y332" s="28"/>
      <c r="AA332" s="1"/>
    </row>
    <row r="333" spans="3:27" s="8" customFormat="1" x14ac:dyDescent="0.3">
      <c r="C333" s="27"/>
      <c r="D333" s="27"/>
      <c r="E333" s="97"/>
      <c r="F333" s="28"/>
      <c r="G333" s="28"/>
      <c r="H333" s="119"/>
      <c r="I333" s="119"/>
      <c r="Q333" s="28"/>
      <c r="R333" s="28"/>
      <c r="S333" s="23"/>
      <c r="T333" s="28"/>
      <c r="U333" s="28"/>
      <c r="V333" s="28"/>
      <c r="W333" s="28"/>
      <c r="X333" s="28"/>
      <c r="Y333" s="28"/>
      <c r="AA333" s="1"/>
    </row>
    <row r="334" spans="3:27" s="8" customFormat="1" x14ac:dyDescent="0.3">
      <c r="C334" s="27"/>
      <c r="D334" s="27"/>
      <c r="E334" s="97"/>
      <c r="F334" s="28"/>
      <c r="G334" s="28"/>
      <c r="H334" s="119"/>
      <c r="I334" s="119"/>
      <c r="Q334" s="28"/>
      <c r="R334" s="28"/>
      <c r="S334" s="23"/>
      <c r="T334" s="28"/>
      <c r="U334" s="28"/>
      <c r="V334" s="28"/>
      <c r="W334" s="28"/>
      <c r="X334" s="28"/>
      <c r="Y334" s="28"/>
      <c r="AA334" s="1"/>
    </row>
    <row r="335" spans="3:27" s="8" customFormat="1" x14ac:dyDescent="0.3">
      <c r="C335" s="27"/>
      <c r="D335" s="27"/>
      <c r="E335" s="97"/>
      <c r="F335" s="28"/>
      <c r="G335" s="28"/>
      <c r="H335" s="119"/>
      <c r="I335" s="119"/>
      <c r="Q335" s="28"/>
      <c r="R335" s="28"/>
      <c r="S335" s="23"/>
      <c r="T335" s="28"/>
      <c r="U335" s="28"/>
      <c r="V335" s="28"/>
      <c r="W335" s="28"/>
      <c r="X335" s="28"/>
      <c r="Y335" s="28"/>
      <c r="AA335" s="1"/>
    </row>
    <row r="336" spans="3:27" s="8" customFormat="1" x14ac:dyDescent="0.3">
      <c r="C336" s="27"/>
      <c r="D336" s="27"/>
      <c r="E336" s="97"/>
      <c r="F336" s="28"/>
      <c r="G336" s="28"/>
      <c r="H336" s="119"/>
      <c r="I336" s="119"/>
      <c r="Q336" s="28"/>
      <c r="R336" s="28"/>
      <c r="S336" s="23"/>
      <c r="T336" s="28"/>
      <c r="U336" s="28"/>
      <c r="V336" s="28"/>
      <c r="W336" s="28"/>
      <c r="X336" s="28"/>
      <c r="Y336" s="28"/>
      <c r="AA336" s="1"/>
    </row>
    <row r="337" spans="3:27" s="8" customFormat="1" x14ac:dyDescent="0.3">
      <c r="C337" s="27"/>
      <c r="D337" s="27"/>
      <c r="E337" s="97"/>
      <c r="F337" s="28"/>
      <c r="G337" s="28"/>
      <c r="H337" s="119"/>
      <c r="I337" s="119"/>
      <c r="Q337" s="28"/>
      <c r="R337" s="28"/>
      <c r="S337" s="23"/>
      <c r="T337" s="28"/>
      <c r="U337" s="28"/>
      <c r="V337" s="28"/>
      <c r="W337" s="28"/>
      <c r="X337" s="28"/>
      <c r="Y337" s="28"/>
      <c r="AA337" s="1"/>
    </row>
    <row r="338" spans="3:27" s="8" customFormat="1" x14ac:dyDescent="0.3">
      <c r="C338" s="27"/>
      <c r="D338" s="27"/>
      <c r="E338" s="97"/>
      <c r="F338" s="28"/>
      <c r="G338" s="28"/>
      <c r="H338" s="119"/>
      <c r="I338" s="119"/>
      <c r="Q338" s="28"/>
      <c r="R338" s="28"/>
      <c r="S338" s="23"/>
      <c r="T338" s="28"/>
      <c r="U338" s="28"/>
      <c r="V338" s="28"/>
      <c r="W338" s="28"/>
      <c r="X338" s="28"/>
      <c r="Y338" s="28"/>
      <c r="AA338" s="1"/>
    </row>
    <row r="339" spans="3:27" s="8" customFormat="1" x14ac:dyDescent="0.3">
      <c r="C339" s="27"/>
      <c r="D339" s="27"/>
      <c r="E339" s="97"/>
      <c r="F339" s="28"/>
      <c r="G339" s="28"/>
      <c r="H339" s="119"/>
      <c r="I339" s="119"/>
      <c r="Q339" s="28"/>
      <c r="R339" s="28"/>
      <c r="S339" s="23"/>
      <c r="T339" s="28"/>
      <c r="U339" s="28"/>
      <c r="V339" s="28"/>
      <c r="W339" s="28"/>
      <c r="X339" s="28"/>
      <c r="Y339" s="28"/>
      <c r="AA339" s="1"/>
    </row>
    <row r="340" spans="3:27" s="8" customFormat="1" x14ac:dyDescent="0.3">
      <c r="C340" s="27"/>
      <c r="D340" s="27"/>
      <c r="E340" s="97"/>
      <c r="F340" s="28"/>
      <c r="G340" s="28"/>
      <c r="H340" s="119"/>
      <c r="I340" s="119"/>
      <c r="Q340" s="28"/>
      <c r="R340" s="28"/>
      <c r="S340" s="23"/>
      <c r="T340" s="28"/>
      <c r="U340" s="28"/>
      <c r="V340" s="28"/>
      <c r="W340" s="28"/>
      <c r="X340" s="28"/>
      <c r="Y340" s="28"/>
      <c r="AA340" s="1"/>
    </row>
    <row r="341" spans="3:27" s="8" customFormat="1" x14ac:dyDescent="0.3">
      <c r="C341" s="27"/>
      <c r="D341" s="27"/>
      <c r="E341" s="97"/>
      <c r="F341" s="28"/>
      <c r="G341" s="28"/>
      <c r="H341" s="119"/>
      <c r="I341" s="119"/>
      <c r="Q341" s="28"/>
      <c r="R341" s="28"/>
      <c r="S341" s="23"/>
      <c r="T341" s="28"/>
      <c r="U341" s="28"/>
      <c r="V341" s="28"/>
      <c r="W341" s="28"/>
      <c r="X341" s="28"/>
      <c r="Y341" s="28"/>
      <c r="AA341" s="1"/>
    </row>
    <row r="342" spans="3:27" s="8" customFormat="1" x14ac:dyDescent="0.3">
      <c r="C342" s="27"/>
      <c r="D342" s="27"/>
      <c r="E342" s="97"/>
      <c r="F342" s="28"/>
      <c r="G342" s="28"/>
      <c r="H342" s="119"/>
      <c r="I342" s="119"/>
      <c r="Q342" s="28"/>
      <c r="R342" s="28"/>
      <c r="S342" s="23"/>
      <c r="T342" s="28"/>
      <c r="U342" s="28"/>
      <c r="V342" s="28"/>
      <c r="W342" s="28"/>
      <c r="X342" s="28"/>
      <c r="Y342" s="28"/>
      <c r="AA342" s="1"/>
    </row>
    <row r="343" spans="3:27" s="8" customFormat="1" x14ac:dyDescent="0.3">
      <c r="C343" s="27"/>
      <c r="D343" s="27"/>
      <c r="E343" s="97"/>
      <c r="F343" s="28"/>
      <c r="G343" s="28"/>
      <c r="H343" s="119"/>
      <c r="I343" s="119"/>
      <c r="Q343" s="28"/>
      <c r="R343" s="28"/>
      <c r="S343" s="23"/>
      <c r="T343" s="28"/>
      <c r="U343" s="28"/>
      <c r="V343" s="28"/>
      <c r="W343" s="28"/>
      <c r="X343" s="28"/>
      <c r="Y343" s="28"/>
      <c r="AA343" s="1"/>
    </row>
    <row r="344" spans="3:27" s="8" customFormat="1" x14ac:dyDescent="0.3">
      <c r="C344" s="27"/>
      <c r="D344" s="27"/>
      <c r="E344" s="97"/>
      <c r="F344" s="28"/>
      <c r="G344" s="28"/>
      <c r="H344" s="119"/>
      <c r="I344" s="119"/>
      <c r="Q344" s="28"/>
      <c r="R344" s="28"/>
      <c r="S344" s="23"/>
      <c r="T344" s="28"/>
      <c r="U344" s="28"/>
      <c r="V344" s="28"/>
      <c r="W344" s="28"/>
      <c r="X344" s="28"/>
      <c r="Y344" s="28"/>
      <c r="AA344" s="1"/>
    </row>
    <row r="345" spans="3:27" s="8" customFormat="1" x14ac:dyDescent="0.3">
      <c r="C345" s="27"/>
      <c r="D345" s="27"/>
      <c r="E345" s="97"/>
      <c r="F345" s="28"/>
      <c r="G345" s="28"/>
      <c r="H345" s="119"/>
      <c r="I345" s="119"/>
      <c r="Q345" s="28"/>
      <c r="R345" s="28"/>
      <c r="S345" s="23"/>
      <c r="T345" s="28"/>
      <c r="U345" s="28"/>
      <c r="V345" s="28"/>
      <c r="W345" s="28"/>
      <c r="X345" s="28"/>
      <c r="Y345" s="28"/>
      <c r="AA345" s="1"/>
    </row>
    <row r="346" spans="3:27" s="8" customFormat="1" x14ac:dyDescent="0.3">
      <c r="C346" s="27"/>
      <c r="D346" s="27"/>
      <c r="E346" s="97"/>
      <c r="F346" s="28"/>
      <c r="G346" s="28"/>
      <c r="H346" s="119"/>
      <c r="I346" s="119"/>
      <c r="Q346" s="28"/>
      <c r="R346" s="28"/>
      <c r="S346" s="23"/>
      <c r="T346" s="28"/>
      <c r="U346" s="28"/>
      <c r="V346" s="28"/>
      <c r="W346" s="28"/>
      <c r="X346" s="28"/>
      <c r="Y346" s="28"/>
      <c r="AA346" s="1"/>
    </row>
    <row r="347" spans="3:27" s="8" customFormat="1" x14ac:dyDescent="0.3">
      <c r="C347" s="27"/>
      <c r="D347" s="27"/>
      <c r="E347" s="97"/>
      <c r="F347" s="28"/>
      <c r="G347" s="28"/>
      <c r="H347" s="119"/>
      <c r="I347" s="119"/>
      <c r="Q347" s="28"/>
      <c r="R347" s="28"/>
      <c r="S347" s="23"/>
      <c r="T347" s="28"/>
      <c r="U347" s="28"/>
      <c r="V347" s="28"/>
      <c r="W347" s="28"/>
      <c r="X347" s="28"/>
      <c r="Y347" s="28"/>
      <c r="AA347" s="1"/>
    </row>
    <row r="348" spans="3:27" s="8" customFormat="1" x14ac:dyDescent="0.3">
      <c r="C348" s="27"/>
      <c r="D348" s="27"/>
      <c r="E348" s="97"/>
      <c r="F348" s="28"/>
      <c r="G348" s="28"/>
      <c r="H348" s="119"/>
      <c r="I348" s="119"/>
      <c r="Q348" s="28"/>
      <c r="R348" s="28"/>
      <c r="S348" s="23"/>
      <c r="T348" s="28"/>
      <c r="U348" s="28"/>
      <c r="V348" s="28"/>
      <c r="W348" s="28"/>
      <c r="X348" s="28"/>
      <c r="Y348" s="28"/>
      <c r="AA348" s="1"/>
    </row>
    <row r="349" spans="3:27" s="8" customFormat="1" x14ac:dyDescent="0.3">
      <c r="C349" s="27"/>
      <c r="D349" s="27"/>
      <c r="E349" s="97"/>
      <c r="F349" s="28"/>
      <c r="G349" s="28"/>
      <c r="H349" s="119"/>
      <c r="I349" s="119"/>
      <c r="Q349" s="28"/>
      <c r="R349" s="28"/>
      <c r="S349" s="23"/>
      <c r="T349" s="28"/>
      <c r="U349" s="28"/>
      <c r="V349" s="28"/>
      <c r="W349" s="28"/>
      <c r="X349" s="28"/>
      <c r="Y349" s="28"/>
      <c r="AA349" s="1"/>
    </row>
    <row r="350" spans="3:27" s="8" customFormat="1" x14ac:dyDescent="0.3">
      <c r="C350" s="27"/>
      <c r="D350" s="27"/>
      <c r="E350" s="97"/>
      <c r="F350" s="28"/>
      <c r="G350" s="28"/>
      <c r="H350" s="119"/>
      <c r="I350" s="119"/>
      <c r="Q350" s="28"/>
      <c r="R350" s="28"/>
      <c r="S350" s="23"/>
      <c r="T350" s="28"/>
      <c r="U350" s="28"/>
      <c r="V350" s="28"/>
      <c r="W350" s="28"/>
      <c r="X350" s="28"/>
      <c r="Y350" s="28"/>
      <c r="AA350" s="1"/>
    </row>
    <row r="351" spans="3:27" s="8" customFormat="1" x14ac:dyDescent="0.3">
      <c r="C351" s="27"/>
      <c r="D351" s="27"/>
      <c r="E351" s="97"/>
      <c r="F351" s="28"/>
      <c r="G351" s="28"/>
      <c r="H351" s="119"/>
      <c r="I351" s="119"/>
      <c r="Q351" s="28"/>
      <c r="R351" s="28"/>
      <c r="S351" s="23"/>
      <c r="T351" s="28"/>
      <c r="U351" s="28"/>
      <c r="V351" s="28"/>
      <c r="W351" s="28"/>
      <c r="X351" s="28"/>
      <c r="Y351" s="28"/>
      <c r="AA351" s="1"/>
    </row>
    <row r="352" spans="3:27" s="8" customFormat="1" x14ac:dyDescent="0.3">
      <c r="C352" s="27"/>
      <c r="D352" s="27"/>
      <c r="E352" s="97"/>
      <c r="F352" s="28"/>
      <c r="G352" s="28"/>
      <c r="H352" s="119"/>
      <c r="I352" s="119"/>
      <c r="Q352" s="28"/>
      <c r="R352" s="28"/>
      <c r="S352" s="23"/>
      <c r="T352" s="28"/>
      <c r="U352" s="28"/>
      <c r="V352" s="28"/>
      <c r="W352" s="28"/>
      <c r="X352" s="28"/>
      <c r="Y352" s="28"/>
      <c r="AA352" s="1"/>
    </row>
    <row r="353" spans="3:27" s="8" customFormat="1" x14ac:dyDescent="0.3">
      <c r="C353" s="27"/>
      <c r="D353" s="27"/>
      <c r="E353" s="97"/>
      <c r="F353" s="28"/>
      <c r="G353" s="28"/>
      <c r="H353" s="119"/>
      <c r="I353" s="119"/>
      <c r="Q353" s="28"/>
      <c r="R353" s="28"/>
      <c r="S353" s="23"/>
      <c r="T353" s="28"/>
      <c r="U353" s="28"/>
      <c r="V353" s="28"/>
      <c r="W353" s="28"/>
      <c r="X353" s="28"/>
      <c r="Y353" s="28"/>
      <c r="AA353" s="1"/>
    </row>
    <row r="354" spans="3:27" s="8" customFormat="1" x14ac:dyDescent="0.3">
      <c r="C354" s="27"/>
      <c r="D354" s="27"/>
      <c r="E354" s="97"/>
      <c r="F354" s="28"/>
      <c r="G354" s="28"/>
      <c r="H354" s="119"/>
      <c r="I354" s="119"/>
      <c r="Q354" s="28"/>
      <c r="R354" s="28"/>
      <c r="S354" s="23"/>
      <c r="T354" s="28"/>
      <c r="U354" s="28"/>
      <c r="V354" s="28"/>
      <c r="W354" s="28"/>
      <c r="X354" s="28"/>
      <c r="Y354" s="28"/>
      <c r="AA354" s="1"/>
    </row>
    <row r="355" spans="3:27" s="8" customFormat="1" x14ac:dyDescent="0.3">
      <c r="C355" s="27"/>
      <c r="D355" s="27"/>
      <c r="E355" s="97"/>
      <c r="F355" s="28"/>
      <c r="G355" s="28"/>
      <c r="H355" s="119"/>
      <c r="I355" s="119"/>
      <c r="Q355" s="28"/>
      <c r="R355" s="28"/>
      <c r="S355" s="23"/>
      <c r="T355" s="28"/>
      <c r="U355" s="28"/>
      <c r="V355" s="28"/>
      <c r="W355" s="28"/>
      <c r="X355" s="28"/>
      <c r="Y355" s="28"/>
      <c r="AA355" s="1"/>
    </row>
    <row r="356" spans="3:27" s="8" customFormat="1" x14ac:dyDescent="0.3">
      <c r="C356" s="27"/>
      <c r="D356" s="27"/>
      <c r="E356" s="97"/>
      <c r="F356" s="28"/>
      <c r="G356" s="28"/>
      <c r="H356" s="119"/>
      <c r="I356" s="119"/>
      <c r="Q356" s="28"/>
      <c r="R356" s="28"/>
      <c r="S356" s="23"/>
      <c r="T356" s="28"/>
      <c r="U356" s="28"/>
      <c r="V356" s="28"/>
      <c r="W356" s="28"/>
      <c r="X356" s="28"/>
      <c r="Y356" s="28"/>
      <c r="AA356" s="1"/>
    </row>
    <row r="357" spans="3:27" s="8" customFormat="1" x14ac:dyDescent="0.3">
      <c r="C357" s="27"/>
      <c r="D357" s="27"/>
      <c r="E357" s="97"/>
      <c r="F357" s="28"/>
      <c r="G357" s="28"/>
      <c r="H357" s="119"/>
      <c r="I357" s="119"/>
      <c r="Q357" s="28"/>
      <c r="R357" s="28"/>
      <c r="S357" s="23"/>
      <c r="T357" s="28"/>
      <c r="U357" s="28"/>
      <c r="V357" s="28"/>
      <c r="W357" s="28"/>
      <c r="X357" s="28"/>
      <c r="Y357" s="28"/>
      <c r="AA357" s="1"/>
    </row>
    <row r="358" spans="3:27" s="8" customFormat="1" x14ac:dyDescent="0.3">
      <c r="C358" s="27"/>
      <c r="D358" s="27"/>
      <c r="E358" s="97"/>
      <c r="F358" s="28"/>
      <c r="G358" s="28"/>
      <c r="H358" s="119"/>
      <c r="I358" s="119"/>
      <c r="Q358" s="28"/>
      <c r="R358" s="28"/>
      <c r="S358" s="23"/>
      <c r="T358" s="28"/>
      <c r="U358" s="28"/>
      <c r="V358" s="28"/>
      <c r="W358" s="28"/>
      <c r="X358" s="28"/>
      <c r="Y358" s="28"/>
      <c r="AA358" s="1"/>
    </row>
    <row r="359" spans="3:27" s="8" customFormat="1" x14ac:dyDescent="0.3">
      <c r="C359" s="27"/>
      <c r="D359" s="27"/>
      <c r="E359" s="97"/>
      <c r="F359" s="28"/>
      <c r="G359" s="28"/>
      <c r="H359" s="119"/>
      <c r="I359" s="119"/>
      <c r="Q359" s="28"/>
      <c r="R359" s="28"/>
      <c r="S359" s="23"/>
      <c r="T359" s="28"/>
      <c r="U359" s="28"/>
      <c r="V359" s="28"/>
      <c r="W359" s="28"/>
      <c r="X359" s="28"/>
      <c r="Y359" s="28"/>
      <c r="AA359" s="1"/>
    </row>
    <row r="360" spans="3:27" s="8" customFormat="1" x14ac:dyDescent="0.3">
      <c r="C360" s="27"/>
      <c r="D360" s="27"/>
      <c r="E360" s="97"/>
      <c r="F360" s="28"/>
      <c r="G360" s="28"/>
      <c r="H360" s="119"/>
      <c r="I360" s="119"/>
      <c r="Q360" s="28"/>
      <c r="R360" s="28"/>
      <c r="S360" s="23"/>
      <c r="T360" s="28"/>
      <c r="U360" s="28"/>
      <c r="V360" s="28"/>
      <c r="W360" s="28"/>
      <c r="X360" s="28"/>
      <c r="Y360" s="28"/>
      <c r="AA360" s="1"/>
    </row>
    <row r="361" spans="3:27" s="8" customFormat="1" x14ac:dyDescent="0.3">
      <c r="C361" s="27"/>
      <c r="D361" s="27"/>
      <c r="E361" s="97"/>
      <c r="F361" s="28"/>
      <c r="G361" s="28"/>
      <c r="H361" s="119"/>
      <c r="I361" s="119"/>
      <c r="Q361" s="28"/>
      <c r="R361" s="28"/>
      <c r="S361" s="23"/>
      <c r="T361" s="28"/>
      <c r="U361" s="28"/>
      <c r="V361" s="28"/>
      <c r="W361" s="28"/>
      <c r="X361" s="28"/>
      <c r="Y361" s="28"/>
      <c r="AA361" s="1"/>
    </row>
    <row r="362" spans="3:27" s="8" customFormat="1" x14ac:dyDescent="0.3">
      <c r="C362" s="27"/>
      <c r="D362" s="27"/>
      <c r="E362" s="97"/>
      <c r="F362" s="28"/>
      <c r="G362" s="28"/>
      <c r="H362" s="119"/>
      <c r="I362" s="119"/>
      <c r="Q362" s="28"/>
      <c r="R362" s="28"/>
      <c r="S362" s="23"/>
      <c r="T362" s="28"/>
      <c r="U362" s="28"/>
      <c r="V362" s="28"/>
      <c r="W362" s="28"/>
      <c r="X362" s="28"/>
      <c r="Y362" s="28"/>
      <c r="AA362" s="1"/>
    </row>
    <row r="363" spans="3:27" s="8" customFormat="1" x14ac:dyDescent="0.3">
      <c r="C363" s="27"/>
      <c r="D363" s="27"/>
      <c r="E363" s="97"/>
      <c r="F363" s="28"/>
      <c r="G363" s="28"/>
      <c r="H363" s="119"/>
      <c r="I363" s="119"/>
      <c r="Q363" s="28"/>
      <c r="R363" s="28"/>
      <c r="S363" s="23"/>
      <c r="T363" s="28"/>
      <c r="U363" s="28"/>
      <c r="V363" s="28"/>
      <c r="W363" s="28"/>
      <c r="X363" s="28"/>
      <c r="Y363" s="28"/>
      <c r="AA363" s="1"/>
    </row>
    <row r="364" spans="3:27" s="8" customFormat="1" x14ac:dyDescent="0.3">
      <c r="C364" s="27"/>
      <c r="D364" s="27"/>
      <c r="E364" s="97"/>
      <c r="F364" s="28"/>
      <c r="G364" s="28"/>
      <c r="H364" s="119"/>
      <c r="I364" s="119"/>
      <c r="Q364" s="28"/>
      <c r="R364" s="28"/>
      <c r="S364" s="23"/>
      <c r="T364" s="28"/>
      <c r="U364" s="28"/>
      <c r="V364" s="28"/>
      <c r="W364" s="28"/>
      <c r="X364" s="28"/>
      <c r="Y364" s="28"/>
      <c r="AA364" s="1"/>
    </row>
    <row r="365" spans="3:27" s="8" customFormat="1" x14ac:dyDescent="0.3">
      <c r="C365" s="27"/>
      <c r="D365" s="27"/>
      <c r="E365" s="97"/>
      <c r="F365" s="28"/>
      <c r="G365" s="28"/>
      <c r="H365" s="119"/>
      <c r="I365" s="119"/>
      <c r="Q365" s="28"/>
      <c r="R365" s="28"/>
      <c r="S365" s="23"/>
      <c r="T365" s="28"/>
      <c r="U365" s="28"/>
      <c r="V365" s="28"/>
      <c r="W365" s="28"/>
      <c r="X365" s="28"/>
      <c r="Y365" s="28"/>
      <c r="AA365" s="1"/>
    </row>
    <row r="366" spans="3:27" s="8" customFormat="1" x14ac:dyDescent="0.3">
      <c r="C366" s="27"/>
      <c r="D366" s="27"/>
      <c r="E366" s="97"/>
      <c r="F366" s="28"/>
      <c r="G366" s="28"/>
      <c r="H366" s="119"/>
      <c r="I366" s="119"/>
      <c r="Q366" s="28"/>
      <c r="R366" s="28"/>
      <c r="S366" s="23"/>
      <c r="T366" s="28"/>
      <c r="U366" s="28"/>
      <c r="V366" s="28"/>
      <c r="W366" s="28"/>
      <c r="X366" s="28"/>
      <c r="Y366" s="28"/>
      <c r="AA366" s="1"/>
    </row>
    <row r="367" spans="3:27" s="8" customFormat="1" x14ac:dyDescent="0.3">
      <c r="C367" s="27"/>
      <c r="D367" s="27"/>
      <c r="E367" s="97"/>
      <c r="F367" s="28"/>
      <c r="G367" s="28"/>
      <c r="H367" s="119"/>
      <c r="I367" s="119"/>
      <c r="Q367" s="28"/>
      <c r="R367" s="28"/>
      <c r="S367" s="23"/>
      <c r="T367" s="28"/>
      <c r="U367" s="28"/>
      <c r="V367" s="28"/>
      <c r="W367" s="28"/>
      <c r="X367" s="28"/>
      <c r="Y367" s="28"/>
      <c r="AA367" s="1"/>
    </row>
    <row r="368" spans="3:27" s="8" customFormat="1" x14ac:dyDescent="0.3">
      <c r="C368" s="27"/>
      <c r="D368" s="27"/>
      <c r="E368" s="97"/>
      <c r="F368" s="28"/>
      <c r="G368" s="28"/>
      <c r="H368" s="119"/>
      <c r="I368" s="119"/>
      <c r="Q368" s="28"/>
      <c r="R368" s="28"/>
      <c r="S368" s="23"/>
      <c r="T368" s="28"/>
      <c r="U368" s="28"/>
      <c r="V368" s="28"/>
      <c r="W368" s="28"/>
      <c r="X368" s="28"/>
      <c r="Y368" s="28"/>
      <c r="AA368" s="1"/>
    </row>
    <row r="369" spans="3:27" s="8" customFormat="1" x14ac:dyDescent="0.3">
      <c r="C369" s="27"/>
      <c r="D369" s="27"/>
      <c r="E369" s="97"/>
      <c r="F369" s="28"/>
      <c r="G369" s="28"/>
      <c r="H369" s="119"/>
      <c r="I369" s="119"/>
      <c r="Q369" s="28"/>
      <c r="R369" s="28"/>
      <c r="S369" s="23"/>
      <c r="T369" s="28"/>
      <c r="U369" s="28"/>
      <c r="V369" s="28"/>
      <c r="W369" s="28"/>
      <c r="X369" s="28"/>
      <c r="Y369" s="28"/>
      <c r="AA369" s="1"/>
    </row>
    <row r="370" spans="3:27" s="8" customFormat="1" x14ac:dyDescent="0.3">
      <c r="C370" s="27"/>
      <c r="D370" s="27"/>
      <c r="E370" s="97"/>
      <c r="F370" s="28"/>
      <c r="G370" s="28"/>
      <c r="H370" s="119"/>
      <c r="I370" s="119"/>
      <c r="Q370" s="28"/>
      <c r="R370" s="28"/>
      <c r="S370" s="23"/>
      <c r="T370" s="28"/>
      <c r="U370" s="28"/>
      <c r="V370" s="28"/>
      <c r="W370" s="28"/>
      <c r="X370" s="28"/>
      <c r="Y370" s="28"/>
      <c r="AA370" s="1"/>
    </row>
    <row r="371" spans="3:27" s="8" customFormat="1" x14ac:dyDescent="0.3">
      <c r="C371" s="27"/>
      <c r="D371" s="27"/>
      <c r="E371" s="97"/>
      <c r="F371" s="28"/>
      <c r="G371" s="28"/>
      <c r="H371" s="119"/>
      <c r="I371" s="119"/>
      <c r="Q371" s="28"/>
      <c r="R371" s="28"/>
      <c r="S371" s="23"/>
      <c r="T371" s="28"/>
      <c r="U371" s="28"/>
      <c r="V371" s="28"/>
      <c r="W371" s="28"/>
      <c r="X371" s="28"/>
      <c r="Y371" s="28"/>
      <c r="AA371" s="1"/>
    </row>
    <row r="372" spans="3:27" s="8" customFormat="1" x14ac:dyDescent="0.3">
      <c r="C372" s="27"/>
      <c r="D372" s="27"/>
      <c r="E372" s="97"/>
      <c r="F372" s="28"/>
      <c r="G372" s="28"/>
      <c r="H372" s="119"/>
      <c r="I372" s="119"/>
      <c r="Q372" s="28"/>
      <c r="R372" s="28"/>
      <c r="S372" s="23"/>
      <c r="T372" s="28"/>
      <c r="U372" s="28"/>
      <c r="V372" s="28"/>
      <c r="W372" s="28"/>
      <c r="X372" s="28"/>
      <c r="Y372" s="28"/>
      <c r="AA372" s="1"/>
    </row>
    <row r="373" spans="3:27" s="8" customFormat="1" x14ac:dyDescent="0.3">
      <c r="C373" s="27"/>
      <c r="D373" s="27"/>
      <c r="E373" s="97"/>
      <c r="F373" s="28"/>
      <c r="G373" s="28"/>
      <c r="H373" s="119"/>
      <c r="I373" s="119"/>
      <c r="Q373" s="28"/>
      <c r="R373" s="28"/>
      <c r="S373" s="23"/>
      <c r="T373" s="28"/>
      <c r="U373" s="28"/>
      <c r="V373" s="28"/>
      <c r="W373" s="28"/>
      <c r="X373" s="28"/>
      <c r="Y373" s="28"/>
      <c r="AA373" s="1"/>
    </row>
    <row r="374" spans="3:27" s="8" customFormat="1" x14ac:dyDescent="0.3">
      <c r="C374" s="27"/>
      <c r="D374" s="27"/>
      <c r="E374" s="97"/>
      <c r="F374" s="28"/>
      <c r="G374" s="28"/>
      <c r="H374" s="119"/>
      <c r="I374" s="119"/>
      <c r="Q374" s="28"/>
      <c r="R374" s="28"/>
      <c r="S374" s="23"/>
      <c r="T374" s="28"/>
      <c r="U374" s="28"/>
      <c r="V374" s="28"/>
      <c r="W374" s="28"/>
      <c r="X374" s="28"/>
      <c r="Y374" s="28"/>
      <c r="AA374" s="1"/>
    </row>
    <row r="375" spans="3:27" s="8" customFormat="1" x14ac:dyDescent="0.3">
      <c r="C375" s="27"/>
      <c r="D375" s="27"/>
      <c r="E375" s="97"/>
      <c r="F375" s="28"/>
      <c r="G375" s="28"/>
      <c r="H375" s="119"/>
      <c r="I375" s="119"/>
      <c r="Q375" s="28"/>
      <c r="R375" s="28"/>
      <c r="S375" s="23"/>
      <c r="T375" s="28"/>
      <c r="U375" s="28"/>
      <c r="V375" s="28"/>
      <c r="W375" s="28"/>
      <c r="X375" s="28"/>
      <c r="Y375" s="28"/>
      <c r="AA375" s="1"/>
    </row>
    <row r="376" spans="3:27" s="8" customFormat="1" x14ac:dyDescent="0.3">
      <c r="C376" s="27"/>
      <c r="D376" s="27"/>
      <c r="E376" s="97"/>
      <c r="F376" s="28"/>
      <c r="G376" s="28"/>
      <c r="H376" s="119"/>
      <c r="I376" s="119"/>
      <c r="Q376" s="28"/>
      <c r="R376" s="28"/>
      <c r="S376" s="23"/>
      <c r="T376" s="28"/>
      <c r="U376" s="28"/>
      <c r="V376" s="28"/>
      <c r="W376" s="28"/>
      <c r="X376" s="28"/>
      <c r="Y376" s="28"/>
      <c r="AA376" s="1"/>
    </row>
    <row r="377" spans="3:27" s="8" customFormat="1" x14ac:dyDescent="0.3">
      <c r="C377" s="27"/>
      <c r="D377" s="27"/>
      <c r="E377" s="97"/>
      <c r="F377" s="28"/>
      <c r="G377" s="28"/>
      <c r="H377" s="119"/>
      <c r="I377" s="119"/>
      <c r="Q377" s="28"/>
      <c r="R377" s="28"/>
      <c r="S377" s="23"/>
      <c r="T377" s="28"/>
      <c r="U377" s="28"/>
      <c r="V377" s="28"/>
      <c r="W377" s="28"/>
      <c r="X377" s="28"/>
      <c r="Y377" s="28"/>
      <c r="AA377" s="1"/>
    </row>
    <row r="378" spans="3:27" s="8" customFormat="1" x14ac:dyDescent="0.3">
      <c r="C378" s="27"/>
      <c r="D378" s="27"/>
      <c r="E378" s="97"/>
      <c r="F378" s="28"/>
      <c r="G378" s="28"/>
      <c r="H378" s="119"/>
      <c r="I378" s="119"/>
      <c r="Q378" s="28"/>
      <c r="R378" s="28"/>
      <c r="S378" s="23"/>
      <c r="T378" s="28"/>
      <c r="U378" s="28"/>
      <c r="V378" s="28"/>
      <c r="W378" s="28"/>
      <c r="X378" s="28"/>
      <c r="Y378" s="28"/>
      <c r="AA378" s="1"/>
    </row>
    <row r="379" spans="3:27" s="8" customFormat="1" x14ac:dyDescent="0.3">
      <c r="C379" s="27"/>
      <c r="D379" s="27"/>
      <c r="E379" s="97"/>
      <c r="F379" s="28"/>
      <c r="G379" s="28"/>
      <c r="H379" s="119"/>
      <c r="I379" s="119"/>
      <c r="Q379" s="28"/>
      <c r="R379" s="28"/>
      <c r="S379" s="23"/>
      <c r="T379" s="28"/>
      <c r="U379" s="28"/>
      <c r="V379" s="28"/>
      <c r="W379" s="28"/>
      <c r="X379" s="28"/>
      <c r="Y379" s="28"/>
      <c r="AA379" s="1"/>
    </row>
    <row r="380" spans="3:27" s="8" customFormat="1" x14ac:dyDescent="0.3">
      <c r="C380" s="27"/>
      <c r="D380" s="27"/>
      <c r="E380" s="97"/>
      <c r="F380" s="28"/>
      <c r="G380" s="28"/>
      <c r="H380" s="119"/>
      <c r="I380" s="119"/>
      <c r="Q380" s="28"/>
      <c r="R380" s="28"/>
      <c r="S380" s="23"/>
      <c r="T380" s="28"/>
      <c r="U380" s="28"/>
      <c r="V380" s="28"/>
      <c r="W380" s="28"/>
      <c r="X380" s="28"/>
      <c r="Y380" s="28"/>
      <c r="AA380" s="1"/>
    </row>
    <row r="381" spans="3:27" s="8" customFormat="1" x14ac:dyDescent="0.3">
      <c r="C381" s="27"/>
      <c r="D381" s="27"/>
      <c r="E381" s="97"/>
      <c r="F381" s="28"/>
      <c r="G381" s="28"/>
      <c r="H381" s="119"/>
      <c r="I381" s="119"/>
      <c r="Q381" s="28"/>
      <c r="R381" s="28"/>
      <c r="S381" s="23"/>
      <c r="T381" s="28"/>
      <c r="U381" s="28"/>
      <c r="V381" s="28"/>
      <c r="W381" s="28"/>
      <c r="X381" s="28"/>
      <c r="Y381" s="28"/>
      <c r="AA381" s="1"/>
    </row>
    <row r="382" spans="3:27" s="8" customFormat="1" x14ac:dyDescent="0.3">
      <c r="C382" s="27"/>
      <c r="D382" s="27"/>
      <c r="E382" s="97"/>
      <c r="F382" s="28"/>
      <c r="G382" s="28"/>
      <c r="H382" s="119"/>
      <c r="I382" s="119"/>
      <c r="Q382" s="28"/>
      <c r="R382" s="28"/>
      <c r="S382" s="23"/>
      <c r="T382" s="28"/>
      <c r="U382" s="28"/>
      <c r="V382" s="28"/>
      <c r="W382" s="28"/>
      <c r="X382" s="28"/>
      <c r="Y382" s="28"/>
      <c r="AA382" s="1"/>
    </row>
    <row r="383" spans="3:27" s="8" customFormat="1" x14ac:dyDescent="0.3">
      <c r="C383" s="27"/>
      <c r="D383" s="27"/>
      <c r="E383" s="97"/>
      <c r="F383" s="28"/>
      <c r="G383" s="28"/>
      <c r="H383" s="119"/>
      <c r="I383" s="119"/>
      <c r="Q383" s="28"/>
      <c r="R383" s="28"/>
      <c r="S383" s="23"/>
      <c r="T383" s="28"/>
      <c r="U383" s="28"/>
      <c r="V383" s="28"/>
      <c r="W383" s="28"/>
      <c r="X383" s="28"/>
      <c r="Y383" s="28"/>
      <c r="AA383" s="1"/>
    </row>
    <row r="384" spans="3:27" s="8" customFormat="1" x14ac:dyDescent="0.3">
      <c r="C384" s="27"/>
      <c r="D384" s="27"/>
      <c r="E384" s="97"/>
      <c r="F384" s="28"/>
      <c r="G384" s="28"/>
      <c r="H384" s="119"/>
      <c r="I384" s="119"/>
      <c r="Q384" s="28"/>
      <c r="R384" s="28"/>
      <c r="S384" s="23"/>
      <c r="T384" s="28"/>
      <c r="U384" s="28"/>
      <c r="V384" s="28"/>
      <c r="W384" s="28"/>
      <c r="X384" s="28"/>
      <c r="Y384" s="28"/>
      <c r="AA384" s="1"/>
    </row>
    <row r="385" spans="3:27" s="8" customFormat="1" x14ac:dyDescent="0.3">
      <c r="C385" s="27"/>
      <c r="D385" s="27"/>
      <c r="E385" s="97"/>
      <c r="F385" s="28"/>
      <c r="G385" s="28"/>
      <c r="H385" s="119"/>
      <c r="I385" s="119"/>
      <c r="Q385" s="28"/>
      <c r="R385" s="28"/>
      <c r="S385" s="23"/>
      <c r="T385" s="28"/>
      <c r="U385" s="28"/>
      <c r="V385" s="28"/>
      <c r="W385" s="28"/>
      <c r="X385" s="28"/>
      <c r="Y385" s="28"/>
      <c r="AA385" s="1"/>
    </row>
    <row r="386" spans="3:27" s="8" customFormat="1" x14ac:dyDescent="0.3">
      <c r="C386" s="27"/>
      <c r="D386" s="27"/>
      <c r="E386" s="97"/>
      <c r="F386" s="28"/>
      <c r="G386" s="28"/>
      <c r="H386" s="119"/>
      <c r="I386" s="119"/>
      <c r="Q386" s="28"/>
      <c r="R386" s="28"/>
      <c r="S386" s="23"/>
      <c r="T386" s="28"/>
      <c r="U386" s="28"/>
      <c r="V386" s="28"/>
      <c r="W386" s="28"/>
      <c r="X386" s="28"/>
      <c r="Y386" s="28"/>
      <c r="AA386" s="1"/>
    </row>
    <row r="387" spans="3:27" s="8" customFormat="1" x14ac:dyDescent="0.3">
      <c r="C387" s="27"/>
      <c r="D387" s="27"/>
      <c r="E387" s="97"/>
      <c r="F387" s="28"/>
      <c r="G387" s="28"/>
      <c r="H387" s="119"/>
      <c r="I387" s="119"/>
      <c r="Q387" s="28"/>
      <c r="R387" s="28"/>
      <c r="S387" s="23"/>
      <c r="T387" s="28"/>
      <c r="U387" s="28"/>
      <c r="V387" s="28"/>
      <c r="W387" s="28"/>
      <c r="X387" s="28"/>
      <c r="Y387" s="28"/>
      <c r="AA387" s="1"/>
    </row>
    <row r="388" spans="3:27" s="8" customFormat="1" x14ac:dyDescent="0.3">
      <c r="C388" s="27"/>
      <c r="D388" s="27"/>
      <c r="E388" s="97"/>
      <c r="F388" s="28"/>
      <c r="G388" s="28"/>
      <c r="H388" s="119"/>
      <c r="I388" s="119"/>
      <c r="Q388" s="28"/>
      <c r="R388" s="28"/>
      <c r="S388" s="23"/>
      <c r="T388" s="28"/>
      <c r="U388" s="28"/>
      <c r="V388" s="28"/>
      <c r="W388" s="28"/>
      <c r="X388" s="28"/>
      <c r="Y388" s="28"/>
      <c r="AA388" s="1"/>
    </row>
    <row r="389" spans="3:27" s="8" customFormat="1" x14ac:dyDescent="0.3">
      <c r="C389" s="27"/>
      <c r="D389" s="27"/>
      <c r="E389" s="97"/>
      <c r="F389" s="28"/>
      <c r="G389" s="28"/>
      <c r="H389" s="119"/>
      <c r="I389" s="119"/>
      <c r="Q389" s="28"/>
      <c r="R389" s="28"/>
      <c r="S389" s="23"/>
      <c r="T389" s="28"/>
      <c r="U389" s="28"/>
      <c r="V389" s="28"/>
      <c r="W389" s="28"/>
      <c r="X389" s="28"/>
      <c r="Y389" s="28"/>
      <c r="AA389" s="1"/>
    </row>
    <row r="390" spans="3:27" s="8" customFormat="1" x14ac:dyDescent="0.3">
      <c r="C390" s="27"/>
      <c r="D390" s="27"/>
      <c r="E390" s="97"/>
      <c r="F390" s="28"/>
      <c r="G390" s="28"/>
      <c r="H390" s="119"/>
      <c r="I390" s="119"/>
      <c r="Q390" s="28"/>
      <c r="R390" s="28"/>
      <c r="S390" s="23"/>
      <c r="T390" s="28"/>
      <c r="U390" s="28"/>
      <c r="V390" s="28"/>
      <c r="W390" s="28"/>
      <c r="X390" s="28"/>
      <c r="Y390" s="28"/>
      <c r="AA390" s="1"/>
    </row>
    <row r="391" spans="3:27" s="8" customFormat="1" x14ac:dyDescent="0.3">
      <c r="C391" s="27"/>
      <c r="D391" s="27"/>
      <c r="E391" s="97"/>
      <c r="F391" s="28"/>
      <c r="G391" s="28"/>
      <c r="H391" s="119"/>
      <c r="I391" s="119"/>
      <c r="Q391" s="28"/>
      <c r="R391" s="28"/>
      <c r="S391" s="23"/>
      <c r="T391" s="28"/>
      <c r="U391" s="28"/>
      <c r="V391" s="28"/>
      <c r="W391" s="28"/>
      <c r="X391" s="28"/>
      <c r="Y391" s="28"/>
      <c r="AA391" s="1"/>
    </row>
    <row r="392" spans="3:27" s="8" customFormat="1" x14ac:dyDescent="0.3">
      <c r="C392" s="27"/>
      <c r="D392" s="27"/>
      <c r="E392" s="97"/>
      <c r="F392" s="28"/>
      <c r="G392" s="28"/>
      <c r="H392" s="119"/>
      <c r="I392" s="119"/>
      <c r="Q392" s="28"/>
      <c r="R392" s="28"/>
      <c r="S392" s="23"/>
      <c r="T392" s="28"/>
      <c r="U392" s="28"/>
      <c r="V392" s="28"/>
      <c r="W392" s="28"/>
      <c r="X392" s="28"/>
      <c r="Y392" s="28"/>
      <c r="AA392" s="1"/>
    </row>
    <row r="393" spans="3:27" s="8" customFormat="1" x14ac:dyDescent="0.3">
      <c r="C393" s="27"/>
      <c r="D393" s="27"/>
      <c r="E393" s="97"/>
      <c r="F393" s="28"/>
      <c r="G393" s="28"/>
      <c r="H393" s="119"/>
      <c r="I393" s="119"/>
      <c r="Q393" s="28"/>
      <c r="R393" s="28"/>
      <c r="S393" s="23"/>
      <c r="T393" s="28"/>
      <c r="U393" s="28"/>
      <c r="V393" s="28"/>
      <c r="W393" s="28"/>
      <c r="X393" s="28"/>
      <c r="Y393" s="28"/>
      <c r="AA393" s="1"/>
    </row>
    <row r="394" spans="3:27" s="8" customFormat="1" x14ac:dyDescent="0.3">
      <c r="C394" s="27"/>
      <c r="D394" s="27"/>
      <c r="E394" s="97"/>
      <c r="F394" s="28"/>
      <c r="G394" s="28"/>
      <c r="H394" s="119"/>
      <c r="I394" s="119"/>
      <c r="Q394" s="28"/>
      <c r="R394" s="28"/>
      <c r="S394" s="23"/>
      <c r="T394" s="28"/>
      <c r="U394" s="28"/>
      <c r="V394" s="28"/>
      <c r="W394" s="28"/>
      <c r="X394" s="28"/>
      <c r="Y394" s="28"/>
      <c r="AA394" s="1"/>
    </row>
    <row r="395" spans="3:27" s="8" customFormat="1" x14ac:dyDescent="0.3">
      <c r="C395" s="27"/>
      <c r="D395" s="27"/>
      <c r="E395" s="97"/>
      <c r="F395" s="28"/>
      <c r="G395" s="28"/>
      <c r="H395" s="119"/>
      <c r="I395" s="119"/>
      <c r="Q395" s="28"/>
      <c r="R395" s="28"/>
      <c r="S395" s="23"/>
      <c r="T395" s="28"/>
      <c r="U395" s="28"/>
      <c r="V395" s="28"/>
      <c r="W395" s="28"/>
      <c r="X395" s="28"/>
      <c r="Y395" s="28"/>
      <c r="AA395" s="1"/>
    </row>
    <row r="396" spans="3:27" s="8" customFormat="1" x14ac:dyDescent="0.3">
      <c r="C396" s="27"/>
      <c r="D396" s="27"/>
      <c r="E396" s="97"/>
      <c r="F396" s="28"/>
      <c r="G396" s="28"/>
      <c r="H396" s="119"/>
      <c r="I396" s="119"/>
      <c r="Q396" s="28"/>
      <c r="R396" s="28"/>
      <c r="S396" s="23"/>
      <c r="T396" s="28"/>
      <c r="U396" s="28"/>
      <c r="V396" s="28"/>
      <c r="W396" s="28"/>
      <c r="X396" s="28"/>
      <c r="Y396" s="28"/>
      <c r="AA396" s="1"/>
    </row>
    <row r="397" spans="3:27" s="8" customFormat="1" x14ac:dyDescent="0.3">
      <c r="C397" s="27"/>
      <c r="D397" s="27"/>
      <c r="E397" s="97"/>
      <c r="F397" s="28"/>
      <c r="G397" s="28"/>
      <c r="H397" s="119"/>
      <c r="I397" s="119"/>
      <c r="Q397" s="28"/>
      <c r="R397" s="28"/>
      <c r="S397" s="23"/>
      <c r="T397" s="28"/>
      <c r="U397" s="28"/>
      <c r="V397" s="28"/>
      <c r="W397" s="28"/>
      <c r="X397" s="28"/>
      <c r="Y397" s="28"/>
      <c r="AA397" s="1"/>
    </row>
    <row r="398" spans="3:27" s="8" customFormat="1" x14ac:dyDescent="0.3">
      <c r="C398" s="27"/>
      <c r="D398" s="27"/>
      <c r="E398" s="97"/>
      <c r="F398" s="28"/>
      <c r="G398" s="28"/>
      <c r="H398" s="119"/>
      <c r="I398" s="119"/>
      <c r="Q398" s="28"/>
      <c r="R398" s="28"/>
      <c r="S398" s="23"/>
      <c r="T398" s="28"/>
      <c r="U398" s="28"/>
      <c r="V398" s="28"/>
      <c r="W398" s="28"/>
      <c r="X398" s="28"/>
      <c r="Y398" s="28"/>
      <c r="AA398" s="1"/>
    </row>
    <row r="399" spans="3:27" s="8" customFormat="1" x14ac:dyDescent="0.3">
      <c r="C399" s="27"/>
      <c r="D399" s="27"/>
      <c r="E399" s="97"/>
      <c r="F399" s="28"/>
      <c r="G399" s="28"/>
      <c r="H399" s="119"/>
      <c r="I399" s="119"/>
      <c r="Q399" s="28"/>
      <c r="R399" s="28"/>
      <c r="S399" s="23"/>
      <c r="T399" s="28"/>
      <c r="U399" s="28"/>
      <c r="V399" s="28"/>
      <c r="W399" s="28"/>
      <c r="X399" s="28"/>
      <c r="Y399" s="28"/>
      <c r="AA399" s="1"/>
    </row>
    <row r="400" spans="3:27" s="8" customFormat="1" x14ac:dyDescent="0.3">
      <c r="C400" s="27"/>
      <c r="D400" s="27"/>
      <c r="E400" s="97"/>
      <c r="F400" s="28"/>
      <c r="G400" s="28"/>
      <c r="H400" s="119"/>
      <c r="I400" s="119"/>
      <c r="Q400" s="28"/>
      <c r="R400" s="28"/>
      <c r="S400" s="23"/>
      <c r="T400" s="28"/>
      <c r="U400" s="28"/>
      <c r="V400" s="28"/>
      <c r="W400" s="28"/>
      <c r="X400" s="28"/>
      <c r="Y400" s="28"/>
      <c r="AA400" s="1"/>
    </row>
    <row r="401" spans="3:27" s="8" customFormat="1" x14ac:dyDescent="0.3">
      <c r="C401" s="27"/>
      <c r="D401" s="27"/>
      <c r="E401" s="97"/>
      <c r="F401" s="28"/>
      <c r="G401" s="28"/>
      <c r="H401" s="119"/>
      <c r="I401" s="119"/>
      <c r="Q401" s="28"/>
      <c r="R401" s="28"/>
      <c r="S401" s="23"/>
      <c r="T401" s="28"/>
      <c r="U401" s="28"/>
      <c r="V401" s="28"/>
      <c r="W401" s="28"/>
      <c r="X401" s="28"/>
      <c r="Y401" s="28"/>
      <c r="AA401" s="1"/>
    </row>
    <row r="402" spans="3:27" s="8" customFormat="1" x14ac:dyDescent="0.3">
      <c r="C402" s="27"/>
      <c r="D402" s="27"/>
      <c r="E402" s="97"/>
      <c r="F402" s="28"/>
      <c r="G402" s="28"/>
      <c r="H402" s="119"/>
      <c r="I402" s="119"/>
      <c r="Q402" s="28"/>
      <c r="R402" s="28"/>
      <c r="S402" s="23"/>
      <c r="T402" s="28"/>
      <c r="U402" s="28"/>
      <c r="V402" s="28"/>
      <c r="W402" s="28"/>
      <c r="X402" s="28"/>
      <c r="Y402" s="28"/>
      <c r="AA402" s="1"/>
    </row>
    <row r="403" spans="3:27" s="8" customFormat="1" x14ac:dyDescent="0.3">
      <c r="C403" s="27"/>
      <c r="D403" s="27"/>
      <c r="E403" s="97"/>
      <c r="F403" s="28"/>
      <c r="G403" s="28"/>
      <c r="H403" s="119"/>
      <c r="I403" s="119"/>
      <c r="Q403" s="28"/>
      <c r="R403" s="28"/>
      <c r="S403" s="23"/>
      <c r="T403" s="28"/>
      <c r="U403" s="28"/>
      <c r="V403" s="28"/>
      <c r="W403" s="28"/>
      <c r="X403" s="28"/>
      <c r="Y403" s="28"/>
      <c r="AA403" s="1"/>
    </row>
    <row r="404" spans="3:27" s="8" customFormat="1" x14ac:dyDescent="0.3">
      <c r="C404" s="27"/>
      <c r="D404" s="27"/>
      <c r="E404" s="97"/>
      <c r="F404" s="28"/>
      <c r="G404" s="28"/>
      <c r="H404" s="119"/>
      <c r="I404" s="119"/>
      <c r="Q404" s="28"/>
      <c r="R404" s="28"/>
      <c r="S404" s="23"/>
      <c r="T404" s="28"/>
      <c r="U404" s="28"/>
      <c r="V404" s="28"/>
      <c r="W404" s="28"/>
      <c r="X404" s="28"/>
      <c r="Y404" s="28"/>
      <c r="AA404" s="1"/>
    </row>
    <row r="405" spans="3:27" s="8" customFormat="1" x14ac:dyDescent="0.3">
      <c r="C405" s="27"/>
      <c r="D405" s="27"/>
      <c r="E405" s="97"/>
      <c r="F405" s="28"/>
      <c r="G405" s="28"/>
      <c r="H405" s="119"/>
      <c r="I405" s="119"/>
      <c r="Q405" s="28"/>
      <c r="R405" s="28"/>
      <c r="S405" s="23"/>
      <c r="T405" s="28"/>
      <c r="U405" s="28"/>
      <c r="V405" s="28"/>
      <c r="W405" s="28"/>
      <c r="X405" s="28"/>
      <c r="Y405" s="28"/>
      <c r="AA405" s="1"/>
    </row>
    <row r="406" spans="3:27" s="8" customFormat="1" x14ac:dyDescent="0.3">
      <c r="C406" s="27"/>
      <c r="D406" s="27"/>
      <c r="E406" s="97"/>
      <c r="F406" s="28"/>
      <c r="G406" s="28"/>
      <c r="H406" s="119"/>
      <c r="I406" s="119"/>
      <c r="Q406" s="28"/>
      <c r="R406" s="28"/>
      <c r="S406" s="23"/>
      <c r="T406" s="28"/>
      <c r="U406" s="28"/>
      <c r="V406" s="28"/>
      <c r="W406" s="28"/>
      <c r="X406" s="28"/>
      <c r="Y406" s="28"/>
      <c r="AA406" s="1"/>
    </row>
    <row r="407" spans="3:27" s="8" customFormat="1" x14ac:dyDescent="0.3">
      <c r="C407" s="27"/>
      <c r="D407" s="27"/>
      <c r="E407" s="97"/>
      <c r="F407" s="28"/>
      <c r="G407" s="28"/>
      <c r="H407" s="119"/>
      <c r="I407" s="119"/>
      <c r="Q407" s="28"/>
      <c r="R407" s="28"/>
      <c r="S407" s="23"/>
      <c r="T407" s="28"/>
      <c r="U407" s="28"/>
      <c r="V407" s="28"/>
      <c r="W407" s="28"/>
      <c r="X407" s="28"/>
      <c r="Y407" s="28"/>
      <c r="AA407" s="1"/>
    </row>
    <row r="408" spans="3:27" s="8" customFormat="1" x14ac:dyDescent="0.3">
      <c r="C408" s="27"/>
      <c r="D408" s="27"/>
      <c r="E408" s="97"/>
      <c r="F408" s="28"/>
      <c r="G408" s="28"/>
      <c r="H408" s="119"/>
      <c r="I408" s="119"/>
      <c r="Q408" s="28"/>
      <c r="R408" s="28"/>
      <c r="S408" s="23"/>
      <c r="T408" s="28"/>
      <c r="U408" s="28"/>
      <c r="V408" s="28"/>
      <c r="W408" s="28"/>
      <c r="X408" s="28"/>
      <c r="Y408" s="28"/>
      <c r="AA408" s="1"/>
    </row>
    <row r="409" spans="3:27" s="8" customFormat="1" x14ac:dyDescent="0.3">
      <c r="C409" s="27"/>
      <c r="D409" s="27"/>
      <c r="E409" s="97"/>
      <c r="F409" s="28"/>
      <c r="G409" s="28"/>
      <c r="H409" s="119"/>
      <c r="I409" s="119"/>
      <c r="Q409" s="28"/>
      <c r="R409" s="28"/>
      <c r="S409" s="23"/>
      <c r="T409" s="28"/>
      <c r="U409" s="28"/>
      <c r="V409" s="28"/>
      <c r="W409" s="28"/>
      <c r="X409" s="28"/>
      <c r="Y409" s="28"/>
      <c r="AA409" s="1"/>
    </row>
    <row r="410" spans="3:27" s="8" customFormat="1" x14ac:dyDescent="0.3">
      <c r="C410" s="27"/>
      <c r="D410" s="27"/>
      <c r="E410" s="97"/>
      <c r="F410" s="28"/>
      <c r="G410" s="28"/>
      <c r="H410" s="119"/>
      <c r="I410" s="119"/>
      <c r="Q410" s="28"/>
      <c r="R410" s="28"/>
      <c r="S410" s="23"/>
      <c r="T410" s="28"/>
      <c r="U410" s="28"/>
      <c r="V410" s="28"/>
      <c r="W410" s="28"/>
      <c r="X410" s="28"/>
      <c r="Y410" s="28"/>
      <c r="AA410" s="1"/>
    </row>
    <row r="411" spans="3:27" s="8" customFormat="1" x14ac:dyDescent="0.3">
      <c r="C411" s="27"/>
      <c r="D411" s="27"/>
      <c r="E411" s="97"/>
      <c r="F411" s="28"/>
      <c r="G411" s="28"/>
      <c r="H411" s="119"/>
      <c r="I411" s="119"/>
      <c r="Q411" s="28"/>
      <c r="R411" s="28"/>
      <c r="S411" s="23"/>
      <c r="T411" s="28"/>
      <c r="U411" s="28"/>
      <c r="V411" s="28"/>
      <c r="W411" s="28"/>
      <c r="X411" s="28"/>
      <c r="Y411" s="28"/>
      <c r="AA411" s="1"/>
    </row>
    <row r="412" spans="3:27" s="8" customFormat="1" x14ac:dyDescent="0.3">
      <c r="C412" s="27"/>
      <c r="D412" s="27"/>
      <c r="E412" s="97"/>
      <c r="F412" s="28"/>
      <c r="G412" s="28"/>
      <c r="H412" s="119"/>
      <c r="I412" s="119"/>
      <c r="Q412" s="28"/>
      <c r="R412" s="28"/>
      <c r="S412" s="23"/>
      <c r="T412" s="28"/>
      <c r="U412" s="28"/>
      <c r="V412" s="28"/>
      <c r="W412" s="28"/>
      <c r="X412" s="28"/>
      <c r="Y412" s="28"/>
      <c r="AA412" s="1"/>
    </row>
    <row r="413" spans="3:27" s="8" customFormat="1" x14ac:dyDescent="0.3">
      <c r="C413" s="27"/>
      <c r="D413" s="27"/>
      <c r="E413" s="97"/>
      <c r="F413" s="28"/>
      <c r="G413" s="28"/>
      <c r="H413" s="119"/>
      <c r="I413" s="119"/>
      <c r="Q413" s="28"/>
      <c r="R413" s="28"/>
      <c r="S413" s="23"/>
      <c r="T413" s="28"/>
      <c r="U413" s="28"/>
      <c r="V413" s="28"/>
      <c r="W413" s="28"/>
      <c r="X413" s="28"/>
      <c r="Y413" s="28"/>
      <c r="AA413" s="1"/>
    </row>
    <row r="414" spans="3:27" s="8" customFormat="1" x14ac:dyDescent="0.3">
      <c r="C414" s="27"/>
      <c r="D414" s="27"/>
      <c r="E414" s="97"/>
      <c r="F414" s="28"/>
      <c r="G414" s="28"/>
      <c r="H414" s="119"/>
      <c r="I414" s="119"/>
      <c r="Q414" s="28"/>
      <c r="R414" s="28"/>
      <c r="S414" s="23"/>
      <c r="T414" s="28"/>
      <c r="U414" s="28"/>
      <c r="V414" s="28"/>
      <c r="W414" s="28"/>
      <c r="X414" s="28"/>
      <c r="Y414" s="28"/>
      <c r="AA414" s="1"/>
    </row>
    <row r="415" spans="3:27" s="8" customFormat="1" x14ac:dyDescent="0.3">
      <c r="C415" s="27"/>
      <c r="D415" s="27"/>
      <c r="E415" s="97"/>
      <c r="F415" s="28"/>
      <c r="G415" s="28"/>
      <c r="H415" s="119"/>
      <c r="I415" s="119"/>
      <c r="Q415" s="28"/>
      <c r="R415" s="28"/>
      <c r="S415" s="23"/>
      <c r="T415" s="28"/>
      <c r="U415" s="28"/>
      <c r="V415" s="28"/>
      <c r="W415" s="28"/>
      <c r="X415" s="28"/>
      <c r="Y415" s="28"/>
      <c r="AA415" s="1"/>
    </row>
    <row r="416" spans="3:27" s="8" customFormat="1" x14ac:dyDescent="0.3">
      <c r="C416" s="27"/>
      <c r="D416" s="27"/>
      <c r="E416" s="97"/>
      <c r="F416" s="28"/>
      <c r="G416" s="28"/>
      <c r="H416" s="119"/>
      <c r="I416" s="119"/>
      <c r="Q416" s="28"/>
      <c r="R416" s="28"/>
      <c r="S416" s="23"/>
      <c r="T416" s="28"/>
      <c r="U416" s="28"/>
      <c r="V416" s="28"/>
      <c r="W416" s="28"/>
      <c r="X416" s="28"/>
      <c r="Y416" s="28"/>
      <c r="AA416" s="1"/>
    </row>
    <row r="417" spans="3:27" s="8" customFormat="1" x14ac:dyDescent="0.3">
      <c r="C417" s="27"/>
      <c r="D417" s="27"/>
      <c r="E417" s="97"/>
      <c r="F417" s="28"/>
      <c r="G417" s="28"/>
      <c r="H417" s="119"/>
      <c r="I417" s="119"/>
      <c r="Q417" s="28"/>
      <c r="R417" s="28"/>
      <c r="S417" s="23"/>
      <c r="T417" s="28"/>
      <c r="U417" s="28"/>
      <c r="V417" s="28"/>
      <c r="W417" s="28"/>
      <c r="X417" s="28"/>
      <c r="Y417" s="28"/>
      <c r="AA417" s="1"/>
    </row>
    <row r="418" spans="3:27" s="8" customFormat="1" x14ac:dyDescent="0.3">
      <c r="C418" s="27"/>
      <c r="D418" s="27"/>
      <c r="E418" s="97"/>
      <c r="F418" s="28"/>
      <c r="G418" s="28"/>
      <c r="H418" s="119"/>
      <c r="I418" s="119"/>
      <c r="Q418" s="28"/>
      <c r="R418" s="28"/>
      <c r="S418" s="23"/>
      <c r="T418" s="28"/>
      <c r="U418" s="28"/>
      <c r="V418" s="28"/>
      <c r="W418" s="28"/>
      <c r="X418" s="28"/>
      <c r="Y418" s="28"/>
      <c r="AA418" s="1"/>
    </row>
    <row r="419" spans="3:27" s="8" customFormat="1" x14ac:dyDescent="0.3">
      <c r="C419" s="27"/>
      <c r="D419" s="27"/>
      <c r="E419" s="97"/>
      <c r="F419" s="28"/>
      <c r="G419" s="28"/>
      <c r="H419" s="119"/>
      <c r="I419" s="119"/>
      <c r="Q419" s="28"/>
      <c r="R419" s="28"/>
      <c r="S419" s="23"/>
      <c r="T419" s="28"/>
      <c r="U419" s="28"/>
      <c r="V419" s="28"/>
      <c r="W419" s="28"/>
      <c r="X419" s="28"/>
      <c r="Y419" s="28"/>
      <c r="AA419" s="1"/>
    </row>
    <row r="420" spans="3:27" s="8" customFormat="1" x14ac:dyDescent="0.3">
      <c r="C420" s="27"/>
      <c r="D420" s="27"/>
      <c r="E420" s="97"/>
      <c r="F420" s="28"/>
      <c r="G420" s="28"/>
      <c r="H420" s="119"/>
      <c r="I420" s="119"/>
      <c r="Q420" s="28"/>
      <c r="R420" s="28"/>
      <c r="S420" s="23"/>
      <c r="T420" s="28"/>
      <c r="U420" s="28"/>
      <c r="V420" s="28"/>
      <c r="W420" s="28"/>
      <c r="X420" s="28"/>
      <c r="Y420" s="28"/>
      <c r="AA420" s="1"/>
    </row>
    <row r="421" spans="3:27" s="8" customFormat="1" x14ac:dyDescent="0.3">
      <c r="C421" s="27"/>
      <c r="D421" s="27"/>
      <c r="E421" s="97"/>
      <c r="F421" s="28"/>
      <c r="G421" s="28"/>
      <c r="H421" s="119"/>
      <c r="I421" s="119"/>
      <c r="Q421" s="28"/>
      <c r="R421" s="28"/>
      <c r="S421" s="23"/>
      <c r="T421" s="28"/>
      <c r="U421" s="28"/>
      <c r="V421" s="28"/>
      <c r="W421" s="28"/>
      <c r="X421" s="28"/>
      <c r="Y421" s="28"/>
      <c r="AA421" s="1"/>
    </row>
    <row r="422" spans="3:27" s="8" customFormat="1" x14ac:dyDescent="0.3">
      <c r="C422" s="27"/>
      <c r="D422" s="27"/>
      <c r="E422" s="97"/>
      <c r="F422" s="28"/>
      <c r="G422" s="28"/>
      <c r="H422" s="119"/>
      <c r="I422" s="119"/>
      <c r="Q422" s="28"/>
      <c r="R422" s="28"/>
      <c r="S422" s="23"/>
      <c r="T422" s="28"/>
      <c r="U422" s="28"/>
      <c r="V422" s="28"/>
      <c r="W422" s="28"/>
      <c r="X422" s="28"/>
      <c r="Y422" s="28"/>
      <c r="AA422" s="1"/>
    </row>
    <row r="423" spans="3:27" s="8" customFormat="1" x14ac:dyDescent="0.3">
      <c r="C423" s="27"/>
      <c r="D423" s="27"/>
      <c r="E423" s="97"/>
      <c r="F423" s="28"/>
      <c r="G423" s="28"/>
      <c r="H423" s="119"/>
      <c r="I423" s="119"/>
      <c r="Q423" s="28"/>
      <c r="R423" s="28"/>
      <c r="S423" s="23"/>
      <c r="T423" s="28"/>
      <c r="U423" s="28"/>
      <c r="V423" s="28"/>
      <c r="W423" s="28"/>
      <c r="X423" s="28"/>
      <c r="Y423" s="28"/>
      <c r="AA423" s="1"/>
    </row>
    <row r="424" spans="3:27" s="8" customFormat="1" x14ac:dyDescent="0.3">
      <c r="C424" s="27"/>
      <c r="D424" s="27"/>
      <c r="E424" s="97"/>
      <c r="F424" s="28"/>
      <c r="G424" s="28"/>
      <c r="H424" s="119"/>
      <c r="I424" s="119"/>
      <c r="Q424" s="28"/>
      <c r="R424" s="28"/>
      <c r="S424" s="23"/>
      <c r="T424" s="28"/>
      <c r="U424" s="28"/>
      <c r="V424" s="28"/>
      <c r="W424" s="28"/>
      <c r="X424" s="28"/>
      <c r="Y424" s="28"/>
      <c r="AA424" s="1"/>
    </row>
    <row r="425" spans="3:27" s="8" customFormat="1" x14ac:dyDescent="0.3">
      <c r="C425" s="27"/>
      <c r="D425" s="27"/>
      <c r="E425" s="97"/>
      <c r="F425" s="28"/>
      <c r="G425" s="28"/>
      <c r="H425" s="119"/>
      <c r="I425" s="119"/>
      <c r="Q425" s="28"/>
      <c r="R425" s="28"/>
      <c r="S425" s="23"/>
      <c r="T425" s="28"/>
      <c r="U425" s="28"/>
      <c r="V425" s="28"/>
      <c r="W425" s="28"/>
      <c r="X425" s="28"/>
      <c r="Y425" s="28"/>
      <c r="AA425" s="1"/>
    </row>
    <row r="426" spans="3:27" s="8" customFormat="1" x14ac:dyDescent="0.3">
      <c r="C426" s="27"/>
      <c r="D426" s="27"/>
      <c r="E426" s="97"/>
      <c r="F426" s="28"/>
      <c r="G426" s="28"/>
      <c r="H426" s="119"/>
      <c r="I426" s="119"/>
      <c r="Q426" s="28"/>
      <c r="R426" s="28"/>
      <c r="S426" s="23"/>
      <c r="T426" s="28"/>
      <c r="U426" s="28"/>
      <c r="V426" s="28"/>
      <c r="W426" s="28"/>
      <c r="X426" s="28"/>
      <c r="Y426" s="28"/>
      <c r="AA426" s="1"/>
    </row>
    <row r="427" spans="3:27" s="8" customFormat="1" x14ac:dyDescent="0.3">
      <c r="C427" s="27"/>
      <c r="D427" s="27"/>
      <c r="E427" s="97"/>
      <c r="F427" s="28"/>
      <c r="G427" s="28"/>
      <c r="H427" s="119"/>
      <c r="I427" s="119"/>
      <c r="Q427" s="28"/>
      <c r="R427" s="28"/>
      <c r="S427" s="23"/>
      <c r="T427" s="28"/>
      <c r="U427" s="28"/>
      <c r="V427" s="28"/>
      <c r="W427" s="28"/>
      <c r="X427" s="28"/>
      <c r="Y427" s="28"/>
      <c r="AA427" s="1"/>
    </row>
    <row r="428" spans="3:27" s="8" customFormat="1" x14ac:dyDescent="0.3">
      <c r="C428" s="27"/>
      <c r="D428" s="27"/>
      <c r="E428" s="97"/>
      <c r="F428" s="28"/>
      <c r="G428" s="28"/>
      <c r="H428" s="119"/>
      <c r="I428" s="119"/>
      <c r="Q428" s="28"/>
      <c r="R428" s="28"/>
      <c r="S428" s="23"/>
      <c r="T428" s="28"/>
      <c r="U428" s="28"/>
      <c r="V428" s="28"/>
      <c r="W428" s="28"/>
      <c r="X428" s="28"/>
      <c r="Y428" s="28"/>
      <c r="AA428" s="1"/>
    </row>
    <row r="429" spans="3:27" s="8" customFormat="1" x14ac:dyDescent="0.3">
      <c r="C429" s="27"/>
      <c r="D429" s="27"/>
      <c r="E429" s="97"/>
      <c r="F429" s="28"/>
      <c r="G429" s="28"/>
      <c r="H429" s="119"/>
      <c r="I429" s="119"/>
      <c r="Q429" s="28"/>
      <c r="R429" s="28"/>
      <c r="S429" s="23"/>
      <c r="T429" s="28"/>
      <c r="U429" s="28"/>
      <c r="V429" s="28"/>
      <c r="W429" s="28"/>
      <c r="X429" s="28"/>
      <c r="Y429" s="28"/>
      <c r="AA429" s="1"/>
    </row>
    <row r="430" spans="3:27" s="8" customFormat="1" x14ac:dyDescent="0.3">
      <c r="C430" s="27"/>
      <c r="D430" s="27"/>
      <c r="E430" s="97"/>
      <c r="F430" s="28"/>
      <c r="G430" s="28"/>
      <c r="H430" s="119"/>
      <c r="I430" s="119"/>
      <c r="Q430" s="28"/>
      <c r="R430" s="28"/>
      <c r="S430" s="23"/>
      <c r="T430" s="28"/>
      <c r="U430" s="28"/>
      <c r="V430" s="28"/>
      <c r="W430" s="28"/>
      <c r="X430" s="28"/>
      <c r="Y430" s="28"/>
      <c r="AA430" s="1"/>
    </row>
    <row r="431" spans="3:27" s="8" customFormat="1" x14ac:dyDescent="0.3">
      <c r="C431" s="27"/>
      <c r="D431" s="27"/>
      <c r="E431" s="97"/>
      <c r="F431" s="28"/>
      <c r="G431" s="28"/>
      <c r="H431" s="119"/>
      <c r="I431" s="119"/>
      <c r="Q431" s="28"/>
      <c r="R431" s="28"/>
      <c r="S431" s="23"/>
      <c r="T431" s="28"/>
      <c r="U431" s="28"/>
      <c r="V431" s="28"/>
      <c r="W431" s="28"/>
      <c r="X431" s="28"/>
      <c r="Y431" s="28"/>
      <c r="AA431" s="1"/>
    </row>
    <row r="432" spans="3:27" s="8" customFormat="1" x14ac:dyDescent="0.3">
      <c r="C432" s="27"/>
      <c r="D432" s="27"/>
      <c r="E432" s="97"/>
      <c r="F432" s="28"/>
      <c r="G432" s="28"/>
      <c r="H432" s="119"/>
      <c r="I432" s="119"/>
      <c r="Q432" s="28"/>
      <c r="R432" s="28"/>
      <c r="S432" s="23"/>
      <c r="T432" s="28"/>
      <c r="U432" s="28"/>
      <c r="V432" s="28"/>
      <c r="W432" s="28"/>
      <c r="X432" s="28"/>
      <c r="Y432" s="28"/>
      <c r="AA432" s="1"/>
    </row>
    <row r="433" spans="3:27" s="8" customFormat="1" x14ac:dyDescent="0.3">
      <c r="C433" s="27"/>
      <c r="D433" s="27"/>
      <c r="E433" s="97"/>
      <c r="F433" s="28"/>
      <c r="G433" s="28"/>
      <c r="H433" s="119"/>
      <c r="I433" s="119"/>
      <c r="Q433" s="28"/>
      <c r="R433" s="28"/>
      <c r="S433" s="23"/>
      <c r="T433" s="28"/>
      <c r="U433" s="28"/>
      <c r="V433" s="28"/>
      <c r="W433" s="28"/>
      <c r="X433" s="28"/>
      <c r="Y433" s="28"/>
      <c r="AA433" s="1"/>
    </row>
    <row r="434" spans="3:27" s="8" customFormat="1" x14ac:dyDescent="0.3">
      <c r="C434" s="27"/>
      <c r="D434" s="27"/>
      <c r="E434" s="97"/>
      <c r="F434" s="28"/>
      <c r="G434" s="28"/>
      <c r="H434" s="119"/>
      <c r="I434" s="119"/>
      <c r="Q434" s="28"/>
      <c r="R434" s="28"/>
      <c r="S434" s="23"/>
      <c r="T434" s="28"/>
      <c r="U434" s="28"/>
      <c r="V434" s="28"/>
      <c r="W434" s="28"/>
      <c r="X434" s="28"/>
      <c r="Y434" s="28"/>
      <c r="AA434" s="1"/>
    </row>
    <row r="435" spans="3:27" s="8" customFormat="1" x14ac:dyDescent="0.3">
      <c r="C435" s="27"/>
      <c r="D435" s="27"/>
      <c r="E435" s="97"/>
      <c r="F435" s="28"/>
      <c r="G435" s="28"/>
      <c r="H435" s="119"/>
      <c r="I435" s="119"/>
      <c r="Q435" s="28"/>
      <c r="R435" s="28"/>
      <c r="S435" s="23"/>
      <c r="T435" s="28"/>
      <c r="U435" s="28"/>
      <c r="V435" s="28"/>
      <c r="W435" s="28"/>
      <c r="X435" s="28"/>
      <c r="Y435" s="28"/>
      <c r="AA435" s="1"/>
    </row>
    <row r="436" spans="3:27" s="8" customFormat="1" x14ac:dyDescent="0.3">
      <c r="C436" s="27"/>
      <c r="D436" s="27"/>
      <c r="E436" s="97"/>
      <c r="F436" s="28"/>
      <c r="G436" s="28"/>
      <c r="H436" s="119"/>
      <c r="I436" s="119"/>
      <c r="Q436" s="28"/>
      <c r="R436" s="28"/>
      <c r="S436" s="23"/>
      <c r="T436" s="28"/>
      <c r="U436" s="28"/>
      <c r="V436" s="28"/>
      <c r="W436" s="28"/>
      <c r="X436" s="28"/>
      <c r="Y436" s="28"/>
      <c r="AA436" s="1"/>
    </row>
    <row r="437" spans="3:27" s="8" customFormat="1" x14ac:dyDescent="0.3">
      <c r="C437" s="27"/>
      <c r="D437" s="27"/>
      <c r="E437" s="97"/>
      <c r="F437" s="28"/>
      <c r="G437" s="28"/>
      <c r="H437" s="119"/>
      <c r="I437" s="119"/>
      <c r="Q437" s="28"/>
      <c r="R437" s="28"/>
      <c r="S437" s="23"/>
      <c r="T437" s="28"/>
      <c r="U437" s="28"/>
      <c r="V437" s="28"/>
      <c r="W437" s="28"/>
      <c r="X437" s="28"/>
      <c r="Y437" s="28"/>
      <c r="AA437" s="1"/>
    </row>
    <row r="438" spans="3:27" s="8" customFormat="1" x14ac:dyDescent="0.3">
      <c r="C438" s="27"/>
      <c r="D438" s="27"/>
      <c r="E438" s="97"/>
      <c r="F438" s="28"/>
      <c r="G438" s="28"/>
      <c r="H438" s="119"/>
      <c r="I438" s="119"/>
      <c r="Q438" s="28"/>
      <c r="R438" s="28"/>
      <c r="S438" s="23"/>
      <c r="T438" s="28"/>
      <c r="U438" s="28"/>
      <c r="V438" s="28"/>
      <c r="W438" s="28"/>
      <c r="X438" s="28"/>
      <c r="Y438" s="28"/>
      <c r="AA438" s="1"/>
    </row>
    <row r="439" spans="3:27" s="8" customFormat="1" x14ac:dyDescent="0.3">
      <c r="C439" s="27"/>
      <c r="D439" s="27"/>
      <c r="E439" s="97"/>
      <c r="F439" s="28"/>
      <c r="G439" s="28"/>
      <c r="H439" s="119"/>
      <c r="I439" s="119"/>
      <c r="Q439" s="28"/>
      <c r="R439" s="28"/>
      <c r="S439" s="23"/>
      <c r="T439" s="28"/>
      <c r="U439" s="28"/>
      <c r="V439" s="28"/>
      <c r="W439" s="28"/>
      <c r="X439" s="28"/>
      <c r="Y439" s="28"/>
      <c r="AA439" s="1"/>
    </row>
    <row r="440" spans="3:27" s="8" customFormat="1" x14ac:dyDescent="0.3">
      <c r="C440" s="27"/>
      <c r="D440" s="27"/>
      <c r="E440" s="97"/>
      <c r="F440" s="28"/>
      <c r="G440" s="28"/>
      <c r="H440" s="119"/>
      <c r="I440" s="119"/>
      <c r="Q440" s="28"/>
      <c r="R440" s="28"/>
      <c r="S440" s="23"/>
      <c r="T440" s="28"/>
      <c r="U440" s="28"/>
      <c r="V440" s="28"/>
      <c r="W440" s="28"/>
      <c r="X440" s="28"/>
      <c r="Y440" s="28"/>
      <c r="AA440" s="1"/>
    </row>
    <row r="441" spans="3:27" s="8" customFormat="1" x14ac:dyDescent="0.3">
      <c r="C441" s="27"/>
      <c r="D441" s="27"/>
      <c r="E441" s="97"/>
      <c r="F441" s="28"/>
      <c r="G441" s="28"/>
      <c r="H441" s="119"/>
      <c r="I441" s="119"/>
      <c r="Q441" s="28"/>
      <c r="R441" s="28"/>
      <c r="S441" s="23"/>
      <c r="T441" s="28"/>
      <c r="U441" s="28"/>
      <c r="V441" s="28"/>
      <c r="W441" s="28"/>
      <c r="X441" s="28"/>
      <c r="Y441" s="28"/>
      <c r="AA441" s="1"/>
    </row>
    <row r="442" spans="3:27" s="8" customFormat="1" x14ac:dyDescent="0.3">
      <c r="C442" s="27"/>
      <c r="D442" s="27"/>
      <c r="E442" s="97"/>
      <c r="F442" s="28"/>
      <c r="G442" s="28"/>
      <c r="H442" s="119"/>
      <c r="I442" s="119"/>
      <c r="Q442" s="28"/>
      <c r="R442" s="28"/>
      <c r="S442" s="23"/>
      <c r="T442" s="28"/>
      <c r="U442" s="28"/>
      <c r="V442" s="28"/>
      <c r="W442" s="28"/>
      <c r="X442" s="28"/>
      <c r="Y442" s="28"/>
      <c r="AA442" s="1"/>
    </row>
    <row r="443" spans="3:27" s="8" customFormat="1" x14ac:dyDescent="0.3">
      <c r="C443" s="27"/>
      <c r="D443" s="27"/>
      <c r="E443" s="97"/>
      <c r="F443" s="28"/>
      <c r="G443" s="28"/>
      <c r="H443" s="119"/>
      <c r="I443" s="119"/>
      <c r="Q443" s="28"/>
      <c r="R443" s="28"/>
      <c r="S443" s="23"/>
      <c r="T443" s="28"/>
      <c r="U443" s="28"/>
      <c r="V443" s="28"/>
      <c r="W443" s="28"/>
      <c r="X443" s="28"/>
      <c r="Y443" s="28"/>
      <c r="AA443" s="1"/>
    </row>
    <row r="444" spans="3:27" s="8" customFormat="1" x14ac:dyDescent="0.3">
      <c r="C444" s="27"/>
      <c r="D444" s="27"/>
      <c r="E444" s="97"/>
      <c r="F444" s="28"/>
      <c r="G444" s="28"/>
      <c r="H444" s="119"/>
      <c r="I444" s="119"/>
      <c r="Q444" s="28"/>
      <c r="R444" s="28"/>
      <c r="S444" s="23"/>
      <c r="T444" s="28"/>
      <c r="U444" s="28"/>
      <c r="V444" s="28"/>
      <c r="W444" s="28"/>
      <c r="X444" s="28"/>
      <c r="Y444" s="28"/>
      <c r="AA444" s="1"/>
    </row>
    <row r="445" spans="3:27" s="8" customFormat="1" x14ac:dyDescent="0.3">
      <c r="C445" s="27"/>
      <c r="D445" s="27"/>
      <c r="E445" s="97"/>
      <c r="F445" s="28"/>
      <c r="G445" s="28"/>
      <c r="H445" s="119"/>
      <c r="I445" s="119"/>
      <c r="Q445" s="28"/>
      <c r="R445" s="28"/>
      <c r="S445" s="23"/>
      <c r="T445" s="28"/>
      <c r="U445" s="28"/>
      <c r="V445" s="28"/>
      <c r="W445" s="28"/>
      <c r="X445" s="28"/>
      <c r="Y445" s="28"/>
      <c r="AA445" s="1"/>
    </row>
    <row r="446" spans="3:27" s="8" customFormat="1" x14ac:dyDescent="0.3">
      <c r="C446" s="27"/>
      <c r="D446" s="27"/>
      <c r="E446" s="97"/>
      <c r="F446" s="28"/>
      <c r="G446" s="28"/>
      <c r="H446" s="119"/>
      <c r="I446" s="119"/>
      <c r="Q446" s="28"/>
      <c r="R446" s="28"/>
      <c r="S446" s="23"/>
      <c r="T446" s="28"/>
      <c r="U446" s="28"/>
      <c r="V446" s="28"/>
      <c r="W446" s="28"/>
      <c r="X446" s="28"/>
      <c r="Y446" s="28"/>
      <c r="AA446" s="1"/>
    </row>
    <row r="447" spans="3:27" s="8" customFormat="1" x14ac:dyDescent="0.3">
      <c r="C447" s="27"/>
      <c r="D447" s="27"/>
      <c r="E447" s="97"/>
      <c r="F447" s="28"/>
      <c r="G447" s="28"/>
      <c r="H447" s="119"/>
      <c r="I447" s="119"/>
      <c r="Q447" s="28"/>
      <c r="R447" s="28"/>
      <c r="S447" s="23"/>
      <c r="T447" s="28"/>
      <c r="U447" s="28"/>
      <c r="V447" s="28"/>
      <c r="W447" s="28"/>
      <c r="X447" s="28"/>
      <c r="Y447" s="28"/>
      <c r="AA447" s="1"/>
    </row>
    <row r="448" spans="3:27" s="8" customFormat="1" x14ac:dyDescent="0.3">
      <c r="C448" s="27"/>
      <c r="D448" s="27"/>
      <c r="E448" s="97"/>
      <c r="F448" s="28"/>
      <c r="G448" s="28"/>
      <c r="H448" s="119"/>
      <c r="I448" s="119"/>
      <c r="Q448" s="28"/>
      <c r="R448" s="28"/>
      <c r="S448" s="23"/>
      <c r="T448" s="28"/>
      <c r="U448" s="28"/>
      <c r="V448" s="28"/>
      <c r="W448" s="28"/>
      <c r="X448" s="28"/>
      <c r="Y448" s="28"/>
      <c r="AA448" s="1"/>
    </row>
    <row r="449" spans="3:27" s="8" customFormat="1" x14ac:dyDescent="0.3">
      <c r="C449" s="27"/>
      <c r="D449" s="27"/>
      <c r="E449" s="97"/>
      <c r="F449" s="28"/>
      <c r="G449" s="28"/>
      <c r="H449" s="119"/>
      <c r="I449" s="119"/>
      <c r="Q449" s="28"/>
      <c r="R449" s="28"/>
      <c r="S449" s="23"/>
      <c r="T449" s="28"/>
      <c r="U449" s="28"/>
      <c r="V449" s="28"/>
      <c r="W449" s="28"/>
      <c r="X449" s="28"/>
      <c r="Y449" s="28"/>
      <c r="AA449" s="1"/>
    </row>
    <row r="450" spans="3:27" s="8" customFormat="1" x14ac:dyDescent="0.3">
      <c r="C450" s="27"/>
      <c r="D450" s="27"/>
      <c r="E450" s="97"/>
      <c r="F450" s="28"/>
      <c r="G450" s="28"/>
      <c r="H450" s="119"/>
      <c r="I450" s="119"/>
      <c r="Q450" s="28"/>
      <c r="R450" s="28"/>
      <c r="S450" s="23"/>
      <c r="T450" s="28"/>
      <c r="U450" s="28"/>
      <c r="V450" s="28"/>
      <c r="W450" s="28"/>
      <c r="X450" s="28"/>
      <c r="Y450" s="28"/>
      <c r="AA450" s="1"/>
    </row>
    <row r="451" spans="3:27" s="8" customFormat="1" x14ac:dyDescent="0.3">
      <c r="C451" s="27"/>
      <c r="D451" s="27"/>
      <c r="E451" s="97"/>
      <c r="F451" s="28"/>
      <c r="G451" s="28"/>
      <c r="H451" s="119"/>
      <c r="I451" s="119"/>
      <c r="Q451" s="28"/>
      <c r="R451" s="28"/>
      <c r="S451" s="23"/>
      <c r="T451" s="28"/>
      <c r="U451" s="28"/>
      <c r="V451" s="28"/>
      <c r="W451" s="28"/>
      <c r="X451" s="28"/>
      <c r="Y451" s="28"/>
      <c r="AA451" s="1"/>
    </row>
    <row r="452" spans="3:27" s="8" customFormat="1" x14ac:dyDescent="0.3">
      <c r="C452" s="27"/>
      <c r="D452" s="27"/>
      <c r="E452" s="97"/>
      <c r="F452" s="28"/>
      <c r="G452" s="28"/>
      <c r="H452" s="119"/>
      <c r="I452" s="119"/>
      <c r="Q452" s="28"/>
      <c r="R452" s="28"/>
      <c r="S452" s="23"/>
      <c r="T452" s="28"/>
      <c r="U452" s="28"/>
      <c r="V452" s="28"/>
      <c r="W452" s="28"/>
      <c r="X452" s="28"/>
      <c r="Y452" s="28"/>
      <c r="AA452" s="1"/>
    </row>
    <row r="453" spans="3:27" s="8" customFormat="1" x14ac:dyDescent="0.3">
      <c r="C453" s="27"/>
      <c r="D453" s="27"/>
      <c r="E453" s="97"/>
      <c r="F453" s="28"/>
      <c r="G453" s="28"/>
      <c r="H453" s="119"/>
      <c r="I453" s="119"/>
      <c r="Q453" s="28"/>
      <c r="R453" s="28"/>
      <c r="S453" s="23"/>
      <c r="T453" s="28"/>
      <c r="U453" s="28"/>
      <c r="V453" s="28"/>
      <c r="W453" s="28"/>
      <c r="X453" s="28"/>
      <c r="Y453" s="28"/>
      <c r="AA453" s="1"/>
    </row>
    <row r="454" spans="3:27" s="8" customFormat="1" x14ac:dyDescent="0.3">
      <c r="C454" s="27"/>
      <c r="D454" s="27"/>
      <c r="E454" s="97"/>
      <c r="F454" s="28"/>
      <c r="G454" s="28"/>
      <c r="H454" s="119"/>
      <c r="I454" s="119"/>
      <c r="Q454" s="28"/>
      <c r="R454" s="28"/>
      <c r="S454" s="23"/>
      <c r="T454" s="28"/>
      <c r="U454" s="28"/>
      <c r="V454" s="28"/>
      <c r="W454" s="28"/>
      <c r="X454" s="28"/>
      <c r="Y454" s="28"/>
      <c r="AA454" s="1"/>
    </row>
    <row r="455" spans="3:27" s="8" customFormat="1" x14ac:dyDescent="0.3">
      <c r="C455" s="27"/>
      <c r="D455" s="27"/>
      <c r="E455" s="97"/>
      <c r="F455" s="28"/>
      <c r="G455" s="28"/>
      <c r="H455" s="119"/>
      <c r="I455" s="119"/>
      <c r="Q455" s="28"/>
      <c r="R455" s="28"/>
      <c r="S455" s="23"/>
      <c r="T455" s="28"/>
      <c r="U455" s="28"/>
      <c r="V455" s="28"/>
      <c r="W455" s="28"/>
      <c r="X455" s="28"/>
      <c r="Y455" s="28"/>
      <c r="AA455" s="1"/>
    </row>
    <row r="456" spans="3:27" s="8" customFormat="1" x14ac:dyDescent="0.3">
      <c r="C456" s="27"/>
      <c r="D456" s="27"/>
      <c r="E456" s="97"/>
      <c r="F456" s="28"/>
      <c r="G456" s="28"/>
      <c r="H456" s="119"/>
      <c r="I456" s="119"/>
      <c r="Q456" s="28"/>
      <c r="R456" s="28"/>
      <c r="S456" s="23"/>
      <c r="T456" s="28"/>
      <c r="U456" s="28"/>
      <c r="V456" s="28"/>
      <c r="W456" s="28"/>
      <c r="X456" s="28"/>
      <c r="Y456" s="28"/>
      <c r="AA456" s="1"/>
    </row>
    <row r="457" spans="3:27" s="8" customFormat="1" x14ac:dyDescent="0.3">
      <c r="C457" s="27"/>
      <c r="D457" s="27"/>
      <c r="E457" s="97"/>
      <c r="F457" s="28"/>
      <c r="G457" s="28"/>
      <c r="H457" s="119"/>
      <c r="I457" s="119"/>
      <c r="Q457" s="28"/>
      <c r="R457" s="28"/>
      <c r="S457" s="23"/>
      <c r="T457" s="28"/>
      <c r="U457" s="28"/>
      <c r="V457" s="28"/>
      <c r="W457" s="28"/>
      <c r="X457" s="28"/>
      <c r="Y457" s="28"/>
      <c r="AA457" s="1"/>
    </row>
    <row r="458" spans="3:27" s="8" customFormat="1" x14ac:dyDescent="0.3">
      <c r="C458" s="27"/>
      <c r="D458" s="27"/>
      <c r="E458" s="97"/>
      <c r="F458" s="28"/>
      <c r="G458" s="28"/>
      <c r="H458" s="119"/>
      <c r="I458" s="119"/>
      <c r="Q458" s="28"/>
      <c r="R458" s="28"/>
      <c r="S458" s="23"/>
      <c r="T458" s="28"/>
      <c r="U458" s="28"/>
      <c r="V458" s="28"/>
      <c r="W458" s="28"/>
      <c r="X458" s="28"/>
      <c r="Y458" s="28"/>
      <c r="AA458" s="1"/>
    </row>
    <row r="459" spans="3:27" s="8" customFormat="1" x14ac:dyDescent="0.3">
      <c r="C459" s="27"/>
      <c r="D459" s="27"/>
      <c r="E459" s="97"/>
      <c r="F459" s="28"/>
      <c r="G459" s="28"/>
      <c r="H459" s="119"/>
      <c r="I459" s="119"/>
      <c r="Q459" s="28"/>
      <c r="R459" s="28"/>
      <c r="S459" s="23"/>
      <c r="T459" s="28"/>
      <c r="U459" s="28"/>
      <c r="V459" s="28"/>
      <c r="W459" s="28"/>
      <c r="X459" s="28"/>
      <c r="Y459" s="28"/>
      <c r="AA459" s="1"/>
    </row>
    <row r="460" spans="3:27" s="8" customFormat="1" x14ac:dyDescent="0.3">
      <c r="C460" s="27"/>
      <c r="D460" s="27"/>
      <c r="E460" s="97"/>
      <c r="F460" s="28"/>
      <c r="G460" s="28"/>
      <c r="H460" s="119"/>
      <c r="I460" s="119"/>
      <c r="Q460" s="28"/>
      <c r="R460" s="28"/>
      <c r="S460" s="23"/>
      <c r="T460" s="28"/>
      <c r="U460" s="28"/>
      <c r="V460" s="28"/>
      <c r="W460" s="28"/>
      <c r="X460" s="28"/>
      <c r="Y460" s="28"/>
      <c r="AA460" s="1"/>
    </row>
    <row r="461" spans="3:27" s="8" customFormat="1" x14ac:dyDescent="0.3">
      <c r="C461" s="27"/>
      <c r="D461" s="27"/>
      <c r="E461" s="97"/>
      <c r="F461" s="28"/>
      <c r="G461" s="28"/>
      <c r="H461" s="119"/>
      <c r="I461" s="119"/>
      <c r="Q461" s="28"/>
      <c r="R461" s="28"/>
      <c r="S461" s="23"/>
      <c r="T461" s="28"/>
      <c r="U461" s="28"/>
      <c r="V461" s="28"/>
      <c r="W461" s="28"/>
      <c r="X461" s="28"/>
      <c r="Y461" s="28"/>
      <c r="AA461" s="1"/>
    </row>
    <row r="462" spans="3:27" s="8" customFormat="1" x14ac:dyDescent="0.3">
      <c r="C462" s="27"/>
      <c r="D462" s="27"/>
      <c r="E462" s="97"/>
      <c r="F462" s="28"/>
      <c r="G462" s="28"/>
      <c r="H462" s="119"/>
      <c r="I462" s="119"/>
      <c r="Q462" s="28"/>
      <c r="R462" s="28"/>
      <c r="S462" s="23"/>
      <c r="T462" s="28"/>
      <c r="U462" s="28"/>
      <c r="V462" s="28"/>
      <c r="W462" s="28"/>
      <c r="X462" s="28"/>
      <c r="Y462" s="28"/>
      <c r="AA462" s="1"/>
    </row>
    <row r="463" spans="3:27" s="8" customFormat="1" x14ac:dyDescent="0.3">
      <c r="C463" s="27"/>
      <c r="D463" s="27"/>
      <c r="E463" s="97"/>
      <c r="F463" s="28"/>
      <c r="G463" s="28"/>
      <c r="H463" s="119"/>
      <c r="I463" s="119"/>
      <c r="Q463" s="28"/>
      <c r="R463" s="28"/>
      <c r="S463" s="23"/>
      <c r="T463" s="28"/>
      <c r="U463" s="28"/>
      <c r="V463" s="28"/>
      <c r="W463" s="28"/>
      <c r="X463" s="28"/>
      <c r="Y463" s="28"/>
      <c r="AA463" s="1"/>
    </row>
    <row r="464" spans="3:27" s="8" customFormat="1" x14ac:dyDescent="0.3">
      <c r="C464" s="27"/>
      <c r="D464" s="27"/>
      <c r="E464" s="97"/>
      <c r="F464" s="28"/>
      <c r="G464" s="28"/>
      <c r="H464" s="119"/>
      <c r="I464" s="119"/>
      <c r="Q464" s="28"/>
      <c r="R464" s="28"/>
      <c r="S464" s="23"/>
      <c r="T464" s="28"/>
      <c r="U464" s="28"/>
      <c r="V464" s="28"/>
      <c r="W464" s="28"/>
      <c r="X464" s="28"/>
      <c r="Y464" s="28"/>
      <c r="AA464" s="1"/>
    </row>
    <row r="465" spans="3:27" s="8" customFormat="1" x14ac:dyDescent="0.3">
      <c r="C465" s="27"/>
      <c r="D465" s="27"/>
      <c r="E465" s="97"/>
      <c r="F465" s="28"/>
      <c r="G465" s="28"/>
      <c r="H465" s="119"/>
      <c r="I465" s="119"/>
      <c r="Q465" s="28"/>
      <c r="R465" s="28"/>
      <c r="S465" s="23"/>
      <c r="T465" s="28"/>
      <c r="U465" s="28"/>
      <c r="V465" s="28"/>
      <c r="W465" s="28"/>
      <c r="X465" s="28"/>
      <c r="Y465" s="28"/>
      <c r="AA465" s="1"/>
    </row>
    <row r="466" spans="3:27" s="8" customFormat="1" x14ac:dyDescent="0.3">
      <c r="C466" s="27"/>
      <c r="D466" s="27"/>
      <c r="E466" s="97"/>
      <c r="F466" s="28"/>
      <c r="G466" s="28"/>
      <c r="H466" s="119"/>
      <c r="I466" s="119"/>
      <c r="Q466" s="28"/>
      <c r="R466" s="28"/>
      <c r="S466" s="23"/>
      <c r="T466" s="28"/>
      <c r="U466" s="28"/>
      <c r="V466" s="28"/>
      <c r="W466" s="28"/>
      <c r="X466" s="28"/>
      <c r="Y466" s="28"/>
      <c r="AA466" s="1"/>
    </row>
    <row r="467" spans="3:27" s="8" customFormat="1" x14ac:dyDescent="0.3">
      <c r="C467" s="27"/>
      <c r="D467" s="27"/>
      <c r="E467" s="97"/>
      <c r="F467" s="28"/>
      <c r="G467" s="28"/>
      <c r="H467" s="119"/>
      <c r="I467" s="119"/>
      <c r="Q467" s="28"/>
      <c r="R467" s="28"/>
      <c r="S467" s="23"/>
      <c r="T467" s="28"/>
      <c r="U467" s="28"/>
      <c r="V467" s="28"/>
      <c r="W467" s="28"/>
      <c r="X467" s="28"/>
      <c r="Y467" s="28"/>
      <c r="AA467" s="1"/>
    </row>
    <row r="468" spans="3:27" s="8" customFormat="1" x14ac:dyDescent="0.3">
      <c r="C468" s="27"/>
      <c r="D468" s="27"/>
      <c r="E468" s="97"/>
      <c r="F468" s="28"/>
      <c r="G468" s="28"/>
      <c r="H468" s="119"/>
      <c r="I468" s="119"/>
      <c r="Q468" s="28"/>
      <c r="R468" s="28"/>
      <c r="S468" s="23"/>
      <c r="T468" s="28"/>
      <c r="U468" s="28"/>
      <c r="V468" s="28"/>
      <c r="W468" s="28"/>
      <c r="X468" s="28"/>
      <c r="Y468" s="28"/>
      <c r="AA468" s="1"/>
    </row>
    <row r="469" spans="3:27" s="8" customFormat="1" x14ac:dyDescent="0.3">
      <c r="C469" s="27"/>
      <c r="D469" s="27"/>
      <c r="E469" s="97"/>
      <c r="F469" s="28"/>
      <c r="G469" s="28"/>
      <c r="H469" s="119"/>
      <c r="I469" s="119"/>
      <c r="Q469" s="28"/>
      <c r="R469" s="28"/>
      <c r="S469" s="23"/>
      <c r="T469" s="28"/>
      <c r="U469" s="28"/>
      <c r="V469" s="28"/>
      <c r="W469" s="28"/>
      <c r="X469" s="28"/>
      <c r="Y469" s="28"/>
      <c r="AA469" s="1"/>
    </row>
    <row r="470" spans="3:27" s="8" customFormat="1" x14ac:dyDescent="0.3">
      <c r="C470" s="27"/>
      <c r="D470" s="27"/>
      <c r="E470" s="97"/>
      <c r="F470" s="28"/>
      <c r="G470" s="28"/>
      <c r="H470" s="119"/>
      <c r="I470" s="119"/>
      <c r="Q470" s="28"/>
      <c r="R470" s="28"/>
      <c r="S470" s="23"/>
      <c r="T470" s="28"/>
      <c r="U470" s="28"/>
      <c r="V470" s="28"/>
      <c r="W470" s="28"/>
      <c r="X470" s="28"/>
      <c r="Y470" s="28"/>
      <c r="AA470" s="1"/>
    </row>
    <row r="471" spans="3:27" s="8" customFormat="1" x14ac:dyDescent="0.3">
      <c r="C471" s="27"/>
      <c r="D471" s="27"/>
      <c r="E471" s="97"/>
      <c r="F471" s="28"/>
      <c r="G471" s="28"/>
      <c r="H471" s="119"/>
      <c r="I471" s="119"/>
      <c r="Q471" s="28"/>
      <c r="R471" s="28"/>
      <c r="S471" s="23"/>
      <c r="T471" s="28"/>
      <c r="U471" s="28"/>
      <c r="V471" s="28"/>
      <c r="W471" s="28"/>
      <c r="X471" s="28"/>
      <c r="Y471" s="28"/>
      <c r="AA471" s="1"/>
    </row>
    <row r="472" spans="3:27" s="8" customFormat="1" x14ac:dyDescent="0.3">
      <c r="C472" s="27"/>
      <c r="D472" s="27"/>
      <c r="E472" s="97"/>
      <c r="F472" s="28"/>
      <c r="G472" s="28"/>
      <c r="H472" s="119"/>
      <c r="I472" s="119"/>
      <c r="Q472" s="28"/>
      <c r="R472" s="28"/>
      <c r="S472" s="23"/>
      <c r="T472" s="28"/>
      <c r="U472" s="28"/>
      <c r="V472" s="28"/>
      <c r="W472" s="28"/>
      <c r="X472" s="28"/>
      <c r="Y472" s="28"/>
      <c r="AA472" s="1"/>
    </row>
    <row r="473" spans="3:27" s="8" customFormat="1" x14ac:dyDescent="0.3">
      <c r="C473" s="27"/>
      <c r="D473" s="27"/>
      <c r="E473" s="97"/>
      <c r="F473" s="28"/>
      <c r="G473" s="28"/>
      <c r="H473" s="119"/>
      <c r="I473" s="119"/>
      <c r="Q473" s="28"/>
      <c r="R473" s="28"/>
      <c r="S473" s="23"/>
      <c r="T473" s="28"/>
      <c r="U473" s="28"/>
      <c r="V473" s="28"/>
      <c r="W473" s="28"/>
      <c r="X473" s="28"/>
      <c r="Y473" s="28"/>
      <c r="AA473" s="1"/>
    </row>
    <row r="474" spans="3:27" s="8" customFormat="1" x14ac:dyDescent="0.3">
      <c r="C474" s="27"/>
      <c r="D474" s="27"/>
      <c r="E474" s="97"/>
      <c r="F474" s="28"/>
      <c r="G474" s="28"/>
      <c r="H474" s="119"/>
      <c r="I474" s="119"/>
      <c r="Q474" s="28"/>
      <c r="R474" s="28"/>
      <c r="S474" s="23"/>
      <c r="T474" s="28"/>
      <c r="U474" s="28"/>
      <c r="V474" s="28"/>
      <c r="W474" s="28"/>
      <c r="X474" s="28"/>
      <c r="Y474" s="28"/>
      <c r="AA474" s="1"/>
    </row>
    <row r="475" spans="3:27" s="8" customFormat="1" x14ac:dyDescent="0.3">
      <c r="C475" s="27"/>
      <c r="D475" s="27"/>
      <c r="E475" s="97"/>
      <c r="F475" s="28"/>
      <c r="G475" s="28"/>
      <c r="H475" s="119"/>
      <c r="I475" s="119"/>
      <c r="Q475" s="28"/>
      <c r="R475" s="28"/>
      <c r="S475" s="23"/>
      <c r="T475" s="28"/>
      <c r="U475" s="28"/>
      <c r="V475" s="28"/>
      <c r="W475" s="28"/>
      <c r="X475" s="28"/>
      <c r="Y475" s="28"/>
      <c r="AA475" s="1"/>
    </row>
    <row r="476" spans="3:27" s="8" customFormat="1" x14ac:dyDescent="0.3">
      <c r="C476" s="27"/>
      <c r="D476" s="27"/>
      <c r="E476" s="97"/>
      <c r="F476" s="28"/>
      <c r="G476" s="28"/>
      <c r="H476" s="119"/>
      <c r="I476" s="119"/>
      <c r="Q476" s="28"/>
      <c r="R476" s="28"/>
      <c r="S476" s="23"/>
      <c r="T476" s="28"/>
      <c r="U476" s="28"/>
      <c r="V476" s="28"/>
      <c r="W476" s="28"/>
      <c r="X476" s="28"/>
      <c r="Y476" s="28"/>
      <c r="AA476" s="1"/>
    </row>
    <row r="477" spans="3:27" s="8" customFormat="1" x14ac:dyDescent="0.3">
      <c r="C477" s="27"/>
      <c r="D477" s="27"/>
      <c r="E477" s="97"/>
      <c r="F477" s="28"/>
      <c r="G477" s="28"/>
      <c r="H477" s="119"/>
      <c r="I477" s="119"/>
      <c r="Q477" s="28"/>
      <c r="R477" s="28"/>
      <c r="S477" s="23"/>
      <c r="T477" s="28"/>
      <c r="U477" s="28"/>
      <c r="V477" s="28"/>
      <c r="W477" s="28"/>
      <c r="X477" s="28"/>
      <c r="Y477" s="28"/>
      <c r="AA477" s="1"/>
    </row>
    <row r="478" spans="3:27" s="8" customFormat="1" x14ac:dyDescent="0.3">
      <c r="C478" s="27"/>
      <c r="D478" s="27"/>
      <c r="E478" s="97"/>
      <c r="F478" s="28"/>
      <c r="G478" s="28"/>
      <c r="H478" s="119"/>
      <c r="I478" s="119"/>
      <c r="Q478" s="28"/>
      <c r="R478" s="28"/>
      <c r="S478" s="23"/>
      <c r="T478" s="28"/>
      <c r="U478" s="28"/>
      <c r="V478" s="28"/>
      <c r="W478" s="28"/>
      <c r="X478" s="28"/>
      <c r="Y478" s="28"/>
      <c r="AA478" s="1"/>
    </row>
    <row r="479" spans="3:27" s="8" customFormat="1" x14ac:dyDescent="0.3">
      <c r="C479" s="27"/>
      <c r="D479" s="27"/>
      <c r="E479" s="97"/>
      <c r="F479" s="28"/>
      <c r="G479" s="28"/>
      <c r="H479" s="119"/>
      <c r="I479" s="119"/>
      <c r="Q479" s="28"/>
      <c r="R479" s="28"/>
      <c r="S479" s="23"/>
      <c r="T479" s="28"/>
      <c r="U479" s="28"/>
      <c r="V479" s="28"/>
      <c r="W479" s="28"/>
      <c r="X479" s="28"/>
      <c r="Y479" s="28"/>
      <c r="AA479" s="1"/>
    </row>
    <row r="480" spans="3:27" s="8" customFormat="1" x14ac:dyDescent="0.3">
      <c r="C480" s="27"/>
      <c r="D480" s="27"/>
      <c r="E480" s="97"/>
      <c r="F480" s="28"/>
      <c r="G480" s="28"/>
      <c r="H480" s="119"/>
      <c r="I480" s="119"/>
      <c r="Q480" s="28"/>
      <c r="R480" s="28"/>
      <c r="S480" s="23"/>
      <c r="T480" s="28"/>
      <c r="U480" s="28"/>
      <c r="V480" s="28"/>
      <c r="W480" s="28"/>
      <c r="X480" s="28"/>
      <c r="Y480" s="28"/>
      <c r="AA480" s="1"/>
    </row>
    <row r="481" spans="3:27" s="8" customFormat="1" x14ac:dyDescent="0.3">
      <c r="C481" s="27"/>
      <c r="D481" s="27"/>
      <c r="E481" s="97"/>
      <c r="F481" s="28"/>
      <c r="G481" s="28"/>
      <c r="H481" s="119"/>
      <c r="I481" s="119"/>
      <c r="Q481" s="28"/>
      <c r="R481" s="28"/>
      <c r="S481" s="23"/>
      <c r="T481" s="28"/>
      <c r="U481" s="28"/>
      <c r="V481" s="28"/>
      <c r="W481" s="28"/>
      <c r="X481" s="28"/>
      <c r="Y481" s="28"/>
      <c r="AA481" s="1"/>
    </row>
    <row r="482" spans="3:27" s="8" customFormat="1" x14ac:dyDescent="0.3">
      <c r="C482" s="27"/>
      <c r="D482" s="27"/>
      <c r="E482" s="97"/>
      <c r="F482" s="28"/>
      <c r="G482" s="28"/>
      <c r="H482" s="119"/>
      <c r="I482" s="119"/>
      <c r="Q482" s="28"/>
      <c r="R482" s="28"/>
      <c r="S482" s="23"/>
      <c r="T482" s="28"/>
      <c r="U482" s="28"/>
      <c r="V482" s="28"/>
      <c r="W482" s="28"/>
      <c r="X482" s="28"/>
      <c r="Y482" s="28"/>
      <c r="AA482" s="1"/>
    </row>
    <row r="483" spans="3:27" s="8" customFormat="1" x14ac:dyDescent="0.3">
      <c r="C483" s="27"/>
      <c r="D483" s="27"/>
      <c r="E483" s="97"/>
      <c r="F483" s="28"/>
      <c r="G483" s="28"/>
      <c r="H483" s="119"/>
      <c r="I483" s="119"/>
      <c r="Q483" s="28"/>
      <c r="R483" s="28"/>
      <c r="S483" s="23"/>
      <c r="T483" s="28"/>
      <c r="U483" s="28"/>
      <c r="V483" s="28"/>
      <c r="W483" s="28"/>
      <c r="X483" s="28"/>
      <c r="Y483" s="28"/>
      <c r="AA483" s="1"/>
    </row>
    <row r="484" spans="3:27" s="8" customFormat="1" x14ac:dyDescent="0.3">
      <c r="C484" s="27"/>
      <c r="D484" s="27"/>
      <c r="E484" s="97"/>
      <c r="F484" s="28"/>
      <c r="G484" s="28"/>
      <c r="H484" s="119"/>
      <c r="I484" s="119"/>
      <c r="Q484" s="28"/>
      <c r="R484" s="28"/>
      <c r="S484" s="23"/>
      <c r="T484" s="28"/>
      <c r="U484" s="28"/>
      <c r="V484" s="28"/>
      <c r="W484" s="28"/>
      <c r="X484" s="28"/>
      <c r="Y484" s="28"/>
      <c r="AA484" s="1"/>
    </row>
    <row r="485" spans="3:27" s="8" customFormat="1" x14ac:dyDescent="0.3">
      <c r="C485" s="27"/>
      <c r="D485" s="27"/>
      <c r="E485" s="97"/>
      <c r="F485" s="28"/>
      <c r="G485" s="28"/>
      <c r="H485" s="119"/>
      <c r="I485" s="119"/>
      <c r="Q485" s="28"/>
      <c r="R485" s="28"/>
      <c r="S485" s="23"/>
      <c r="T485" s="28"/>
      <c r="U485" s="28"/>
      <c r="V485" s="28"/>
      <c r="W485" s="28"/>
      <c r="X485" s="28"/>
      <c r="Y485" s="28"/>
      <c r="AA485" s="1"/>
    </row>
    <row r="486" spans="3:27" s="8" customFormat="1" x14ac:dyDescent="0.3">
      <c r="C486" s="27"/>
      <c r="D486" s="27"/>
      <c r="E486" s="97"/>
      <c r="F486" s="28"/>
      <c r="G486" s="28"/>
      <c r="H486" s="119"/>
      <c r="I486" s="119"/>
      <c r="Q486" s="28"/>
      <c r="R486" s="28"/>
      <c r="S486" s="23"/>
      <c r="T486" s="28"/>
      <c r="U486" s="28"/>
      <c r="V486" s="28"/>
      <c r="W486" s="28"/>
      <c r="X486" s="28"/>
      <c r="Y486" s="28"/>
      <c r="AA486" s="1"/>
    </row>
    <row r="487" spans="3:27" s="8" customFormat="1" x14ac:dyDescent="0.3">
      <c r="C487" s="27"/>
      <c r="D487" s="27"/>
      <c r="E487" s="97"/>
      <c r="F487" s="28"/>
      <c r="G487" s="28"/>
      <c r="H487" s="119"/>
      <c r="I487" s="119"/>
      <c r="Q487" s="28"/>
      <c r="R487" s="28"/>
      <c r="S487" s="23"/>
      <c r="T487" s="28"/>
      <c r="U487" s="28"/>
      <c r="V487" s="28"/>
      <c r="W487" s="28"/>
      <c r="X487" s="28"/>
      <c r="Y487" s="28"/>
      <c r="AA487" s="1"/>
    </row>
    <row r="488" spans="3:27" s="8" customFormat="1" x14ac:dyDescent="0.3">
      <c r="C488" s="27"/>
      <c r="D488" s="27"/>
      <c r="E488" s="97"/>
      <c r="F488" s="28"/>
      <c r="G488" s="28"/>
      <c r="H488" s="119"/>
      <c r="I488" s="119"/>
      <c r="Q488" s="28"/>
      <c r="R488" s="28"/>
      <c r="S488" s="23"/>
      <c r="T488" s="28"/>
      <c r="U488" s="28"/>
      <c r="V488" s="28"/>
      <c r="W488" s="28"/>
      <c r="X488" s="28"/>
      <c r="Y488" s="28"/>
      <c r="AA488" s="1"/>
    </row>
    <row r="489" spans="3:27" s="8" customFormat="1" x14ac:dyDescent="0.3">
      <c r="C489" s="27"/>
      <c r="D489" s="27"/>
      <c r="E489" s="97"/>
      <c r="F489" s="28"/>
      <c r="G489" s="28"/>
      <c r="H489" s="119"/>
      <c r="I489" s="119"/>
      <c r="Q489" s="28"/>
      <c r="R489" s="28"/>
      <c r="S489" s="23"/>
      <c r="T489" s="28"/>
      <c r="U489" s="28"/>
      <c r="V489" s="28"/>
      <c r="W489" s="28"/>
      <c r="X489" s="28"/>
      <c r="Y489" s="28"/>
      <c r="AA489" s="1"/>
    </row>
    <row r="490" spans="3:27" s="8" customFormat="1" x14ac:dyDescent="0.3">
      <c r="C490" s="27"/>
      <c r="D490" s="27"/>
      <c r="E490" s="97"/>
      <c r="F490" s="28"/>
      <c r="G490" s="28"/>
      <c r="H490" s="119"/>
      <c r="I490" s="119"/>
      <c r="Q490" s="28"/>
      <c r="R490" s="28"/>
      <c r="S490" s="23"/>
      <c r="T490" s="28"/>
      <c r="U490" s="28"/>
      <c r="V490" s="28"/>
      <c r="W490" s="28"/>
      <c r="X490" s="28"/>
      <c r="Y490" s="28"/>
      <c r="AA490" s="1"/>
    </row>
    <row r="491" spans="3:27" s="8" customFormat="1" x14ac:dyDescent="0.3">
      <c r="C491" s="27"/>
      <c r="D491" s="27"/>
      <c r="E491" s="97"/>
      <c r="F491" s="28"/>
      <c r="G491" s="28"/>
      <c r="H491" s="119"/>
      <c r="I491" s="119"/>
      <c r="Q491" s="28"/>
      <c r="R491" s="28"/>
      <c r="S491" s="23"/>
      <c r="T491" s="28"/>
      <c r="U491" s="28"/>
      <c r="V491" s="28"/>
      <c r="W491" s="28"/>
      <c r="X491" s="28"/>
      <c r="Y491" s="28"/>
      <c r="AA491" s="1"/>
    </row>
    <row r="492" spans="3:27" s="8" customFormat="1" x14ac:dyDescent="0.3">
      <c r="C492" s="27"/>
      <c r="D492" s="27"/>
      <c r="E492" s="97"/>
      <c r="F492" s="28"/>
      <c r="G492" s="28"/>
      <c r="H492" s="119"/>
      <c r="I492" s="119"/>
      <c r="Q492" s="28"/>
      <c r="R492" s="28"/>
      <c r="S492" s="23"/>
      <c r="T492" s="28"/>
      <c r="U492" s="28"/>
      <c r="V492" s="28"/>
      <c r="W492" s="28"/>
      <c r="X492" s="28"/>
      <c r="Y492" s="28"/>
      <c r="AA492" s="1"/>
    </row>
    <row r="493" spans="3:27" s="8" customFormat="1" x14ac:dyDescent="0.3">
      <c r="C493" s="27"/>
      <c r="D493" s="27"/>
      <c r="E493" s="97"/>
      <c r="F493" s="28"/>
      <c r="G493" s="28"/>
      <c r="H493" s="119"/>
      <c r="I493" s="119"/>
      <c r="Q493" s="28"/>
      <c r="R493" s="28"/>
      <c r="S493" s="23"/>
      <c r="T493" s="28"/>
      <c r="U493" s="28"/>
      <c r="V493" s="28"/>
      <c r="W493" s="28"/>
      <c r="X493" s="28"/>
      <c r="Y493" s="28"/>
      <c r="AA493" s="1"/>
    </row>
    <row r="494" spans="3:27" s="8" customFormat="1" x14ac:dyDescent="0.3">
      <c r="C494" s="27"/>
      <c r="D494" s="27"/>
      <c r="E494" s="97"/>
      <c r="F494" s="28"/>
      <c r="G494" s="28"/>
      <c r="H494" s="119"/>
      <c r="I494" s="119"/>
      <c r="Q494" s="28"/>
      <c r="R494" s="28"/>
      <c r="S494" s="23"/>
      <c r="T494" s="28"/>
      <c r="U494" s="28"/>
      <c r="V494" s="28"/>
      <c r="W494" s="28"/>
      <c r="X494" s="28"/>
      <c r="Y494" s="28"/>
      <c r="AA494" s="1"/>
    </row>
    <row r="495" spans="3:27" s="8" customFormat="1" x14ac:dyDescent="0.3">
      <c r="C495" s="27"/>
      <c r="D495" s="27"/>
      <c r="E495" s="97"/>
      <c r="F495" s="28"/>
      <c r="G495" s="28"/>
      <c r="H495" s="119"/>
      <c r="I495" s="119"/>
      <c r="Q495" s="28"/>
      <c r="R495" s="28"/>
      <c r="S495" s="23"/>
      <c r="T495" s="28"/>
      <c r="U495" s="28"/>
      <c r="V495" s="28"/>
      <c r="W495" s="28"/>
      <c r="X495" s="28"/>
      <c r="Y495" s="28"/>
      <c r="AA495" s="1"/>
    </row>
    <row r="496" spans="3:27" s="8" customFormat="1" x14ac:dyDescent="0.3">
      <c r="C496" s="27"/>
      <c r="D496" s="27"/>
      <c r="E496" s="97"/>
      <c r="F496" s="28"/>
      <c r="G496" s="28"/>
      <c r="H496" s="119"/>
      <c r="I496" s="119"/>
      <c r="Q496" s="28"/>
      <c r="R496" s="28"/>
      <c r="S496" s="23"/>
      <c r="T496" s="28"/>
      <c r="U496" s="28"/>
      <c r="V496" s="28"/>
      <c r="W496" s="28"/>
      <c r="X496" s="28"/>
      <c r="Y496" s="28"/>
      <c r="AA496" s="1"/>
    </row>
    <row r="497" spans="3:27" s="8" customFormat="1" x14ac:dyDescent="0.3">
      <c r="C497" s="27"/>
      <c r="D497" s="27"/>
      <c r="E497" s="97"/>
      <c r="F497" s="28"/>
      <c r="G497" s="28"/>
      <c r="H497" s="119"/>
      <c r="I497" s="119"/>
      <c r="Q497" s="28"/>
      <c r="R497" s="28"/>
      <c r="S497" s="23"/>
      <c r="T497" s="28"/>
      <c r="U497" s="28"/>
      <c r="V497" s="28"/>
      <c r="W497" s="28"/>
      <c r="X497" s="28"/>
      <c r="Y497" s="28"/>
      <c r="AA497" s="1"/>
    </row>
    <row r="498" spans="3:27" s="8" customFormat="1" x14ac:dyDescent="0.3">
      <c r="C498" s="27"/>
      <c r="D498" s="27"/>
      <c r="E498" s="97"/>
      <c r="F498" s="28"/>
      <c r="G498" s="28"/>
      <c r="H498" s="119"/>
      <c r="I498" s="119"/>
      <c r="Q498" s="28"/>
      <c r="R498" s="28"/>
      <c r="S498" s="23"/>
      <c r="T498" s="28"/>
      <c r="U498" s="28"/>
      <c r="V498" s="28"/>
      <c r="W498" s="28"/>
      <c r="X498" s="28"/>
      <c r="Y498" s="28"/>
      <c r="AA498" s="1"/>
    </row>
    <row r="499" spans="3:27" s="8" customFormat="1" x14ac:dyDescent="0.3">
      <c r="C499" s="27"/>
      <c r="D499" s="27"/>
      <c r="E499" s="97"/>
      <c r="F499" s="28"/>
      <c r="G499" s="28"/>
      <c r="H499" s="119"/>
      <c r="I499" s="119"/>
      <c r="Q499" s="28"/>
      <c r="R499" s="28"/>
      <c r="S499" s="23"/>
      <c r="T499" s="28"/>
      <c r="U499" s="28"/>
      <c r="V499" s="28"/>
      <c r="W499" s="28"/>
      <c r="X499" s="28"/>
      <c r="Y499" s="28"/>
      <c r="AA499" s="1"/>
    </row>
    <row r="500" spans="3:27" s="8" customFormat="1" x14ac:dyDescent="0.3">
      <c r="C500" s="27"/>
      <c r="D500" s="27"/>
      <c r="E500" s="97"/>
      <c r="F500" s="28"/>
      <c r="G500" s="28"/>
      <c r="H500" s="119"/>
      <c r="I500" s="119"/>
      <c r="Q500" s="28"/>
      <c r="R500" s="28"/>
      <c r="S500" s="23"/>
      <c r="T500" s="28"/>
      <c r="U500" s="28"/>
      <c r="V500" s="28"/>
      <c r="W500" s="28"/>
      <c r="X500" s="28"/>
      <c r="Y500" s="28"/>
      <c r="AA500" s="1"/>
    </row>
    <row r="501" spans="3:27" s="8" customFormat="1" x14ac:dyDescent="0.3">
      <c r="C501" s="27"/>
      <c r="D501" s="27"/>
      <c r="E501" s="97"/>
      <c r="F501" s="28"/>
      <c r="G501" s="28"/>
      <c r="H501" s="119"/>
      <c r="I501" s="119"/>
      <c r="Q501" s="28"/>
      <c r="R501" s="28"/>
      <c r="S501" s="23"/>
      <c r="T501" s="28"/>
      <c r="U501" s="28"/>
      <c r="V501" s="28"/>
      <c r="W501" s="28"/>
      <c r="X501" s="28"/>
      <c r="Y501" s="28"/>
      <c r="AA501" s="1"/>
    </row>
    <row r="502" spans="3:27" s="8" customFormat="1" x14ac:dyDescent="0.3">
      <c r="C502" s="27"/>
      <c r="D502" s="27"/>
      <c r="E502" s="97"/>
      <c r="F502" s="28"/>
      <c r="G502" s="28"/>
      <c r="H502" s="119"/>
      <c r="I502" s="119"/>
      <c r="Q502" s="28"/>
      <c r="R502" s="28"/>
      <c r="S502" s="23"/>
      <c r="T502" s="28"/>
      <c r="U502" s="28"/>
      <c r="V502" s="28"/>
      <c r="W502" s="28"/>
      <c r="X502" s="28"/>
      <c r="Y502" s="28"/>
      <c r="AA502" s="1"/>
    </row>
    <row r="503" spans="3:27" s="8" customFormat="1" x14ac:dyDescent="0.3">
      <c r="C503" s="27"/>
      <c r="D503" s="27"/>
      <c r="E503" s="97"/>
      <c r="F503" s="28"/>
      <c r="G503" s="28"/>
      <c r="H503" s="119"/>
      <c r="I503" s="119"/>
      <c r="Q503" s="28"/>
      <c r="R503" s="28"/>
      <c r="S503" s="23"/>
      <c r="T503" s="28"/>
      <c r="U503" s="28"/>
      <c r="V503" s="28"/>
      <c r="W503" s="28"/>
      <c r="X503" s="28"/>
      <c r="Y503" s="28"/>
      <c r="AA503" s="1"/>
    </row>
    <row r="504" spans="3:27" s="8" customFormat="1" x14ac:dyDescent="0.3">
      <c r="C504" s="27"/>
      <c r="D504" s="27"/>
      <c r="E504" s="97"/>
      <c r="F504" s="28"/>
      <c r="G504" s="28"/>
      <c r="H504" s="119"/>
      <c r="I504" s="119"/>
      <c r="Q504" s="28"/>
      <c r="R504" s="28"/>
      <c r="S504" s="23"/>
      <c r="T504" s="28"/>
      <c r="U504" s="28"/>
      <c r="V504" s="28"/>
      <c r="W504" s="28"/>
      <c r="X504" s="28"/>
      <c r="Y504" s="28"/>
      <c r="AA504" s="1"/>
    </row>
    <row r="505" spans="3:27" s="8" customFormat="1" x14ac:dyDescent="0.3">
      <c r="C505" s="27"/>
      <c r="D505" s="27"/>
      <c r="E505" s="97"/>
      <c r="F505" s="28"/>
      <c r="G505" s="28"/>
      <c r="H505" s="119"/>
      <c r="I505" s="119"/>
      <c r="Q505" s="28"/>
      <c r="R505" s="28"/>
      <c r="S505" s="23"/>
      <c r="T505" s="28"/>
      <c r="U505" s="28"/>
      <c r="V505" s="28"/>
      <c r="W505" s="28"/>
      <c r="X505" s="28"/>
      <c r="Y505" s="28"/>
      <c r="AA505" s="1"/>
    </row>
    <row r="506" spans="3:27" s="8" customFormat="1" x14ac:dyDescent="0.3">
      <c r="C506" s="27"/>
      <c r="D506" s="27"/>
      <c r="E506" s="97"/>
      <c r="F506" s="28"/>
      <c r="G506" s="28"/>
      <c r="H506" s="119"/>
      <c r="I506" s="119"/>
      <c r="Q506" s="28"/>
      <c r="R506" s="28"/>
      <c r="S506" s="23"/>
      <c r="T506" s="28"/>
      <c r="U506" s="28"/>
      <c r="V506" s="28"/>
      <c r="W506" s="28"/>
      <c r="X506" s="28"/>
      <c r="Y506" s="28"/>
      <c r="AA506" s="1"/>
    </row>
    <row r="507" spans="3:27" s="8" customFormat="1" x14ac:dyDescent="0.3">
      <c r="C507" s="27"/>
      <c r="D507" s="27"/>
      <c r="E507" s="97"/>
      <c r="F507" s="28"/>
      <c r="G507" s="28"/>
      <c r="H507" s="119"/>
      <c r="I507" s="119"/>
      <c r="Q507" s="28"/>
      <c r="R507" s="28"/>
      <c r="S507" s="23"/>
      <c r="T507" s="28"/>
      <c r="U507" s="28"/>
      <c r="V507" s="28"/>
      <c r="W507" s="28"/>
      <c r="X507" s="28"/>
      <c r="Y507" s="28"/>
      <c r="AA507" s="1"/>
    </row>
    <row r="508" spans="3:27" s="8" customFormat="1" x14ac:dyDescent="0.3">
      <c r="C508" s="27"/>
      <c r="D508" s="27"/>
      <c r="E508" s="97"/>
      <c r="F508" s="28"/>
      <c r="G508" s="28"/>
      <c r="H508" s="119"/>
      <c r="I508" s="119"/>
      <c r="Q508" s="28"/>
      <c r="R508" s="28"/>
      <c r="S508" s="23"/>
      <c r="T508" s="28"/>
      <c r="U508" s="28"/>
      <c r="V508" s="28"/>
      <c r="W508" s="28"/>
      <c r="X508" s="28"/>
      <c r="Y508" s="28"/>
      <c r="AA508" s="1"/>
    </row>
    <row r="509" spans="3:27" s="8" customFormat="1" x14ac:dyDescent="0.3">
      <c r="C509" s="27"/>
      <c r="D509" s="27"/>
      <c r="E509" s="97"/>
      <c r="F509" s="28"/>
      <c r="G509" s="28"/>
      <c r="H509" s="119"/>
      <c r="I509" s="119"/>
      <c r="Q509" s="28"/>
      <c r="R509" s="28"/>
      <c r="S509" s="23"/>
      <c r="T509" s="28"/>
      <c r="U509" s="28"/>
      <c r="V509" s="28"/>
      <c r="W509" s="28"/>
      <c r="X509" s="28"/>
      <c r="Y509" s="28"/>
      <c r="AA509" s="1"/>
    </row>
    <row r="510" spans="3:27" s="8" customFormat="1" x14ac:dyDescent="0.3">
      <c r="C510" s="27"/>
      <c r="D510" s="27"/>
      <c r="E510" s="97"/>
      <c r="F510" s="28"/>
      <c r="G510" s="28"/>
      <c r="H510" s="119"/>
      <c r="I510" s="119"/>
      <c r="Q510" s="28"/>
      <c r="R510" s="28"/>
      <c r="S510" s="23"/>
      <c r="T510" s="28"/>
      <c r="U510" s="28"/>
      <c r="V510" s="28"/>
      <c r="W510" s="28"/>
      <c r="X510" s="28"/>
      <c r="Y510" s="28"/>
      <c r="AA510" s="1"/>
    </row>
    <row r="511" spans="3:27" s="8" customFormat="1" x14ac:dyDescent="0.3">
      <c r="C511" s="27"/>
      <c r="D511" s="27"/>
      <c r="E511" s="97"/>
      <c r="F511" s="28"/>
      <c r="G511" s="28"/>
      <c r="H511" s="119"/>
      <c r="I511" s="119"/>
      <c r="Q511" s="28"/>
      <c r="R511" s="28"/>
      <c r="S511" s="23"/>
      <c r="T511" s="28"/>
      <c r="U511" s="28"/>
      <c r="V511" s="28"/>
      <c r="W511" s="28"/>
      <c r="X511" s="28"/>
      <c r="Y511" s="28"/>
      <c r="AA511" s="1"/>
    </row>
    <row r="512" spans="3:27" s="8" customFormat="1" x14ac:dyDescent="0.3">
      <c r="C512" s="27"/>
      <c r="D512" s="27"/>
      <c r="E512" s="97"/>
      <c r="F512" s="28"/>
      <c r="G512" s="28"/>
      <c r="H512" s="119"/>
      <c r="I512" s="119"/>
      <c r="Q512" s="28"/>
      <c r="R512" s="28"/>
      <c r="S512" s="23"/>
      <c r="T512" s="28"/>
      <c r="U512" s="28"/>
      <c r="V512" s="28"/>
      <c r="W512" s="28"/>
      <c r="X512" s="28"/>
      <c r="Y512" s="28"/>
      <c r="AA512" s="1"/>
    </row>
    <row r="513" spans="3:27" s="8" customFormat="1" x14ac:dyDescent="0.3">
      <c r="C513" s="27"/>
      <c r="D513" s="27"/>
      <c r="E513" s="97"/>
      <c r="F513" s="28"/>
      <c r="G513" s="28"/>
      <c r="H513" s="119"/>
      <c r="I513" s="119"/>
      <c r="Q513" s="28"/>
      <c r="R513" s="28"/>
      <c r="S513" s="23"/>
      <c r="T513" s="28"/>
      <c r="U513" s="28"/>
      <c r="V513" s="28"/>
      <c r="W513" s="28"/>
      <c r="X513" s="28"/>
      <c r="Y513" s="28"/>
      <c r="AA513" s="1"/>
    </row>
    <row r="514" spans="3:27" s="8" customFormat="1" x14ac:dyDescent="0.3">
      <c r="C514" s="27"/>
      <c r="D514" s="27"/>
      <c r="E514" s="97"/>
      <c r="F514" s="28"/>
      <c r="G514" s="28"/>
      <c r="H514" s="119"/>
      <c r="I514" s="119"/>
      <c r="Q514" s="28"/>
      <c r="R514" s="28"/>
      <c r="S514" s="23"/>
      <c r="T514" s="28"/>
      <c r="U514" s="28"/>
      <c r="V514" s="28"/>
      <c r="W514" s="28"/>
      <c r="X514" s="28"/>
      <c r="Y514" s="28"/>
      <c r="AA514" s="1"/>
    </row>
    <row r="515" spans="3:27" s="8" customFormat="1" x14ac:dyDescent="0.3">
      <c r="C515" s="27"/>
      <c r="D515" s="27"/>
      <c r="E515" s="97"/>
      <c r="F515" s="28"/>
      <c r="G515" s="28"/>
      <c r="H515" s="119"/>
      <c r="I515" s="119"/>
      <c r="Q515" s="28"/>
      <c r="R515" s="28"/>
      <c r="S515" s="23"/>
      <c r="T515" s="28"/>
      <c r="U515" s="28"/>
      <c r="V515" s="28"/>
      <c r="W515" s="28"/>
      <c r="X515" s="28"/>
      <c r="Y515" s="28"/>
      <c r="AA515" s="1"/>
    </row>
    <row r="516" spans="3:27" s="8" customFormat="1" x14ac:dyDescent="0.3">
      <c r="C516" s="27"/>
      <c r="D516" s="27"/>
      <c r="E516" s="97"/>
      <c r="F516" s="28"/>
      <c r="G516" s="28"/>
      <c r="H516" s="119"/>
      <c r="I516" s="119"/>
      <c r="Q516" s="28"/>
      <c r="R516" s="28"/>
      <c r="S516" s="23"/>
      <c r="T516" s="28"/>
      <c r="U516" s="28"/>
      <c r="V516" s="28"/>
      <c r="W516" s="28"/>
      <c r="X516" s="28"/>
      <c r="Y516" s="28"/>
      <c r="AA516" s="1"/>
    </row>
    <row r="517" spans="3:27" s="8" customFormat="1" x14ac:dyDescent="0.3">
      <c r="C517" s="27"/>
      <c r="D517" s="27"/>
      <c r="E517" s="97"/>
      <c r="F517" s="28"/>
      <c r="G517" s="28"/>
      <c r="H517" s="119"/>
      <c r="I517" s="119"/>
      <c r="Q517" s="28"/>
      <c r="R517" s="28"/>
      <c r="S517" s="23"/>
      <c r="T517" s="28"/>
      <c r="U517" s="28"/>
      <c r="V517" s="28"/>
      <c r="W517" s="28"/>
      <c r="X517" s="28"/>
      <c r="Y517" s="28"/>
      <c r="AA517" s="1"/>
    </row>
    <row r="518" spans="3:27" s="8" customFormat="1" x14ac:dyDescent="0.3">
      <c r="C518" s="27"/>
      <c r="D518" s="27"/>
      <c r="E518" s="97"/>
      <c r="F518" s="28"/>
      <c r="G518" s="28"/>
      <c r="H518" s="119"/>
      <c r="I518" s="119"/>
      <c r="Q518" s="28"/>
      <c r="R518" s="28"/>
      <c r="S518" s="23"/>
      <c r="T518" s="28"/>
      <c r="U518" s="28"/>
      <c r="V518" s="28"/>
      <c r="W518" s="28"/>
      <c r="X518" s="28"/>
      <c r="Y518" s="28"/>
      <c r="AA518" s="1"/>
    </row>
    <row r="519" spans="3:27" s="8" customFormat="1" x14ac:dyDescent="0.3">
      <c r="C519" s="27"/>
      <c r="D519" s="27"/>
      <c r="E519" s="97"/>
      <c r="F519" s="28"/>
      <c r="G519" s="28"/>
      <c r="H519" s="119"/>
      <c r="I519" s="119"/>
      <c r="Q519" s="28"/>
      <c r="R519" s="28"/>
      <c r="S519" s="23"/>
      <c r="T519" s="28"/>
      <c r="U519" s="28"/>
      <c r="V519" s="28"/>
      <c r="W519" s="28"/>
      <c r="X519" s="28"/>
      <c r="Y519" s="28"/>
      <c r="AA519" s="1"/>
    </row>
    <row r="520" spans="3:27" s="8" customFormat="1" x14ac:dyDescent="0.3">
      <c r="C520" s="27"/>
      <c r="D520" s="27"/>
      <c r="E520" s="97"/>
      <c r="F520" s="28"/>
      <c r="G520" s="28"/>
      <c r="H520" s="119"/>
      <c r="I520" s="119"/>
      <c r="Q520" s="28"/>
      <c r="R520" s="28"/>
      <c r="S520" s="23"/>
      <c r="T520" s="28"/>
      <c r="U520" s="28"/>
      <c r="V520" s="28"/>
      <c r="W520" s="28"/>
      <c r="X520" s="28"/>
      <c r="Y520" s="28"/>
      <c r="AA520" s="1"/>
    </row>
    <row r="521" spans="3:27" s="8" customFormat="1" x14ac:dyDescent="0.3">
      <c r="C521" s="27"/>
      <c r="D521" s="27"/>
      <c r="E521" s="97"/>
      <c r="F521" s="28"/>
      <c r="G521" s="28"/>
      <c r="H521" s="119"/>
      <c r="I521" s="119"/>
      <c r="Q521" s="28"/>
      <c r="R521" s="28"/>
      <c r="S521" s="23"/>
      <c r="T521" s="28"/>
      <c r="U521" s="28"/>
      <c r="V521" s="28"/>
      <c r="W521" s="28"/>
      <c r="X521" s="28"/>
      <c r="Y521" s="28"/>
      <c r="AA521" s="1"/>
    </row>
    <row r="522" spans="3:27" s="8" customFormat="1" x14ac:dyDescent="0.3">
      <c r="C522" s="27"/>
      <c r="D522" s="27"/>
      <c r="E522" s="97"/>
      <c r="F522" s="28"/>
      <c r="G522" s="28"/>
      <c r="H522" s="119"/>
      <c r="I522" s="119"/>
      <c r="Q522" s="28"/>
      <c r="R522" s="28"/>
      <c r="S522" s="23"/>
      <c r="T522" s="28"/>
      <c r="U522" s="28"/>
      <c r="V522" s="28"/>
      <c r="W522" s="28"/>
      <c r="X522" s="28"/>
      <c r="Y522" s="28"/>
      <c r="AA522" s="1"/>
    </row>
    <row r="523" spans="3:27" s="8" customFormat="1" x14ac:dyDescent="0.3">
      <c r="C523" s="27"/>
      <c r="D523" s="27"/>
      <c r="E523" s="97"/>
      <c r="F523" s="28"/>
      <c r="G523" s="28"/>
      <c r="H523" s="119"/>
      <c r="I523" s="119"/>
      <c r="Q523" s="28"/>
      <c r="R523" s="28"/>
      <c r="S523" s="23"/>
      <c r="T523" s="28"/>
      <c r="U523" s="28"/>
      <c r="V523" s="28"/>
      <c r="W523" s="28"/>
      <c r="X523" s="28"/>
      <c r="Y523" s="28"/>
      <c r="AA523" s="1"/>
    </row>
    <row r="524" spans="3:27" s="8" customFormat="1" x14ac:dyDescent="0.3">
      <c r="C524" s="27"/>
      <c r="D524" s="27"/>
      <c r="E524" s="97"/>
      <c r="F524" s="28"/>
      <c r="G524" s="28"/>
      <c r="H524" s="119"/>
      <c r="I524" s="119"/>
      <c r="Q524" s="28"/>
      <c r="R524" s="28"/>
      <c r="S524" s="23"/>
      <c r="T524" s="28"/>
      <c r="U524" s="28"/>
      <c r="V524" s="28"/>
      <c r="W524" s="28"/>
      <c r="X524" s="28"/>
      <c r="Y524" s="28"/>
      <c r="AA524" s="1"/>
    </row>
  </sheetData>
  <mergeCells count="2">
    <mergeCell ref="C2:Z2"/>
    <mergeCell ref="C1:Z1"/>
  </mergeCells>
  <phoneticPr fontId="0" type="noConversion"/>
  <printOptions horizontalCentered="1" verticalCentered="1"/>
  <pageMargins left="0.25" right="0.02" top="0.73" bottom="0.72" header="0.5" footer="0.5"/>
  <pageSetup paperSize="5" scale="39" orientation="landscape" horizontalDpi="1200" verticalDpi="1200" r:id="rId1"/>
  <headerFooter alignWithMargins="0">
    <oddHeader>&amp;C&amp;c</oddHeader>
    <oddFooter>&amp;C&amp;14Appendix A&amp;R&amp;14Page 3 of 4</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K59"/>
  <sheetViews>
    <sheetView zoomScale="80" zoomScaleNormal="80" workbookViewId="0">
      <selection activeCell="H60" sqref="H60"/>
    </sheetView>
  </sheetViews>
  <sheetFormatPr defaultColWidth="10.69921875" defaultRowHeight="13" x14ac:dyDescent="0.3"/>
  <cols>
    <col min="1" max="1" width="7.296875" style="126" bestFit="1" customWidth="1"/>
    <col min="2" max="2" width="7.69921875" style="126" bestFit="1" customWidth="1"/>
    <col min="3" max="3" width="18" style="126" customWidth="1"/>
    <col min="4" max="4" width="12.296875" style="126" bestFit="1" customWidth="1"/>
    <col min="5" max="5" width="13.5" style="126" bestFit="1" customWidth="1"/>
    <col min="6" max="6" width="20.296875" style="126" bestFit="1" customWidth="1"/>
    <col min="7" max="7" width="20.296875" style="126" customWidth="1"/>
    <col min="8" max="8" width="21.796875" style="126" bestFit="1" customWidth="1"/>
    <col min="9" max="9" width="19.296875" style="126" bestFit="1" customWidth="1"/>
    <col min="10" max="16384" width="10.69921875" style="126"/>
  </cols>
  <sheetData>
    <row r="1" spans="1:11" s="124" customFormat="1" x14ac:dyDescent="0.3">
      <c r="A1" s="384" t="s">
        <v>2</v>
      </c>
      <c r="B1" s="384"/>
      <c r="C1" s="384"/>
      <c r="D1" s="384"/>
      <c r="E1" s="384"/>
      <c r="F1" s="384"/>
      <c r="G1" s="384"/>
      <c r="H1" s="384"/>
      <c r="I1" s="384"/>
      <c r="J1" s="123"/>
      <c r="K1" s="123"/>
    </row>
    <row r="2" spans="1:11" s="124" customFormat="1" x14ac:dyDescent="0.3">
      <c r="A2" s="384" t="s">
        <v>252</v>
      </c>
      <c r="B2" s="384"/>
      <c r="C2" s="384"/>
      <c r="D2" s="384"/>
      <c r="E2" s="384"/>
      <c r="F2" s="384"/>
      <c r="G2" s="384"/>
      <c r="H2" s="384"/>
      <c r="I2" s="384"/>
      <c r="J2" s="123"/>
      <c r="K2" s="123"/>
    </row>
    <row r="3" spans="1:11" s="124" customFormat="1" x14ac:dyDescent="0.3">
      <c r="A3" s="384" t="s">
        <v>121</v>
      </c>
      <c r="B3" s="384"/>
      <c r="C3" s="384"/>
      <c r="D3" s="384"/>
      <c r="E3" s="384"/>
      <c r="F3" s="384"/>
      <c r="G3" s="384"/>
      <c r="H3" s="384"/>
      <c r="I3" s="384"/>
      <c r="J3" s="123"/>
      <c r="K3" s="123"/>
    </row>
    <row r="4" spans="1:11" s="124" customFormat="1" x14ac:dyDescent="0.3">
      <c r="A4" s="384" t="s">
        <v>46</v>
      </c>
      <c r="B4" s="384"/>
      <c r="C4" s="384"/>
      <c r="D4" s="384"/>
      <c r="E4" s="384"/>
      <c r="F4" s="384"/>
      <c r="G4" s="384"/>
      <c r="H4" s="384"/>
      <c r="I4" s="384"/>
      <c r="J4" s="123"/>
      <c r="K4" s="123"/>
    </row>
    <row r="5" spans="1:11" x14ac:dyDescent="0.3">
      <c r="A5" s="125"/>
      <c r="B5" s="125"/>
      <c r="C5" s="125"/>
      <c r="D5" s="125"/>
      <c r="E5" s="125"/>
      <c r="F5" s="125"/>
      <c r="G5" s="125"/>
      <c r="H5" s="125"/>
      <c r="I5" s="125"/>
      <c r="J5" s="125"/>
      <c r="K5" s="125"/>
    </row>
    <row r="6" spans="1:11" s="129" customFormat="1" x14ac:dyDescent="0.3">
      <c r="A6" s="127"/>
      <c r="B6" s="127"/>
      <c r="C6" s="127" t="s">
        <v>47</v>
      </c>
      <c r="D6" s="127"/>
      <c r="E6" s="127" t="s">
        <v>9</v>
      </c>
      <c r="F6" s="127" t="s">
        <v>48</v>
      </c>
      <c r="G6" s="128" t="s">
        <v>119</v>
      </c>
      <c r="H6" s="127" t="s">
        <v>49</v>
      </c>
      <c r="I6" s="127"/>
      <c r="J6" s="127"/>
      <c r="K6" s="127"/>
    </row>
    <row r="7" spans="1:11" s="129" customFormat="1" x14ac:dyDescent="0.3">
      <c r="A7" s="127"/>
      <c r="B7" s="127"/>
      <c r="C7" s="127" t="s">
        <v>50</v>
      </c>
      <c r="D7" s="127" t="s">
        <v>51</v>
      </c>
      <c r="E7" s="127" t="s">
        <v>50</v>
      </c>
      <c r="F7" s="127" t="s">
        <v>9</v>
      </c>
      <c r="G7" s="128" t="s">
        <v>120</v>
      </c>
      <c r="H7" s="127" t="s">
        <v>122</v>
      </c>
      <c r="I7" s="127" t="s">
        <v>52</v>
      </c>
      <c r="J7" s="127"/>
      <c r="K7" s="127"/>
    </row>
    <row r="8" spans="1:11" s="129" customFormat="1" x14ac:dyDescent="0.3">
      <c r="A8" s="127"/>
      <c r="B8" s="127"/>
      <c r="C8" s="127" t="s">
        <v>53</v>
      </c>
      <c r="D8" s="127" t="s">
        <v>53</v>
      </c>
      <c r="E8" s="127" t="s">
        <v>54</v>
      </c>
      <c r="F8" s="127" t="s">
        <v>50</v>
      </c>
      <c r="G8" s="128" t="s">
        <v>0</v>
      </c>
      <c r="H8" s="127" t="s">
        <v>55</v>
      </c>
      <c r="I8" s="127" t="s">
        <v>56</v>
      </c>
      <c r="J8" s="127"/>
      <c r="K8" s="127"/>
    </row>
    <row r="9" spans="1:11" s="129" customFormat="1" x14ac:dyDescent="0.3">
      <c r="A9" s="127"/>
      <c r="B9" s="130" t="s">
        <v>57</v>
      </c>
      <c r="C9" s="130" t="s">
        <v>58</v>
      </c>
      <c r="D9" s="130" t="s">
        <v>8</v>
      </c>
      <c r="E9" s="130" t="s">
        <v>59</v>
      </c>
      <c r="F9" s="130" t="s">
        <v>60</v>
      </c>
      <c r="G9" s="131"/>
      <c r="H9" s="130" t="s">
        <v>61</v>
      </c>
      <c r="I9" s="130" t="s">
        <v>62</v>
      </c>
      <c r="J9" s="127"/>
      <c r="K9" s="127"/>
    </row>
    <row r="10" spans="1:11" x14ac:dyDescent="0.3">
      <c r="A10" s="132">
        <v>2017</v>
      </c>
      <c r="B10" s="132">
        <v>1</v>
      </c>
      <c r="C10" s="133">
        <v>0.506692917477916</v>
      </c>
      <c r="D10" s="134">
        <v>0.52449999999999997</v>
      </c>
      <c r="E10" s="135"/>
      <c r="F10" s="136">
        <v>0.52449999999999997</v>
      </c>
      <c r="G10" s="137" t="s">
        <v>197</v>
      </c>
      <c r="H10" s="13">
        <v>0.55072500000000002</v>
      </c>
      <c r="I10" s="381">
        <v>0.57011051999999995</v>
      </c>
      <c r="J10" s="138"/>
      <c r="K10" s="125"/>
    </row>
    <row r="11" spans="1:11" x14ac:dyDescent="0.3">
      <c r="A11" s="132">
        <v>2018</v>
      </c>
      <c r="B11" s="132">
        <v>2</v>
      </c>
      <c r="C11" s="133">
        <v>0.48302252581501598</v>
      </c>
      <c r="D11" s="134">
        <v>0.51759999999999995</v>
      </c>
      <c r="E11" s="139"/>
      <c r="F11" s="136">
        <v>1.0421</v>
      </c>
      <c r="G11" s="137" t="s">
        <v>197</v>
      </c>
      <c r="H11" s="13">
        <v>1.0942050000000001</v>
      </c>
      <c r="I11" s="381">
        <v>0.57615605137735904</v>
      </c>
      <c r="J11" s="140"/>
      <c r="K11" s="125"/>
    </row>
    <row r="12" spans="1:11" x14ac:dyDescent="0.3">
      <c r="A12" s="132">
        <v>2019</v>
      </c>
      <c r="B12" s="132">
        <v>3</v>
      </c>
      <c r="C12" s="133">
        <v>0.46217550395656798</v>
      </c>
      <c r="D12" s="134">
        <v>0.51270000000000004</v>
      </c>
      <c r="E12" s="139"/>
      <c r="F12" s="136">
        <v>1.5548</v>
      </c>
      <c r="G12" s="137" t="s">
        <v>197</v>
      </c>
      <c r="H12" s="13">
        <v>1.6325400000000001</v>
      </c>
      <c r="I12" s="381">
        <v>0.58293196065410902</v>
      </c>
      <c r="J12" s="140"/>
      <c r="K12" s="125"/>
    </row>
    <row r="13" spans="1:11" x14ac:dyDescent="0.3">
      <c r="A13" s="132">
        <v>2020</v>
      </c>
      <c r="B13" s="132">
        <v>4</v>
      </c>
      <c r="C13" s="133">
        <v>0.441776064560502</v>
      </c>
      <c r="D13" s="134">
        <v>0.50729999999999997</v>
      </c>
      <c r="E13" s="139"/>
      <c r="F13" s="136">
        <v>2.0621</v>
      </c>
      <c r="G13" s="137" t="s">
        <v>197</v>
      </c>
      <c r="H13" s="13">
        <v>2.1652049999999998</v>
      </c>
      <c r="I13" s="381">
        <v>0.58975943021046795</v>
      </c>
      <c r="J13" s="140"/>
      <c r="K13" s="125"/>
    </row>
    <row r="14" spans="1:11" x14ac:dyDescent="0.3">
      <c r="A14" s="132">
        <v>2021</v>
      </c>
      <c r="B14" s="132">
        <v>5</v>
      </c>
      <c r="C14" s="133">
        <v>0.43535705596309598</v>
      </c>
      <c r="D14" s="134">
        <v>0.51759999999999995</v>
      </c>
      <c r="E14" s="139"/>
      <c r="F14" s="136">
        <v>2.5796999999999999</v>
      </c>
      <c r="G14" s="141" t="s">
        <v>198</v>
      </c>
      <c r="H14" s="13">
        <v>2.7731775000000001</v>
      </c>
      <c r="I14" s="381">
        <v>0.61455510299969196</v>
      </c>
      <c r="J14" s="140"/>
      <c r="K14" s="125"/>
    </row>
    <row r="15" spans="1:11" x14ac:dyDescent="0.3">
      <c r="A15" s="132">
        <v>2022</v>
      </c>
      <c r="B15" s="132">
        <v>6</v>
      </c>
      <c r="C15" s="133">
        <v>0.43655277897123201</v>
      </c>
      <c r="D15" s="134">
        <v>0.5373</v>
      </c>
      <c r="E15" s="139"/>
      <c r="F15" s="136">
        <v>3.117</v>
      </c>
      <c r="G15" s="141" t="s">
        <v>198</v>
      </c>
      <c r="H15" s="13">
        <v>3.3507750000000001</v>
      </c>
      <c r="I15" s="381">
        <v>0.629247118316003</v>
      </c>
      <c r="J15" s="140"/>
      <c r="K15" s="125"/>
    </row>
    <row r="16" spans="1:11" x14ac:dyDescent="0.3">
      <c r="A16" s="132">
        <v>2023</v>
      </c>
      <c r="B16" s="132">
        <v>7</v>
      </c>
      <c r="C16" s="133">
        <v>0.41640962145316102</v>
      </c>
      <c r="D16" s="134">
        <v>0.53049999999999997</v>
      </c>
      <c r="E16" s="139"/>
      <c r="F16" s="136">
        <v>3.6475</v>
      </c>
      <c r="G16" s="141" t="s">
        <v>198</v>
      </c>
      <c r="H16" s="13">
        <v>3.9210625000000001</v>
      </c>
      <c r="I16" s="382">
        <v>0.64174689766763904</v>
      </c>
      <c r="J16" s="140"/>
      <c r="K16" s="125"/>
    </row>
    <row r="17" spans="1:11" x14ac:dyDescent="0.3">
      <c r="A17" s="132">
        <v>2024</v>
      </c>
      <c r="B17" s="132">
        <v>8</v>
      </c>
      <c r="C17" s="133">
        <v>0.41561719599766</v>
      </c>
      <c r="D17" s="134">
        <v>0.54810000000000003</v>
      </c>
      <c r="E17" s="139"/>
      <c r="F17" s="136">
        <v>4.1955999999999998</v>
      </c>
      <c r="G17" s="141" t="s">
        <v>198</v>
      </c>
      <c r="H17" s="13">
        <v>4.5102700000000002</v>
      </c>
      <c r="I17" s="381">
        <v>0.65668675188056402</v>
      </c>
      <c r="J17" s="140"/>
      <c r="K17" s="125"/>
    </row>
    <row r="18" spans="1:11" x14ac:dyDescent="0.3">
      <c r="A18" s="132">
        <v>2025</v>
      </c>
      <c r="B18" s="132">
        <v>9</v>
      </c>
      <c r="C18" s="133">
        <v>0.40376293781064299</v>
      </c>
      <c r="D18" s="134">
        <v>0.55120000000000002</v>
      </c>
      <c r="E18" s="139"/>
      <c r="F18" s="136">
        <v>4.7468000000000004</v>
      </c>
      <c r="G18" s="141" t="s">
        <v>198</v>
      </c>
      <c r="H18" s="13">
        <v>5.1028099999999998</v>
      </c>
      <c r="I18" s="381">
        <v>0.671362515855918</v>
      </c>
      <c r="J18" s="140"/>
      <c r="K18" s="125"/>
    </row>
    <row r="19" spans="1:11" x14ac:dyDescent="0.3">
      <c r="A19" s="132">
        <v>2026</v>
      </c>
      <c r="B19" s="132">
        <v>10</v>
      </c>
      <c r="C19" s="133">
        <v>0.39127820142947001</v>
      </c>
      <c r="D19" s="134">
        <v>0.55300000000000005</v>
      </c>
      <c r="E19" s="139"/>
      <c r="F19" s="136">
        <v>5.2998000000000003</v>
      </c>
      <c r="G19" s="137" t="s">
        <v>199</v>
      </c>
      <c r="H19" s="13">
        <v>5.8297800000000004</v>
      </c>
      <c r="I19" s="382">
        <v>0.70168753835864495</v>
      </c>
      <c r="J19" s="140"/>
      <c r="K19" s="125"/>
    </row>
    <row r="20" spans="1:11" x14ac:dyDescent="0.3">
      <c r="A20" s="132">
        <v>2027</v>
      </c>
      <c r="B20" s="132">
        <v>11</v>
      </c>
      <c r="C20" s="133">
        <v>0.38650562335903699</v>
      </c>
      <c r="D20" s="134">
        <v>0.5655</v>
      </c>
      <c r="E20" s="139"/>
      <c r="F20" s="136">
        <v>5.8653000000000004</v>
      </c>
      <c r="G20" s="137" t="s">
        <v>199</v>
      </c>
      <c r="H20" s="13">
        <v>6.4518300000000002</v>
      </c>
      <c r="I20" s="381">
        <v>0.71753017552309395</v>
      </c>
      <c r="J20" s="140"/>
      <c r="K20" s="125"/>
    </row>
    <row r="21" spans="1:11" x14ac:dyDescent="0.3">
      <c r="A21" s="132">
        <v>2028</v>
      </c>
      <c r="B21" s="132">
        <v>12</v>
      </c>
      <c r="C21" s="133">
        <v>0.38791872432986002</v>
      </c>
      <c r="D21" s="134">
        <v>0.58750000000000002</v>
      </c>
      <c r="E21" s="139"/>
      <c r="F21" s="136">
        <v>6.4527999999999999</v>
      </c>
      <c r="G21" s="137" t="s">
        <v>199</v>
      </c>
      <c r="H21" s="13">
        <v>7.0980800000000004</v>
      </c>
      <c r="I21" s="381">
        <v>0.73540219867662504</v>
      </c>
      <c r="J21" s="140"/>
      <c r="K21" s="125"/>
    </row>
    <row r="22" spans="1:11" x14ac:dyDescent="0.3">
      <c r="A22" s="132">
        <v>2029</v>
      </c>
      <c r="B22" s="132">
        <v>13</v>
      </c>
      <c r="C22" s="133">
        <v>0.37595687441032299</v>
      </c>
      <c r="D22" s="134">
        <v>0.58950000000000002</v>
      </c>
      <c r="E22" s="139"/>
      <c r="F22" s="136">
        <v>7.0423</v>
      </c>
      <c r="G22" s="137" t="s">
        <v>199</v>
      </c>
      <c r="H22" s="13">
        <v>7.7465299999999999</v>
      </c>
      <c r="I22" s="381">
        <v>0.75283800222888697</v>
      </c>
      <c r="J22" s="140"/>
      <c r="K22" s="125"/>
    </row>
    <row r="23" spans="1:11" x14ac:dyDescent="0.3">
      <c r="A23" s="132">
        <v>2030</v>
      </c>
      <c r="B23" s="132">
        <v>14</v>
      </c>
      <c r="C23" s="133">
        <v>0.37754185252386102</v>
      </c>
      <c r="D23" s="134">
        <v>0.61280000000000001</v>
      </c>
      <c r="E23" s="139"/>
      <c r="F23" s="136">
        <v>7.6551</v>
      </c>
      <c r="G23" s="137" t="s">
        <v>199</v>
      </c>
      <c r="H23" s="13">
        <v>8.4206099999999999</v>
      </c>
      <c r="I23" s="381">
        <v>0.77211629283704597</v>
      </c>
      <c r="J23" s="140"/>
      <c r="K23" s="125"/>
    </row>
    <row r="24" spans="1:11" x14ac:dyDescent="0.3">
      <c r="A24" s="132">
        <v>2031</v>
      </c>
      <c r="B24" s="132">
        <v>15</v>
      </c>
      <c r="C24" s="133">
        <v>0.37627710978288198</v>
      </c>
      <c r="D24" s="134">
        <v>0.63219999999999998</v>
      </c>
      <c r="E24" s="139"/>
      <c r="F24" s="136">
        <v>8.2873000000000001</v>
      </c>
      <c r="G24" s="141" t="s">
        <v>200</v>
      </c>
      <c r="H24" s="13">
        <v>9.3232125000000003</v>
      </c>
      <c r="I24" s="382">
        <v>0.81064038086745605</v>
      </c>
      <c r="J24" s="140"/>
      <c r="K24" s="125"/>
    </row>
    <row r="25" spans="1:11" x14ac:dyDescent="0.3">
      <c r="A25" s="132">
        <v>2032</v>
      </c>
      <c r="B25" s="132">
        <v>16</v>
      </c>
      <c r="C25" s="133">
        <v>0.36391884754528803</v>
      </c>
      <c r="D25" s="134">
        <v>0.63300000000000001</v>
      </c>
      <c r="E25" s="139"/>
      <c r="F25" s="136">
        <v>8.9202999999999992</v>
      </c>
      <c r="G25" s="141" t="s">
        <v>200</v>
      </c>
      <c r="H25" s="13">
        <v>10.035337500000001</v>
      </c>
      <c r="I25" s="381">
        <v>0.83101695530386399</v>
      </c>
      <c r="J25" s="140"/>
      <c r="K25" s="125"/>
    </row>
    <row r="26" spans="1:11" x14ac:dyDescent="0.3">
      <c r="A26" s="132">
        <v>2033</v>
      </c>
      <c r="B26" s="132">
        <v>17</v>
      </c>
      <c r="C26" s="133">
        <v>0.366788831087001</v>
      </c>
      <c r="D26" s="134">
        <v>0.66039999999999999</v>
      </c>
      <c r="E26" s="139"/>
      <c r="F26" s="136">
        <v>9.5807000000000002</v>
      </c>
      <c r="G26" s="141" t="s">
        <v>200</v>
      </c>
      <c r="H26" s="13">
        <v>10.778287499999999</v>
      </c>
      <c r="I26" s="381">
        <v>0.85329665766642104</v>
      </c>
      <c r="J26" s="140"/>
      <c r="K26" s="125"/>
    </row>
    <row r="27" spans="1:11" x14ac:dyDescent="0.3">
      <c r="A27" s="132">
        <v>2034</v>
      </c>
      <c r="B27" s="132">
        <v>18</v>
      </c>
      <c r="C27" s="133">
        <v>0.35509665531992102</v>
      </c>
      <c r="D27" s="134">
        <v>0.66190000000000004</v>
      </c>
      <c r="E27" s="139"/>
      <c r="F27" s="136">
        <v>10.242599999999999</v>
      </c>
      <c r="G27" s="141" t="s">
        <v>200</v>
      </c>
      <c r="H27" s="13">
        <v>11.522925000000001</v>
      </c>
      <c r="I27" s="381">
        <v>0.87508084147130905</v>
      </c>
      <c r="J27" s="140"/>
      <c r="K27" s="125"/>
    </row>
    <row r="28" spans="1:11" x14ac:dyDescent="0.3">
      <c r="A28" s="132">
        <v>2035</v>
      </c>
      <c r="B28" s="132">
        <v>19</v>
      </c>
      <c r="C28" s="133">
        <v>0.34753485959569602</v>
      </c>
      <c r="D28" s="134">
        <v>0.67059999999999997</v>
      </c>
      <c r="E28" s="139"/>
      <c r="F28" s="136">
        <v>10.9132</v>
      </c>
      <c r="G28" s="141" t="s">
        <v>200</v>
      </c>
      <c r="H28" s="13">
        <v>12.27735</v>
      </c>
      <c r="I28" s="381">
        <v>0.897067740402681</v>
      </c>
      <c r="J28" s="140"/>
      <c r="K28" s="125"/>
    </row>
    <row r="29" spans="1:11" x14ac:dyDescent="0.3">
      <c r="A29" s="132">
        <v>2036</v>
      </c>
      <c r="B29" s="132">
        <v>20</v>
      </c>
      <c r="C29" s="133">
        <v>0.34022516736710201</v>
      </c>
      <c r="D29" s="134">
        <v>0.67959999999999998</v>
      </c>
      <c r="E29" s="139"/>
      <c r="F29" s="136">
        <v>11.5928</v>
      </c>
      <c r="G29" s="141" t="s">
        <v>200</v>
      </c>
      <c r="H29" s="13">
        <v>13.0419</v>
      </c>
      <c r="I29" s="382">
        <v>0.91930355234543903</v>
      </c>
      <c r="J29" s="140"/>
      <c r="K29" s="125"/>
    </row>
    <row r="30" spans="1:11" x14ac:dyDescent="0.3">
      <c r="A30" s="132">
        <v>2037</v>
      </c>
      <c r="B30" s="132">
        <v>21</v>
      </c>
      <c r="C30" s="133">
        <v>0.33189999999999997</v>
      </c>
      <c r="D30" s="134">
        <v>0.68639600000000001</v>
      </c>
      <c r="E30" s="139"/>
      <c r="F30" s="136">
        <v>12.279196000000001</v>
      </c>
      <c r="G30" s="137" t="s">
        <v>201</v>
      </c>
      <c r="H30" s="13">
        <v>14.1210754</v>
      </c>
      <c r="I30" s="381">
        <v>0.96256067436903203</v>
      </c>
      <c r="J30" s="140"/>
      <c r="K30" s="125"/>
    </row>
    <row r="31" spans="1:11" x14ac:dyDescent="0.3">
      <c r="A31" s="132">
        <v>2038</v>
      </c>
      <c r="B31" s="132">
        <v>22</v>
      </c>
      <c r="C31" s="133">
        <v>0.32390000000000002</v>
      </c>
      <c r="D31" s="134">
        <v>0.69325996000000001</v>
      </c>
      <c r="E31" s="139"/>
      <c r="F31" s="136">
        <v>12.97245596</v>
      </c>
      <c r="G31" s="137" t="s">
        <v>201</v>
      </c>
      <c r="H31" s="13">
        <v>14.918324353999999</v>
      </c>
      <c r="I31" s="381">
        <v>0.98552212265613304</v>
      </c>
      <c r="J31" s="140"/>
      <c r="K31" s="125"/>
    </row>
    <row r="32" spans="1:11" x14ac:dyDescent="0.3">
      <c r="A32" s="132">
        <v>2039</v>
      </c>
      <c r="B32" s="132">
        <v>23</v>
      </c>
      <c r="C32" s="133">
        <v>0.316</v>
      </c>
      <c r="D32" s="134">
        <v>0.70019255960000004</v>
      </c>
      <c r="E32" s="139"/>
      <c r="F32" s="136">
        <v>13.672648519599999</v>
      </c>
      <c r="G32" s="137" t="s">
        <v>201</v>
      </c>
      <c r="H32" s="13">
        <v>15.72354579754</v>
      </c>
      <c r="I32" s="381">
        <v>1.0086464310452701</v>
      </c>
      <c r="J32" s="140"/>
      <c r="K32" s="125"/>
    </row>
    <row r="33" spans="1:11" x14ac:dyDescent="0.3">
      <c r="A33" s="132">
        <v>2040</v>
      </c>
      <c r="B33" s="132">
        <v>24</v>
      </c>
      <c r="C33" s="133">
        <v>0.30830000000000002</v>
      </c>
      <c r="D33" s="134">
        <v>0.70719448519600003</v>
      </c>
      <c r="E33" s="139"/>
      <c r="F33" s="136">
        <v>14.379843004795999</v>
      </c>
      <c r="G33" s="137" t="s">
        <v>201</v>
      </c>
      <c r="H33" s="13">
        <v>16.536819455515399</v>
      </c>
      <c r="I33" s="381">
        <v>1.03195880055061</v>
      </c>
      <c r="J33" s="140"/>
      <c r="K33" s="125"/>
    </row>
    <row r="34" spans="1:11" x14ac:dyDescent="0.3">
      <c r="A34" s="132">
        <v>2041</v>
      </c>
      <c r="B34" s="132">
        <v>25</v>
      </c>
      <c r="C34" s="133">
        <v>0.30080000000000001</v>
      </c>
      <c r="D34" s="134">
        <v>0.71426643004795998</v>
      </c>
      <c r="E34" s="139"/>
      <c r="F34" s="136">
        <v>15.094109434844</v>
      </c>
      <c r="G34" s="137" t="s">
        <v>201</v>
      </c>
      <c r="H34" s="13">
        <v>17.3582258500706</v>
      </c>
      <c r="I34" s="381">
        <v>1.0554809412422199</v>
      </c>
      <c r="J34" s="140"/>
      <c r="K34" s="125"/>
    </row>
    <row r="35" spans="1:11" x14ac:dyDescent="0.3">
      <c r="A35" s="132">
        <v>2042</v>
      </c>
      <c r="B35" s="132">
        <v>26</v>
      </c>
      <c r="C35" s="133">
        <v>0.29349999999999998</v>
      </c>
      <c r="D35" s="134">
        <v>0.72140909434844003</v>
      </c>
      <c r="E35" s="139"/>
      <c r="F35" s="136">
        <v>15.815518529192399</v>
      </c>
      <c r="G35" s="141" t="s">
        <v>202</v>
      </c>
      <c r="H35" s="13">
        <v>18.5832342718011</v>
      </c>
      <c r="I35" s="381">
        <v>1.1026933043184499</v>
      </c>
      <c r="J35" s="140"/>
      <c r="K35" s="125"/>
    </row>
    <row r="36" spans="1:11" x14ac:dyDescent="0.3">
      <c r="A36" s="132">
        <v>2043</v>
      </c>
      <c r="B36" s="132">
        <v>27</v>
      </c>
      <c r="C36" s="133">
        <v>0.2863</v>
      </c>
      <c r="D36" s="134">
        <v>0.72862318529192405</v>
      </c>
      <c r="E36" s="139"/>
      <c r="F36" s="136">
        <v>16.544141714484301</v>
      </c>
      <c r="G36" s="141" t="s">
        <v>202</v>
      </c>
      <c r="H36" s="13">
        <v>19.439366514519101</v>
      </c>
      <c r="I36" s="381">
        <v>1.1272110200121499</v>
      </c>
      <c r="J36" s="140"/>
      <c r="K36" s="125"/>
    </row>
    <row r="37" spans="1:11" x14ac:dyDescent="0.3">
      <c r="A37" s="132">
        <v>2044</v>
      </c>
      <c r="B37" s="132">
        <v>28</v>
      </c>
      <c r="C37" s="133">
        <v>0.27929999999999999</v>
      </c>
      <c r="D37" s="134">
        <v>0.73590941714484304</v>
      </c>
      <c r="E37" s="139"/>
      <c r="F37" s="136">
        <v>17.2800511316292</v>
      </c>
      <c r="G37" s="141" t="s">
        <v>202</v>
      </c>
      <c r="H37" s="13">
        <v>20.3040600796643</v>
      </c>
      <c r="I37" s="381">
        <v>1.1519943575740099</v>
      </c>
      <c r="J37" s="140"/>
      <c r="K37" s="125"/>
    </row>
    <row r="38" spans="1:11" x14ac:dyDescent="0.3">
      <c r="A38" s="132">
        <v>2045</v>
      </c>
      <c r="B38" s="132">
        <v>29</v>
      </c>
      <c r="C38" s="133">
        <v>0.27250000000000002</v>
      </c>
      <c r="D38" s="134">
        <v>0.74326851131629201</v>
      </c>
      <c r="E38" s="139"/>
      <c r="F38" s="136">
        <v>18.023319642945498</v>
      </c>
      <c r="G38" s="141" t="s">
        <v>202</v>
      </c>
      <c r="H38" s="13">
        <v>21.177400580460901</v>
      </c>
      <c r="I38" s="381">
        <v>1.1770567561259799</v>
      </c>
      <c r="J38" s="140"/>
      <c r="K38" s="125"/>
    </row>
    <row r="39" spans="1:11" x14ac:dyDescent="0.3">
      <c r="A39" s="132">
        <v>2046</v>
      </c>
      <c r="B39" s="132">
        <v>30</v>
      </c>
      <c r="C39" s="133">
        <v>0.26590000000000003</v>
      </c>
      <c r="D39" s="134">
        <v>0.75070119642945499</v>
      </c>
      <c r="E39" s="139"/>
      <c r="F39" s="136">
        <v>18.774020839374899</v>
      </c>
      <c r="G39" s="141" t="s">
        <v>202</v>
      </c>
      <c r="H39" s="13">
        <v>22.059474486265501</v>
      </c>
      <c r="I39" s="382">
        <v>1.2024103291102399</v>
      </c>
      <c r="J39" s="140"/>
      <c r="K39" s="125"/>
    </row>
    <row r="40" spans="1:11" x14ac:dyDescent="0.3">
      <c r="A40" s="132">
        <v>2047</v>
      </c>
      <c r="B40" s="132">
        <v>31</v>
      </c>
      <c r="C40" s="133">
        <v>0.25940000000000002</v>
      </c>
      <c r="D40" s="134">
        <v>0.75820820839374903</v>
      </c>
      <c r="E40" s="139"/>
      <c r="F40" s="136">
        <v>19.532229047768698</v>
      </c>
      <c r="G40" s="137" t="s">
        <v>203</v>
      </c>
      <c r="H40" s="13">
        <v>23.4386748573224</v>
      </c>
      <c r="I40" s="381">
        <v>1.2541951448828901</v>
      </c>
      <c r="J40" s="140"/>
      <c r="K40" s="125"/>
    </row>
    <row r="41" spans="1:11" x14ac:dyDescent="0.3">
      <c r="A41" s="132">
        <v>2048</v>
      </c>
      <c r="B41" s="132">
        <v>32</v>
      </c>
      <c r="C41" s="133">
        <v>0.25309999999999999</v>
      </c>
      <c r="D41" s="134">
        <v>0.76579029047768699</v>
      </c>
      <c r="E41" s="139"/>
      <c r="F41" s="136">
        <v>20.298019338246299</v>
      </c>
      <c r="G41" s="137" t="s">
        <v>203</v>
      </c>
      <c r="H41" s="13">
        <v>24.357623205895599</v>
      </c>
      <c r="I41" s="381">
        <v>1.2807156499932999</v>
      </c>
      <c r="J41" s="140"/>
      <c r="K41" s="125"/>
    </row>
    <row r="42" spans="1:11" x14ac:dyDescent="0.3">
      <c r="A42" s="132">
        <v>2049</v>
      </c>
      <c r="B42" s="132">
        <v>33</v>
      </c>
      <c r="C42" s="133">
        <v>0.247</v>
      </c>
      <c r="D42" s="134">
        <v>0.77344819338246396</v>
      </c>
      <c r="E42" s="139"/>
      <c r="F42" s="136">
        <v>21.071467531628802</v>
      </c>
      <c r="G42" s="137" t="s">
        <v>203</v>
      </c>
      <c r="H42" s="13">
        <v>25.2857610379546</v>
      </c>
      <c r="I42" s="381">
        <v>1.30756451467569</v>
      </c>
      <c r="J42" s="140"/>
      <c r="K42" s="125"/>
    </row>
    <row r="43" spans="1:11" x14ac:dyDescent="0.3">
      <c r="A43" s="132">
        <v>2050</v>
      </c>
      <c r="B43" s="132">
        <v>34</v>
      </c>
      <c r="C43" s="133">
        <v>0.24099999999999999</v>
      </c>
      <c r="D43" s="134">
        <v>0.78118267531628804</v>
      </c>
      <c r="E43" s="139"/>
      <c r="F43" s="136">
        <v>21.8526502069451</v>
      </c>
      <c r="G43" s="137" t="s">
        <v>203</v>
      </c>
      <c r="H43" s="13">
        <v>26.223180248334099</v>
      </c>
      <c r="I43" s="381">
        <v>1.33475052162326</v>
      </c>
      <c r="J43" s="140"/>
      <c r="K43" s="125"/>
    </row>
    <row r="44" spans="1:11" x14ac:dyDescent="0.3">
      <c r="A44" s="132">
        <v>2051</v>
      </c>
      <c r="B44" s="132">
        <v>35</v>
      </c>
      <c r="C44" s="133">
        <v>0.2351</v>
      </c>
      <c r="D44" s="134">
        <v>0.78899450206945099</v>
      </c>
      <c r="E44" s="139"/>
      <c r="F44" s="136">
        <v>22.6416447090145</v>
      </c>
      <c r="G44" s="137" t="s">
        <v>203</v>
      </c>
      <c r="H44" s="13">
        <v>27.1699736508175</v>
      </c>
      <c r="I44" s="381">
        <v>1.3622818643825101</v>
      </c>
      <c r="J44" s="140"/>
      <c r="K44" s="125"/>
    </row>
    <row r="45" spans="1:11" x14ac:dyDescent="0.3">
      <c r="A45" s="132">
        <v>2052</v>
      </c>
      <c r="B45" s="132">
        <v>36</v>
      </c>
      <c r="C45" s="133">
        <v>0.22939999999999999</v>
      </c>
      <c r="D45" s="134">
        <v>0.79688444709014605</v>
      </c>
      <c r="E45" s="139"/>
      <c r="F45" s="136">
        <v>23.4385291561047</v>
      </c>
      <c r="G45" s="137" t="s">
        <v>203</v>
      </c>
      <c r="H45" s="13">
        <v>28.126234987325599</v>
      </c>
      <c r="I45" s="381">
        <v>1.3901662306967699</v>
      </c>
      <c r="J45" s="140"/>
      <c r="K45" s="125"/>
    </row>
    <row r="46" spans="1:11" x14ac:dyDescent="0.3">
      <c r="A46" s="132">
        <v>2053</v>
      </c>
      <c r="B46" s="132">
        <v>37</v>
      </c>
      <c r="C46" s="133">
        <v>0.2238</v>
      </c>
      <c r="D46" s="134">
        <v>0.80485329156104701</v>
      </c>
      <c r="E46" s="139"/>
      <c r="F46" s="136">
        <v>24.243382447665699</v>
      </c>
      <c r="G46" s="137" t="s">
        <v>203</v>
      </c>
      <c r="H46" s="13">
        <v>29.0920589371989</v>
      </c>
      <c r="I46" s="381">
        <v>1.41841087242749</v>
      </c>
      <c r="J46" s="140"/>
      <c r="K46" s="125"/>
    </row>
    <row r="47" spans="1:11" x14ac:dyDescent="0.3">
      <c r="A47" s="132">
        <v>2054</v>
      </c>
      <c r="B47" s="132">
        <v>38</v>
      </c>
      <c r="C47" s="133">
        <v>0.21829999999999999</v>
      </c>
      <c r="D47" s="134">
        <v>0.81290182447665804</v>
      </c>
      <c r="E47" s="139"/>
      <c r="F47" s="136">
        <v>25.056284272142399</v>
      </c>
      <c r="G47" s="137" t="s">
        <v>203</v>
      </c>
      <c r="H47" s="13">
        <v>30.067541126570902</v>
      </c>
      <c r="I47" s="381">
        <v>1.4470226645295901</v>
      </c>
      <c r="J47" s="140"/>
      <c r="K47" s="125"/>
    </row>
    <row r="48" spans="1:11" x14ac:dyDescent="0.3">
      <c r="A48" s="132">
        <v>2055</v>
      </c>
      <c r="B48" s="132">
        <v>39</v>
      </c>
      <c r="C48" s="133">
        <v>0.21299999999999999</v>
      </c>
      <c r="D48" s="134">
        <v>0.82103084272142401</v>
      </c>
      <c r="E48" s="139"/>
      <c r="F48" s="136">
        <v>25.877315114863801</v>
      </c>
      <c r="G48" s="137" t="s">
        <v>203</v>
      </c>
      <c r="H48" s="13">
        <v>31.052778137836601</v>
      </c>
      <c r="I48" s="381">
        <v>1.4760081550492099</v>
      </c>
      <c r="J48" s="140"/>
      <c r="K48" s="125"/>
    </row>
    <row r="49" spans="1:11" x14ac:dyDescent="0.3">
      <c r="A49" s="132">
        <v>2056</v>
      </c>
      <c r="B49" s="132">
        <v>40</v>
      </c>
      <c r="C49" s="133">
        <v>0.20780000000000001</v>
      </c>
      <c r="D49" s="134">
        <v>0.82924115114863906</v>
      </c>
      <c r="E49" s="139"/>
      <c r="F49" s="136">
        <v>26.706556266012502</v>
      </c>
      <c r="G49" s="137" t="s">
        <v>203</v>
      </c>
      <c r="H49" s="13">
        <v>32.047867519215004</v>
      </c>
      <c r="I49" s="381">
        <v>1.5053736077183399</v>
      </c>
      <c r="J49" s="140"/>
      <c r="K49" s="125"/>
    </row>
    <row r="50" spans="1:11" x14ac:dyDescent="0.3">
      <c r="A50" s="132">
        <v>2057</v>
      </c>
      <c r="B50" s="132">
        <v>41</v>
      </c>
      <c r="C50" s="133">
        <v>0.20280000000000001</v>
      </c>
      <c r="D50" s="134">
        <v>0.83753356266012502</v>
      </c>
      <c r="E50" s="139"/>
      <c r="F50" s="136">
        <v>27.5440898286726</v>
      </c>
      <c r="G50" s="137" t="s">
        <v>203</v>
      </c>
      <c r="H50" s="13">
        <v>33.052907794407098</v>
      </c>
      <c r="I50" s="381">
        <v>1.53512503841349</v>
      </c>
      <c r="J50" s="140"/>
      <c r="K50" s="125"/>
    </row>
    <row r="51" spans="1:11" x14ac:dyDescent="0.3">
      <c r="A51" s="132">
        <v>2058</v>
      </c>
      <c r="B51" s="132">
        <v>42</v>
      </c>
      <c r="C51" s="133">
        <v>0.1978</v>
      </c>
      <c r="D51" s="134">
        <v>0.845908898286726</v>
      </c>
      <c r="E51" s="139"/>
      <c r="F51" s="136">
        <v>28.389998726959298</v>
      </c>
      <c r="G51" s="137" t="s">
        <v>203</v>
      </c>
      <c r="H51" s="13">
        <v>34.067998472351199</v>
      </c>
      <c r="I51" s="381">
        <v>1.5652682465040999</v>
      </c>
      <c r="J51" s="140"/>
      <c r="K51" s="125"/>
    </row>
    <row r="52" spans="1:11" x14ac:dyDescent="0.3">
      <c r="A52" s="132">
        <v>2059</v>
      </c>
      <c r="B52" s="132">
        <v>43</v>
      </c>
      <c r="C52" s="133">
        <v>0.193</v>
      </c>
      <c r="D52" s="134">
        <v>0.85436798726959395</v>
      </c>
      <c r="E52" s="139"/>
      <c r="F52" s="136">
        <v>29.244366714228899</v>
      </c>
      <c r="G52" s="137" t="s">
        <v>203</v>
      </c>
      <c r="H52" s="13">
        <v>35.093240057074702</v>
      </c>
      <c r="I52" s="381">
        <v>1.5958088419255401</v>
      </c>
      <c r="J52" s="140"/>
      <c r="K52" s="125"/>
    </row>
    <row r="53" spans="1:11" x14ac:dyDescent="0.3">
      <c r="A53" s="132">
        <v>2060</v>
      </c>
      <c r="B53" s="132">
        <v>44</v>
      </c>
      <c r="C53" s="133">
        <v>0.1883</v>
      </c>
      <c r="D53" s="134">
        <v>0.86291166714228995</v>
      </c>
      <c r="E53" s="139"/>
      <c r="F53" s="136">
        <v>30.107278381371199</v>
      </c>
      <c r="G53" s="137" t="s">
        <v>203</v>
      </c>
      <c r="H53" s="13">
        <v>36.128734057645403</v>
      </c>
      <c r="I53" s="381">
        <v>1.62675226865943</v>
      </c>
      <c r="J53" s="140"/>
      <c r="K53" s="125"/>
    </row>
    <row r="54" spans="1:11" x14ac:dyDescent="0.3">
      <c r="A54" s="132">
        <v>2061</v>
      </c>
      <c r="B54" s="132">
        <v>45</v>
      </c>
      <c r="C54" s="133">
        <v>0.1837</v>
      </c>
      <c r="D54" s="134">
        <v>0.87154078381371203</v>
      </c>
      <c r="E54" s="139"/>
      <c r="F54" s="136">
        <v>30.978819165184898</v>
      </c>
      <c r="G54" s="137" t="s">
        <v>203</v>
      </c>
      <c r="H54" s="13">
        <v>37.174582998221901</v>
      </c>
      <c r="I54" s="381">
        <v>1.65810382518273</v>
      </c>
      <c r="J54" s="140"/>
      <c r="K54" s="125"/>
    </row>
    <row r="55" spans="1:11" x14ac:dyDescent="0.3">
      <c r="A55" s="125"/>
      <c r="B55" s="125"/>
      <c r="C55" s="125"/>
      <c r="D55" s="125"/>
      <c r="E55" s="125"/>
      <c r="F55" s="125"/>
      <c r="G55" s="125"/>
      <c r="H55" s="125"/>
      <c r="I55" s="125"/>
      <c r="J55" s="125"/>
      <c r="K55" s="125"/>
    </row>
    <row r="56" spans="1:11" x14ac:dyDescent="0.3">
      <c r="A56" s="142" t="s">
        <v>63</v>
      </c>
      <c r="B56" s="125"/>
      <c r="C56" s="125"/>
      <c r="D56" s="125"/>
      <c r="E56" s="143">
        <v>3.5200000000000002E-2</v>
      </c>
      <c r="F56" s="143"/>
      <c r="G56" s="143"/>
      <c r="H56" s="143"/>
      <c r="I56" s="125"/>
      <c r="J56" s="125"/>
      <c r="K56" s="125"/>
    </row>
    <row r="57" spans="1:11" x14ac:dyDescent="0.3">
      <c r="C57" s="126" t="s">
        <v>64</v>
      </c>
      <c r="E57" s="144">
        <v>3.5200000000000002E-2</v>
      </c>
    </row>
    <row r="58" spans="1:11" x14ac:dyDescent="0.3">
      <c r="C58" s="126" t="s">
        <v>65</v>
      </c>
      <c r="E58" s="145">
        <v>3.5200000000000002E-2</v>
      </c>
    </row>
    <row r="59" spans="1:11" x14ac:dyDescent="0.3">
      <c r="C59" s="126" t="s">
        <v>66</v>
      </c>
      <c r="E59" s="146">
        <v>0.01</v>
      </c>
      <c r="F59" s="147" t="s">
        <v>67</v>
      </c>
      <c r="G59" s="147"/>
      <c r="H59" s="147"/>
    </row>
  </sheetData>
  <mergeCells count="4">
    <mergeCell ref="A1:I1"/>
    <mergeCell ref="A2:I2"/>
    <mergeCell ref="A3:I3"/>
    <mergeCell ref="A4:I4"/>
  </mergeCells>
  <phoneticPr fontId="7" type="noConversion"/>
  <pageMargins left="0.75" right="0.75" top="1" bottom="1" header="0.5" footer="0.5"/>
  <pageSetup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C86C0-4864-4761-88B9-0EE29FA9BBB0}">
  <sheetPr>
    <tabColor theme="2" tint="-0.249977111117893"/>
  </sheetPr>
  <dimension ref="A1:I59"/>
  <sheetViews>
    <sheetView zoomScale="80" zoomScaleNormal="80" workbookViewId="0">
      <selection activeCell="G10" sqref="G10"/>
    </sheetView>
  </sheetViews>
  <sheetFormatPr defaultColWidth="10.69921875" defaultRowHeight="12.5" x14ac:dyDescent="0.25"/>
  <cols>
    <col min="1" max="1" width="7.296875" style="265" bestFit="1" customWidth="1"/>
    <col min="2" max="2" width="7.69921875" style="265" bestFit="1" customWidth="1"/>
    <col min="3" max="3" width="18" style="265" customWidth="1"/>
    <col min="4" max="4" width="12.296875" style="265" bestFit="1" customWidth="1"/>
    <col min="5" max="5" width="13.5" style="265" bestFit="1" customWidth="1"/>
    <col min="6" max="6" width="20.296875" style="265" bestFit="1" customWidth="1"/>
    <col min="7" max="7" width="21.796875" style="265" bestFit="1" customWidth="1"/>
    <col min="8" max="8" width="19.296875" style="265" bestFit="1" customWidth="1"/>
    <col min="9" max="16384" width="10.69921875" style="265"/>
  </cols>
  <sheetData>
    <row r="1" spans="1:9" s="253" customFormat="1" ht="13" x14ac:dyDescent="0.3">
      <c r="A1" s="385" t="s">
        <v>2</v>
      </c>
      <c r="B1" s="385"/>
      <c r="C1" s="385"/>
      <c r="D1" s="385"/>
      <c r="E1" s="385"/>
      <c r="F1" s="385"/>
      <c r="G1" s="385"/>
      <c r="H1" s="385"/>
    </row>
    <row r="2" spans="1:9" s="253" customFormat="1" ht="13" x14ac:dyDescent="0.3">
      <c r="A2" s="385" t="s">
        <v>244</v>
      </c>
      <c r="B2" s="385"/>
      <c r="C2" s="385"/>
      <c r="D2" s="385"/>
      <c r="E2" s="385"/>
      <c r="F2" s="385"/>
      <c r="G2" s="385"/>
      <c r="H2" s="385"/>
    </row>
    <row r="3" spans="1:9" s="253" customFormat="1" ht="13" x14ac:dyDescent="0.3">
      <c r="A3" s="385" t="s">
        <v>245</v>
      </c>
      <c r="B3" s="385"/>
      <c r="C3" s="385"/>
      <c r="D3" s="385"/>
      <c r="E3" s="385"/>
      <c r="F3" s="385"/>
      <c r="G3" s="385"/>
      <c r="H3" s="385"/>
    </row>
    <row r="4" spans="1:9" s="253" customFormat="1" ht="13" x14ac:dyDescent="0.3">
      <c r="A4" s="385" t="s">
        <v>46</v>
      </c>
      <c r="B4" s="385"/>
      <c r="C4" s="385"/>
      <c r="D4" s="385"/>
      <c r="E4" s="385"/>
      <c r="F4" s="385"/>
      <c r="G4" s="385"/>
      <c r="H4" s="385"/>
    </row>
    <row r="6" spans="1:9" s="254" customFormat="1" x14ac:dyDescent="0.25">
      <c r="C6" s="254" t="s">
        <v>47</v>
      </c>
      <c r="E6" s="254" t="s">
        <v>48</v>
      </c>
      <c r="F6" s="254" t="s">
        <v>119</v>
      </c>
      <c r="G6" s="254" t="s">
        <v>49</v>
      </c>
    </row>
    <row r="7" spans="1:9" s="254" customFormat="1" x14ac:dyDescent="0.25">
      <c r="C7" s="254" t="s">
        <v>50</v>
      </c>
      <c r="D7" s="254" t="s">
        <v>51</v>
      </c>
      <c r="E7" s="254" t="s">
        <v>9</v>
      </c>
      <c r="F7" s="254" t="s">
        <v>120</v>
      </c>
      <c r="G7" s="254" t="s">
        <v>246</v>
      </c>
      <c r="H7" s="254" t="s">
        <v>52</v>
      </c>
    </row>
    <row r="8" spans="1:9" s="254" customFormat="1" x14ac:dyDescent="0.25">
      <c r="C8" s="254" t="s">
        <v>53</v>
      </c>
      <c r="D8" s="254" t="s">
        <v>53</v>
      </c>
      <c r="E8" s="254" t="s">
        <v>50</v>
      </c>
      <c r="F8" s="254" t="s">
        <v>0</v>
      </c>
      <c r="G8" s="254" t="s">
        <v>55</v>
      </c>
      <c r="H8" s="254" t="s">
        <v>56</v>
      </c>
    </row>
    <row r="9" spans="1:9" s="254" customFormat="1" x14ac:dyDescent="0.25">
      <c r="B9" s="255" t="s">
        <v>57</v>
      </c>
      <c r="C9" s="255" t="s">
        <v>58</v>
      </c>
      <c r="D9" s="255" t="s">
        <v>8</v>
      </c>
      <c r="E9" s="255" t="s">
        <v>60</v>
      </c>
      <c r="F9" s="255"/>
      <c r="G9" s="255" t="s">
        <v>61</v>
      </c>
      <c r="H9" s="255" t="s">
        <v>62</v>
      </c>
    </row>
    <row r="10" spans="1:9" ht="14.5" x14ac:dyDescent="0.35">
      <c r="A10" s="256">
        <v>2015</v>
      </c>
      <c r="B10" s="257">
        <v>1</v>
      </c>
      <c r="C10" s="258">
        <v>0.42</v>
      </c>
      <c r="D10" s="259">
        <v>0.46</v>
      </c>
      <c r="E10" s="260">
        <v>0.42</v>
      </c>
      <c r="F10" s="261">
        <v>0.05</v>
      </c>
      <c r="G10" s="262">
        <v>0.45</v>
      </c>
      <c r="H10" s="263">
        <v>0.46350000000000002</v>
      </c>
      <c r="I10" s="264"/>
    </row>
    <row r="11" spans="1:9" ht="14.5" x14ac:dyDescent="0.35">
      <c r="A11" s="256">
        <v>2016</v>
      </c>
      <c r="B11" s="257">
        <v>2</v>
      </c>
      <c r="C11" s="258">
        <v>0.42</v>
      </c>
      <c r="D11" s="259">
        <v>0.5</v>
      </c>
      <c r="E11" s="260">
        <v>0.84</v>
      </c>
      <c r="F11" s="261">
        <v>0.05</v>
      </c>
      <c r="G11" s="262">
        <v>0.88</v>
      </c>
      <c r="H11" s="263">
        <v>0.4703</v>
      </c>
      <c r="I11" s="266">
        <v>0</v>
      </c>
    </row>
    <row r="12" spans="1:9" ht="14.5" x14ac:dyDescent="0.35">
      <c r="A12" s="256">
        <v>2017</v>
      </c>
      <c r="B12" s="257">
        <v>3</v>
      </c>
      <c r="C12" s="258">
        <v>0.41</v>
      </c>
      <c r="D12" s="259">
        <v>0.53</v>
      </c>
      <c r="E12" s="260">
        <v>1.25</v>
      </c>
      <c r="F12" s="261">
        <v>0.05</v>
      </c>
      <c r="G12" s="262">
        <v>1.32</v>
      </c>
      <c r="H12" s="263">
        <v>0.47549999999999998</v>
      </c>
      <c r="I12" s="266">
        <v>0</v>
      </c>
    </row>
    <row r="13" spans="1:9" ht="14.5" x14ac:dyDescent="0.35">
      <c r="A13" s="256">
        <v>2018</v>
      </c>
      <c r="B13" s="257">
        <v>4</v>
      </c>
      <c r="C13" s="258">
        <v>0.38</v>
      </c>
      <c r="D13" s="259">
        <v>0.53</v>
      </c>
      <c r="E13" s="260">
        <v>1.63</v>
      </c>
      <c r="F13" s="261">
        <v>0.05</v>
      </c>
      <c r="G13" s="262">
        <v>1.72</v>
      </c>
      <c r="H13" s="263">
        <v>0.47460000000000002</v>
      </c>
      <c r="I13" s="266">
        <v>0</v>
      </c>
    </row>
    <row r="14" spans="1:9" ht="13" x14ac:dyDescent="0.3">
      <c r="A14" s="267">
        <v>2019</v>
      </c>
      <c r="B14" s="257">
        <v>5</v>
      </c>
      <c r="C14" s="258">
        <v>0.37</v>
      </c>
      <c r="D14" s="259">
        <v>0.56000000000000005</v>
      </c>
      <c r="E14" s="260">
        <v>2</v>
      </c>
      <c r="F14" s="268">
        <v>7.4999999999999997E-2</v>
      </c>
      <c r="G14" s="262">
        <v>2.15</v>
      </c>
      <c r="H14" s="263">
        <v>0.48570000000000002</v>
      </c>
      <c r="I14" s="266">
        <v>0</v>
      </c>
    </row>
    <row r="15" spans="1:9" ht="14.5" x14ac:dyDescent="0.35">
      <c r="A15" s="256">
        <v>2020</v>
      </c>
      <c r="B15" s="257">
        <v>6</v>
      </c>
      <c r="C15" s="258">
        <v>0.34</v>
      </c>
      <c r="D15" s="259">
        <v>0.56000000000000005</v>
      </c>
      <c r="E15" s="260">
        <v>2.34</v>
      </c>
      <c r="F15" s="268">
        <v>7.4999999999999997E-2</v>
      </c>
      <c r="G15" s="262">
        <v>2.52</v>
      </c>
      <c r="H15" s="263">
        <v>0.48309999999999997</v>
      </c>
      <c r="I15" s="266">
        <v>0</v>
      </c>
    </row>
    <row r="16" spans="1:9" ht="14.5" x14ac:dyDescent="0.35">
      <c r="A16" s="256">
        <v>2021</v>
      </c>
      <c r="B16" s="257">
        <v>7</v>
      </c>
      <c r="C16" s="258">
        <v>0.31</v>
      </c>
      <c r="D16" s="259">
        <v>0.56999999999999995</v>
      </c>
      <c r="E16" s="260">
        <v>2.66</v>
      </c>
      <c r="F16" s="268">
        <v>7.4999999999999997E-2</v>
      </c>
      <c r="G16" s="262">
        <v>2.86</v>
      </c>
      <c r="H16" s="263">
        <v>0.47889999999999999</v>
      </c>
      <c r="I16" s="266">
        <v>0</v>
      </c>
    </row>
    <row r="17" spans="1:9" ht="14.5" x14ac:dyDescent="0.35">
      <c r="A17" s="256">
        <v>2022</v>
      </c>
      <c r="B17" s="257">
        <v>8</v>
      </c>
      <c r="C17" s="258">
        <v>0.31</v>
      </c>
      <c r="D17" s="259">
        <v>0.61</v>
      </c>
      <c r="E17" s="260">
        <v>2.97</v>
      </c>
      <c r="F17" s="268">
        <v>7.4999999999999997E-2</v>
      </c>
      <c r="G17" s="262">
        <v>3.19</v>
      </c>
      <c r="H17" s="263">
        <v>0.47749999999999998</v>
      </c>
      <c r="I17" s="266">
        <v>0</v>
      </c>
    </row>
    <row r="18" spans="1:9" ht="14.5" x14ac:dyDescent="0.35">
      <c r="A18" s="256">
        <v>2023</v>
      </c>
      <c r="B18" s="257">
        <v>9</v>
      </c>
      <c r="C18" s="258">
        <v>0.28999999999999998</v>
      </c>
      <c r="D18" s="259">
        <v>0.63</v>
      </c>
      <c r="E18" s="260">
        <v>3.26</v>
      </c>
      <c r="F18" s="268">
        <v>7.4999999999999997E-2</v>
      </c>
      <c r="G18" s="262">
        <v>3.51</v>
      </c>
      <c r="H18" s="263">
        <v>0.47549999999999998</v>
      </c>
      <c r="I18" s="266">
        <v>0</v>
      </c>
    </row>
    <row r="19" spans="1:9" ht="13" x14ac:dyDescent="0.3">
      <c r="A19" s="267">
        <v>2024</v>
      </c>
      <c r="B19" s="257">
        <v>10</v>
      </c>
      <c r="C19" s="258">
        <v>0.27</v>
      </c>
      <c r="D19" s="259">
        <v>0.63</v>
      </c>
      <c r="E19" s="260">
        <v>3.54</v>
      </c>
      <c r="F19" s="261">
        <v>0.1</v>
      </c>
      <c r="G19" s="262">
        <v>3.89</v>
      </c>
      <c r="H19" s="269">
        <v>0.48359999999999997</v>
      </c>
      <c r="I19" s="266">
        <v>0</v>
      </c>
    </row>
    <row r="20" spans="1:9" ht="14.5" x14ac:dyDescent="0.35">
      <c r="A20" s="256">
        <v>2025</v>
      </c>
      <c r="B20" s="257">
        <v>11</v>
      </c>
      <c r="C20" s="258">
        <v>0.24</v>
      </c>
      <c r="D20" s="259">
        <v>0.61</v>
      </c>
      <c r="E20" s="260">
        <v>3.78</v>
      </c>
      <c r="F20" s="261">
        <v>0.1</v>
      </c>
      <c r="G20" s="262">
        <v>4.16</v>
      </c>
      <c r="H20" s="263">
        <v>0.47889999999999999</v>
      </c>
      <c r="I20" s="266">
        <v>0</v>
      </c>
    </row>
    <row r="21" spans="1:9" ht="14.5" x14ac:dyDescent="0.35">
      <c r="A21" s="256">
        <v>2026</v>
      </c>
      <c r="B21" s="257">
        <v>12</v>
      </c>
      <c r="C21" s="258">
        <v>0.24</v>
      </c>
      <c r="D21" s="259">
        <v>0.65</v>
      </c>
      <c r="E21" s="260">
        <v>4.0199999999999996</v>
      </c>
      <c r="F21" s="261">
        <v>0.1</v>
      </c>
      <c r="G21" s="262">
        <v>4.42</v>
      </c>
      <c r="H21" s="263">
        <v>0.47549999999999998</v>
      </c>
      <c r="I21" s="266">
        <v>0</v>
      </c>
    </row>
    <row r="22" spans="1:9" ht="14.5" x14ac:dyDescent="0.35">
      <c r="A22" s="256">
        <v>2027</v>
      </c>
      <c r="B22" s="257">
        <v>13</v>
      </c>
      <c r="C22" s="258">
        <v>0.23</v>
      </c>
      <c r="D22" s="259">
        <v>0.67</v>
      </c>
      <c r="E22" s="260">
        <v>4.24</v>
      </c>
      <c r="F22" s="261">
        <v>0.1</v>
      </c>
      <c r="G22" s="262">
        <v>4.67</v>
      </c>
      <c r="H22" s="263">
        <v>0.4723</v>
      </c>
      <c r="I22" s="266">
        <v>0</v>
      </c>
    </row>
    <row r="23" spans="1:9" ht="14.5" x14ac:dyDescent="0.35">
      <c r="A23" s="256">
        <v>2028</v>
      </c>
      <c r="B23" s="257">
        <v>14</v>
      </c>
      <c r="C23" s="258">
        <v>0.21</v>
      </c>
      <c r="D23" s="259">
        <v>0.67</v>
      </c>
      <c r="E23" s="260">
        <v>4.45</v>
      </c>
      <c r="F23" s="261">
        <v>0.1</v>
      </c>
      <c r="G23" s="262">
        <v>4.9000000000000004</v>
      </c>
      <c r="H23" s="263">
        <v>0.46870000000000001</v>
      </c>
      <c r="I23" s="266">
        <v>0</v>
      </c>
    </row>
    <row r="24" spans="1:9" ht="14.5" x14ac:dyDescent="0.35">
      <c r="A24" s="256">
        <v>2029</v>
      </c>
      <c r="B24" s="257">
        <v>15</v>
      </c>
      <c r="C24" s="258">
        <v>0.19</v>
      </c>
      <c r="D24" s="259">
        <v>0.66</v>
      </c>
      <c r="E24" s="260">
        <v>4.6399999999999997</v>
      </c>
      <c r="F24" s="268">
        <v>0.125</v>
      </c>
      <c r="G24" s="262">
        <v>5.22</v>
      </c>
      <c r="H24" s="263">
        <v>0.47499999999999998</v>
      </c>
      <c r="I24" s="266">
        <v>0</v>
      </c>
    </row>
    <row r="25" spans="1:9" ht="14.5" x14ac:dyDescent="0.35">
      <c r="A25" s="256">
        <v>2030</v>
      </c>
      <c r="B25" s="257">
        <v>16</v>
      </c>
      <c r="C25" s="258">
        <v>0.18</v>
      </c>
      <c r="D25" s="259">
        <v>0.67</v>
      </c>
      <c r="E25" s="260">
        <v>4.82</v>
      </c>
      <c r="F25" s="268">
        <v>0.125</v>
      </c>
      <c r="G25" s="262">
        <v>5.42</v>
      </c>
      <c r="H25" s="263">
        <v>0.47070000000000001</v>
      </c>
      <c r="I25" s="266">
        <v>0</v>
      </c>
    </row>
    <row r="26" spans="1:9" ht="14.5" x14ac:dyDescent="0.35">
      <c r="A26" s="256">
        <v>2031</v>
      </c>
      <c r="B26" s="257">
        <v>17</v>
      </c>
      <c r="C26" s="258">
        <v>0.15</v>
      </c>
      <c r="D26" s="259">
        <v>0.64</v>
      </c>
      <c r="E26" s="260">
        <v>4.97</v>
      </c>
      <c r="F26" s="268">
        <v>0.125</v>
      </c>
      <c r="G26" s="262">
        <v>5.59</v>
      </c>
      <c r="H26" s="263">
        <v>0.46560000000000001</v>
      </c>
      <c r="I26" s="266">
        <v>0</v>
      </c>
    </row>
    <row r="27" spans="1:9" ht="14.5" x14ac:dyDescent="0.35">
      <c r="A27" s="256">
        <v>2032</v>
      </c>
      <c r="B27" s="257">
        <v>18</v>
      </c>
      <c r="C27" s="258">
        <v>0.14000000000000001</v>
      </c>
      <c r="D27" s="259">
        <v>0.65</v>
      </c>
      <c r="E27" s="260">
        <v>5.1100000000000003</v>
      </c>
      <c r="F27" s="268">
        <v>0.125</v>
      </c>
      <c r="G27" s="262">
        <v>5.75</v>
      </c>
      <c r="H27" s="263">
        <v>0.46060000000000001</v>
      </c>
      <c r="I27" s="266">
        <v>0</v>
      </c>
    </row>
    <row r="28" spans="1:9" ht="14.5" x14ac:dyDescent="0.35">
      <c r="A28" s="256">
        <v>2033</v>
      </c>
      <c r="B28" s="257">
        <v>19</v>
      </c>
      <c r="C28" s="258">
        <v>0.14000000000000001</v>
      </c>
      <c r="D28" s="259">
        <v>0.69</v>
      </c>
      <c r="E28" s="260">
        <v>5.25</v>
      </c>
      <c r="F28" s="268">
        <v>0.125</v>
      </c>
      <c r="G28" s="262">
        <v>5.91</v>
      </c>
      <c r="H28" s="263">
        <v>0.45629999999999998</v>
      </c>
      <c r="I28" s="266">
        <v>0</v>
      </c>
    </row>
    <row r="29" spans="1:9" ht="13" x14ac:dyDescent="0.3">
      <c r="A29" s="267">
        <v>2034</v>
      </c>
      <c r="B29" s="257">
        <v>20</v>
      </c>
      <c r="C29" s="258">
        <v>0.13</v>
      </c>
      <c r="D29" s="259">
        <v>0.69</v>
      </c>
      <c r="E29" s="260">
        <v>5.38</v>
      </c>
      <c r="F29" s="268">
        <v>0.125</v>
      </c>
      <c r="G29" s="262">
        <v>6.05</v>
      </c>
      <c r="H29" s="269">
        <v>0.4521</v>
      </c>
      <c r="I29" s="266">
        <v>0</v>
      </c>
    </row>
    <row r="30" spans="1:9" ht="14.5" x14ac:dyDescent="0.35">
      <c r="A30" s="256">
        <v>2035</v>
      </c>
      <c r="B30" s="257">
        <v>21</v>
      </c>
      <c r="C30" s="258">
        <v>0.12</v>
      </c>
      <c r="D30" s="259">
        <v>0.71</v>
      </c>
      <c r="E30" s="260">
        <v>5.5</v>
      </c>
      <c r="F30" s="261">
        <v>0.15</v>
      </c>
      <c r="G30" s="262">
        <v>6.33</v>
      </c>
      <c r="H30" s="269">
        <v>0.46</v>
      </c>
      <c r="I30" s="266">
        <v>0</v>
      </c>
    </row>
    <row r="31" spans="1:9" ht="14.5" x14ac:dyDescent="0.35">
      <c r="A31" s="256">
        <v>2036</v>
      </c>
      <c r="B31" s="257">
        <v>22</v>
      </c>
      <c r="C31" s="258">
        <v>0.11</v>
      </c>
      <c r="D31" s="259">
        <v>0.72</v>
      </c>
      <c r="E31" s="260">
        <v>5.61</v>
      </c>
      <c r="F31" s="261">
        <v>0.15</v>
      </c>
      <c r="G31" s="262">
        <v>6.46</v>
      </c>
      <c r="H31" s="269">
        <v>0.45</v>
      </c>
      <c r="I31" s="266">
        <v>0</v>
      </c>
    </row>
    <row r="32" spans="1:9" ht="14.5" x14ac:dyDescent="0.35">
      <c r="A32" s="256">
        <v>2037</v>
      </c>
      <c r="B32" s="257">
        <v>23</v>
      </c>
      <c r="C32" s="258">
        <v>0.11</v>
      </c>
      <c r="D32" s="259">
        <v>0.73</v>
      </c>
      <c r="E32" s="260">
        <v>5.72</v>
      </c>
      <c r="F32" s="261">
        <v>0.15</v>
      </c>
      <c r="G32" s="262">
        <v>6.58</v>
      </c>
      <c r="H32" s="269">
        <v>0.45</v>
      </c>
      <c r="I32" s="266">
        <v>0</v>
      </c>
    </row>
    <row r="33" spans="1:9" ht="14.5" x14ac:dyDescent="0.35">
      <c r="A33" s="256">
        <v>2038</v>
      </c>
      <c r="B33" s="257">
        <v>24</v>
      </c>
      <c r="C33" s="258">
        <v>0.1</v>
      </c>
      <c r="D33" s="259">
        <v>0.75</v>
      </c>
      <c r="E33" s="260">
        <v>5.82</v>
      </c>
      <c r="F33" s="261">
        <v>0.15</v>
      </c>
      <c r="G33" s="262">
        <v>6.69</v>
      </c>
      <c r="H33" s="269">
        <v>0.45</v>
      </c>
      <c r="I33" s="266">
        <v>0</v>
      </c>
    </row>
    <row r="34" spans="1:9" ht="14.5" x14ac:dyDescent="0.35">
      <c r="A34" s="256">
        <v>2039</v>
      </c>
      <c r="B34" s="257">
        <v>25</v>
      </c>
      <c r="C34" s="258">
        <v>0.09</v>
      </c>
      <c r="D34" s="259">
        <v>0.76</v>
      </c>
      <c r="E34" s="260">
        <v>5.91</v>
      </c>
      <c r="F34" s="261">
        <v>0.15</v>
      </c>
      <c r="G34" s="262">
        <v>6.8</v>
      </c>
      <c r="H34" s="269">
        <v>0.44</v>
      </c>
      <c r="I34" s="266">
        <v>0</v>
      </c>
    </row>
    <row r="35" spans="1:9" ht="14.5" x14ac:dyDescent="0.35">
      <c r="A35" s="256">
        <v>2040</v>
      </c>
      <c r="B35" s="257">
        <v>26</v>
      </c>
      <c r="C35" s="258">
        <v>0.09</v>
      </c>
      <c r="D35" s="259">
        <v>0.78</v>
      </c>
      <c r="E35" s="260">
        <v>6</v>
      </c>
      <c r="F35" s="268">
        <v>0.17499999999999999</v>
      </c>
      <c r="G35" s="262">
        <v>7.05</v>
      </c>
      <c r="H35" s="269">
        <v>0.45</v>
      </c>
      <c r="I35" s="266">
        <v>0</v>
      </c>
    </row>
    <row r="36" spans="1:9" ht="14.5" x14ac:dyDescent="0.35">
      <c r="A36" s="256">
        <v>2041</v>
      </c>
      <c r="B36" s="257">
        <v>27</v>
      </c>
      <c r="C36" s="258">
        <v>0.08</v>
      </c>
      <c r="D36" s="259">
        <v>0.79</v>
      </c>
      <c r="E36" s="260">
        <v>6.08</v>
      </c>
      <c r="F36" s="268">
        <v>0.17499999999999999</v>
      </c>
      <c r="G36" s="262">
        <v>7.15</v>
      </c>
      <c r="H36" s="269">
        <v>0.45</v>
      </c>
      <c r="I36" s="266">
        <v>0</v>
      </c>
    </row>
    <row r="37" spans="1:9" ht="14.5" x14ac:dyDescent="0.35">
      <c r="A37" s="256">
        <v>2042</v>
      </c>
      <c r="B37" s="257">
        <v>28</v>
      </c>
      <c r="C37" s="258">
        <v>0.08</v>
      </c>
      <c r="D37" s="259">
        <v>0.81</v>
      </c>
      <c r="E37" s="260">
        <v>6.16</v>
      </c>
      <c r="F37" s="268">
        <v>0.17499999999999999</v>
      </c>
      <c r="G37" s="262">
        <v>7.24</v>
      </c>
      <c r="H37" s="269">
        <v>0.44</v>
      </c>
      <c r="I37" s="266">
        <v>0</v>
      </c>
    </row>
    <row r="38" spans="1:9" ht="14.5" x14ac:dyDescent="0.35">
      <c r="A38" s="256">
        <v>2043</v>
      </c>
      <c r="B38" s="257">
        <v>29</v>
      </c>
      <c r="C38" s="258">
        <v>7.0000000000000007E-2</v>
      </c>
      <c r="D38" s="259">
        <v>0.83</v>
      </c>
      <c r="E38" s="260">
        <v>6.23</v>
      </c>
      <c r="F38" s="268">
        <v>0.17499999999999999</v>
      </c>
      <c r="G38" s="262">
        <v>7.32</v>
      </c>
      <c r="H38" s="269">
        <v>0.44</v>
      </c>
      <c r="I38" s="266">
        <v>0</v>
      </c>
    </row>
    <row r="39" spans="1:9" ht="13" x14ac:dyDescent="0.3">
      <c r="A39" s="267">
        <v>2044</v>
      </c>
      <c r="B39" s="257">
        <v>30</v>
      </c>
      <c r="C39" s="258">
        <v>7.0000000000000007E-2</v>
      </c>
      <c r="D39" s="259">
        <v>0.84</v>
      </c>
      <c r="E39" s="260">
        <v>6.3</v>
      </c>
      <c r="F39" s="268">
        <v>0.17499999999999999</v>
      </c>
      <c r="G39" s="262">
        <v>7.4</v>
      </c>
      <c r="H39" s="269">
        <v>0.437</v>
      </c>
      <c r="I39" s="266">
        <v>0</v>
      </c>
    </row>
    <row r="40" spans="1:9" ht="14.5" x14ac:dyDescent="0.35">
      <c r="A40" s="256">
        <v>2045</v>
      </c>
      <c r="B40" s="257">
        <v>31</v>
      </c>
      <c r="C40" s="258">
        <v>0.06</v>
      </c>
      <c r="D40" s="259">
        <v>0.86</v>
      </c>
      <c r="E40" s="260">
        <v>6.36</v>
      </c>
      <c r="F40" s="261">
        <v>0.2</v>
      </c>
      <c r="G40" s="262">
        <v>7.64</v>
      </c>
      <c r="H40" s="269">
        <v>0.44</v>
      </c>
      <c r="I40" s="266">
        <v>0</v>
      </c>
    </row>
    <row r="41" spans="1:9" ht="14.5" x14ac:dyDescent="0.35">
      <c r="A41" s="256">
        <v>2046</v>
      </c>
      <c r="B41" s="257">
        <v>32</v>
      </c>
      <c r="C41" s="258">
        <v>0.06</v>
      </c>
      <c r="D41" s="259">
        <v>0.88</v>
      </c>
      <c r="E41" s="260">
        <v>6.42</v>
      </c>
      <c r="F41" s="261">
        <v>0.2</v>
      </c>
      <c r="G41" s="262">
        <v>7.71</v>
      </c>
      <c r="H41" s="269">
        <v>0.44</v>
      </c>
      <c r="I41" s="266">
        <v>0</v>
      </c>
    </row>
    <row r="42" spans="1:9" ht="14.5" x14ac:dyDescent="0.35">
      <c r="A42" s="256">
        <v>2047</v>
      </c>
      <c r="B42" s="257">
        <v>33</v>
      </c>
      <c r="C42" s="258">
        <v>0.06</v>
      </c>
      <c r="D42" s="259">
        <v>0.89</v>
      </c>
      <c r="E42" s="260">
        <v>6.48</v>
      </c>
      <c r="F42" s="261">
        <v>0.2</v>
      </c>
      <c r="G42" s="262">
        <v>7.78</v>
      </c>
      <c r="H42" s="269">
        <v>0.44</v>
      </c>
      <c r="I42" s="266">
        <v>0</v>
      </c>
    </row>
    <row r="43" spans="1:9" ht="14.5" x14ac:dyDescent="0.35">
      <c r="A43" s="256">
        <v>2048</v>
      </c>
      <c r="B43" s="257">
        <v>34</v>
      </c>
      <c r="C43" s="258">
        <v>0.05</v>
      </c>
      <c r="D43" s="259">
        <v>0.91</v>
      </c>
      <c r="E43" s="260">
        <v>6.53</v>
      </c>
      <c r="F43" s="261">
        <v>0.2</v>
      </c>
      <c r="G43" s="262">
        <v>7.84</v>
      </c>
      <c r="H43" s="269">
        <v>0.44</v>
      </c>
      <c r="I43" s="266">
        <v>0</v>
      </c>
    </row>
    <row r="44" spans="1:9" ht="14.5" x14ac:dyDescent="0.35">
      <c r="A44" s="256">
        <v>2049</v>
      </c>
      <c r="B44" s="257">
        <v>35</v>
      </c>
      <c r="C44" s="258">
        <v>0.05</v>
      </c>
      <c r="D44" s="259">
        <v>0.93</v>
      </c>
      <c r="E44" s="260">
        <v>6.58</v>
      </c>
      <c r="F44" s="261">
        <v>0.2</v>
      </c>
      <c r="G44" s="262">
        <v>7.9</v>
      </c>
      <c r="H44" s="269">
        <v>0.433</v>
      </c>
      <c r="I44" s="266">
        <v>0</v>
      </c>
    </row>
    <row r="45" spans="1:9" ht="14.5" x14ac:dyDescent="0.35">
      <c r="A45" s="256">
        <v>2050</v>
      </c>
      <c r="B45" s="257">
        <v>36</v>
      </c>
      <c r="C45" s="258">
        <v>0.05</v>
      </c>
      <c r="D45" s="259">
        <v>0.95</v>
      </c>
      <c r="E45" s="260">
        <v>6.63</v>
      </c>
      <c r="F45" s="261">
        <v>0.2</v>
      </c>
      <c r="G45" s="262">
        <v>7.95</v>
      </c>
      <c r="H45" s="269">
        <v>0.43</v>
      </c>
      <c r="I45" s="266">
        <v>0</v>
      </c>
    </row>
    <row r="46" spans="1:9" ht="14.5" x14ac:dyDescent="0.35">
      <c r="A46" s="256">
        <v>2051</v>
      </c>
      <c r="B46" s="257">
        <v>37</v>
      </c>
      <c r="C46" s="258">
        <v>0.04</v>
      </c>
      <c r="D46" s="259">
        <v>0.97</v>
      </c>
      <c r="E46" s="260">
        <v>6.67</v>
      </c>
      <c r="F46" s="261">
        <v>0.2</v>
      </c>
      <c r="G46" s="262">
        <v>8.01</v>
      </c>
      <c r="H46" s="269">
        <v>0.43</v>
      </c>
      <c r="I46" s="266">
        <v>0</v>
      </c>
    </row>
    <row r="47" spans="1:9" ht="14.5" x14ac:dyDescent="0.35">
      <c r="A47" s="256">
        <v>2052</v>
      </c>
      <c r="B47" s="257">
        <v>38</v>
      </c>
      <c r="C47" s="258">
        <v>0.04</v>
      </c>
      <c r="D47" s="259">
        <v>0.99</v>
      </c>
      <c r="E47" s="260">
        <v>6.71</v>
      </c>
      <c r="F47" s="261">
        <v>0.2</v>
      </c>
      <c r="G47" s="262">
        <v>8.0500000000000007</v>
      </c>
      <c r="H47" s="269">
        <v>0.43</v>
      </c>
      <c r="I47" s="266">
        <v>0</v>
      </c>
    </row>
    <row r="48" spans="1:9" ht="14.5" x14ac:dyDescent="0.35">
      <c r="A48" s="256">
        <v>2053</v>
      </c>
      <c r="B48" s="257">
        <v>39</v>
      </c>
      <c r="C48" s="258">
        <v>0.04</v>
      </c>
      <c r="D48" s="259">
        <v>1.01</v>
      </c>
      <c r="E48" s="260">
        <v>6.75</v>
      </c>
      <c r="F48" s="261">
        <v>0.2</v>
      </c>
      <c r="G48" s="262">
        <v>8.1</v>
      </c>
      <c r="H48" s="269">
        <v>0.42</v>
      </c>
      <c r="I48" s="266">
        <v>0</v>
      </c>
    </row>
    <row r="49" spans="1:9" ht="13" x14ac:dyDescent="0.3">
      <c r="A49" s="267">
        <v>2054</v>
      </c>
      <c r="B49" s="257">
        <v>40</v>
      </c>
      <c r="C49" s="258">
        <v>0.04</v>
      </c>
      <c r="D49" s="259">
        <v>1.03</v>
      </c>
      <c r="E49" s="260">
        <v>6.79</v>
      </c>
      <c r="F49" s="261">
        <v>0.2</v>
      </c>
      <c r="G49" s="262">
        <v>8.14</v>
      </c>
      <c r="H49" s="269">
        <v>0.4219</v>
      </c>
      <c r="I49" s="266">
        <v>0</v>
      </c>
    </row>
    <row r="50" spans="1:9" ht="14.5" x14ac:dyDescent="0.35">
      <c r="A50" s="256">
        <v>2055</v>
      </c>
      <c r="B50" s="257">
        <v>41</v>
      </c>
      <c r="C50" s="258">
        <v>0.03</v>
      </c>
      <c r="D50" s="259">
        <v>1.05</v>
      </c>
      <c r="E50" s="260">
        <v>6.82</v>
      </c>
      <c r="F50" s="261">
        <v>0.2</v>
      </c>
      <c r="G50" s="262">
        <v>8.18</v>
      </c>
      <c r="H50" s="269">
        <v>0.42</v>
      </c>
      <c r="I50" s="266">
        <v>0</v>
      </c>
    </row>
    <row r="51" spans="1:9" ht="14.5" x14ac:dyDescent="0.35">
      <c r="A51" s="256">
        <v>2056</v>
      </c>
      <c r="B51" s="257">
        <v>42</v>
      </c>
      <c r="C51" s="258">
        <v>0.03</v>
      </c>
      <c r="D51" s="259">
        <v>1.07</v>
      </c>
      <c r="E51" s="260">
        <v>6.85</v>
      </c>
      <c r="F51" s="261">
        <v>0.2</v>
      </c>
      <c r="G51" s="262">
        <v>8.2200000000000006</v>
      </c>
      <c r="H51" s="269">
        <v>0.42</v>
      </c>
      <c r="I51" s="266">
        <v>0</v>
      </c>
    </row>
    <row r="52" spans="1:9" ht="14.5" x14ac:dyDescent="0.35">
      <c r="A52" s="256">
        <v>2057</v>
      </c>
      <c r="B52" s="257">
        <v>43</v>
      </c>
      <c r="C52" s="258">
        <v>0.03</v>
      </c>
      <c r="D52" s="259">
        <v>1.0900000000000001</v>
      </c>
      <c r="E52" s="260">
        <v>6.88</v>
      </c>
      <c r="F52" s="261">
        <v>0.2</v>
      </c>
      <c r="G52" s="262">
        <v>8.26</v>
      </c>
      <c r="H52" s="269">
        <v>0.42</v>
      </c>
      <c r="I52" s="266">
        <v>0</v>
      </c>
    </row>
    <row r="53" spans="1:9" ht="14.5" x14ac:dyDescent="0.35">
      <c r="A53" s="256">
        <v>2058</v>
      </c>
      <c r="B53" s="257">
        <v>44</v>
      </c>
      <c r="C53" s="258">
        <v>0.03</v>
      </c>
      <c r="D53" s="259">
        <v>1.1100000000000001</v>
      </c>
      <c r="E53" s="260">
        <v>6.91</v>
      </c>
      <c r="F53" s="261">
        <v>0.2</v>
      </c>
      <c r="G53" s="262">
        <v>8.2899999999999991</v>
      </c>
      <c r="H53" s="269">
        <v>0.41</v>
      </c>
      <c r="I53" s="266">
        <v>0</v>
      </c>
    </row>
    <row r="54" spans="1:9" ht="14.5" x14ac:dyDescent="0.35">
      <c r="A54" s="256">
        <v>2059</v>
      </c>
      <c r="B54" s="257">
        <v>45</v>
      </c>
      <c r="C54" s="258">
        <v>0.03</v>
      </c>
      <c r="D54" s="259">
        <v>1.1299999999999999</v>
      </c>
      <c r="E54" s="260">
        <v>6.93</v>
      </c>
      <c r="F54" s="261">
        <v>0.2</v>
      </c>
      <c r="G54" s="262">
        <v>8.32</v>
      </c>
      <c r="H54" s="269">
        <v>0.41260000000000002</v>
      </c>
      <c r="I54" s="266">
        <v>0</v>
      </c>
    </row>
    <row r="56" spans="1:9" ht="13" x14ac:dyDescent="0.3">
      <c r="A56" s="270" t="s">
        <v>63</v>
      </c>
      <c r="E56" s="271"/>
      <c r="F56" s="271"/>
      <c r="G56" s="271"/>
    </row>
    <row r="57" spans="1:9" x14ac:dyDescent="0.25">
      <c r="C57" s="265" t="s">
        <v>64</v>
      </c>
      <c r="E57" s="271">
        <v>8.6699999999999999E-2</v>
      </c>
    </row>
    <row r="58" spans="1:9" x14ac:dyDescent="0.25">
      <c r="C58" s="265" t="s">
        <v>65</v>
      </c>
      <c r="E58" s="272">
        <v>4.1700000000000001E-2</v>
      </c>
    </row>
    <row r="59" spans="1:9" x14ac:dyDescent="0.25">
      <c r="C59" s="265" t="s">
        <v>66</v>
      </c>
      <c r="E59" s="273">
        <v>0.02</v>
      </c>
      <c r="F59" s="274" t="s">
        <v>67</v>
      </c>
      <c r="G59" s="274"/>
    </row>
  </sheetData>
  <mergeCells count="4">
    <mergeCell ref="A1:H1"/>
    <mergeCell ref="A2:H2"/>
    <mergeCell ref="A3:H3"/>
    <mergeCell ref="A4:H4"/>
  </mergeCells>
  <pageMargins left="0.75" right="0.75" top="1" bottom="1" header="0.5" footer="0.5"/>
  <pageSetup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G22"/>
  <sheetViews>
    <sheetView workbookViewId="0">
      <selection activeCell="B31" sqref="B31"/>
    </sheetView>
  </sheetViews>
  <sheetFormatPr defaultRowHeight="13" x14ac:dyDescent="0.3"/>
  <cols>
    <col min="1" max="1" width="19.5" bestFit="1" customWidth="1"/>
    <col min="2" max="2" width="44.5" bestFit="1" customWidth="1"/>
    <col min="3" max="3" width="41.296875" bestFit="1" customWidth="1"/>
    <col min="7" max="7" width="9.69921875" bestFit="1" customWidth="1"/>
  </cols>
  <sheetData>
    <row r="3" spans="1:7" x14ac:dyDescent="0.3">
      <c r="A3" s="195"/>
      <c r="B3" s="196"/>
      <c r="C3" s="197"/>
    </row>
    <row r="4" spans="1:7" x14ac:dyDescent="0.3">
      <c r="A4" s="198"/>
      <c r="B4" s="199"/>
      <c r="C4" s="200"/>
    </row>
    <row r="5" spans="1:7" x14ac:dyDescent="0.3">
      <c r="A5" s="198"/>
      <c r="B5" s="199"/>
      <c r="C5" s="200"/>
      <c r="G5" s="173"/>
    </row>
    <row r="6" spans="1:7" x14ac:dyDescent="0.3">
      <c r="A6" s="198"/>
      <c r="B6" s="199"/>
      <c r="C6" s="200"/>
    </row>
    <row r="7" spans="1:7" x14ac:dyDescent="0.3">
      <c r="A7" s="198"/>
      <c r="B7" s="199"/>
      <c r="C7" s="200"/>
    </row>
    <row r="8" spans="1:7" x14ac:dyDescent="0.3">
      <c r="A8" s="198"/>
      <c r="B8" s="199"/>
      <c r="C8" s="200"/>
    </row>
    <row r="9" spans="1:7" x14ac:dyDescent="0.3">
      <c r="A9" s="198"/>
      <c r="B9" s="199"/>
      <c r="C9" s="200"/>
    </row>
    <row r="10" spans="1:7" x14ac:dyDescent="0.3">
      <c r="A10" s="198"/>
      <c r="B10" s="199"/>
      <c r="C10" s="200"/>
    </row>
    <row r="11" spans="1:7" x14ac:dyDescent="0.3">
      <c r="A11" s="198"/>
      <c r="B11" s="199"/>
      <c r="C11" s="200"/>
    </row>
    <row r="12" spans="1:7" x14ac:dyDescent="0.3">
      <c r="A12" s="198"/>
      <c r="B12" s="199"/>
      <c r="C12" s="200"/>
    </row>
    <row r="13" spans="1:7" x14ac:dyDescent="0.3">
      <c r="A13" s="198"/>
      <c r="B13" s="199"/>
      <c r="C13" s="200"/>
    </row>
    <row r="14" spans="1:7" x14ac:dyDescent="0.3">
      <c r="A14" s="198"/>
      <c r="B14" s="199"/>
      <c r="C14" s="200"/>
    </row>
    <row r="15" spans="1:7" x14ac:dyDescent="0.3">
      <c r="A15" s="198"/>
      <c r="B15" s="199"/>
      <c r="C15" s="200"/>
    </row>
    <row r="16" spans="1:7" x14ac:dyDescent="0.3">
      <c r="A16" s="198"/>
      <c r="B16" s="199"/>
      <c r="C16" s="200"/>
    </row>
    <row r="17" spans="1:3" x14ac:dyDescent="0.3">
      <c r="A17" s="198"/>
      <c r="B17" s="199"/>
      <c r="C17" s="200"/>
    </row>
    <row r="18" spans="1:3" x14ac:dyDescent="0.3">
      <c r="A18" s="198"/>
      <c r="B18" s="199"/>
      <c r="C18" s="200"/>
    </row>
    <row r="19" spans="1:3" x14ac:dyDescent="0.3">
      <c r="A19" s="198"/>
      <c r="B19" s="199"/>
      <c r="C19" s="200"/>
    </row>
    <row r="20" spans="1:3" x14ac:dyDescent="0.3">
      <c r="A20" s="201"/>
      <c r="B20" s="202"/>
      <c r="C20" s="203"/>
    </row>
    <row r="22" spans="1:3" x14ac:dyDescent="0.3">
      <c r="B22" s="120"/>
      <c r="C22" s="8"/>
    </row>
  </sheetData>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23"/>
  <sheetViews>
    <sheetView workbookViewId="0">
      <selection activeCell="K19" sqref="K19"/>
    </sheetView>
  </sheetViews>
  <sheetFormatPr defaultColWidth="9.296875" defaultRowHeight="13" x14ac:dyDescent="0.3"/>
  <cols>
    <col min="1" max="1" width="9.296875" style="120"/>
    <col min="2" max="2" width="18.5" style="120" bestFit="1" customWidth="1"/>
    <col min="3" max="3" width="12.69921875" style="120" bestFit="1" customWidth="1"/>
    <col min="4" max="16384" width="9.296875" style="120"/>
  </cols>
  <sheetData>
    <row r="2" spans="2:3" x14ac:dyDescent="0.3">
      <c r="B2" s="8" t="s">
        <v>146</v>
      </c>
      <c r="C2" s="8" t="s">
        <v>147</v>
      </c>
    </row>
    <row r="3" spans="2:3" x14ac:dyDescent="0.3">
      <c r="B3" s="120" t="s">
        <v>102</v>
      </c>
      <c r="C3" s="120" t="e">
        <f>SUMIFS(#REF!,#REF!,Table1[[#This Row],[Measures]])</f>
        <v>#REF!</v>
      </c>
    </row>
    <row r="4" spans="2:3" x14ac:dyDescent="0.3">
      <c r="B4" s="120" t="s">
        <v>141</v>
      </c>
      <c r="C4" s="120" t="e">
        <f>SUMIFS(#REF!,#REF!,Table1[[#This Row],[Measures]])</f>
        <v>#REF!</v>
      </c>
    </row>
    <row r="5" spans="2:3" x14ac:dyDescent="0.3">
      <c r="B5" s="120" t="s">
        <v>142</v>
      </c>
      <c r="C5" s="120" t="e">
        <f>SUMIFS(#REF!,#REF!,Table1[[#This Row],[Measures]])</f>
        <v>#REF!</v>
      </c>
    </row>
    <row r="6" spans="2:3" x14ac:dyDescent="0.3">
      <c r="B6" s="120" t="s">
        <v>93</v>
      </c>
      <c r="C6" s="120" t="e">
        <f>SUMIFS(#REF!,#REF!,Table1[[#This Row],[Measures]])</f>
        <v>#REF!</v>
      </c>
    </row>
    <row r="7" spans="2:3" x14ac:dyDescent="0.3">
      <c r="B7" s="120" t="s">
        <v>117</v>
      </c>
      <c r="C7" s="120" t="e">
        <f>SUMIFS(#REF!,#REF!,Table1[[#This Row],[Measures]])</f>
        <v>#REF!</v>
      </c>
    </row>
    <row r="8" spans="2:3" x14ac:dyDescent="0.3">
      <c r="B8" s="120" t="s">
        <v>92</v>
      </c>
      <c r="C8" s="120" t="e">
        <f>SUMIFS(#REF!,#REF!,Table1[[#This Row],[Measures]])</f>
        <v>#REF!</v>
      </c>
    </row>
    <row r="9" spans="2:3" x14ac:dyDescent="0.3">
      <c r="B9" s="120" t="s">
        <v>95</v>
      </c>
      <c r="C9" s="120" t="e">
        <f>SUMIFS(#REF!,#REF!,Table1[[#This Row],[Measures]])</f>
        <v>#REF!</v>
      </c>
    </row>
    <row r="10" spans="2:3" x14ac:dyDescent="0.3">
      <c r="B10" s="120" t="s">
        <v>104</v>
      </c>
      <c r="C10" s="120" t="e">
        <f>SUMIFS(#REF!,#REF!,Table1[[#This Row],[Measures]])</f>
        <v>#REF!</v>
      </c>
    </row>
    <row r="11" spans="2:3" x14ac:dyDescent="0.3">
      <c r="B11" s="120" t="s">
        <v>100</v>
      </c>
      <c r="C11" s="120" t="e">
        <f>SUMIFS(#REF!,#REF!,Table1[[#This Row],[Measures]])</f>
        <v>#REF!</v>
      </c>
    </row>
    <row r="12" spans="2:3" x14ac:dyDescent="0.3">
      <c r="B12" s="120" t="s">
        <v>145</v>
      </c>
      <c r="C12" s="120" t="e">
        <f>SUMIFS(#REF!,#REF!,Table1[[#This Row],[Measures]])</f>
        <v>#REF!</v>
      </c>
    </row>
    <row r="13" spans="2:3" x14ac:dyDescent="0.3">
      <c r="B13" s="120" t="s">
        <v>97</v>
      </c>
      <c r="C13" s="120" t="e">
        <f>SUMIFS(#REF!,#REF!,Table1[[#This Row],[Measures]])</f>
        <v>#REF!</v>
      </c>
    </row>
    <row r="14" spans="2:3" x14ac:dyDescent="0.3">
      <c r="B14" s="120" t="s">
        <v>94</v>
      </c>
      <c r="C14" s="120" t="e">
        <f>SUMIFS(#REF!,#REF!,Table1[[#This Row],[Measures]])</f>
        <v>#REF!</v>
      </c>
    </row>
    <row r="15" spans="2:3" x14ac:dyDescent="0.3">
      <c r="B15" s="120" t="s">
        <v>98</v>
      </c>
      <c r="C15" s="120" t="e">
        <f>SUMIFS(#REF!,#REF!,Table1[[#This Row],[Measures]])</f>
        <v>#REF!</v>
      </c>
    </row>
    <row r="16" spans="2:3" x14ac:dyDescent="0.3">
      <c r="B16" s="120" t="s">
        <v>140</v>
      </c>
      <c r="C16" s="120" t="e">
        <f>SUMIFS(#REF!,#REF!,Table1[[#This Row],[Measures]])</f>
        <v>#REF!</v>
      </c>
    </row>
    <row r="17" spans="2:3" x14ac:dyDescent="0.3">
      <c r="B17" s="120" t="s">
        <v>144</v>
      </c>
      <c r="C17" s="120" t="e">
        <f>SUMIFS(#REF!,#REF!,Table1[[#This Row],[Measures]])</f>
        <v>#REF!</v>
      </c>
    </row>
    <row r="18" spans="2:3" x14ac:dyDescent="0.3">
      <c r="B18" s="120" t="s">
        <v>143</v>
      </c>
      <c r="C18" s="120" t="e">
        <f>SUMIFS(#REF!,#REF!,Table1[[#This Row],[Measures]])</f>
        <v>#REF!</v>
      </c>
    </row>
    <row r="19" spans="2:3" x14ac:dyDescent="0.3">
      <c r="B19" s="120" t="s">
        <v>96</v>
      </c>
      <c r="C19" s="120" t="e">
        <f>SUMIFS(#REF!,#REF!,Table1[[#This Row],[Measures]])</f>
        <v>#REF!</v>
      </c>
    </row>
    <row r="20" spans="2:3" x14ac:dyDescent="0.3">
      <c r="B20" s="120" t="s">
        <v>105</v>
      </c>
      <c r="C20" s="120" t="e">
        <f>SUMIFS(#REF!,#REF!,Table1[[#This Row],[Measures]])</f>
        <v>#REF!</v>
      </c>
    </row>
    <row r="21" spans="2:3" x14ac:dyDescent="0.3">
      <c r="B21" s="120" t="s">
        <v>99</v>
      </c>
      <c r="C21" s="120" t="e">
        <f>SUMIFS(#REF!,#REF!,Table1[[#This Row],[Measures]])</f>
        <v>#REF!</v>
      </c>
    </row>
    <row r="22" spans="2:3" x14ac:dyDescent="0.3">
      <c r="B22" s="120" t="s">
        <v>103</v>
      </c>
      <c r="C22" s="120" t="e">
        <f>SUMIFS(#REF!,#REF!,Table1[[#This Row],[Measures]])</f>
        <v>#REF!</v>
      </c>
    </row>
    <row r="23" spans="2:3" x14ac:dyDescent="0.3">
      <c r="C23" s="121" t="e">
        <f>SUBTOTAL(109,Table1[Incentive])</f>
        <v>#REF!</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81AE1401FA4E4FBC5F5EFBF8788DA6" ma:contentTypeVersion="104" ma:contentTypeDescription="" ma:contentTypeScope="" ma:versionID="b0380cf0b5ebc53d14855c9d6ca6dd8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2016-11-30T08:00:00+00:00</OpenedDate>
    <SignificantOrder xmlns="dc463f71-b30c-4ab2-9473-d307f9d35888">false</SignificantOrder>
    <Date1 xmlns="dc463f71-b30c-4ab2-9473-d307f9d35888">2018-05-31T07:00:00+00:00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161253</DocketNumber>
    <DelegatedOrder xmlns="dc463f71-b30c-4ab2-9473-d307f9d35888">false</DelegatedOrder>
  </documentManagement>
</p:properties>
</file>

<file path=customXml/itemProps1.xml><?xml version="1.0" encoding="utf-8"?>
<ds:datastoreItem xmlns:ds="http://schemas.openxmlformats.org/officeDocument/2006/customXml" ds:itemID="{50965C23-4D93-4B84-882F-0539CA531ABF}"/>
</file>

<file path=customXml/itemProps2.xml><?xml version="1.0" encoding="utf-8"?>
<ds:datastoreItem xmlns:ds="http://schemas.openxmlformats.org/officeDocument/2006/customXml" ds:itemID="{5FA395B3-FE2D-4DA5-9AD5-FB3B3C6AC276}"/>
</file>

<file path=customXml/itemProps3.xml><?xml version="1.0" encoding="utf-8"?>
<ds:datastoreItem xmlns:ds="http://schemas.openxmlformats.org/officeDocument/2006/customXml" ds:itemID="{B20E98A2-517D-47BF-869E-DF280ABE61B3}"/>
</file>

<file path=customXml/itemProps4.xml><?xml version="1.0" encoding="utf-8"?>
<ds:datastoreItem xmlns:ds="http://schemas.openxmlformats.org/officeDocument/2006/customXml" ds:itemID="{99836839-FE4E-4274-B5D4-AC39626C37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TOTAL FIRST YEAR</vt:lpstr>
      <vt:lpstr>2016 Avoided Costs</vt:lpstr>
      <vt:lpstr>2014 Avoided Costs</vt:lpstr>
      <vt:lpstr>Pivot</vt:lpstr>
      <vt:lpstr>Sheet1</vt:lpstr>
      <vt:lpstr>'2014 Avoided Costs'!AC</vt:lpstr>
      <vt:lpstr>AC</vt:lpstr>
      <vt:lpstr>'TOTAL FIRST YEAR'!OffsetAnchor</vt:lpstr>
      <vt:lpstr>'TOTAL FIRST YEAR'!Print_Area</vt:lpstr>
    </vt:vector>
  </TitlesOfParts>
  <Company>An MDU Resources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keywords/>
  <cp:lastModifiedBy>Cascade Natural Gas</cp:lastModifiedBy>
  <cp:lastPrinted>2017-01-26T18:03:28Z</cp:lastPrinted>
  <dcterms:created xsi:type="dcterms:W3CDTF">2009-05-07T23:09:45Z</dcterms:created>
  <dcterms:modified xsi:type="dcterms:W3CDTF">2018-05-25T18:21:37Z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ensitivityID">
    <vt:lpwstr>0</vt:lpwstr>
  </property>
  <property fmtid="{D5CDD505-2E9C-101B-9397-08002B2CF9AE}" pid="3" name="LM SIP Document Sensitivity">
    <vt:lpwstr/>
  </property>
  <property fmtid="{D5CDD505-2E9C-101B-9397-08002B2CF9AE}" pid="4" name="Document Author">
    <vt:lpwstr>ACCT04\farnswb2</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false</vt:bool>
  </property>
  <property fmtid="{D5CDD505-2E9C-101B-9397-08002B2CF9AE}" pid="10" name="Allow Footer Overwrite">
    <vt:bool>false</vt:bool>
  </property>
  <property fmtid="{D5CDD505-2E9C-101B-9397-08002B2CF9AE}" pid="11" name="Multiple Selected">
    <vt:lpwstr>-1</vt:lpwstr>
  </property>
  <property fmtid="{D5CDD505-2E9C-101B-9397-08002B2CF9AE}" pid="12" name="SIPLongWording">
    <vt:lpwstr/>
  </property>
  <property fmtid="{D5CDD505-2E9C-101B-9397-08002B2CF9AE}" pid="13" name="checkedProgramsCount">
    <vt:i4>0</vt:i4>
  </property>
  <property fmtid="{D5CDD505-2E9C-101B-9397-08002B2CF9AE}" pid="14" name="ExpCountry">
    <vt:lpwstr/>
  </property>
  <property fmtid="{D5CDD505-2E9C-101B-9397-08002B2CF9AE}" pid="15" name="ContentTypeId">
    <vt:lpwstr>0x0101006E56B4D1795A2E4DB2F0B01679ED314A00AF81AE1401FA4E4FBC5F5EFBF8788DA6</vt:lpwstr>
  </property>
  <property fmtid="{D5CDD505-2E9C-101B-9397-08002B2CF9AE}" pid="16" name="_docset_NoMedatataSyncRequired">
    <vt:lpwstr>False</vt:lpwstr>
  </property>
  <property fmtid="{D5CDD505-2E9C-101B-9397-08002B2CF9AE}" pid="17" name="IsEFSEC">
    <vt:bool>false</vt:bool>
  </property>
</Properties>
</file>