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externalLinks/externalLink1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14.xml" ContentType="application/vnd.openxmlformats-officedocument.spreadsheetml.externalLink+xml"/>
  <Override PartName="/xl/comments5.xml" ContentType="application/vnd.openxmlformats-officedocument.spreadsheetml.comments+xml"/>
  <Override PartName="/xl/comments3.xml" ContentType="application/vnd.openxmlformats-officedocument.spreadsheetml.comments+xml"/>
  <Override PartName="/xl/externalLinks/externalLink1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externalLinks/externalLink8.xml" ContentType="application/vnd.openxmlformats-officedocument.spreadsheetml.externalLink+xml"/>
  <Override PartName="/xl/comments1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9.xml" ContentType="application/vnd.openxmlformats-officedocument.spreadsheetml.comments+xml"/>
  <Override PartName="/xl/externalLinks/externalLink12.xml" ContentType="application/vnd.openxmlformats-officedocument.spreadsheetml.externalLink+xml"/>
  <Override PartName="/xl/comments7.xml" ContentType="application/vnd.openxmlformats-officedocument.spreadsheetml.comments+xml"/>
  <Override PartName="/xl/externalLinks/externalLink11.xml" ContentType="application/vnd.openxmlformats-officedocument.spreadsheetml.externalLink+xml"/>
  <Override PartName="/xl/comments8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2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8195" windowHeight="10560"/>
  </bookViews>
  <sheets>
    <sheet name="Schedule 1 Results of Operation" sheetId="19" r:id="rId1"/>
    <sheet name="Schedule 2 Restated" sheetId="21" r:id="rId2"/>
    <sheet name="Schedule 3 Pro forma" sheetId="22" r:id="rId3"/>
    <sheet name="Schedule 4 R-1A, R-10" sheetId="24" r:id="rId4"/>
    <sheet name="Schedule 4, R-6D" sheetId="10" r:id="rId5"/>
    <sheet name="Schedule 4, R-6E" sheetId="11" r:id="rId6"/>
    <sheet name="Schedule 4, R-6G pg 1 " sheetId="12" r:id="rId7"/>
    <sheet name="Schedule 4, R-6G pg 2" sheetId="13" r:id="rId8"/>
    <sheet name="Schedule 4, R-6H" sheetId="16" r:id="rId9"/>
    <sheet name="Schedule 4, R-8 and R-9" sheetId="6" r:id="rId10"/>
    <sheet name="Schedule 4, RC-1A" sheetId="14" r:id="rId11"/>
    <sheet name="Schedule 4, RC-1, RC-1A" sheetId="7" r:id="rId12"/>
    <sheet name="Schedule 5, P-1A" sheetId="5" r:id="rId13"/>
    <sheet name="Schedule 5, P-2 and P-3" sheetId="23" r:id="rId14"/>
    <sheet name="Schedule 5, P-4" sheetId="8" r:id="rId15"/>
    <sheet name="Schedule 5, P-5A" sheetId="17" r:id="rId16"/>
    <sheet name="Schedule 6 Lurito-Gallagher" sheetId="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1">#REF!</definedName>
    <definedName name="\A" localSheetId="2">#REF!</definedName>
    <definedName name="\A" localSheetId="3">#REF!</definedName>
    <definedName name="\A" localSheetId="13">#REF!</definedName>
    <definedName name="\A" localSheetId="15">#REF!</definedName>
    <definedName name="\A">#REF!</definedName>
    <definedName name="\c">'[1]10200'!$IU$8196</definedName>
    <definedName name="\E">'[2]#REF'!$AD$4</definedName>
    <definedName name="\R">'[2]#REF'!$AD$8</definedName>
    <definedName name="\y">'[1]10200'!$IU$8196</definedName>
    <definedName name="\z" localSheetId="1">#REF!</definedName>
    <definedName name="\z" localSheetId="2">#REF!</definedName>
    <definedName name="\z" localSheetId="3">#REF!</definedName>
    <definedName name="\z" localSheetId="13">#REF!</definedName>
    <definedName name="\z" localSheetId="15">#REF!</definedName>
    <definedName name="\z">#REF!</definedName>
    <definedName name="_123Graph_g" hidden="1">'[2]#REF'!$F$9:$F$83</definedName>
    <definedName name="_13054" localSheetId="1">'[3]10800-10899'!#REF!</definedName>
    <definedName name="_13054" localSheetId="2">'[3]10800-10899'!#REF!</definedName>
    <definedName name="_13054" localSheetId="3">'[3]10800-10899'!#REF!</definedName>
    <definedName name="_13054" localSheetId="13">'[3]10800-10899'!#REF!</definedName>
    <definedName name="_13054" localSheetId="15">'[3]10800-10899'!#REF!</definedName>
    <definedName name="_13054">'[3]10800-10899'!#REF!</definedName>
    <definedName name="_132" hidden="1">[1]XXXXXX!$B$10:$B$10</definedName>
    <definedName name="_132Graph_h" localSheetId="1" hidden="1">#REF!</definedName>
    <definedName name="_132Graph_h" localSheetId="2" hidden="1">#REF!</definedName>
    <definedName name="_132Graph_h" localSheetId="3" hidden="1">#REF!</definedName>
    <definedName name="_132Graph_h" localSheetId="13" hidden="1">#REF!</definedName>
    <definedName name="_132Graph_h" localSheetId="15" hidden="1">#REF!</definedName>
    <definedName name="_132Graph_h" hidden="1">#REF!</definedName>
    <definedName name="_BUN1">'[4]2008 West Group IS'!$AJ$5</definedName>
    <definedName name="_BUN3">'[4]2008 Group Office IS'!$AJ$5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13" hidden="1">#REF!</definedName>
    <definedName name="_Fill" localSheetId="15" hidden="1">#REF!</definedName>
    <definedName name="_Fill" hidden="1">#REF!</definedName>
    <definedName name="_Key1" localSheetId="1" hidden="1">#REF!</definedName>
    <definedName name="_Key1" localSheetId="2" hidden="1">#REF!</definedName>
    <definedName name="_Key1" localSheetId="15" hidden="1">#REF!</definedName>
    <definedName name="_Key1" hidden="1">#REF!</definedName>
    <definedName name="_Key2" hidden="1">'[2]#REF'!$D$12</definedName>
    <definedName name="_key5" hidden="1">[1]XXXXXX!$H$10</definedName>
    <definedName name="_max" localSheetId="1" hidden="1">#REF!</definedName>
    <definedName name="_max" localSheetId="2" hidden="1">#REF!</definedName>
    <definedName name="_max" localSheetId="3" hidden="1">#REF!</definedName>
    <definedName name="_max" localSheetId="13" hidden="1">#REF!</definedName>
    <definedName name="_max" localSheetId="15" hidden="1">#REF!</definedName>
    <definedName name="_max" hidden="1">#REF!</definedName>
    <definedName name="_Mon" localSheetId="1" hidden="1">#REF!</definedName>
    <definedName name="_Mon" localSheetId="2" hidden="1">#REF!</definedName>
    <definedName name="_Mon" localSheetId="15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[4]WTB!$DC$8</definedName>
    <definedName name="_PER2">'[4]2008 West Group IS'!$AH$8</definedName>
    <definedName name="_PER3">'[4]2008 West Group IS'!$AI$5</definedName>
    <definedName name="_PER4">'[4]2008 Group Office IS'!$AH$8</definedName>
    <definedName name="_PER5">'[4]2008 Group Office IS'!$AI$5</definedName>
    <definedName name="_Regression_Int" localSheetId="16" hidden="1">1</definedName>
    <definedName name="_Regression_Int">0</definedName>
    <definedName name="_SFD1">'[4]2008 West Group IS'!$AK$5</definedName>
    <definedName name="_SFD3">'[4]2008 Group Office IS'!$AK$5</definedName>
    <definedName name="_SFV1">'[4]2008 West Group IS'!$AK$4</definedName>
    <definedName name="_SFV4">'[4]2008 Group Office IS'!$AK$4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13" hidden="1">#REF!</definedName>
    <definedName name="_Sort" localSheetId="15" hidden="1">#REF!</definedName>
    <definedName name="_Sort" hidden="1">#REF!</definedName>
    <definedName name="_Sort1" hidden="1">'[2]#REF'!$A$10:$Z$281</definedName>
    <definedName name="_sort3" hidden="1">[1]XXXXXX!$G$10:$J$11</definedName>
    <definedName name="a" localSheetId="1">#REF!</definedName>
    <definedName name="a" localSheetId="2">#REF!</definedName>
    <definedName name="a" localSheetId="3">#REF!</definedName>
    <definedName name="a" localSheetId="13">#REF!</definedName>
    <definedName name="a" localSheetId="15">#REF!</definedName>
    <definedName name="a">#REF!</definedName>
    <definedName name="aaaaaaa" localSheetId="1">rank</definedName>
    <definedName name="aaaaaaa" localSheetId="2">rank</definedName>
    <definedName name="aaaaaaa" localSheetId="3">rank</definedName>
    <definedName name="aaaaaaa" localSheetId="13">rank</definedName>
    <definedName name="aaaaaaa" localSheetId="15">rank</definedName>
    <definedName name="aaaaaaa">rank</definedName>
    <definedName name="AD">'[1]ACC DEP 12XXX'!$A$4:$L$22</definedName>
    <definedName name="adfd" localSheetId="1">rank</definedName>
    <definedName name="adfd" localSheetId="2">rank</definedName>
    <definedName name="adfd" localSheetId="3">rank</definedName>
    <definedName name="adfd" localSheetId="13">rank</definedName>
    <definedName name="adfd" localSheetId="15">rank</definedName>
    <definedName name="adfd">rank</definedName>
    <definedName name="ADK">'[1]10250_Recy Chkg'!$D$27</definedName>
    <definedName name="AOK" localSheetId="1">#REF!</definedName>
    <definedName name="AOK" localSheetId="2">#REF!</definedName>
    <definedName name="AOK" localSheetId="3">#REF!</definedName>
    <definedName name="AOK" localSheetId="13">#REF!</definedName>
    <definedName name="AOK" localSheetId="15">#REF!</definedName>
    <definedName name="AOK">#REF!</definedName>
    <definedName name="APA" localSheetId="1">'[5]Income Statement (WMofWA)'!#REF!</definedName>
    <definedName name="APA" localSheetId="2">'[5]Income Statement (WMofWA)'!#REF!</definedName>
    <definedName name="APA" localSheetId="3">'[5]Income Statement (WMofWA)'!#REF!</definedName>
    <definedName name="APA" localSheetId="13">'[5]Income Statement (WMofWA)'!#REF!</definedName>
    <definedName name="APA" localSheetId="15">'[5]Income Statement (WMofWA)'!#REF!</definedName>
    <definedName name="APA">'[5]Income Statement (WMofWA)'!#REF!</definedName>
    <definedName name="APN" localSheetId="1">'[5]Income Statement (WMofWA)'!#REF!</definedName>
    <definedName name="APN" localSheetId="2">'[5]Income Statement (WMofWA)'!#REF!</definedName>
    <definedName name="APN" localSheetId="15">'[5]Income Statement (WMofWA)'!#REF!</definedName>
    <definedName name="APN">'[5]Income Statement (WMofWA)'!#REF!</definedName>
    <definedName name="ASD" localSheetId="1">'[5]Income Statement (WMofWA)'!#REF!</definedName>
    <definedName name="ASD" localSheetId="2">'[5]Income Statement (WMofWA)'!#REF!</definedName>
    <definedName name="ASD" localSheetId="15">'[5]Income Statement (WMofWA)'!#REF!</definedName>
    <definedName name="ASD">'[5]Income Statement (WMofWA)'!#REF!</definedName>
    <definedName name="AST" localSheetId="1">'[5]Income Statement (WMofWA)'!#REF!</definedName>
    <definedName name="AST" localSheetId="2">'[5]Income Statement (WMofWA)'!#REF!</definedName>
    <definedName name="AST" localSheetId="15">'[5]Income Statement (WMofWA)'!#REF!</definedName>
    <definedName name="AST">'[5]Income Statement (WMofWA)'!#REF!</definedName>
    <definedName name="BEGCELL" localSheetId="1">#REF!</definedName>
    <definedName name="BEGCELL" localSheetId="2">#REF!</definedName>
    <definedName name="BEGCELL" localSheetId="3">#REF!</definedName>
    <definedName name="BEGCELL" localSheetId="13">#REF!</definedName>
    <definedName name="BEGCELL" localSheetId="15">#REF!</definedName>
    <definedName name="BEGCELL">#REF!</definedName>
    <definedName name="begin" localSheetId="1">#REF!</definedName>
    <definedName name="begin" localSheetId="2">#REF!</definedName>
    <definedName name="begin" localSheetId="15">#REF!</definedName>
    <definedName name="begin">#REF!</definedName>
    <definedName name="BREMAIR_COST_of_SERVICE_STUDY" localSheetId="1">#REF!</definedName>
    <definedName name="BREMAIR_COST_of_SERVICE_STUDY" localSheetId="2">#REF!</definedName>
    <definedName name="BREMAIR_COST_of_SERVICE_STUDY" localSheetId="15">#REF!</definedName>
    <definedName name="BREMAIR_COST_of_SERVICE_STUDY">#REF!</definedName>
    <definedName name="BUN">[4]WTB!$DD$5</definedName>
    <definedName name="BUV" localSheetId="1">'[5]Income Statement (WMofWA)'!#REF!</definedName>
    <definedName name="BUV" localSheetId="2">'[5]Income Statement (WMofWA)'!#REF!</definedName>
    <definedName name="BUV" localSheetId="3">'[5]Income Statement (WMofWA)'!#REF!</definedName>
    <definedName name="BUV" localSheetId="13">'[5]Income Statement (WMofWA)'!#REF!</definedName>
    <definedName name="BUV" localSheetId="15">'[5]Income Statement (WMofWA)'!#REF!</definedName>
    <definedName name="BUV">'[5]Income Statement (WMofWA)'!#REF!</definedName>
    <definedName name="Calc" localSheetId="1">[4]WTB!#REF!</definedName>
    <definedName name="Calc" localSheetId="2">[4]WTB!#REF!</definedName>
    <definedName name="Calc" localSheetId="15">[4]WTB!#REF!</definedName>
    <definedName name="Calc">[4]WTB!#REF!</definedName>
    <definedName name="Calc0" localSheetId="1">[4]WTB!#REF!</definedName>
    <definedName name="Calc0" localSheetId="2">[4]WTB!#REF!</definedName>
    <definedName name="Calc0" localSheetId="15">[4]WTB!#REF!</definedName>
    <definedName name="Calc0">[4]WTB!#REF!</definedName>
    <definedName name="Calc1" localSheetId="1">[4]WTB!#REF!</definedName>
    <definedName name="Calc1" localSheetId="2">[4]WTB!#REF!</definedName>
    <definedName name="Calc1" localSheetId="15">[4]WTB!#REF!</definedName>
    <definedName name="Calc1">[4]WTB!#REF!</definedName>
    <definedName name="Calc10" localSheetId="1">[4]WTB!#REF!</definedName>
    <definedName name="Calc10" localSheetId="2">[4]WTB!#REF!</definedName>
    <definedName name="Calc10" localSheetId="15">[4]WTB!#REF!</definedName>
    <definedName name="Calc10">[4]WTB!#REF!</definedName>
    <definedName name="Calc11" localSheetId="1">[4]WTB!#REF!</definedName>
    <definedName name="Calc11" localSheetId="2">[4]WTB!#REF!</definedName>
    <definedName name="Calc11" localSheetId="15">[4]WTB!#REF!</definedName>
    <definedName name="Calc11">[4]WTB!#REF!</definedName>
    <definedName name="Calc12" localSheetId="1">[4]WTB!#REF!</definedName>
    <definedName name="Calc12" localSheetId="2">[4]WTB!#REF!</definedName>
    <definedName name="Calc12" localSheetId="15">[4]WTB!#REF!</definedName>
    <definedName name="Calc12">[4]WTB!#REF!</definedName>
    <definedName name="Calc13" localSheetId="1">[4]WTB!#REF!</definedName>
    <definedName name="Calc13" localSheetId="2">[4]WTB!#REF!</definedName>
    <definedName name="Calc13" localSheetId="15">[4]WTB!#REF!</definedName>
    <definedName name="Calc13">[4]WTB!#REF!</definedName>
    <definedName name="Calc14" localSheetId="1">[4]WTB!#REF!</definedName>
    <definedName name="Calc14" localSheetId="2">[4]WTB!#REF!</definedName>
    <definedName name="Calc14" localSheetId="15">[4]WTB!#REF!</definedName>
    <definedName name="Calc14">[4]WTB!#REF!</definedName>
    <definedName name="Calc15" localSheetId="1">[4]WTB!#REF!</definedName>
    <definedName name="Calc15" localSheetId="2">[4]WTB!#REF!</definedName>
    <definedName name="Calc15" localSheetId="15">[4]WTB!#REF!</definedName>
    <definedName name="Calc15">[4]WTB!#REF!</definedName>
    <definedName name="Calc16" localSheetId="1">[4]WTB!#REF!</definedName>
    <definedName name="Calc16" localSheetId="2">[4]WTB!#REF!</definedName>
    <definedName name="Calc16" localSheetId="15">[4]WTB!#REF!</definedName>
    <definedName name="Calc16">[4]WTB!#REF!</definedName>
    <definedName name="Calc17" localSheetId="1">[4]WTB!#REF!</definedName>
    <definedName name="Calc17" localSheetId="2">[4]WTB!#REF!</definedName>
    <definedName name="Calc17" localSheetId="15">[4]WTB!#REF!</definedName>
    <definedName name="Calc17">[4]WTB!#REF!</definedName>
    <definedName name="Calc18" localSheetId="1">[4]WTB!#REF!</definedName>
    <definedName name="Calc18" localSheetId="2">[4]WTB!#REF!</definedName>
    <definedName name="Calc18" localSheetId="15">[4]WTB!#REF!</definedName>
    <definedName name="Calc18">[4]WTB!#REF!</definedName>
    <definedName name="Calc2" localSheetId="1">[4]WTB!#REF!</definedName>
    <definedName name="Calc2" localSheetId="2">[4]WTB!#REF!</definedName>
    <definedName name="Calc2" localSheetId="15">[4]WTB!#REF!</definedName>
    <definedName name="Calc2">[4]WTB!#REF!</definedName>
    <definedName name="Calc3" localSheetId="1">[4]WTB!#REF!</definedName>
    <definedName name="Calc3" localSheetId="2">[4]WTB!#REF!</definedName>
    <definedName name="Calc3" localSheetId="15">[4]WTB!#REF!</definedName>
    <definedName name="Calc3">[4]WTB!#REF!</definedName>
    <definedName name="Calc4" localSheetId="1">[4]WTB!#REF!</definedName>
    <definedName name="Calc4" localSheetId="2">[4]WTB!#REF!</definedName>
    <definedName name="Calc4" localSheetId="15">[4]WTB!#REF!</definedName>
    <definedName name="Calc4">[4]WTB!#REF!</definedName>
    <definedName name="Calc5" localSheetId="1">[4]WTB!#REF!</definedName>
    <definedName name="Calc5" localSheetId="2">[4]WTB!#REF!</definedName>
    <definedName name="Calc5" localSheetId="15">[4]WTB!#REF!</definedName>
    <definedName name="Calc5">[4]WTB!#REF!</definedName>
    <definedName name="Calc6" localSheetId="1">[4]WTB!#REF!</definedName>
    <definedName name="Calc6" localSheetId="2">[4]WTB!#REF!</definedName>
    <definedName name="Calc6" localSheetId="15">[4]WTB!#REF!</definedName>
    <definedName name="Calc6">[4]WTB!#REF!</definedName>
    <definedName name="Calc7" localSheetId="1">[4]WTB!#REF!</definedName>
    <definedName name="Calc7" localSheetId="2">[4]WTB!#REF!</definedName>
    <definedName name="Calc7" localSheetId="15">[4]WTB!#REF!</definedName>
    <definedName name="Calc7">[4]WTB!#REF!</definedName>
    <definedName name="Calc8" localSheetId="1">[4]WTB!#REF!</definedName>
    <definedName name="Calc8" localSheetId="2">[4]WTB!#REF!</definedName>
    <definedName name="Calc8" localSheetId="15">[4]WTB!#REF!</definedName>
    <definedName name="Calc8">[4]WTB!#REF!</definedName>
    <definedName name="Calc9" localSheetId="1">[4]WTB!#REF!</definedName>
    <definedName name="Calc9" localSheetId="2">[4]WTB!#REF!</definedName>
    <definedName name="Calc9" localSheetId="15">[4]WTB!#REF!</definedName>
    <definedName name="Calc9">[4]WTB!#REF!</definedName>
    <definedName name="clear" localSheetId="1">#REF!</definedName>
    <definedName name="clear" localSheetId="2">#REF!</definedName>
    <definedName name="clear" localSheetId="3">#REF!</definedName>
    <definedName name="clear" localSheetId="13">#REF!</definedName>
    <definedName name="clear" localSheetId="15">#REF!</definedName>
    <definedName name="clear">#REF!</definedName>
    <definedName name="CUR" localSheetId="1">'[6]O-9'!#REF!</definedName>
    <definedName name="CUR" localSheetId="2">'[6]O-9'!#REF!</definedName>
    <definedName name="CUR" localSheetId="3">'[6]O-9'!#REF!</definedName>
    <definedName name="CUR" localSheetId="13">'[6]O-9'!#REF!</definedName>
    <definedName name="CUR" localSheetId="15">'[6]O-9'!#REF!</definedName>
    <definedName name="CUR">'[6]O-9'!#REF!</definedName>
    <definedName name="CURRENCY">'[4]Balance Sheet'!$AD$8</definedName>
    <definedName name="CWR">'[1]SALES TAX RETURN_20140'!$A$1:$E$49</definedName>
    <definedName name="CWRS" localSheetId="1">#REF!</definedName>
    <definedName name="CWRS" localSheetId="2">#REF!</definedName>
    <definedName name="CWRS" localSheetId="3">#REF!</definedName>
    <definedName name="CWRS" localSheetId="13">#REF!</definedName>
    <definedName name="CWRS" localSheetId="15">#REF!</definedName>
    <definedName name="CWRS">#REF!</definedName>
    <definedName name="CYear" localSheetId="1">'[6]O-9'!#REF!</definedName>
    <definedName name="CYear" localSheetId="2">'[6]O-9'!#REF!</definedName>
    <definedName name="CYear" localSheetId="3">'[6]O-9'!#REF!</definedName>
    <definedName name="CYear" localSheetId="13">'[6]O-9'!#REF!</definedName>
    <definedName name="CYear" localSheetId="15">'[6]O-9'!#REF!</definedName>
    <definedName name="CYear">'[6]O-9'!#REF!</definedName>
    <definedName name="dasd" localSheetId="1">rank</definedName>
    <definedName name="dasd" localSheetId="2">rank</definedName>
    <definedName name="dasd" localSheetId="3">rank</definedName>
    <definedName name="dasd" localSheetId="13">rank</definedName>
    <definedName name="dasd" localSheetId="15">rank</definedName>
    <definedName name="dasd">rank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13">#REF!</definedName>
    <definedName name="_xlnm.Database" localSheetId="15">#REF!</definedName>
    <definedName name="_xlnm.Database">#REF!</definedName>
    <definedName name="Database_MI" localSheetId="1">#REF!</definedName>
    <definedName name="Database_MI" localSheetId="2">#REF!</definedName>
    <definedName name="Database_MI" localSheetId="15">#REF!</definedName>
    <definedName name="Database_MI">#REF!</definedName>
    <definedName name="DAY" localSheetId="1">'[5]Income Statement (WMofWA)'!#REF!</definedName>
    <definedName name="DAY" localSheetId="2">'[5]Income Statement (WMofWA)'!#REF!</definedName>
    <definedName name="DAY" localSheetId="15">'[5]Income Statement (WMofWA)'!#REF!</definedName>
    <definedName name="DAY">'[5]Income Statement (WMofWA)'!#REF!</definedName>
    <definedName name="DEBITS">'[1]ASSETS 11XXX'!$A$1:$L$19</definedName>
    <definedName name="deletion" localSheetId="1">#REF!</definedName>
    <definedName name="deletion" localSheetId="2">#REF!</definedName>
    <definedName name="deletion" localSheetId="3">#REF!</definedName>
    <definedName name="deletion" localSheetId="13">#REF!</definedName>
    <definedName name="deletion" localSheetId="15">#REF!</definedName>
    <definedName name="deletion">#REF!</definedName>
    <definedName name="Detail" localSheetId="1">#REF!</definedName>
    <definedName name="Detail" localSheetId="2">#REF!</definedName>
    <definedName name="Detail" localSheetId="15">#REF!</definedName>
    <definedName name="Detail">#REF!</definedName>
    <definedName name="End" localSheetId="1">'[7]IS-Murrey''s'!#REF!</definedName>
    <definedName name="End" localSheetId="2">'[7]IS-Murrey''s'!#REF!</definedName>
    <definedName name="End" localSheetId="15">'[7]IS-Murrey''s'!#REF!</definedName>
    <definedName name="End">'[7]IS-Murrey''s'!#REF!</definedName>
    <definedName name="EndTime" localSheetId="1">'[6]O-9'!#REF!</definedName>
    <definedName name="EndTime" localSheetId="2">'[6]O-9'!#REF!</definedName>
    <definedName name="EndTime" localSheetId="15">'[6]O-9'!#REF!</definedName>
    <definedName name="EndTime">'[6]O-9'!#REF!</definedName>
    <definedName name="Financial" localSheetId="1">[4]WTB!#REF!</definedName>
    <definedName name="Financial" localSheetId="2">[4]WTB!#REF!</definedName>
    <definedName name="Financial" localSheetId="15">[4]WTB!#REF!</definedName>
    <definedName name="Financial">[4]WTB!#REF!</definedName>
    <definedName name="FirstColCriteria" localSheetId="1">[4]WTB!#REF!</definedName>
    <definedName name="FirstColCriteria" localSheetId="2">[4]WTB!#REF!</definedName>
    <definedName name="FirstColCriteria" localSheetId="15">[4]WTB!#REF!</definedName>
    <definedName name="FirstColCriteria">[4]WTB!#REF!</definedName>
    <definedName name="FirstHeaderCriteria" localSheetId="1">[4]WTB!#REF!</definedName>
    <definedName name="FirstHeaderCriteria" localSheetId="2">[4]WTB!#REF!</definedName>
    <definedName name="FirstHeaderCriteria" localSheetId="15">[4]WTB!#REF!</definedName>
    <definedName name="FirstHeaderCriteria">[4]WTB!#REF!</definedName>
    <definedName name="flag" localSheetId="1">[4]WTB!#REF!</definedName>
    <definedName name="flag" localSheetId="2">[4]WTB!#REF!</definedName>
    <definedName name="flag" localSheetId="15">[4]WTB!#REF!</definedName>
    <definedName name="flag">[4]WTB!#REF!</definedName>
    <definedName name="Format_Column" localSheetId="1">#REF!</definedName>
    <definedName name="Format_Column" localSheetId="2">#REF!</definedName>
    <definedName name="Format_Column" localSheetId="3">#REF!</definedName>
    <definedName name="Format_Column" localSheetId="13">#REF!</definedName>
    <definedName name="Format_Column" localSheetId="15">#REF!</definedName>
    <definedName name="Format_Column">#REF!</definedName>
    <definedName name="formata" localSheetId="1">#REF!</definedName>
    <definedName name="formata" localSheetId="2">#REF!</definedName>
    <definedName name="formata" localSheetId="15">#REF!</definedName>
    <definedName name="formata">#REF!</definedName>
    <definedName name="formatb" localSheetId="1">#REF!</definedName>
    <definedName name="formatb" localSheetId="2">#REF!</definedName>
    <definedName name="formatb" localSheetId="15">#REF!</definedName>
    <definedName name="formatb">#REF!</definedName>
    <definedName name="FY" localSheetId="1">'[5]Income Statement (WMofWA)'!#REF!</definedName>
    <definedName name="FY" localSheetId="2">'[5]Income Statement (WMofWA)'!#REF!</definedName>
    <definedName name="FY" localSheetId="15">'[5]Income Statement (WMofWA)'!#REF!</definedName>
    <definedName name="FY">'[5]Income Statement (WMofWA)'!#REF!</definedName>
    <definedName name="Heading1" localSheetId="1">'[5]Income Statement (WMofWA)'!#REF!</definedName>
    <definedName name="Heading1" localSheetId="2">'[5]Income Statement (WMofWA)'!#REF!</definedName>
    <definedName name="Heading1" localSheetId="15">'[5]Income Statement (WMofWA)'!#REF!</definedName>
    <definedName name="Heading1">'[5]Income Statement (WMofWA)'!#REF!</definedName>
    <definedName name="IDN" localSheetId="1">'[5]Income Statement (WMofWA)'!#REF!</definedName>
    <definedName name="IDN" localSheetId="2">'[5]Income Statement (WMofWA)'!#REF!</definedName>
    <definedName name="IDN" localSheetId="15">'[5]Income Statement (WMofWA)'!#REF!</definedName>
    <definedName name="IDN">'[5]Income Statement (WMofWA)'!#REF!</definedName>
    <definedName name="IFN" localSheetId="1">'[5]Income Statement (WMofWA)'!#REF!</definedName>
    <definedName name="IFN" localSheetId="2">'[5]Income Statement (WMofWA)'!#REF!</definedName>
    <definedName name="IFN" localSheetId="15">'[5]Income Statement (WMofWA)'!#REF!</definedName>
    <definedName name="IFN">'[5]Income Statement (WMofWA)'!#REF!</definedName>
    <definedName name="income_statement" localSheetId="3">'[8]Sch 4 - 12months'!$B$10:$O$86</definedName>
    <definedName name="income_statement" localSheetId="13">'[8]Sch 4 - 12months'!$B$10:$O$86</definedName>
    <definedName name="income_statement">'[8]Sch 4 - 12months'!$B$10:$O$86</definedName>
    <definedName name="INPUT" localSheetId="6">[9]LURITXPF!$A$3</definedName>
    <definedName name="INPUT" localSheetId="7">[9]LURITXPF!$A$3</definedName>
    <definedName name="INPUT" localSheetId="8">[9]LURITXPF!$A$3</definedName>
    <definedName name="INPUT">#REF!</definedName>
    <definedName name="InsertColRange" localSheetId="1">[4]WTB!#REF!</definedName>
    <definedName name="InsertColRange" localSheetId="2">[4]WTB!#REF!</definedName>
    <definedName name="InsertColRange" localSheetId="15">[4]WTB!#REF!</definedName>
    <definedName name="InsertColRange">[4]WTB!#REF!</definedName>
    <definedName name="LAST_ROW" localSheetId="1">'[10]Income Statement (Tonnage)'!#REF!</definedName>
    <definedName name="LAST_ROW" localSheetId="2">'[10]Income Statement (Tonnage)'!#REF!</definedName>
    <definedName name="LAST_ROW" localSheetId="15">'[10]Income Statement (Tonnage)'!#REF!</definedName>
    <definedName name="LAST_ROW">'[10]Income Statement (Tonnage)'!#REF!</definedName>
    <definedName name="Lurito" localSheetId="1">#REF!</definedName>
    <definedName name="Lurito" localSheetId="2">#REF!</definedName>
    <definedName name="Lurito" localSheetId="3">#REF!</definedName>
    <definedName name="Lurito" localSheetId="13">#REF!</definedName>
    <definedName name="Lurito" localSheetId="15">#REF!</definedName>
    <definedName name="Lurito">#REF!</definedName>
    <definedName name="LYN" localSheetId="1">'[5]Income Statement (WMofWA)'!#REF!</definedName>
    <definedName name="LYN" localSheetId="2">'[5]Income Statement (WMofWA)'!#REF!</definedName>
    <definedName name="LYN" localSheetId="3">'[5]Income Statement (WMofWA)'!#REF!</definedName>
    <definedName name="LYN" localSheetId="13">'[5]Income Statement (WMofWA)'!#REF!</definedName>
    <definedName name="LYN" localSheetId="15">'[5]Income Statement (WMofWA)'!#REF!</definedName>
    <definedName name="LYN">'[5]Income Statement (WMofWA)'!#REF!</definedName>
    <definedName name="master_def" localSheetId="1">'[7]IS-Murrey''s'!#REF!</definedName>
    <definedName name="master_def" localSheetId="2">'[7]IS-Murrey''s'!#REF!</definedName>
    <definedName name="master_def" localSheetId="15">'[7]IS-Murrey''s'!#REF!</definedName>
    <definedName name="master_def">'[7]IS-Murrey''s'!#REF!</definedName>
    <definedName name="MATRIX" localSheetId="1">#REF!</definedName>
    <definedName name="MATRIX" localSheetId="2">#REF!</definedName>
    <definedName name="MATRIX" localSheetId="3">#REF!</definedName>
    <definedName name="MATRIX" localSheetId="13">#REF!</definedName>
    <definedName name="MATRIX" localSheetId="15">#REF!</definedName>
    <definedName name="MATRIX">#REF!</definedName>
    <definedName name="MthValue" localSheetId="1">'[6]O-9'!#REF!</definedName>
    <definedName name="MthValue" localSheetId="2">'[6]O-9'!#REF!</definedName>
    <definedName name="MthValue" localSheetId="3">'[6]O-9'!#REF!</definedName>
    <definedName name="MthValue" localSheetId="13">'[6]O-9'!#REF!</definedName>
    <definedName name="MthValue" localSheetId="15">'[6]O-9'!#REF!</definedName>
    <definedName name="MthValue">'[6]O-9'!#REF!</definedName>
    <definedName name="NewOnlyOrg" localSheetId="1">#REF!</definedName>
    <definedName name="NewOnlyOrg" localSheetId="2">#REF!</definedName>
    <definedName name="NewOnlyOrg" localSheetId="3">#REF!</definedName>
    <definedName name="NewOnlyOrg" localSheetId="13">#REF!</definedName>
    <definedName name="NewOnlyOrg" localSheetId="15">#REF!</definedName>
    <definedName name="NewOnlyOrg">#REF!</definedName>
    <definedName name="NOTES" localSheetId="1">#REF!</definedName>
    <definedName name="NOTES" localSheetId="2">#REF!</definedName>
    <definedName name="NOTES" localSheetId="15">#REF!</definedName>
    <definedName name="NOTES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 localSheetId="1">rank</definedName>
    <definedName name="NvsInstanceHook" localSheetId="2">rank</definedName>
    <definedName name="NvsInstanceHook" localSheetId="3">rank</definedName>
    <definedName name="NvsInstanceHook" localSheetId="13">rank</definedName>
    <definedName name="NvsInstanceHook" localSheetId="15">rank</definedName>
    <definedName name="NvsInstanceHook">rank</definedName>
    <definedName name="NvsInstanceHook1" localSheetId="1">rank</definedName>
    <definedName name="NvsInstanceHook1" localSheetId="2">rank</definedName>
    <definedName name="NvsInstanceHook1" localSheetId="3">rank</definedName>
    <definedName name="NvsInstanceHook1" localSheetId="13">rank</definedName>
    <definedName name="NvsInstanceHook1" localSheetId="15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 localSheetId="1">#REF!</definedName>
    <definedName name="OfficerSalary" localSheetId="2">#REF!</definedName>
    <definedName name="OfficerSalary" localSheetId="3">#REF!</definedName>
    <definedName name="OfficerSalary" localSheetId="13">#REF!</definedName>
    <definedName name="OfficerSalary" localSheetId="15">#REF!</definedName>
    <definedName name="OfficerSalary">#REF!</definedName>
    <definedName name="Operations" localSheetId="1">'[5]Income Statement (WMofWA)'!#REF!</definedName>
    <definedName name="Operations" localSheetId="2">'[5]Income Statement (WMofWA)'!#REF!</definedName>
    <definedName name="Operations" localSheetId="3">'[5]Income Statement (WMofWA)'!#REF!</definedName>
    <definedName name="Operations" localSheetId="13">'[5]Income Statement (WMofWA)'!#REF!</definedName>
    <definedName name="Operations" localSheetId="15">'[5]Income Statement (WMofWA)'!#REF!</definedName>
    <definedName name="Operations">'[5]Income Statement (WMofWA)'!#REF!</definedName>
    <definedName name="OPR" localSheetId="1">'[5]Income Statement (WMofWA)'!#REF!</definedName>
    <definedName name="OPR" localSheetId="2">'[5]Income Statement (WMofWA)'!#REF!</definedName>
    <definedName name="OPR" localSheetId="15">'[5]Income Statement (WMofWA)'!#REF!</definedName>
    <definedName name="OPR">'[5]Income Statement (WMofWA)'!#REF!</definedName>
    <definedName name="Org11_13" localSheetId="1">#REF!</definedName>
    <definedName name="Org11_13" localSheetId="2">#REF!</definedName>
    <definedName name="Org11_13" localSheetId="3">#REF!</definedName>
    <definedName name="Org11_13" localSheetId="13">#REF!</definedName>
    <definedName name="Org11_13" localSheetId="15">#REF!</definedName>
    <definedName name="Org11_13">#REF!</definedName>
    <definedName name="Org7_10" localSheetId="1">#REF!</definedName>
    <definedName name="Org7_10" localSheetId="2">#REF!</definedName>
    <definedName name="Org7_10" localSheetId="15">#REF!</definedName>
    <definedName name="Org7_10">#REF!</definedName>
    <definedName name="ORIG2GALWT_" localSheetId="1">#REF!</definedName>
    <definedName name="ORIG2GALWT_" localSheetId="2">#REF!</definedName>
    <definedName name="ORIG2GALWT_" localSheetId="15">#REF!</definedName>
    <definedName name="ORIG2GALWT_">#REF!</definedName>
    <definedName name="ORIG2OH" localSheetId="1">#REF!</definedName>
    <definedName name="ORIG2OH" localSheetId="2">#REF!</definedName>
    <definedName name="ORIG2OH" localSheetId="15">#REF!</definedName>
    <definedName name="ORIG2OH">#REF!</definedName>
    <definedName name="PAGE_1" localSheetId="6">#REF!</definedName>
    <definedName name="PAGE_1" localSheetId="7">#REF!</definedName>
    <definedName name="PAGE_1" localSheetId="8">#REF!</definedName>
    <definedName name="PED" localSheetId="1">'[5]Income Statement (WMofWA)'!#REF!</definedName>
    <definedName name="PED" localSheetId="2">'[5]Income Statement (WMofWA)'!#REF!</definedName>
    <definedName name="PED" localSheetId="3">'[5]Income Statement (WMofWA)'!#REF!</definedName>
    <definedName name="PED" localSheetId="13">'[5]Income Statement (WMofWA)'!#REF!</definedName>
    <definedName name="PED" localSheetId="15">'[5]Income Statement (WMofWA)'!#REF!</definedName>
    <definedName name="PED">'[5]Income Statement (WMofWA)'!#REF!</definedName>
    <definedName name="PER">[4]WTB!$DC$5</definedName>
    <definedName name="_xlnm.Print_Area" localSheetId="2">'Schedule 3 Pro forma'!$A$1:$J$101</definedName>
    <definedName name="_xlnm.Print_Area" localSheetId="5">'Schedule 4, R-6E'!$A$1:$F$41</definedName>
    <definedName name="_xlnm.Print_Area" localSheetId="8">'Schedule 4, R-6H'!$A$1:$AC$48</definedName>
    <definedName name="_xlnm.Print_Area" localSheetId="11">'Schedule 4, RC-1, RC-1A'!$N$105:$Z$139</definedName>
    <definedName name="_xlnm.Print_Area" localSheetId="13">#REF!</definedName>
    <definedName name="_xlnm.Print_Area" localSheetId="15">#REF!</definedName>
    <definedName name="_xlnm.Print_Area" localSheetId="16">'Schedule 6 Lurito-Gallagher'!$B$1:$J$28</definedName>
    <definedName name="_xlnm.Print_Area">#REF!</definedName>
    <definedName name="Print_Area_MI" localSheetId="6">[9]LURITXPF!$B$3:$I$27</definedName>
    <definedName name="Print_Area_MI" localSheetId="7">[9]LURITXPF!$B$3:$I$27</definedName>
    <definedName name="Print_Area_MI" localSheetId="8">[9]LURITXPF!$B$3:$I$27</definedName>
    <definedName name="Print_Area_MI">#REF!</definedName>
    <definedName name="_xlnm.Print_Titles" localSheetId="0">'Schedule 1 Results of Operation'!$7:$10</definedName>
    <definedName name="_xlnm.Print_Titles" localSheetId="1">'Schedule 2 Restated'!$1:$11</definedName>
    <definedName name="_xlnm.Print_Titles" localSheetId="2">'Schedule 3 Pro forma'!$1:$11</definedName>
    <definedName name="_xlnm.Print_Titles" localSheetId="12">'Schedule 5, P-1A'!$6:$6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13">#REF!</definedName>
    <definedName name="Print_Titles_MI" localSheetId="15">#REF!</definedName>
    <definedName name="Print_Titles_MI">#REF!</definedName>
    <definedName name="Print1" localSheetId="1">#REF!</definedName>
    <definedName name="Print1" localSheetId="2">#REF!</definedName>
    <definedName name="Print1" localSheetId="15">#REF!</definedName>
    <definedName name="Print1">#REF!</definedName>
    <definedName name="Print2" localSheetId="1">#REF!</definedName>
    <definedName name="Print2" localSheetId="2">#REF!</definedName>
    <definedName name="Print2" localSheetId="15">#REF!</definedName>
    <definedName name="Print2">#REF!</definedName>
    <definedName name="Prnit_Range" localSheetId="1">#REF!</definedName>
    <definedName name="Prnit_Range" localSheetId="2">#REF!</definedName>
    <definedName name="Prnit_Range" localSheetId="15">#REF!</definedName>
    <definedName name="Prnit_Range">#REF!</definedName>
    <definedName name="PYear" localSheetId="1">'[6]O-9'!#REF!</definedName>
    <definedName name="PYear" localSheetId="2">'[6]O-9'!#REF!</definedName>
    <definedName name="PYear" localSheetId="15">'[6]O-9'!#REF!</definedName>
    <definedName name="PYear">'[6]O-9'!#REF!</definedName>
    <definedName name="QtrValue" localSheetId="1">#REF!</definedName>
    <definedName name="QtrValue" localSheetId="2">#REF!</definedName>
    <definedName name="QtrValue" localSheetId="3">#REF!</definedName>
    <definedName name="QtrValue" localSheetId="13">#REF!</definedName>
    <definedName name="QtrValue" localSheetId="15">#REF!</definedName>
    <definedName name="QtrValue">#REF!</definedName>
    <definedName name="Quarter_Budget" localSheetId="1">#REF!</definedName>
    <definedName name="Quarter_Budget" localSheetId="2">#REF!</definedName>
    <definedName name="Quarter_Budget" localSheetId="15">#REF!</definedName>
    <definedName name="Quarter_Budget">#REF!</definedName>
    <definedName name="Quarter_Month" localSheetId="1">#REF!</definedName>
    <definedName name="Quarter_Month" localSheetId="2">#REF!</definedName>
    <definedName name="Quarter_Month" localSheetId="15">#REF!</definedName>
    <definedName name="Quarter_Month">#REF!</definedName>
    <definedName name="RBU" localSheetId="1">'[5]Income Statement (WMofWA)'!#REF!</definedName>
    <definedName name="RBU" localSheetId="2">'[5]Income Statement (WMofWA)'!#REF!</definedName>
    <definedName name="RBU" localSheetId="15">'[5]Income Statement (WMofWA)'!#REF!</definedName>
    <definedName name="RBU">'[5]Income Statement (WMofWA)'!#REF!</definedName>
    <definedName name="RCW_81.04.080" localSheetId="1">#REF!</definedName>
    <definedName name="RCW_81.04.080" localSheetId="2">#REF!</definedName>
    <definedName name="RCW_81.04.080" localSheetId="3">#REF!</definedName>
    <definedName name="RCW_81.04.080" localSheetId="13">#REF!</definedName>
    <definedName name="RCW_81.04.080" localSheetId="15">#REF!</definedName>
    <definedName name="RCW_81.04.080">#REF!</definedName>
    <definedName name="RECAP" localSheetId="1">#REF!</definedName>
    <definedName name="RECAP" localSheetId="2">#REF!</definedName>
    <definedName name="RECAP" localSheetId="15">#REF!</definedName>
    <definedName name="RECAP">#REF!</definedName>
    <definedName name="RECAP2" localSheetId="1">#REF!</definedName>
    <definedName name="RECAP2" localSheetId="2">#REF!</definedName>
    <definedName name="RECAP2" localSheetId="15">#REF!</definedName>
    <definedName name="RECAP2">#REF!</definedName>
    <definedName name="_xlnm.Recorder" localSheetId="1">#REF!</definedName>
    <definedName name="_xlnm.Recorder" localSheetId="2">#REF!</definedName>
    <definedName name="_xlnm.Recorder" localSheetId="15">#REF!</definedName>
    <definedName name="_xlnm.Recorder">#REF!</definedName>
    <definedName name="RecyDisposal" localSheetId="1">#REF!</definedName>
    <definedName name="RecyDisposal" localSheetId="2">#REF!</definedName>
    <definedName name="RecyDisposal" localSheetId="15">#REF!</definedName>
    <definedName name="RecyDisposal">#REF!</definedName>
    <definedName name="RelatedSalary" localSheetId="1">#REF!</definedName>
    <definedName name="RelatedSalary" localSheetId="2">#REF!</definedName>
    <definedName name="RelatedSalary" localSheetId="15">#REF!</definedName>
    <definedName name="RelatedSalary">#REF!</definedName>
    <definedName name="RevCust" localSheetId="1">'[11]Schedule 6'!#REF!</definedName>
    <definedName name="RevCust" localSheetId="2">'[11]Schedule 6'!#REF!</definedName>
    <definedName name="RevCust" localSheetId="15">'[11]Schedule 6'!#REF!</definedName>
    <definedName name="RevCust">'[11]Schedule 6'!#REF!</definedName>
    <definedName name="RID" localSheetId="1">'[5]Income Statement (WMofWA)'!#REF!</definedName>
    <definedName name="RID" localSheetId="2">'[5]Income Statement (WMofWA)'!#REF!</definedName>
    <definedName name="RID" localSheetId="15">'[5]Income Statement (WMofWA)'!#REF!</definedName>
    <definedName name="RID">'[5]Income Statement (WMofWA)'!#REF!</definedName>
    <definedName name="ROCE" localSheetId="1">#REF!,#REF!</definedName>
    <definedName name="ROCE" localSheetId="2">#REF!,#REF!</definedName>
    <definedName name="ROCE" localSheetId="3">#REF!,#REF!</definedName>
    <definedName name="ROCE" localSheetId="13">#REF!,#REF!</definedName>
    <definedName name="ROCE" localSheetId="15">#REF!,#REF!</definedName>
    <definedName name="ROCE">#REF!,#REF!</definedName>
    <definedName name="ROW_SUPRESS" localSheetId="1">'[5]Income Statement (WMofWA)'!#REF!</definedName>
    <definedName name="ROW_SUPRESS" localSheetId="2">'[5]Income Statement (WMofWA)'!#REF!</definedName>
    <definedName name="ROW_SUPRESS" localSheetId="3">'[5]Income Statement (WMofWA)'!#REF!</definedName>
    <definedName name="ROW_SUPRESS" localSheetId="13">'[5]Income Statement (WMofWA)'!#REF!</definedName>
    <definedName name="ROW_SUPRESS" localSheetId="15">'[5]Income Statement (WMofWA)'!#REF!</definedName>
    <definedName name="ROW_SUPRESS">'[5]Income Statement (WMofWA)'!#REF!</definedName>
    <definedName name="RTT" localSheetId="1">'[5]Income Statement (WMofWA)'!#REF!</definedName>
    <definedName name="RTT" localSheetId="2">'[5]Income Statement (WMofWA)'!#REF!</definedName>
    <definedName name="RTT" localSheetId="15">'[5]Income Statement (WMofWA)'!#REF!</definedName>
    <definedName name="RTT">'[5]Income Statement (WMofWA)'!#REF!</definedName>
    <definedName name="sale" localSheetId="1">#REF!</definedName>
    <definedName name="sale" localSheetId="2">#REF!</definedName>
    <definedName name="sale" localSheetId="3">#REF!</definedName>
    <definedName name="sale" localSheetId="13">#REF!</definedName>
    <definedName name="sale" localSheetId="15">#REF!</definedName>
    <definedName name="sale">#REF!</definedName>
    <definedName name="SALES_TAX_RETURN" localSheetId="1">#REF!</definedName>
    <definedName name="SALES_TAX_RETURN" localSheetId="2">#REF!</definedName>
    <definedName name="SALES_TAX_RETURN" localSheetId="15">#REF!</definedName>
    <definedName name="SALES_TAX_RETURN">#REF!</definedName>
    <definedName name="SCN" localSheetId="1">'[5]Income Statement (WMofWA)'!#REF!</definedName>
    <definedName name="SCN" localSheetId="2">'[5]Income Statement (WMofWA)'!#REF!</definedName>
    <definedName name="SCN" localSheetId="15">'[5]Income Statement (WMofWA)'!#REF!</definedName>
    <definedName name="SCN">'[5]Income Statement (WMofWA)'!#REF!</definedName>
    <definedName name="SFD">[4]WTB!$DE$5</definedName>
    <definedName name="SFD_BU" localSheetId="1">'[5]Income Statement (WMofWA)'!#REF!</definedName>
    <definedName name="SFD_BU" localSheetId="2">'[5]Income Statement (WMofWA)'!#REF!</definedName>
    <definedName name="SFD_BU" localSheetId="3">'[5]Income Statement (WMofWA)'!#REF!</definedName>
    <definedName name="SFD_BU" localSheetId="13">'[5]Income Statement (WMofWA)'!#REF!</definedName>
    <definedName name="SFD_BU" localSheetId="15">'[5]Income Statement (WMofWA)'!#REF!</definedName>
    <definedName name="SFD_BU">'[5]Income Statement (WMofWA)'!#REF!</definedName>
    <definedName name="SFD_DEPTID" localSheetId="1">'[5]Income Statement (WMofWA)'!#REF!</definedName>
    <definedName name="SFD_DEPTID" localSheetId="2">'[5]Income Statement (WMofWA)'!#REF!</definedName>
    <definedName name="SFD_DEPTID" localSheetId="15">'[5]Income Statement (WMofWA)'!#REF!</definedName>
    <definedName name="SFD_DEPTID">'[5]Income Statement (WMofWA)'!#REF!</definedName>
    <definedName name="SFD_OP" localSheetId="1">'[5]Income Statement (WMofWA)'!#REF!</definedName>
    <definedName name="SFD_OP" localSheetId="2">'[5]Income Statement (WMofWA)'!#REF!</definedName>
    <definedName name="SFD_OP" localSheetId="15">'[5]Income Statement (WMofWA)'!#REF!</definedName>
    <definedName name="SFD_OP">'[5]Income Statement (WMofWA)'!#REF!</definedName>
    <definedName name="SFD_PROD" localSheetId="1">'[5]Income Statement (WMofWA)'!#REF!</definedName>
    <definedName name="SFD_PROD" localSheetId="2">'[5]Income Statement (WMofWA)'!#REF!</definedName>
    <definedName name="SFD_PROD" localSheetId="15">'[5]Income Statement (WMofWA)'!#REF!</definedName>
    <definedName name="SFD_PROD">'[5]Income Statement (WMofWA)'!#REF!</definedName>
    <definedName name="SFD_PROJ" localSheetId="1">'[5]Income Statement (WMofWA)'!#REF!</definedName>
    <definedName name="SFD_PROJ" localSheetId="2">'[5]Income Statement (WMofWA)'!#REF!</definedName>
    <definedName name="SFD_PROJ" localSheetId="15">'[5]Income Statement (WMofWA)'!#REF!</definedName>
    <definedName name="SFD_PROJ">'[5]Income Statement (WMofWA)'!#REF!</definedName>
    <definedName name="sfdbusunit" localSheetId="1">#REF!</definedName>
    <definedName name="sfdbusunit" localSheetId="2">#REF!</definedName>
    <definedName name="sfdbusunit" localSheetId="3">#REF!</definedName>
    <definedName name="sfdbusunit" localSheetId="13">#REF!</definedName>
    <definedName name="sfdbusunit" localSheetId="15">#REF!</definedName>
    <definedName name="sfdbusunit">#REF!</definedName>
    <definedName name="SFV">[4]WTB!$DE$4</definedName>
    <definedName name="SFV_BU" localSheetId="1">'[5]Income Statement (WMofWA)'!#REF!</definedName>
    <definedName name="SFV_BU" localSheetId="2">'[5]Income Statement (WMofWA)'!#REF!</definedName>
    <definedName name="SFV_BU" localSheetId="3">'[5]Income Statement (WMofWA)'!#REF!</definedName>
    <definedName name="SFV_BU" localSheetId="13">'[5]Income Statement (WMofWA)'!#REF!</definedName>
    <definedName name="SFV_BU" localSheetId="15">'[5]Income Statement (WMofWA)'!#REF!</definedName>
    <definedName name="SFV_BU">'[5]Income Statement (WMofWA)'!#REF!</definedName>
    <definedName name="SFV_CUR" localSheetId="1">#REF!</definedName>
    <definedName name="SFV_CUR" localSheetId="2">#REF!</definedName>
    <definedName name="SFV_CUR" localSheetId="3">#REF!</definedName>
    <definedName name="SFV_CUR" localSheetId="13">#REF!</definedName>
    <definedName name="SFV_CUR" localSheetId="15">#REF!</definedName>
    <definedName name="SFV_CUR">#REF!</definedName>
    <definedName name="SFV_CUR1">'[4]2008 West Group IS'!$AM$9</definedName>
    <definedName name="SFV_CUR5">'[4]2008 Group Office IS'!$AM$9</definedName>
    <definedName name="SFV_DEPTID" localSheetId="1">'[5]Income Statement (WMofWA)'!#REF!</definedName>
    <definedName name="SFV_DEPTID" localSheetId="2">'[5]Income Statement (WMofWA)'!#REF!</definedName>
    <definedName name="SFV_DEPTID" localSheetId="3">'[5]Income Statement (WMofWA)'!#REF!</definedName>
    <definedName name="SFV_DEPTID" localSheetId="13">'[5]Income Statement (WMofWA)'!#REF!</definedName>
    <definedName name="SFV_DEPTID" localSheetId="15">'[5]Income Statement (WMofWA)'!#REF!</definedName>
    <definedName name="SFV_DEPTID">'[5]Income Statement (WMofWA)'!#REF!</definedName>
    <definedName name="SFV_OP" localSheetId="1">'[5]Income Statement (WMofWA)'!#REF!</definedName>
    <definedName name="SFV_OP" localSheetId="2">'[5]Income Statement (WMofWA)'!#REF!</definedName>
    <definedName name="SFV_OP" localSheetId="15">'[5]Income Statement (WMofWA)'!#REF!</definedName>
    <definedName name="SFV_OP">'[5]Income Statement (WMofWA)'!#REF!</definedName>
    <definedName name="SFV_PROD" localSheetId="1">'[5]Income Statement (WMofWA)'!#REF!</definedName>
    <definedName name="SFV_PROD" localSheetId="2">'[5]Income Statement (WMofWA)'!#REF!</definedName>
    <definedName name="SFV_PROD" localSheetId="15">'[5]Income Statement (WMofWA)'!#REF!</definedName>
    <definedName name="SFV_PROD">'[5]Income Statement (WMofWA)'!#REF!</definedName>
    <definedName name="SFV_PROJ" localSheetId="1">'[5]Income Statement (WMofWA)'!#REF!</definedName>
    <definedName name="SFV_PROJ" localSheetId="2">'[5]Income Statement (WMofWA)'!#REF!</definedName>
    <definedName name="SFV_PROJ" localSheetId="15">'[5]Income Statement (WMofWA)'!#REF!</definedName>
    <definedName name="SFV_PROJ">'[5]Income Statement (WMofWA)'!#REF!</definedName>
    <definedName name="sort" localSheetId="1">#REF!</definedName>
    <definedName name="sort" localSheetId="2">#REF!</definedName>
    <definedName name="sort" localSheetId="3">#REF!</definedName>
    <definedName name="sort" localSheetId="13">#REF!</definedName>
    <definedName name="sort" localSheetId="15">#REF!</definedName>
    <definedName name="sort">#REF!</definedName>
    <definedName name="Sort1" localSheetId="1">#REF!</definedName>
    <definedName name="Sort1" localSheetId="2">#REF!</definedName>
    <definedName name="Sort1" localSheetId="15">#REF!</definedName>
    <definedName name="Sort1">#REF!</definedName>
    <definedName name="sortcol" localSheetId="1">'[7]IS-Murrey''s'!#REF!</definedName>
    <definedName name="sortcol" localSheetId="2">'[7]IS-Murrey''s'!#REF!</definedName>
    <definedName name="sortcol" localSheetId="15">'[7]IS-Murrey''s'!#REF!</definedName>
    <definedName name="sortcol">'[7]IS-Murrey''s'!#REF!</definedName>
    <definedName name="start" localSheetId="1">#REF!</definedName>
    <definedName name="start" localSheetId="2">#REF!</definedName>
    <definedName name="start" localSheetId="3">#REF!</definedName>
    <definedName name="start" localSheetId="13">#REF!</definedName>
    <definedName name="start" localSheetId="15">#REF!</definedName>
    <definedName name="start">#REF!</definedName>
    <definedName name="Stop" localSheetId="1">'[6]O-9'!#REF!</definedName>
    <definedName name="Stop" localSheetId="2">'[6]O-9'!#REF!</definedName>
    <definedName name="Stop" localSheetId="3">'[6]O-9'!#REF!</definedName>
    <definedName name="Stop" localSheetId="13">'[6]O-9'!#REF!</definedName>
    <definedName name="Stop" localSheetId="15">'[6]O-9'!#REF!</definedName>
    <definedName name="Stop">'[6]O-9'!#REF!</definedName>
    <definedName name="SUMMARY" localSheetId="1">#REF!</definedName>
    <definedName name="SUMMARY" localSheetId="2">#REF!</definedName>
    <definedName name="SUMMARY" localSheetId="3">#REF!</definedName>
    <definedName name="SUMMARY" localSheetId="13">#REF!</definedName>
    <definedName name="SUMMARY" localSheetId="15">#REF!</definedName>
    <definedName name="SUMMARY">#REF!</definedName>
    <definedName name="Summary_DistrictName">[12]Summary!$B$7</definedName>
    <definedName name="Summary_DistrictNo">[12]Summary!$B$5</definedName>
    <definedName name="SWDisposal" localSheetId="1">#REF!</definedName>
    <definedName name="SWDisposal" localSheetId="2">#REF!</definedName>
    <definedName name="SWDisposal" localSheetId="3">#REF!</definedName>
    <definedName name="SWDisposal" localSheetId="13">#REF!</definedName>
    <definedName name="SWDisposal" localSheetId="15">#REF!</definedName>
    <definedName name="SWDisposal">#REF!</definedName>
    <definedName name="test" localSheetId="3">'[13]Sch 4 - 12months'!$B$10:$O$86</definedName>
    <definedName name="test" localSheetId="13">'[13]Sch 4 - 12months'!$B$10:$O$86</definedName>
    <definedName name="test">'[13]Sch 4 - 12months'!$B$10:$O$86</definedName>
    <definedName name="Title2" localSheetId="1">'[6]O-9'!#REF!</definedName>
    <definedName name="Title2" localSheetId="2">'[6]O-9'!#REF!</definedName>
    <definedName name="Title2" localSheetId="3">'[6]O-9'!#REF!</definedName>
    <definedName name="Title2" localSheetId="13">'[6]O-9'!#REF!</definedName>
    <definedName name="Title2" localSheetId="15">'[6]O-9'!#REF!</definedName>
    <definedName name="Title2">'[6]O-9'!#REF!</definedName>
    <definedName name="TOP" localSheetId="1">'[3]10800-10899'!#REF!</definedName>
    <definedName name="TOP" localSheetId="2">'[3]10800-10899'!#REF!</definedName>
    <definedName name="TOP" localSheetId="15">'[3]10800-10899'!#REF!</definedName>
    <definedName name="TOP">'[3]10800-10899'!#REF!</definedName>
    <definedName name="Total_Interest">'[14]Amortization Table'!$F$18</definedName>
    <definedName name="Variables" localSheetId="1">'[5]Income Statement (WMofWA)'!#REF!</definedName>
    <definedName name="Variables" localSheetId="2">'[5]Income Statement (WMofWA)'!#REF!</definedName>
    <definedName name="Variables" localSheetId="3">'[5]Income Statement (WMofWA)'!#REF!</definedName>
    <definedName name="Variables" localSheetId="13">'[5]Income Statement (WMofWA)'!#REF!</definedName>
    <definedName name="Variables" localSheetId="15">'[5]Income Statement (WMofWA)'!#REF!</definedName>
    <definedName name="Variables">'[5]Income Statement (WMofWA)'!#REF!</definedName>
    <definedName name="Waste_Management__Inc." localSheetId="1">#REF!</definedName>
    <definedName name="Waste_Management__Inc." localSheetId="2">#REF!</definedName>
    <definedName name="Waste_Management__Inc." localSheetId="3">#REF!</definedName>
    <definedName name="Waste_Management__Inc." localSheetId="13">#REF!</definedName>
    <definedName name="Waste_Management__Inc." localSheetId="15">#REF!</definedName>
    <definedName name="Waste_Management__Inc.">#REF!</definedName>
    <definedName name="WM" localSheetId="1">#REF!</definedName>
    <definedName name="WM" localSheetId="2">#REF!</definedName>
    <definedName name="WM" localSheetId="15">#REF!</definedName>
    <definedName name="WM">#REF!</definedName>
    <definedName name="x" localSheetId="1">rank</definedName>
    <definedName name="x" localSheetId="2">rank</definedName>
    <definedName name="x" localSheetId="3">rank</definedName>
    <definedName name="x" localSheetId="13">rank</definedName>
    <definedName name="x" localSheetId="15">rank</definedName>
    <definedName name="x">rank</definedName>
    <definedName name="xx" localSheetId="1">rank</definedName>
    <definedName name="xx" localSheetId="2">rank</definedName>
    <definedName name="xx" localSheetId="3">rank</definedName>
    <definedName name="xx" localSheetId="13">rank</definedName>
    <definedName name="xx" localSheetId="15">rank</definedName>
    <definedName name="xx">rank</definedName>
    <definedName name="xxx" localSheetId="1">rank</definedName>
    <definedName name="xxx" localSheetId="2">rank</definedName>
    <definedName name="xxx" localSheetId="3">rank</definedName>
    <definedName name="xxx" localSheetId="13">rank</definedName>
    <definedName name="xxx" localSheetId="15">rank</definedName>
    <definedName name="xxx">rank</definedName>
    <definedName name="YEAR4" localSheetId="1">#REF!</definedName>
    <definedName name="YEAR4" localSheetId="2">#REF!</definedName>
    <definedName name="YEAR4" localSheetId="3">#REF!</definedName>
    <definedName name="YEAR4" localSheetId="13">#REF!</definedName>
    <definedName name="YEAR4" localSheetId="15">#REF!</definedName>
    <definedName name="YEAR4">#REF!</definedName>
    <definedName name="yrCur">'[15]Report Template'!$B$2002</definedName>
    <definedName name="yrNext">'[15]Report Template'!$B$2003</definedName>
    <definedName name="YWMedWasteDisp" localSheetId="1">#REF!</definedName>
    <definedName name="YWMedWasteDisp" localSheetId="2">#REF!</definedName>
    <definedName name="YWMedWasteDisp" localSheetId="3">#REF!</definedName>
    <definedName name="YWMedWasteDisp" localSheetId="13">#REF!</definedName>
    <definedName name="YWMedWasteDisp" localSheetId="15">#REF!</definedName>
    <definedName name="YWMedWasteDisp">#REF!</definedName>
    <definedName name="Zero_Format" localSheetId="1">#REF!</definedName>
    <definedName name="Zero_Format" localSheetId="2">#REF!</definedName>
    <definedName name="Zero_Format" localSheetId="15">#REF!</definedName>
    <definedName name="Zero_Format">#REF!</definedName>
  </definedNames>
  <calcPr calcId="145621"/>
</workbook>
</file>

<file path=xl/calcChain.xml><?xml version="1.0" encoding="utf-8"?>
<calcChain xmlns="http://schemas.openxmlformats.org/spreadsheetml/2006/main">
  <c r="C40" i="6" l="1"/>
  <c r="H27" i="16"/>
  <c r="H33" i="16"/>
  <c r="F30" i="16"/>
  <c r="G30" i="16"/>
  <c r="H30" i="16"/>
  <c r="H31" i="16"/>
  <c r="I31" i="16"/>
  <c r="G32" i="16"/>
  <c r="H32" i="16"/>
  <c r="I32" i="16"/>
  <c r="G33" i="16"/>
  <c r="I33" i="16"/>
  <c r="I34" i="16"/>
  <c r="S36" i="14"/>
  <c r="K36" i="14"/>
  <c r="T24" i="24"/>
  <c r="S24" i="24"/>
  <c r="R24" i="24"/>
  <c r="P24" i="24"/>
  <c r="N24" i="24"/>
  <c r="L24" i="24"/>
  <c r="J24" i="24"/>
  <c r="H24" i="24"/>
  <c r="F24" i="24"/>
  <c r="D24" i="24"/>
  <c r="B24" i="24"/>
  <c r="T23" i="24"/>
  <c r="S23" i="24"/>
  <c r="R23" i="24"/>
  <c r="P23" i="24"/>
  <c r="N23" i="24"/>
  <c r="L23" i="24"/>
  <c r="J23" i="24"/>
  <c r="H23" i="24"/>
  <c r="F23" i="24"/>
  <c r="D23" i="24"/>
  <c r="B23" i="24"/>
  <c r="S22" i="24"/>
  <c r="R22" i="24"/>
  <c r="T22" i="24" s="1"/>
  <c r="P22" i="24"/>
  <c r="N22" i="24"/>
  <c r="L22" i="24"/>
  <c r="J22" i="24"/>
  <c r="H22" i="24"/>
  <c r="F22" i="24"/>
  <c r="D22" i="24"/>
  <c r="B22" i="24"/>
  <c r="S21" i="24"/>
  <c r="R21" i="24"/>
  <c r="T21" i="24" s="1"/>
  <c r="P21" i="24"/>
  <c r="N21" i="24"/>
  <c r="L21" i="24"/>
  <c r="J21" i="24"/>
  <c r="H21" i="24"/>
  <c r="F21" i="24"/>
  <c r="D21" i="24"/>
  <c r="B21" i="24"/>
  <c r="T20" i="24"/>
  <c r="S20" i="24"/>
  <c r="R20" i="24"/>
  <c r="P20" i="24"/>
  <c r="N20" i="24"/>
  <c r="L20" i="24"/>
  <c r="J20" i="24"/>
  <c r="H20" i="24"/>
  <c r="F20" i="24"/>
  <c r="D20" i="24"/>
  <c r="B20" i="24"/>
  <c r="T19" i="24"/>
  <c r="S19" i="24"/>
  <c r="R19" i="24"/>
  <c r="P19" i="24"/>
  <c r="N19" i="24"/>
  <c r="L19" i="24"/>
  <c r="J19" i="24"/>
  <c r="H19" i="24"/>
  <c r="F19" i="24"/>
  <c r="D19" i="24"/>
  <c r="B19" i="24"/>
  <c r="S18" i="24"/>
  <c r="R18" i="24"/>
  <c r="T18" i="24" s="1"/>
  <c r="P18" i="24"/>
  <c r="N18" i="24"/>
  <c r="L18" i="24"/>
  <c r="J18" i="24"/>
  <c r="H18" i="24"/>
  <c r="F18" i="24"/>
  <c r="D18" i="24"/>
  <c r="B18" i="24"/>
  <c r="S17" i="24"/>
  <c r="R17" i="24"/>
  <c r="T17" i="24" s="1"/>
  <c r="P17" i="24"/>
  <c r="P26" i="24" s="1"/>
  <c r="N17" i="24"/>
  <c r="L17" i="24"/>
  <c r="L26" i="24" s="1"/>
  <c r="J17" i="24"/>
  <c r="J26" i="24" s="1"/>
  <c r="H17" i="24"/>
  <c r="H26" i="24" s="1"/>
  <c r="F17" i="24"/>
  <c r="D17" i="24"/>
  <c r="D26" i="24" s="1"/>
  <c r="B17" i="24"/>
  <c r="B26" i="24" s="1"/>
  <c r="T16" i="24"/>
  <c r="S16" i="24"/>
  <c r="R16" i="24"/>
  <c r="P16" i="24"/>
  <c r="N16" i="24"/>
  <c r="N26" i="24" s="1"/>
  <c r="L16" i="24"/>
  <c r="J16" i="24"/>
  <c r="H16" i="24"/>
  <c r="F16" i="24"/>
  <c r="F26" i="24" s="1"/>
  <c r="D16" i="24"/>
  <c r="B16" i="24"/>
  <c r="A1" i="24"/>
  <c r="M65" i="5"/>
  <c r="M59" i="5"/>
  <c r="H14" i="23"/>
  <c r="H18" i="23" s="1"/>
  <c r="H27" i="23" s="1"/>
  <c r="D12" i="23"/>
  <c r="N12" i="23" s="1"/>
  <c r="L11" i="23"/>
  <c r="L14" i="23" s="1"/>
  <c r="L18" i="23" s="1"/>
  <c r="L27" i="23" s="1"/>
  <c r="H11" i="23"/>
  <c r="F11" i="23"/>
  <c r="F14" i="23" s="1"/>
  <c r="F18" i="23" s="1"/>
  <c r="F27" i="23" s="1"/>
  <c r="D11" i="23"/>
  <c r="N11" i="23" s="1"/>
  <c r="C156" i="13"/>
  <c r="C155" i="13"/>
  <c r="A150" i="13"/>
  <c r="B150" i="13"/>
  <c r="F150" i="13"/>
  <c r="G150" i="13"/>
  <c r="B151" i="13"/>
  <c r="F151" i="13"/>
  <c r="G151" i="13"/>
  <c r="B152" i="13"/>
  <c r="F152" i="13"/>
  <c r="G152" i="13"/>
  <c r="C153" i="13"/>
  <c r="E153" i="13"/>
  <c r="F153" i="13"/>
  <c r="G153" i="13"/>
  <c r="B154" i="13"/>
  <c r="C154" i="13"/>
  <c r="E154" i="13"/>
  <c r="F154" i="13"/>
  <c r="G154" i="13"/>
  <c r="B155" i="13"/>
  <c r="E155" i="13"/>
  <c r="F155" i="13"/>
  <c r="G155" i="13"/>
  <c r="B156" i="13"/>
  <c r="E156" i="13"/>
  <c r="F156" i="13"/>
  <c r="G156" i="13"/>
  <c r="B157" i="13"/>
  <c r="C157" i="13"/>
  <c r="E157" i="13"/>
  <c r="F157" i="13"/>
  <c r="G157" i="13"/>
  <c r="F158" i="13"/>
  <c r="G158" i="13"/>
  <c r="E65" i="13"/>
  <c r="E39" i="13"/>
  <c r="E34" i="13"/>
  <c r="E66" i="12"/>
  <c r="E40" i="12"/>
  <c r="E35" i="12"/>
  <c r="E43" i="12"/>
  <c r="E42" i="13"/>
  <c r="A42" i="10"/>
  <c r="B42" i="10"/>
  <c r="B43" i="10"/>
  <c r="D44" i="10"/>
  <c r="B45" i="10"/>
  <c r="C45" i="10"/>
  <c r="D45" i="10"/>
  <c r="B46" i="10"/>
  <c r="C46" i="10"/>
  <c r="D46" i="10"/>
  <c r="B47" i="10"/>
  <c r="C47" i="10"/>
  <c r="D47" i="10"/>
  <c r="B26" i="10"/>
  <c r="E23" i="6"/>
  <c r="F12" i="6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4" i="22"/>
  <c r="J53" i="22"/>
  <c r="J51" i="22"/>
  <c r="J50" i="22"/>
  <c r="J49" i="22"/>
  <c r="J48" i="22"/>
  <c r="J47" i="22"/>
  <c r="J44" i="22"/>
  <c r="J43" i="22"/>
  <c r="J42" i="22"/>
  <c r="J40" i="22"/>
  <c r="J39" i="22"/>
  <c r="J37" i="22"/>
  <c r="J35" i="22"/>
  <c r="J34" i="22"/>
  <c r="J33" i="22"/>
  <c r="J32" i="22"/>
  <c r="J31" i="22"/>
  <c r="J30" i="22"/>
  <c r="A23" i="22"/>
  <c r="F21" i="22"/>
  <c r="F55" i="22" s="1"/>
  <c r="J55" i="22" s="1"/>
  <c r="D21" i="22"/>
  <c r="B21" i="22"/>
  <c r="J20" i="22"/>
  <c r="J19" i="22"/>
  <c r="J17" i="22"/>
  <c r="J16" i="22"/>
  <c r="J15" i="22"/>
  <c r="J14" i="22"/>
  <c r="J13" i="22"/>
  <c r="A12" i="22"/>
  <c r="N97" i="21"/>
  <c r="J97" i="21"/>
  <c r="D97" i="21"/>
  <c r="X96" i="21"/>
  <c r="R96" i="21"/>
  <c r="R95" i="21"/>
  <c r="X95" i="21" s="1"/>
  <c r="X94" i="21"/>
  <c r="R94" i="21"/>
  <c r="X93" i="21"/>
  <c r="R93" i="21"/>
  <c r="B93" i="21"/>
  <c r="P93" i="21" s="1"/>
  <c r="Z93" i="21" s="1"/>
  <c r="X92" i="21"/>
  <c r="R92" i="21"/>
  <c r="R91" i="21"/>
  <c r="X91" i="21" s="1"/>
  <c r="X90" i="21"/>
  <c r="R90" i="21"/>
  <c r="R89" i="21"/>
  <c r="X89" i="21" s="1"/>
  <c r="X88" i="21"/>
  <c r="R88" i="21"/>
  <c r="P88" i="21"/>
  <c r="Z88" i="21" s="1"/>
  <c r="P86" i="21"/>
  <c r="P85" i="21"/>
  <c r="P84" i="21"/>
  <c r="P81" i="21"/>
  <c r="P80" i="21"/>
  <c r="P78" i="21"/>
  <c r="P71" i="21"/>
  <c r="P69" i="21"/>
  <c r="J67" i="21"/>
  <c r="J68" i="21" s="1"/>
  <c r="P68" i="21" s="1"/>
  <c r="P66" i="21"/>
  <c r="P60" i="21"/>
  <c r="P59" i="21"/>
  <c r="P57" i="21"/>
  <c r="P55" i="21"/>
  <c r="P53" i="21"/>
  <c r="P52" i="21"/>
  <c r="P51" i="21"/>
  <c r="P50" i="21"/>
  <c r="P49" i="21"/>
  <c r="T46" i="21"/>
  <c r="P46" i="21"/>
  <c r="P45" i="21"/>
  <c r="P44" i="21"/>
  <c r="P43" i="21"/>
  <c r="P42" i="21"/>
  <c r="P41" i="21"/>
  <c r="P40" i="21"/>
  <c r="P39" i="21"/>
  <c r="P38" i="21"/>
  <c r="P37" i="21"/>
  <c r="P36" i="21"/>
  <c r="P34" i="21"/>
  <c r="P33" i="21"/>
  <c r="P32" i="21"/>
  <c r="P31" i="21"/>
  <c r="P30" i="21"/>
  <c r="P28" i="21"/>
  <c r="P27" i="21"/>
  <c r="P26" i="21"/>
  <c r="R25" i="21"/>
  <c r="P25" i="21"/>
  <c r="P24" i="21"/>
  <c r="A23" i="21"/>
  <c r="T21" i="21"/>
  <c r="L21" i="21"/>
  <c r="J21" i="21"/>
  <c r="J99" i="21" s="1"/>
  <c r="H21" i="21"/>
  <c r="F21" i="21"/>
  <c r="B21" i="21"/>
  <c r="D19" i="21"/>
  <c r="P19" i="21" s="1"/>
  <c r="P17" i="21"/>
  <c r="D17" i="21"/>
  <c r="V15" i="21"/>
  <c r="A12" i="21"/>
  <c r="A6" i="21"/>
  <c r="A5" i="21"/>
  <c r="A1" i="21"/>
  <c r="Q98" i="19"/>
  <c r="Q97" i="19"/>
  <c r="N97" i="19"/>
  <c r="K97" i="19"/>
  <c r="Q96" i="19"/>
  <c r="R96" i="19" s="1"/>
  <c r="K96" i="19"/>
  <c r="N96" i="19" s="1"/>
  <c r="P96" i="19" s="1"/>
  <c r="I96" i="19"/>
  <c r="B96" i="21" s="1"/>
  <c r="P96" i="21" s="1"/>
  <c r="Z96" i="21" s="1"/>
  <c r="Q95" i="19"/>
  <c r="P95" i="19"/>
  <c r="K95" i="19"/>
  <c r="N95" i="19" s="1"/>
  <c r="I95" i="19"/>
  <c r="B95" i="21" s="1"/>
  <c r="P95" i="21" s="1"/>
  <c r="Z95" i="21" s="1"/>
  <c r="Q94" i="19"/>
  <c r="K94" i="19"/>
  <c r="N94" i="19" s="1"/>
  <c r="P94" i="19" s="1"/>
  <c r="I94" i="19"/>
  <c r="B94" i="21" s="1"/>
  <c r="P94" i="21" s="1"/>
  <c r="Z94" i="21" s="1"/>
  <c r="Q93" i="19"/>
  <c r="P93" i="19"/>
  <c r="K93" i="19"/>
  <c r="N93" i="19" s="1"/>
  <c r="R93" i="19" s="1"/>
  <c r="I93" i="19"/>
  <c r="Q92" i="19"/>
  <c r="K92" i="19"/>
  <c r="N92" i="19" s="1"/>
  <c r="P92" i="19" s="1"/>
  <c r="I92" i="19"/>
  <c r="B92" i="21" s="1"/>
  <c r="P92" i="21" s="1"/>
  <c r="Z92" i="21" s="1"/>
  <c r="Q91" i="19"/>
  <c r="P91" i="19"/>
  <c r="K91" i="19"/>
  <c r="N91" i="19" s="1"/>
  <c r="R91" i="19" s="1"/>
  <c r="I91" i="19"/>
  <c r="B91" i="21" s="1"/>
  <c r="P91" i="21" s="1"/>
  <c r="Q90" i="19"/>
  <c r="K90" i="19"/>
  <c r="N90" i="19" s="1"/>
  <c r="P90" i="19" s="1"/>
  <c r="I90" i="19"/>
  <c r="B90" i="21" s="1"/>
  <c r="P90" i="21" s="1"/>
  <c r="Z90" i="21" s="1"/>
  <c r="Q89" i="19"/>
  <c r="P89" i="19"/>
  <c r="K89" i="19"/>
  <c r="N89" i="19" s="1"/>
  <c r="I89" i="19"/>
  <c r="B89" i="21" s="1"/>
  <c r="P89" i="21" s="1"/>
  <c r="Z89" i="21" s="1"/>
  <c r="Q88" i="19"/>
  <c r="K88" i="19"/>
  <c r="N88" i="19" s="1"/>
  <c r="P88" i="19" s="1"/>
  <c r="I88" i="19"/>
  <c r="B88" i="21" s="1"/>
  <c r="Q87" i="19"/>
  <c r="P87" i="19"/>
  <c r="I87" i="19"/>
  <c r="B87" i="21" s="1"/>
  <c r="P87" i="21" s="1"/>
  <c r="F87" i="19"/>
  <c r="K87" i="19" s="1"/>
  <c r="N87" i="19" s="1"/>
  <c r="C87" i="19"/>
  <c r="Q86" i="19"/>
  <c r="I86" i="19"/>
  <c r="C86" i="19"/>
  <c r="Q85" i="19"/>
  <c r="I85" i="19"/>
  <c r="C85" i="19"/>
  <c r="Q84" i="19"/>
  <c r="I84" i="19"/>
  <c r="C84" i="19"/>
  <c r="Q83" i="19"/>
  <c r="I83" i="19"/>
  <c r="C83" i="19"/>
  <c r="F83" i="19" s="1"/>
  <c r="Q82" i="19"/>
  <c r="I82" i="19"/>
  <c r="C82" i="19"/>
  <c r="Q81" i="19"/>
  <c r="I81" i="19"/>
  <c r="C81" i="19"/>
  <c r="Q80" i="19"/>
  <c r="I80" i="19"/>
  <c r="L80" i="21" s="1"/>
  <c r="D80" i="19"/>
  <c r="R80" i="21" s="1"/>
  <c r="X80" i="21" s="1"/>
  <c r="C80" i="19"/>
  <c r="F80" i="19" s="1"/>
  <c r="K80" i="19" s="1"/>
  <c r="N80" i="19" s="1"/>
  <c r="Q79" i="19"/>
  <c r="I79" i="19"/>
  <c r="F79" i="19"/>
  <c r="C79" i="19"/>
  <c r="M44" i="5" s="1"/>
  <c r="Q78" i="19"/>
  <c r="I78" i="19"/>
  <c r="F78" i="19"/>
  <c r="C78" i="19"/>
  <c r="Q77" i="19"/>
  <c r="I77" i="19"/>
  <c r="C77" i="19"/>
  <c r="Q76" i="19"/>
  <c r="I76" i="19"/>
  <c r="L76" i="21" s="1"/>
  <c r="P76" i="21" s="1"/>
  <c r="C76" i="19"/>
  <c r="F76" i="19" s="1"/>
  <c r="K76" i="19" s="1"/>
  <c r="N76" i="19" s="1"/>
  <c r="Q75" i="19"/>
  <c r="I75" i="19"/>
  <c r="C75" i="19"/>
  <c r="F75" i="19" s="1"/>
  <c r="Q74" i="19"/>
  <c r="I74" i="19"/>
  <c r="C74" i="19"/>
  <c r="F74" i="19" s="1"/>
  <c r="Q73" i="19"/>
  <c r="I73" i="19"/>
  <c r="L73" i="21" s="1"/>
  <c r="P73" i="21" s="1"/>
  <c r="C73" i="19"/>
  <c r="F73" i="19" s="1"/>
  <c r="Q72" i="19"/>
  <c r="I72" i="19"/>
  <c r="L72" i="21" s="1"/>
  <c r="P72" i="21" s="1"/>
  <c r="C72" i="19"/>
  <c r="Q71" i="19"/>
  <c r="C71" i="19"/>
  <c r="Q70" i="19"/>
  <c r="I70" i="19"/>
  <c r="L70" i="21" s="1"/>
  <c r="P70" i="21" s="1"/>
  <c r="C70" i="19"/>
  <c r="F70" i="19" s="1"/>
  <c r="K70" i="19" s="1"/>
  <c r="N70" i="19" s="1"/>
  <c r="Q69" i="19"/>
  <c r="C69" i="19"/>
  <c r="F69" i="19" s="1"/>
  <c r="K69" i="19" s="1"/>
  <c r="N69" i="19" s="1"/>
  <c r="Q68" i="19"/>
  <c r="I68" i="19"/>
  <c r="C68" i="19"/>
  <c r="F68" i="19" s="1"/>
  <c r="Q67" i="19"/>
  <c r="I67" i="19"/>
  <c r="C67" i="19"/>
  <c r="Q66" i="19"/>
  <c r="C66" i="19"/>
  <c r="Q65" i="19"/>
  <c r="I65" i="19"/>
  <c r="L65" i="21" s="1"/>
  <c r="P65" i="21" s="1"/>
  <c r="C65" i="19"/>
  <c r="F65" i="19" s="1"/>
  <c r="Q64" i="19"/>
  <c r="I64" i="19"/>
  <c r="L64" i="21" s="1"/>
  <c r="P64" i="21" s="1"/>
  <c r="C64" i="19"/>
  <c r="F64" i="19" s="1"/>
  <c r="K64" i="19" s="1"/>
  <c r="N64" i="19" s="1"/>
  <c r="Q63" i="19"/>
  <c r="I63" i="19"/>
  <c r="L63" i="21" s="1"/>
  <c r="P63" i="21" s="1"/>
  <c r="C63" i="19"/>
  <c r="F63" i="19" s="1"/>
  <c r="Q62" i="19"/>
  <c r="I62" i="19"/>
  <c r="L62" i="21" s="1"/>
  <c r="P62" i="21" s="1"/>
  <c r="C62" i="19"/>
  <c r="Q61" i="19"/>
  <c r="I61" i="19"/>
  <c r="L61" i="21" s="1"/>
  <c r="P61" i="21" s="1"/>
  <c r="C61" i="19"/>
  <c r="F61" i="19" s="1"/>
  <c r="K61" i="19" s="1"/>
  <c r="N61" i="19" s="1"/>
  <c r="Q60" i="19"/>
  <c r="C60" i="19"/>
  <c r="F60" i="19" s="1"/>
  <c r="K60" i="19" s="1"/>
  <c r="N60" i="19" s="1"/>
  <c r="R60" i="19" s="1"/>
  <c r="Q59" i="19"/>
  <c r="D59" i="19"/>
  <c r="R59" i="21" s="1"/>
  <c r="X59" i="21" s="1"/>
  <c r="C59" i="19"/>
  <c r="F59" i="19" s="1"/>
  <c r="K59" i="19" s="1"/>
  <c r="N59" i="19" s="1"/>
  <c r="R59" i="19" s="1"/>
  <c r="Q58" i="19"/>
  <c r="I58" i="19"/>
  <c r="L58" i="21" s="1"/>
  <c r="P58" i="21" s="1"/>
  <c r="F58" i="19"/>
  <c r="K58" i="19" s="1"/>
  <c r="N58" i="19" s="1"/>
  <c r="R58" i="19" s="1"/>
  <c r="C58" i="19"/>
  <c r="Q57" i="19"/>
  <c r="C57" i="19"/>
  <c r="F57" i="19" s="1"/>
  <c r="K57" i="19" s="1"/>
  <c r="N57" i="19" s="1"/>
  <c r="Q56" i="19"/>
  <c r="I56" i="19"/>
  <c r="L56" i="21" s="1"/>
  <c r="P56" i="21" s="1"/>
  <c r="C56" i="19"/>
  <c r="F56" i="19" s="1"/>
  <c r="D56" i="19" s="1"/>
  <c r="R56" i="21" s="1"/>
  <c r="X56" i="21" s="1"/>
  <c r="Q55" i="19"/>
  <c r="C55" i="19"/>
  <c r="Q54" i="19"/>
  <c r="I54" i="19"/>
  <c r="L54" i="21" s="1"/>
  <c r="P54" i="21" s="1"/>
  <c r="C54" i="19"/>
  <c r="F54" i="19" s="1"/>
  <c r="Q53" i="19"/>
  <c r="C53" i="19"/>
  <c r="F53" i="19" s="1"/>
  <c r="Q52" i="19"/>
  <c r="L52" i="19"/>
  <c r="D52" i="22" s="1"/>
  <c r="C52" i="19"/>
  <c r="F52" i="19" s="1"/>
  <c r="K52" i="19" s="1"/>
  <c r="N52" i="19" s="1"/>
  <c r="Q51" i="19"/>
  <c r="F51" i="19"/>
  <c r="K51" i="19" s="1"/>
  <c r="N51" i="19" s="1"/>
  <c r="C51" i="19"/>
  <c r="Q50" i="19"/>
  <c r="F50" i="19"/>
  <c r="K50" i="19" s="1"/>
  <c r="N50" i="19" s="1"/>
  <c r="C50" i="19"/>
  <c r="Q49" i="19"/>
  <c r="C49" i="19"/>
  <c r="F49" i="19" s="1"/>
  <c r="K49" i="19" s="1"/>
  <c r="N49" i="19" s="1"/>
  <c r="Q48" i="19"/>
  <c r="I48" i="19"/>
  <c r="L48" i="21" s="1"/>
  <c r="P48" i="21" s="1"/>
  <c r="Z48" i="21" s="1"/>
  <c r="F48" i="19"/>
  <c r="D48" i="19"/>
  <c r="R48" i="21" s="1"/>
  <c r="X48" i="21" s="1"/>
  <c r="C48" i="19"/>
  <c r="Q47" i="19"/>
  <c r="I47" i="19"/>
  <c r="L47" i="21" s="1"/>
  <c r="P47" i="21" s="1"/>
  <c r="C47" i="19"/>
  <c r="F47" i="19" s="1"/>
  <c r="K47" i="19" s="1"/>
  <c r="N47" i="19" s="1"/>
  <c r="Q46" i="19"/>
  <c r="L46" i="19"/>
  <c r="B46" i="22" s="1"/>
  <c r="J46" i="22" s="1"/>
  <c r="C46" i="19"/>
  <c r="F46" i="19" s="1"/>
  <c r="Q45" i="19"/>
  <c r="L45" i="19"/>
  <c r="B45" i="22" s="1"/>
  <c r="J45" i="22" s="1"/>
  <c r="H45" i="19"/>
  <c r="T45" i="21" s="1"/>
  <c r="C45" i="19"/>
  <c r="F45" i="19" s="1"/>
  <c r="K45" i="19" s="1"/>
  <c r="N45" i="19" s="1"/>
  <c r="Q44" i="19"/>
  <c r="C44" i="19"/>
  <c r="F44" i="19" s="1"/>
  <c r="K44" i="19" s="1"/>
  <c r="N44" i="19" s="1"/>
  <c r="Q43" i="19"/>
  <c r="C43" i="19"/>
  <c r="F43" i="19" s="1"/>
  <c r="Q42" i="19"/>
  <c r="F42" i="19"/>
  <c r="C42" i="19"/>
  <c r="Q41" i="19"/>
  <c r="L41" i="19"/>
  <c r="H41" i="19"/>
  <c r="V41" i="21" s="1"/>
  <c r="C41" i="19"/>
  <c r="F41" i="19" s="1"/>
  <c r="Q40" i="19"/>
  <c r="H40" i="19"/>
  <c r="V40" i="21" s="1"/>
  <c r="C40" i="19"/>
  <c r="F40" i="19" s="1"/>
  <c r="D40" i="19" s="1"/>
  <c r="R40" i="21" s="1"/>
  <c r="X40" i="21" s="1"/>
  <c r="Q39" i="19"/>
  <c r="H39" i="19"/>
  <c r="V39" i="21" s="1"/>
  <c r="C39" i="19"/>
  <c r="F39" i="19" s="1"/>
  <c r="K39" i="19" s="1"/>
  <c r="N39" i="19" s="1"/>
  <c r="Q38" i="19"/>
  <c r="L38" i="19"/>
  <c r="H38" i="22" s="1"/>
  <c r="I38" i="19"/>
  <c r="H38" i="19"/>
  <c r="V38" i="21" s="1"/>
  <c r="D38" i="19"/>
  <c r="R38" i="21" s="1"/>
  <c r="X38" i="21" s="1"/>
  <c r="C38" i="19"/>
  <c r="Q37" i="19"/>
  <c r="P37" i="19"/>
  <c r="N37" i="19"/>
  <c r="R37" i="19" s="1"/>
  <c r="K37" i="19"/>
  <c r="D37" i="19"/>
  <c r="R37" i="21" s="1"/>
  <c r="X37" i="21" s="1"/>
  <c r="Z37" i="21" s="1"/>
  <c r="C37" i="19"/>
  <c r="Q36" i="19"/>
  <c r="L36" i="19"/>
  <c r="F36" i="22" s="1"/>
  <c r="C36" i="19"/>
  <c r="F36" i="19" s="1"/>
  <c r="K36" i="19" s="1"/>
  <c r="N36" i="19" s="1"/>
  <c r="Q35" i="19"/>
  <c r="I35" i="19"/>
  <c r="L35" i="21" s="1"/>
  <c r="C35" i="19"/>
  <c r="F35" i="19" s="1"/>
  <c r="Q34" i="19"/>
  <c r="C34" i="19"/>
  <c r="F34" i="19" s="1"/>
  <c r="K34" i="19" s="1"/>
  <c r="N34" i="19" s="1"/>
  <c r="Q33" i="19"/>
  <c r="I33" i="19"/>
  <c r="C33" i="19"/>
  <c r="F33" i="19" s="1"/>
  <c r="D33" i="19" s="1"/>
  <c r="R33" i="21" s="1"/>
  <c r="X33" i="21" s="1"/>
  <c r="Q32" i="19"/>
  <c r="C32" i="19"/>
  <c r="F32" i="19" s="1"/>
  <c r="K32" i="19" s="1"/>
  <c r="N32" i="19" s="1"/>
  <c r="P32" i="19" s="1"/>
  <c r="Q31" i="19"/>
  <c r="C31" i="19"/>
  <c r="F31" i="19" s="1"/>
  <c r="D31" i="19" s="1"/>
  <c r="R31" i="21" s="1"/>
  <c r="X31" i="21" s="1"/>
  <c r="Q30" i="19"/>
  <c r="C30" i="19"/>
  <c r="F30" i="19" s="1"/>
  <c r="D30" i="19" s="1"/>
  <c r="R30" i="21" s="1"/>
  <c r="X30" i="21" s="1"/>
  <c r="Q29" i="19"/>
  <c r="L29" i="19"/>
  <c r="B29" i="22" s="1"/>
  <c r="J29" i="22" s="1"/>
  <c r="I29" i="19"/>
  <c r="C29" i="19"/>
  <c r="F29" i="19" s="1"/>
  <c r="K29" i="19" s="1"/>
  <c r="Q28" i="19"/>
  <c r="L28" i="19"/>
  <c r="B28" i="22" s="1"/>
  <c r="J28" i="22" s="1"/>
  <c r="H28" i="19"/>
  <c r="T28" i="21" s="1"/>
  <c r="C28" i="19"/>
  <c r="Q27" i="19"/>
  <c r="L27" i="19"/>
  <c r="B27" i="22" s="1"/>
  <c r="J27" i="22" s="1"/>
  <c r="H27" i="19"/>
  <c r="T27" i="21" s="1"/>
  <c r="C27" i="19"/>
  <c r="F27" i="19" s="1"/>
  <c r="K27" i="19" s="1"/>
  <c r="N27" i="19" s="1"/>
  <c r="P27" i="19" s="1"/>
  <c r="Q26" i="19"/>
  <c r="L26" i="19"/>
  <c r="B26" i="22" s="1"/>
  <c r="J26" i="22" s="1"/>
  <c r="H26" i="19"/>
  <c r="T26" i="21" s="1"/>
  <c r="C26" i="19"/>
  <c r="Q25" i="19"/>
  <c r="L25" i="19"/>
  <c r="B25" i="22" s="1"/>
  <c r="J25" i="22" s="1"/>
  <c r="H25" i="19"/>
  <c r="T25" i="21" s="1"/>
  <c r="C25" i="19"/>
  <c r="F25" i="19" s="1"/>
  <c r="K25" i="19" s="1"/>
  <c r="N25" i="19" s="1"/>
  <c r="P25" i="19" s="1"/>
  <c r="Q24" i="19"/>
  <c r="L24" i="19"/>
  <c r="H24" i="19"/>
  <c r="F24" i="19"/>
  <c r="C24" i="19"/>
  <c r="Q20" i="19"/>
  <c r="L20" i="19"/>
  <c r="H20" i="19"/>
  <c r="Q19" i="19"/>
  <c r="C19" i="19"/>
  <c r="Q18" i="19"/>
  <c r="K18" i="19"/>
  <c r="N18" i="19" s="1"/>
  <c r="P18" i="19" s="1"/>
  <c r="C18" i="19"/>
  <c r="D18" i="19" s="1"/>
  <c r="R19" i="21" s="1"/>
  <c r="X19" i="21" s="1"/>
  <c r="Q17" i="19"/>
  <c r="L17" i="19"/>
  <c r="H18" i="22" s="1"/>
  <c r="K17" i="19"/>
  <c r="N17" i="19" s="1"/>
  <c r="I17" i="19"/>
  <c r="D18" i="21" s="1"/>
  <c r="P18" i="21" s="1"/>
  <c r="C17" i="19"/>
  <c r="D17" i="19" s="1"/>
  <c r="R18" i="21" s="1"/>
  <c r="R16" i="19"/>
  <c r="Q16" i="19"/>
  <c r="K16" i="19"/>
  <c r="N16" i="19" s="1"/>
  <c r="P16" i="19" s="1"/>
  <c r="C16" i="19"/>
  <c r="D16" i="19" s="1"/>
  <c r="R17" i="21" s="1"/>
  <c r="X17" i="21" s="1"/>
  <c r="Q15" i="19"/>
  <c r="C15" i="19"/>
  <c r="Q14" i="19"/>
  <c r="O14" i="19"/>
  <c r="I14" i="19"/>
  <c r="D15" i="21" s="1"/>
  <c r="P15" i="21" s="1"/>
  <c r="D14" i="19"/>
  <c r="C14" i="19"/>
  <c r="Q13" i="19"/>
  <c r="O13" i="19"/>
  <c r="I13" i="19"/>
  <c r="D14" i="21" s="1"/>
  <c r="P14" i="21" s="1"/>
  <c r="C13" i="19"/>
  <c r="D13" i="19" s="1"/>
  <c r="R14" i="21" s="1"/>
  <c r="X14" i="21" s="1"/>
  <c r="Q12" i="19"/>
  <c r="O12" i="19"/>
  <c r="O20" i="19" s="1"/>
  <c r="I12" i="19"/>
  <c r="D13" i="21" s="1"/>
  <c r="C12" i="19"/>
  <c r="E24" i="18"/>
  <c r="H22" i="18"/>
  <c r="E22" i="18"/>
  <c r="E21" i="18"/>
  <c r="E20" i="18"/>
  <c r="E12" i="18"/>
  <c r="A5" i="18"/>
  <c r="A1" i="18"/>
  <c r="T26" i="24" l="1"/>
  <c r="E39" i="8"/>
  <c r="F84" i="19"/>
  <c r="K84" i="19" s="1"/>
  <c r="N84" i="19" s="1"/>
  <c r="P84" i="19" s="1"/>
  <c r="D29" i="19"/>
  <c r="R29" i="21" s="1"/>
  <c r="X29" i="21" s="1"/>
  <c r="R26" i="24"/>
  <c r="U26" i="24" s="1"/>
  <c r="K30" i="19"/>
  <c r="N30" i="19" s="1"/>
  <c r="P30" i="19" s="1"/>
  <c r="D61" i="19"/>
  <c r="R61" i="21" s="1"/>
  <c r="X61" i="21" s="1"/>
  <c r="Z61" i="21" s="1"/>
  <c r="C20" i="19"/>
  <c r="D60" i="19"/>
  <c r="R60" i="21" s="1"/>
  <c r="X60" i="21" s="1"/>
  <c r="R44" i="19"/>
  <c r="P44" i="19"/>
  <c r="D43" i="19"/>
  <c r="R43" i="21" s="1"/>
  <c r="X43" i="21" s="1"/>
  <c r="Z43" i="21" s="1"/>
  <c r="K43" i="19"/>
  <c r="N43" i="19" s="1"/>
  <c r="P43" i="19" s="1"/>
  <c r="P47" i="19"/>
  <c r="C31" i="18"/>
  <c r="R47" i="19"/>
  <c r="D12" i="19"/>
  <c r="R13" i="21" s="1"/>
  <c r="D24" i="19"/>
  <c r="K31" i="19"/>
  <c r="N31" i="19" s="1"/>
  <c r="D32" i="19"/>
  <c r="R32" i="21" s="1"/>
  <c r="X32" i="21" s="1"/>
  <c r="D41" i="19"/>
  <c r="R41" i="21" s="1"/>
  <c r="X41" i="21" s="1"/>
  <c r="Z41" i="21" s="1"/>
  <c r="D44" i="19"/>
  <c r="R44" i="21" s="1"/>
  <c r="X44" i="21" s="1"/>
  <c r="Z44" i="21" s="1"/>
  <c r="Z56" i="21"/>
  <c r="P58" i="19"/>
  <c r="P59" i="19"/>
  <c r="P60" i="19"/>
  <c r="D69" i="19"/>
  <c r="R69" i="21" s="1"/>
  <c r="X69" i="21" s="1"/>
  <c r="D75" i="19"/>
  <c r="R75" i="21" s="1"/>
  <c r="X75" i="21" s="1"/>
  <c r="Z80" i="21"/>
  <c r="D39" i="19"/>
  <c r="R39" i="21" s="1"/>
  <c r="X39" i="21" s="1"/>
  <c r="D74" i="19"/>
  <c r="R74" i="21" s="1"/>
  <c r="X74" i="21" s="1"/>
  <c r="D34" i="19"/>
  <c r="R34" i="21" s="1"/>
  <c r="X34" i="21" s="1"/>
  <c r="D58" i="19"/>
  <c r="R58" i="21" s="1"/>
  <c r="X58" i="21" s="1"/>
  <c r="Z58" i="21" s="1"/>
  <c r="D14" i="23"/>
  <c r="D45" i="19"/>
  <c r="R45" i="21" s="1"/>
  <c r="X45" i="21" s="1"/>
  <c r="D78" i="19"/>
  <c r="R78" i="21" s="1"/>
  <c r="X78" i="21" s="1"/>
  <c r="R87" i="19"/>
  <c r="R89" i="19"/>
  <c r="R95" i="19"/>
  <c r="P36" i="19"/>
  <c r="R36" i="19"/>
  <c r="O55" i="19"/>
  <c r="O71" i="19"/>
  <c r="Z14" i="21"/>
  <c r="P14" i="19"/>
  <c r="R17" i="19"/>
  <c r="P17" i="19"/>
  <c r="K24" i="19"/>
  <c r="D27" i="19"/>
  <c r="R27" i="21" s="1"/>
  <c r="X27" i="21" s="1"/>
  <c r="Z27" i="21" s="1"/>
  <c r="R27" i="19"/>
  <c r="F38" i="19"/>
  <c r="K38" i="19" s="1"/>
  <c r="N38" i="19" s="1"/>
  <c r="R39" i="19"/>
  <c r="P39" i="19"/>
  <c r="R49" i="19"/>
  <c r="P49" i="19"/>
  <c r="K53" i="19"/>
  <c r="N53" i="19" s="1"/>
  <c r="D53" i="19"/>
  <c r="R53" i="21" s="1"/>
  <c r="X53" i="21" s="1"/>
  <c r="Z53" i="21" s="1"/>
  <c r="K65" i="19"/>
  <c r="N65" i="19" s="1"/>
  <c r="D65" i="19"/>
  <c r="R65" i="21" s="1"/>
  <c r="X65" i="21" s="1"/>
  <c r="Z65" i="21" s="1"/>
  <c r="R70" i="19"/>
  <c r="P70" i="19"/>
  <c r="R25" i="19"/>
  <c r="K35" i="19"/>
  <c r="N35" i="19" s="1"/>
  <c r="D35" i="19"/>
  <c r="R35" i="21" s="1"/>
  <c r="X35" i="21" s="1"/>
  <c r="K42" i="19"/>
  <c r="N42" i="19" s="1"/>
  <c r="D42" i="19"/>
  <c r="R42" i="21" s="1"/>
  <c r="X42" i="21" s="1"/>
  <c r="Z42" i="21" s="1"/>
  <c r="K46" i="19"/>
  <c r="N46" i="19" s="1"/>
  <c r="D46" i="19"/>
  <c r="R46" i="21" s="1"/>
  <c r="X46" i="21" s="1"/>
  <c r="Z46" i="21" s="1"/>
  <c r="R52" i="19"/>
  <c r="P52" i="19"/>
  <c r="D63" i="19"/>
  <c r="R63" i="21" s="1"/>
  <c r="X63" i="21" s="1"/>
  <c r="Z63" i="21" s="1"/>
  <c r="K63" i="19"/>
  <c r="N63" i="19" s="1"/>
  <c r="R64" i="19"/>
  <c r="P64" i="19"/>
  <c r="F72" i="19"/>
  <c r="K72" i="19" s="1"/>
  <c r="N72" i="19" s="1"/>
  <c r="X18" i="21"/>
  <c r="Z18" i="21" s="1"/>
  <c r="R18" i="19"/>
  <c r="N29" i="19"/>
  <c r="K33" i="19"/>
  <c r="N33" i="19" s="1"/>
  <c r="R34" i="19"/>
  <c r="P34" i="19"/>
  <c r="D36" i="19"/>
  <c r="R36" i="21" s="1"/>
  <c r="X36" i="21" s="1"/>
  <c r="Z36" i="21" s="1"/>
  <c r="R43" i="19"/>
  <c r="R51" i="19"/>
  <c r="P51" i="19"/>
  <c r="K54" i="19"/>
  <c r="N54" i="19" s="1"/>
  <c r="D54" i="19"/>
  <c r="R54" i="21" s="1"/>
  <c r="X54" i="21" s="1"/>
  <c r="R15" i="21"/>
  <c r="X15" i="21" s="1"/>
  <c r="Z15" i="21" s="1"/>
  <c r="D21" i="19"/>
  <c r="F14" i="19"/>
  <c r="K14" i="19" s="1"/>
  <c r="N14" i="19" s="1"/>
  <c r="R14" i="19" s="1"/>
  <c r="F67" i="19"/>
  <c r="K67" i="19" s="1"/>
  <c r="N67" i="19" s="1"/>
  <c r="R24" i="21"/>
  <c r="R30" i="19"/>
  <c r="R32" i="19"/>
  <c r="K41" i="19"/>
  <c r="N41" i="19" s="1"/>
  <c r="P45" i="19"/>
  <c r="R45" i="19"/>
  <c r="R50" i="19"/>
  <c r="P50" i="19"/>
  <c r="F13" i="19"/>
  <c r="K13" i="19" s="1"/>
  <c r="N13" i="19" s="1"/>
  <c r="F15" i="19"/>
  <c r="F19" i="19"/>
  <c r="D19" i="19" s="1"/>
  <c r="R20" i="21" s="1"/>
  <c r="X20" i="21" s="1"/>
  <c r="B24" i="22"/>
  <c r="L98" i="19"/>
  <c r="L101" i="19" s="1"/>
  <c r="F26" i="19"/>
  <c r="K26" i="19" s="1"/>
  <c r="N26" i="19" s="1"/>
  <c r="F28" i="19"/>
  <c r="K28" i="19" s="1"/>
  <c r="N28" i="19" s="1"/>
  <c r="J36" i="22"/>
  <c r="K48" i="19"/>
  <c r="N48" i="19" s="1"/>
  <c r="D49" i="19"/>
  <c r="R49" i="21" s="1"/>
  <c r="X49" i="21" s="1"/>
  <c r="Z49" i="21" s="1"/>
  <c r="D50" i="19"/>
  <c r="R50" i="21" s="1"/>
  <c r="X50" i="21" s="1"/>
  <c r="Z50" i="21" s="1"/>
  <c r="D51" i="19"/>
  <c r="R51" i="21" s="1"/>
  <c r="X51" i="21" s="1"/>
  <c r="Z51" i="21" s="1"/>
  <c r="D52" i="19"/>
  <c r="R52" i="21" s="1"/>
  <c r="X52" i="21" s="1"/>
  <c r="Z52" i="21" s="1"/>
  <c r="K56" i="19"/>
  <c r="N56" i="19" s="1"/>
  <c r="R57" i="19"/>
  <c r="P57" i="19"/>
  <c r="F62" i="19"/>
  <c r="K62" i="19" s="1"/>
  <c r="N62" i="19" s="1"/>
  <c r="D64" i="19"/>
  <c r="R64" i="21" s="1"/>
  <c r="X64" i="21" s="1"/>
  <c r="D70" i="19"/>
  <c r="R70" i="21" s="1"/>
  <c r="X70" i="21" s="1"/>
  <c r="Z70" i="21" s="1"/>
  <c r="P80" i="19"/>
  <c r="R80" i="19"/>
  <c r="J18" i="22"/>
  <c r="J21" i="22" s="1"/>
  <c r="H41" i="22"/>
  <c r="J41" i="22" s="1"/>
  <c r="H21" i="22"/>
  <c r="H98" i="19"/>
  <c r="H101" i="19" s="1"/>
  <c r="T24" i="21"/>
  <c r="T97" i="21" s="1"/>
  <c r="L97" i="21"/>
  <c r="P35" i="21"/>
  <c r="J38" i="22"/>
  <c r="H97" i="22"/>
  <c r="K40" i="19"/>
  <c r="N40" i="19" s="1"/>
  <c r="P61" i="19"/>
  <c r="R61" i="19"/>
  <c r="F66" i="19"/>
  <c r="K66" i="19" s="1"/>
  <c r="N66" i="19" s="1"/>
  <c r="D68" i="19"/>
  <c r="R68" i="21" s="1"/>
  <c r="X68" i="21" s="1"/>
  <c r="Z68" i="21" s="1"/>
  <c r="K68" i="19"/>
  <c r="N68" i="19" s="1"/>
  <c r="R69" i="19"/>
  <c r="P69" i="19"/>
  <c r="D73" i="19"/>
  <c r="R73" i="21" s="1"/>
  <c r="X73" i="21" s="1"/>
  <c r="Z73" i="21" s="1"/>
  <c r="K73" i="19"/>
  <c r="N73" i="19" s="1"/>
  <c r="P13" i="21"/>
  <c r="C98" i="19"/>
  <c r="C106" i="19" s="1"/>
  <c r="I98" i="19"/>
  <c r="F29" i="21"/>
  <c r="V97" i="21"/>
  <c r="D47" i="19"/>
  <c r="R47" i="21" s="1"/>
  <c r="X47" i="21" s="1"/>
  <c r="Z47" i="21" s="1"/>
  <c r="D57" i="19"/>
  <c r="R57" i="21" s="1"/>
  <c r="X57" i="21" s="1"/>
  <c r="Z57" i="21" s="1"/>
  <c r="P76" i="19"/>
  <c r="R76" i="19"/>
  <c r="R84" i="19"/>
  <c r="F74" i="21"/>
  <c r="P74" i="21" s="1"/>
  <c r="K74" i="19"/>
  <c r="N74" i="19" s="1"/>
  <c r="D76" i="19"/>
  <c r="R76" i="21" s="1"/>
  <c r="X76" i="21" s="1"/>
  <c r="Z76" i="21" s="1"/>
  <c r="F77" i="19"/>
  <c r="D77" i="19" s="1"/>
  <c r="R77" i="21" s="1"/>
  <c r="X77" i="21" s="1"/>
  <c r="H83" i="21"/>
  <c r="K83" i="19"/>
  <c r="N83" i="19" s="1"/>
  <c r="D83" i="19"/>
  <c r="R83" i="21" s="1"/>
  <c r="X83" i="21" s="1"/>
  <c r="R97" i="19"/>
  <c r="Z17" i="21"/>
  <c r="Z32" i="21"/>
  <c r="Z39" i="21"/>
  <c r="Z64" i="21"/>
  <c r="F75" i="21"/>
  <c r="P75" i="21" s="1"/>
  <c r="Z75" i="21" s="1"/>
  <c r="K75" i="19"/>
  <c r="N75" i="19" s="1"/>
  <c r="K78" i="19"/>
  <c r="N78" i="19" s="1"/>
  <c r="F79" i="21"/>
  <c r="P79" i="21" s="1"/>
  <c r="K79" i="19"/>
  <c r="N79" i="19" s="1"/>
  <c r="D79" i="19"/>
  <c r="R79" i="21" s="1"/>
  <c r="X79" i="21" s="1"/>
  <c r="F85" i="19"/>
  <c r="K85" i="19" s="1"/>
  <c r="N85" i="19" s="1"/>
  <c r="D87" i="19"/>
  <c r="R87" i="21" s="1"/>
  <c r="X87" i="21" s="1"/>
  <c r="R88" i="19"/>
  <c r="R90" i="19"/>
  <c r="R92" i="19"/>
  <c r="R94" i="19"/>
  <c r="X25" i="21"/>
  <c r="Z25" i="21" s="1"/>
  <c r="Z30" i="21"/>
  <c r="Z34" i="21"/>
  <c r="J52" i="22"/>
  <c r="D97" i="22"/>
  <c r="D99" i="22" s="1"/>
  <c r="Z54" i="21"/>
  <c r="F81" i="19"/>
  <c r="K81" i="19" s="1"/>
  <c r="N81" i="19" s="1"/>
  <c r="Z19" i="21"/>
  <c r="Z31" i="21"/>
  <c r="Z38" i="21"/>
  <c r="Z60" i="21"/>
  <c r="F82" i="19"/>
  <c r="F86" i="19"/>
  <c r="K86" i="19" s="1"/>
  <c r="N86" i="19" s="1"/>
  <c r="P97" i="19"/>
  <c r="V18" i="21"/>
  <c r="V21" i="21" s="1"/>
  <c r="V99" i="21" s="1"/>
  <c r="Z40" i="21"/>
  <c r="Z45" i="21"/>
  <c r="Z59" i="21"/>
  <c r="Z87" i="21"/>
  <c r="Z91" i="21"/>
  <c r="L99" i="21"/>
  <c r="T99" i="21"/>
  <c r="Z69" i="21"/>
  <c r="Z78" i="21"/>
  <c r="F71" i="22"/>
  <c r="J71" i="22" s="1"/>
  <c r="Z33" i="21"/>
  <c r="B97" i="21"/>
  <c r="B99" i="21" s="1"/>
  <c r="P67" i="21"/>
  <c r="H36" i="6"/>
  <c r="H38" i="6"/>
  <c r="H37" i="6"/>
  <c r="I17" i="6"/>
  <c r="I16" i="6"/>
  <c r="D84" i="19" l="1"/>
  <c r="R84" i="21" s="1"/>
  <c r="X84" i="21" s="1"/>
  <c r="Z84" i="21" s="1"/>
  <c r="Z74" i="21"/>
  <c r="D67" i="19"/>
  <c r="R67" i="21" s="1"/>
  <c r="X67" i="21" s="1"/>
  <c r="Z67" i="21" s="1"/>
  <c r="F12" i="19"/>
  <c r="F20" i="19" s="1"/>
  <c r="D28" i="19"/>
  <c r="R28" i="21" s="1"/>
  <c r="X28" i="21" s="1"/>
  <c r="Z28" i="21" s="1"/>
  <c r="P31" i="19"/>
  <c r="R31" i="19"/>
  <c r="D85" i="19"/>
  <c r="R85" i="21" s="1"/>
  <c r="X85" i="21" s="1"/>
  <c r="Z85" i="21" s="1"/>
  <c r="Z79" i="21"/>
  <c r="Z35" i="21"/>
  <c r="D18" i="23"/>
  <c r="N14" i="23"/>
  <c r="F82" i="21"/>
  <c r="P82" i="21" s="1"/>
  <c r="K82" i="19"/>
  <c r="N82" i="19" s="1"/>
  <c r="P81" i="19"/>
  <c r="R81" i="19"/>
  <c r="P66" i="19"/>
  <c r="R66" i="19"/>
  <c r="R26" i="19"/>
  <c r="P26" i="19"/>
  <c r="P54" i="19"/>
  <c r="R54" i="19"/>
  <c r="R35" i="19"/>
  <c r="P35" i="19"/>
  <c r="R38" i="19"/>
  <c r="P38" i="19"/>
  <c r="P85" i="19"/>
  <c r="R85" i="19"/>
  <c r="R83" i="19"/>
  <c r="P83" i="19"/>
  <c r="R68" i="19"/>
  <c r="P68" i="19"/>
  <c r="R13" i="19"/>
  <c r="P13" i="19"/>
  <c r="P65" i="19"/>
  <c r="R65" i="19"/>
  <c r="C101" i="19"/>
  <c r="D86" i="19"/>
  <c r="R86" i="21" s="1"/>
  <c r="X86" i="21" s="1"/>
  <c r="Z86" i="21" s="1"/>
  <c r="R75" i="19"/>
  <c r="P75" i="19"/>
  <c r="P83" i="21"/>
  <c r="Z83" i="21" s="1"/>
  <c r="H97" i="21"/>
  <c r="H99" i="21" s="1"/>
  <c r="P29" i="21"/>
  <c r="R40" i="19"/>
  <c r="P40" i="19"/>
  <c r="H99" i="22"/>
  <c r="D62" i="19"/>
  <c r="R62" i="21" s="1"/>
  <c r="X62" i="21" s="1"/>
  <c r="Z62" i="21" s="1"/>
  <c r="R56" i="19"/>
  <c r="P56" i="19"/>
  <c r="F97" i="22"/>
  <c r="F99" i="22" s="1"/>
  <c r="J24" i="22"/>
  <c r="J97" i="22" s="1"/>
  <c r="J99" i="22" s="1"/>
  <c r="B97" i="22"/>
  <c r="B99" i="22" s="1"/>
  <c r="P67" i="19"/>
  <c r="R67" i="19"/>
  <c r="D26" i="19"/>
  <c r="P42" i="19"/>
  <c r="R42" i="19"/>
  <c r="I15" i="19"/>
  <c r="K15" i="19" s="1"/>
  <c r="N15" i="19" s="1"/>
  <c r="R41" i="19"/>
  <c r="P41" i="19"/>
  <c r="X24" i="21"/>
  <c r="X13" i="21"/>
  <c r="R33" i="19"/>
  <c r="P33" i="19"/>
  <c r="P72" i="19"/>
  <c r="R72" i="19"/>
  <c r="P46" i="19"/>
  <c r="R46" i="19"/>
  <c r="R78" i="19"/>
  <c r="P78" i="19"/>
  <c r="F77" i="21"/>
  <c r="P77" i="21" s="1"/>
  <c r="Z77" i="21" s="1"/>
  <c r="K77" i="19"/>
  <c r="N77" i="19" s="1"/>
  <c r="R73" i="19"/>
  <c r="P73" i="19"/>
  <c r="P29" i="19"/>
  <c r="R29" i="19"/>
  <c r="R86" i="19"/>
  <c r="P86" i="19"/>
  <c r="D81" i="19"/>
  <c r="R81" i="21" s="1"/>
  <c r="X81" i="21" s="1"/>
  <c r="Z81" i="21" s="1"/>
  <c r="R79" i="19"/>
  <c r="P79" i="19"/>
  <c r="D82" i="19"/>
  <c r="R82" i="21" s="1"/>
  <c r="X82" i="21" s="1"/>
  <c r="R74" i="19"/>
  <c r="P74" i="19"/>
  <c r="D66" i="19"/>
  <c r="R66" i="21" s="1"/>
  <c r="X66" i="21" s="1"/>
  <c r="Z66" i="21" s="1"/>
  <c r="P62" i="19"/>
  <c r="R62" i="19"/>
  <c r="R48" i="19"/>
  <c r="P48" i="19"/>
  <c r="R28" i="19"/>
  <c r="P28" i="19"/>
  <c r="K19" i="19"/>
  <c r="N19" i="19" s="1"/>
  <c r="I19" i="19"/>
  <c r="D20" i="21" s="1"/>
  <c r="D15" i="19"/>
  <c r="K12" i="19"/>
  <c r="D72" i="19"/>
  <c r="R72" i="21" s="1"/>
  <c r="X72" i="21" s="1"/>
  <c r="Z72" i="21" s="1"/>
  <c r="R63" i="19"/>
  <c r="P63" i="19"/>
  <c r="R53" i="19"/>
  <c r="P53" i="19"/>
  <c r="N24" i="19"/>
  <c r="O98" i="19"/>
  <c r="O101" i="19" s="1"/>
  <c r="I18" i="6"/>
  <c r="H16" i="6" s="1"/>
  <c r="F21" i="19" l="1"/>
  <c r="F22" i="19" s="1"/>
  <c r="N18" i="23"/>
  <c r="D27" i="23"/>
  <c r="N27" i="23" s="1"/>
  <c r="P20" i="21"/>
  <c r="Z20" i="21" s="1"/>
  <c r="D21" i="21"/>
  <c r="D99" i="21" s="1"/>
  <c r="R82" i="19"/>
  <c r="P82" i="19"/>
  <c r="R16" i="21"/>
  <c r="D20" i="19"/>
  <c r="R15" i="19"/>
  <c r="P15" i="19"/>
  <c r="P24" i="19"/>
  <c r="R24" i="19"/>
  <c r="R19" i="19"/>
  <c r="P19" i="19"/>
  <c r="P77" i="19"/>
  <c r="R77" i="19"/>
  <c r="Z29" i="21"/>
  <c r="P97" i="21"/>
  <c r="D22" i="19"/>
  <c r="Z82" i="21"/>
  <c r="K20" i="19"/>
  <c r="N12" i="19"/>
  <c r="Z13" i="21"/>
  <c r="R26" i="21"/>
  <c r="F71" i="19"/>
  <c r="F55" i="19"/>
  <c r="Z24" i="21"/>
  <c r="N16" i="21"/>
  <c r="I20" i="19"/>
  <c r="I101" i="19" s="1"/>
  <c r="F97" i="21"/>
  <c r="F99" i="21" s="1"/>
  <c r="H17" i="6"/>
  <c r="X16" i="21" l="1"/>
  <c r="X21" i="21" s="1"/>
  <c r="R21" i="21"/>
  <c r="K55" i="19"/>
  <c r="D55" i="19"/>
  <c r="F98" i="19"/>
  <c r="N21" i="21"/>
  <c r="N99" i="21" s="1"/>
  <c r="P16" i="21"/>
  <c r="K71" i="19"/>
  <c r="N71" i="19" s="1"/>
  <c r="D71" i="19"/>
  <c r="R71" i="21" s="1"/>
  <c r="X71" i="21" s="1"/>
  <c r="Z71" i="21" s="1"/>
  <c r="N20" i="19"/>
  <c r="R12" i="19"/>
  <c r="P12" i="19"/>
  <c r="P20" i="19" s="1"/>
  <c r="X26" i="21"/>
  <c r="L38" i="17"/>
  <c r="S38" i="17"/>
  <c r="C89" i="17"/>
  <c r="B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A38" i="17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D37" i="17"/>
  <c r="M26" i="17"/>
  <c r="M29" i="17" s="1"/>
  <c r="O20" i="17"/>
  <c r="O16" i="17"/>
  <c r="R10" i="17" s="1"/>
  <c r="M15" i="17"/>
  <c r="M13" i="17" s="1"/>
  <c r="L15" i="17"/>
  <c r="K15" i="17"/>
  <c r="J15" i="17"/>
  <c r="J13" i="17" s="1"/>
  <c r="I15" i="17"/>
  <c r="I13" i="17" s="1"/>
  <c r="H15" i="17"/>
  <c r="H13" i="17" s="1"/>
  <c r="G15" i="17"/>
  <c r="G13" i="17" s="1"/>
  <c r="F15" i="17"/>
  <c r="F13" i="17" s="1"/>
  <c r="E15" i="17"/>
  <c r="E13" i="17" s="1"/>
  <c r="D15" i="17"/>
  <c r="C15" i="17"/>
  <c r="C13" i="17" s="1"/>
  <c r="B15" i="17"/>
  <c r="O14" i="17"/>
  <c r="L13" i="17"/>
  <c r="K13" i="17"/>
  <c r="D13" i="17"/>
  <c r="D18" i="17" s="1"/>
  <c r="M12" i="17"/>
  <c r="L12" i="17"/>
  <c r="K12" i="17"/>
  <c r="J12" i="17"/>
  <c r="I12" i="17"/>
  <c r="H12" i="17"/>
  <c r="G12" i="17"/>
  <c r="F12" i="17"/>
  <c r="E12" i="17"/>
  <c r="D12" i="17"/>
  <c r="C12" i="17"/>
  <c r="B12" i="17"/>
  <c r="A5" i="17"/>
  <c r="A1" i="17"/>
  <c r="F106" i="19" l="1"/>
  <c r="F101" i="19"/>
  <c r="R71" i="19"/>
  <c r="P71" i="19"/>
  <c r="R55" i="21"/>
  <c r="D98" i="19"/>
  <c r="R20" i="19"/>
  <c r="E10" i="18"/>
  <c r="Z26" i="21"/>
  <c r="Z16" i="21"/>
  <c r="P21" i="21"/>
  <c r="N55" i="19"/>
  <c r="K98" i="19"/>
  <c r="C18" i="17"/>
  <c r="L18" i="17"/>
  <c r="F49" i="17"/>
  <c r="F67" i="17"/>
  <c r="O12" i="17"/>
  <c r="F18" i="17"/>
  <c r="J18" i="17"/>
  <c r="F58" i="17"/>
  <c r="K18" i="17"/>
  <c r="G18" i="17"/>
  <c r="H18" i="17"/>
  <c r="F45" i="17"/>
  <c r="F54" i="17"/>
  <c r="F63" i="17"/>
  <c r="F41" i="17"/>
  <c r="F75" i="17"/>
  <c r="F80" i="17"/>
  <c r="E18" i="17"/>
  <c r="I18" i="17"/>
  <c r="M18" i="17"/>
  <c r="O15" i="17"/>
  <c r="F71" i="17"/>
  <c r="F84" i="17"/>
  <c r="F88" i="17"/>
  <c r="B13" i="17"/>
  <c r="O13" i="17" s="1"/>
  <c r="S10" i="17" s="1"/>
  <c r="D89" i="17"/>
  <c r="S39" i="17"/>
  <c r="S40" i="17" s="1"/>
  <c r="K39" i="17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O27" i="16" s="1"/>
  <c r="P45" i="16"/>
  <c r="P44" i="16"/>
  <c r="Q43" i="16"/>
  <c r="P43" i="16"/>
  <c r="P46" i="16" s="1"/>
  <c r="S38" i="16"/>
  <c r="Q44" i="16" s="1"/>
  <c r="E15" i="16" s="1"/>
  <c r="C28" i="16"/>
  <c r="C27" i="16"/>
  <c r="O26" i="16"/>
  <c r="N26" i="16"/>
  <c r="N27" i="16" s="1"/>
  <c r="M26" i="16"/>
  <c r="H26" i="16"/>
  <c r="C24" i="16"/>
  <c r="C23" i="16"/>
  <c r="AC16" i="16"/>
  <c r="AB16" i="16"/>
  <c r="N16" i="16" s="1"/>
  <c r="U16" i="16" s="1"/>
  <c r="AA16" i="16"/>
  <c r="Z16" i="16"/>
  <c r="Y16" i="16"/>
  <c r="R16" i="16"/>
  <c r="H16" i="16"/>
  <c r="E16" i="16"/>
  <c r="L16" i="16" s="1"/>
  <c r="M16" i="16" s="1"/>
  <c r="AC15" i="16"/>
  <c r="Z15" i="16"/>
  <c r="Y15" i="16"/>
  <c r="R15" i="16"/>
  <c r="L15" i="16"/>
  <c r="M15" i="16" s="1"/>
  <c r="H15" i="16"/>
  <c r="AA15" i="16" s="1"/>
  <c r="AC14" i="16"/>
  <c r="AB14" i="16"/>
  <c r="AA14" i="16"/>
  <c r="Z14" i="16"/>
  <c r="Y14" i="16"/>
  <c r="R14" i="16"/>
  <c r="H14" i="16"/>
  <c r="G9" i="16"/>
  <c r="F9" i="16"/>
  <c r="AB15" i="16" s="1"/>
  <c r="A5" i="16"/>
  <c r="A1" i="16"/>
  <c r="C89" i="14"/>
  <c r="B89" i="14"/>
  <c r="D88" i="14"/>
  <c r="D87" i="14"/>
  <c r="D86" i="14"/>
  <c r="D85" i="14"/>
  <c r="D84" i="14"/>
  <c r="D83" i="14"/>
  <c r="D82" i="14"/>
  <c r="D81" i="14"/>
  <c r="F84" i="14" s="1"/>
  <c r="D80" i="14"/>
  <c r="D79" i="14"/>
  <c r="D78" i="14"/>
  <c r="D77" i="14"/>
  <c r="D76" i="14"/>
  <c r="D75" i="14"/>
  <c r="D74" i="14"/>
  <c r="D73" i="14"/>
  <c r="D72" i="14"/>
  <c r="F75" i="14" s="1"/>
  <c r="D71" i="14"/>
  <c r="D70" i="14"/>
  <c r="D69" i="14"/>
  <c r="D68" i="14"/>
  <c r="D67" i="14"/>
  <c r="D66" i="14"/>
  <c r="D65" i="14"/>
  <c r="D64" i="14"/>
  <c r="F67" i="14" s="1"/>
  <c r="D63" i="14"/>
  <c r="D62" i="14"/>
  <c r="D61" i="14"/>
  <c r="D60" i="14"/>
  <c r="D59" i="14"/>
  <c r="D58" i="14"/>
  <c r="D57" i="14"/>
  <c r="D56" i="14"/>
  <c r="D55" i="14"/>
  <c r="F58" i="14" s="1"/>
  <c r="D54" i="14"/>
  <c r="D53" i="14"/>
  <c r="D52" i="14"/>
  <c r="D51" i="14"/>
  <c r="D50" i="14"/>
  <c r="D49" i="14"/>
  <c r="D48" i="14"/>
  <c r="D47" i="14"/>
  <c r="D46" i="14"/>
  <c r="F49" i="14" s="1"/>
  <c r="D45" i="14"/>
  <c r="D44" i="14"/>
  <c r="D43" i="14"/>
  <c r="D42" i="14"/>
  <c r="R41" i="14"/>
  <c r="D41" i="14"/>
  <c r="D40" i="14"/>
  <c r="D39" i="14"/>
  <c r="D38" i="14"/>
  <c r="A38" i="14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S37" i="14"/>
  <c r="K37" i="14"/>
  <c r="D37" i="14"/>
  <c r="M26" i="14"/>
  <c r="O20" i="14"/>
  <c r="O16" i="14"/>
  <c r="M15" i="14"/>
  <c r="M13" i="14" s="1"/>
  <c r="L15" i="14"/>
  <c r="L13" i="14" s="1"/>
  <c r="L18" i="14" s="1"/>
  <c r="K15" i="14"/>
  <c r="J15" i="14"/>
  <c r="I15" i="14"/>
  <c r="H15" i="14"/>
  <c r="H13" i="14" s="1"/>
  <c r="H18" i="14" s="1"/>
  <c r="G15" i="14"/>
  <c r="G13" i="14" s="1"/>
  <c r="F15" i="14"/>
  <c r="E15" i="14"/>
  <c r="E13" i="14" s="1"/>
  <c r="D15" i="14"/>
  <c r="D13" i="14" s="1"/>
  <c r="D18" i="14" s="1"/>
  <c r="C15" i="14"/>
  <c r="C13" i="14" s="1"/>
  <c r="B15" i="14"/>
  <c r="O14" i="14"/>
  <c r="K13" i="14"/>
  <c r="J13" i="14"/>
  <c r="I13" i="14"/>
  <c r="F13" i="14"/>
  <c r="F18" i="14" s="1"/>
  <c r="B13" i="14"/>
  <c r="M12" i="14"/>
  <c r="L12" i="14"/>
  <c r="K12" i="14"/>
  <c r="J12" i="14"/>
  <c r="I12" i="14"/>
  <c r="I18" i="14" s="1"/>
  <c r="H12" i="14"/>
  <c r="G12" i="14"/>
  <c r="F12" i="14"/>
  <c r="E12" i="14"/>
  <c r="D12" i="14"/>
  <c r="C12" i="14"/>
  <c r="B12" i="14"/>
  <c r="R10" i="14"/>
  <c r="A5" i="14"/>
  <c r="H107" i="13"/>
  <c r="H111" i="13" s="1"/>
  <c r="L104" i="13"/>
  <c r="L107" i="13" s="1"/>
  <c r="K104" i="13"/>
  <c r="K107" i="13" s="1"/>
  <c r="L95" i="13"/>
  <c r="G95" i="13"/>
  <c r="K95" i="13" s="1"/>
  <c r="G92" i="13"/>
  <c r="K92" i="13" s="1"/>
  <c r="F84" i="13"/>
  <c r="K84" i="13" s="1"/>
  <c r="L81" i="13"/>
  <c r="F81" i="13"/>
  <c r="K81" i="13" s="1"/>
  <c r="F77" i="13"/>
  <c r="K77" i="13" s="1"/>
  <c r="L74" i="13"/>
  <c r="F74" i="13"/>
  <c r="K74" i="13" s="1"/>
  <c r="L68" i="13"/>
  <c r="L70" i="13" s="1"/>
  <c r="E68" i="13"/>
  <c r="K68" i="13" s="1"/>
  <c r="M65" i="13"/>
  <c r="I48" i="13"/>
  <c r="K55" i="13" s="1"/>
  <c r="M45" i="13"/>
  <c r="G45" i="13"/>
  <c r="F45" i="13"/>
  <c r="M42" i="13"/>
  <c r="I42" i="13"/>
  <c r="G42" i="13"/>
  <c r="F42" i="13"/>
  <c r="M39" i="13"/>
  <c r="G39" i="13"/>
  <c r="F39" i="13"/>
  <c r="F48" i="13" s="1"/>
  <c r="L36" i="13"/>
  <c r="K36" i="13"/>
  <c r="M36" i="13" s="1"/>
  <c r="O36" i="13" s="1"/>
  <c r="M34" i="13"/>
  <c r="O34" i="13" s="1"/>
  <c r="G31" i="13"/>
  <c r="E31" i="13"/>
  <c r="L31" i="13" s="1"/>
  <c r="G29" i="13"/>
  <c r="K29" i="13" s="1"/>
  <c r="E29" i="13"/>
  <c r="G26" i="13"/>
  <c r="E26" i="13"/>
  <c r="L24" i="13"/>
  <c r="G24" i="13"/>
  <c r="E24" i="13"/>
  <c r="K24" i="13" s="1"/>
  <c r="M21" i="13"/>
  <c r="K21" i="13"/>
  <c r="G21" i="13"/>
  <c r="E21" i="13"/>
  <c r="L21" i="13" s="1"/>
  <c r="K19" i="13"/>
  <c r="M19" i="13" s="1"/>
  <c r="L17" i="13"/>
  <c r="M17" i="13" s="1"/>
  <c r="K17" i="13"/>
  <c r="K15" i="13"/>
  <c r="M15" i="13" s="1"/>
  <c r="G15" i="13"/>
  <c r="E15" i="13"/>
  <c r="L15" i="13" s="1"/>
  <c r="G13" i="13"/>
  <c r="L13" i="13" s="1"/>
  <c r="E13" i="13"/>
  <c r="G10" i="13"/>
  <c r="E10" i="13"/>
  <c r="A5" i="13"/>
  <c r="H108" i="12"/>
  <c r="H113" i="12" s="1"/>
  <c r="L105" i="12"/>
  <c r="M105" i="12" s="1"/>
  <c r="M108" i="12" s="1"/>
  <c r="K105" i="12"/>
  <c r="K108" i="12" s="1"/>
  <c r="K96" i="12"/>
  <c r="M96" i="12" s="1"/>
  <c r="G96" i="12"/>
  <c r="L96" i="12" s="1"/>
  <c r="K93" i="12"/>
  <c r="K98" i="12" s="1"/>
  <c r="G93" i="12"/>
  <c r="L93" i="12" s="1"/>
  <c r="F85" i="12"/>
  <c r="F82" i="12"/>
  <c r="F78" i="12"/>
  <c r="F75" i="12"/>
  <c r="E69" i="12"/>
  <c r="M66" i="12"/>
  <c r="F49" i="12"/>
  <c r="H47" i="12"/>
  <c r="L46" i="12"/>
  <c r="M46" i="12" s="1"/>
  <c r="M43" i="12"/>
  <c r="I43" i="12"/>
  <c r="I49" i="12" s="1"/>
  <c r="L56" i="12" s="1"/>
  <c r="G43" i="12"/>
  <c r="F43" i="12"/>
  <c r="M40" i="12"/>
  <c r="G40" i="12"/>
  <c r="F40" i="12"/>
  <c r="M37" i="12"/>
  <c r="O37" i="12" s="1"/>
  <c r="L37" i="12"/>
  <c r="K37" i="12"/>
  <c r="M35" i="12"/>
  <c r="O35" i="12" s="1"/>
  <c r="O38" i="12" s="1"/>
  <c r="K32" i="12"/>
  <c r="M32" i="12" s="1"/>
  <c r="G32" i="12"/>
  <c r="L32" i="12" s="1"/>
  <c r="E32" i="12"/>
  <c r="L30" i="12"/>
  <c r="K30" i="12"/>
  <c r="M30" i="12" s="1"/>
  <c r="G30" i="12"/>
  <c r="E30" i="12"/>
  <c r="G27" i="12"/>
  <c r="E27" i="12"/>
  <c r="G25" i="12"/>
  <c r="E25" i="12"/>
  <c r="K22" i="12"/>
  <c r="M22" i="12" s="1"/>
  <c r="G22" i="12"/>
  <c r="L22" i="12" s="1"/>
  <c r="E22" i="12"/>
  <c r="K20" i="12"/>
  <c r="M20" i="12" s="1"/>
  <c r="M18" i="12"/>
  <c r="L18" i="12"/>
  <c r="K18" i="12"/>
  <c r="G16" i="12"/>
  <c r="E16" i="12"/>
  <c r="G14" i="12"/>
  <c r="E14" i="12"/>
  <c r="K11" i="12"/>
  <c r="G11" i="12"/>
  <c r="E11" i="12"/>
  <c r="A5" i="12"/>
  <c r="A1" i="12"/>
  <c r="A1" i="13" s="1"/>
  <c r="A1" i="14" s="1"/>
  <c r="C31" i="11"/>
  <c r="C30" i="11"/>
  <c r="C29" i="11"/>
  <c r="C28" i="11"/>
  <c r="C27" i="11"/>
  <c r="C26" i="11"/>
  <c r="C25" i="11"/>
  <c r="C24" i="11"/>
  <c r="C33" i="11" s="1"/>
  <c r="C37" i="11" s="1"/>
  <c r="C23" i="11"/>
  <c r="C22" i="11"/>
  <c r="C19" i="11"/>
  <c r="A19" i="11"/>
  <c r="C18" i="11"/>
  <c r="A18" i="11"/>
  <c r="C17" i="11"/>
  <c r="A17" i="11"/>
  <c r="C16" i="11"/>
  <c r="A16" i="11"/>
  <c r="C14" i="11"/>
  <c r="C13" i="11"/>
  <c r="C12" i="11"/>
  <c r="C11" i="11"/>
  <c r="A5" i="11"/>
  <c r="A1" i="11"/>
  <c r="P34" i="10"/>
  <c r="P29" i="10"/>
  <c r="P28" i="10"/>
  <c r="P26" i="10"/>
  <c r="A5" i="10"/>
  <c r="A1" i="10"/>
  <c r="A55" i="8"/>
  <c r="E52" i="8"/>
  <c r="E54" i="8" s="1"/>
  <c r="E48" i="8"/>
  <c r="E55" i="8" s="1"/>
  <c r="E42" i="8"/>
  <c r="E45" i="8" s="1"/>
  <c r="E47" i="8" s="1"/>
  <c r="J35" i="8"/>
  <c r="E35" i="8"/>
  <c r="E37" i="8" s="1"/>
  <c r="C34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A5" i="8"/>
  <c r="K137" i="7"/>
  <c r="AC132" i="7"/>
  <c r="AC134" i="7" s="1"/>
  <c r="Z135" i="7" s="1"/>
  <c r="AB132" i="7"/>
  <c r="AB134" i="7" s="1"/>
  <c r="Y135" i="7" s="1"/>
  <c r="AA132" i="7"/>
  <c r="AA134" i="7" s="1"/>
  <c r="X135" i="7" s="1"/>
  <c r="Z132" i="7"/>
  <c r="Z134" i="7" s="1"/>
  <c r="Y132" i="7"/>
  <c r="Y134" i="7" s="1"/>
  <c r="X132" i="7"/>
  <c r="X134" i="7" s="1"/>
  <c r="W132" i="7"/>
  <c r="W134" i="7" s="1"/>
  <c r="V132" i="7"/>
  <c r="V134" i="7" s="1"/>
  <c r="U132" i="7"/>
  <c r="U134" i="7" s="1"/>
  <c r="T132" i="7"/>
  <c r="T134" i="7" s="1"/>
  <c r="T135" i="7" s="1"/>
  <c r="S132" i="7"/>
  <c r="S134" i="7" s="1"/>
  <c r="R132" i="7"/>
  <c r="R134" i="7" s="1"/>
  <c r="Q132" i="7"/>
  <c r="Q134" i="7" s="1"/>
  <c r="P132" i="7"/>
  <c r="P134" i="7" s="1"/>
  <c r="O132" i="7"/>
  <c r="N132" i="7"/>
  <c r="N134" i="7" s="1"/>
  <c r="M132" i="7"/>
  <c r="M134" i="7" s="1"/>
  <c r="L132" i="7"/>
  <c r="L134" i="7" s="1"/>
  <c r="K132" i="7"/>
  <c r="J132" i="7"/>
  <c r="J134" i="7" s="1"/>
  <c r="I132" i="7"/>
  <c r="I134" i="7" s="1"/>
  <c r="H132" i="7"/>
  <c r="H134" i="7" s="1"/>
  <c r="G132" i="7"/>
  <c r="G134" i="7" s="1"/>
  <c r="F132" i="7"/>
  <c r="F134" i="7" s="1"/>
  <c r="E132" i="7"/>
  <c r="E134" i="7" s="1"/>
  <c r="D132" i="7"/>
  <c r="D134" i="7" s="1"/>
  <c r="D135" i="7" s="1"/>
  <c r="C132" i="7"/>
  <c r="C134" i="7" s="1"/>
  <c r="C135" i="7" s="1"/>
  <c r="B132" i="7"/>
  <c r="B134" i="7" s="1"/>
  <c r="B135" i="7" s="1"/>
  <c r="D122" i="7"/>
  <c r="D121" i="7"/>
  <c r="R108" i="7" s="1"/>
  <c r="H120" i="7"/>
  <c r="D120" i="7"/>
  <c r="C120" i="7"/>
  <c r="B120" i="7"/>
  <c r="I120" i="7" s="1"/>
  <c r="E119" i="7"/>
  <c r="E118" i="7"/>
  <c r="E117" i="7"/>
  <c r="E116" i="7"/>
  <c r="E114" i="7"/>
  <c r="E113" i="7"/>
  <c r="I112" i="7"/>
  <c r="E112" i="7"/>
  <c r="E111" i="7"/>
  <c r="J110" i="7"/>
  <c r="E110" i="7"/>
  <c r="E109" i="7"/>
  <c r="X108" i="7"/>
  <c r="E108" i="7"/>
  <c r="X107" i="7"/>
  <c r="E107" i="7"/>
  <c r="E106" i="7"/>
  <c r="E105" i="7"/>
  <c r="E103" i="7"/>
  <c r="E102" i="7"/>
  <c r="E101" i="7"/>
  <c r="E100" i="7"/>
  <c r="E99" i="7"/>
  <c r="E98" i="7"/>
  <c r="E97" i="7"/>
  <c r="E95" i="7"/>
  <c r="E94" i="7"/>
  <c r="E93" i="7"/>
  <c r="E92" i="7"/>
  <c r="E91" i="7"/>
  <c r="E90" i="7"/>
  <c r="A83" i="7"/>
  <c r="D80" i="7"/>
  <c r="X109" i="7" s="1"/>
  <c r="D79" i="7"/>
  <c r="C79" i="7"/>
  <c r="B79" i="7"/>
  <c r="P109" i="7" s="1"/>
  <c r="H78" i="7"/>
  <c r="H79" i="7" s="1"/>
  <c r="D78" i="7"/>
  <c r="J69" i="7" s="1"/>
  <c r="C78" i="7"/>
  <c r="B78" i="7"/>
  <c r="J78" i="7" s="1"/>
  <c r="E77" i="7"/>
  <c r="E76" i="7"/>
  <c r="G76" i="7" s="1"/>
  <c r="E75" i="7"/>
  <c r="E74" i="7"/>
  <c r="E73" i="7"/>
  <c r="E72" i="7"/>
  <c r="E71" i="7"/>
  <c r="E70" i="7"/>
  <c r="E69" i="7"/>
  <c r="E68" i="7"/>
  <c r="E66" i="7"/>
  <c r="G66" i="7" s="1"/>
  <c r="E65" i="7"/>
  <c r="G65" i="7" s="1"/>
  <c r="E64" i="7"/>
  <c r="G64" i="7" s="1"/>
  <c r="G62" i="7"/>
  <c r="E62" i="7"/>
  <c r="E61" i="7"/>
  <c r="G61" i="7" s="1"/>
  <c r="E60" i="7"/>
  <c r="E63" i="7" s="1"/>
  <c r="E58" i="7"/>
  <c r="G58" i="7" s="1"/>
  <c r="G57" i="7"/>
  <c r="E57" i="7"/>
  <c r="E56" i="7"/>
  <c r="E59" i="7" s="1"/>
  <c r="E54" i="7"/>
  <c r="G54" i="7" s="1"/>
  <c r="E53" i="7"/>
  <c r="G51" i="7"/>
  <c r="E51" i="7"/>
  <c r="E50" i="7"/>
  <c r="E52" i="7" s="1"/>
  <c r="E48" i="7"/>
  <c r="G48" i="7" s="1"/>
  <c r="G47" i="7"/>
  <c r="G49" i="7" s="1"/>
  <c r="E47" i="7"/>
  <c r="E45" i="7"/>
  <c r="G45" i="7" s="1"/>
  <c r="G44" i="7"/>
  <c r="E44" i="7"/>
  <c r="E46" i="7" s="1"/>
  <c r="E43" i="7"/>
  <c r="E32" i="7"/>
  <c r="E30" i="7"/>
  <c r="E29" i="7"/>
  <c r="E28" i="7"/>
  <c r="E27" i="7"/>
  <c r="E26" i="7"/>
  <c r="E25" i="7"/>
  <c r="E24" i="7"/>
  <c r="D23" i="7"/>
  <c r="D22" i="7"/>
  <c r="R107" i="7" s="1"/>
  <c r="H21" i="7"/>
  <c r="C21" i="7"/>
  <c r="B21" i="7"/>
  <c r="D20" i="7"/>
  <c r="D19" i="7"/>
  <c r="F19" i="7" s="1"/>
  <c r="F18" i="7"/>
  <c r="D18" i="7"/>
  <c r="E18" i="7" s="1"/>
  <c r="E16" i="7"/>
  <c r="E15" i="7"/>
  <c r="E14" i="7"/>
  <c r="E13" i="7"/>
  <c r="E12" i="7"/>
  <c r="E11" i="7"/>
  <c r="E10" i="7"/>
  <c r="A5" i="7"/>
  <c r="A38" i="7" s="1"/>
  <c r="A85" i="7" s="1"/>
  <c r="A1" i="7"/>
  <c r="A34" i="7" s="1"/>
  <c r="A81" i="7" s="1"/>
  <c r="C36" i="6"/>
  <c r="E26" i="6"/>
  <c r="C17" i="6"/>
  <c r="D16" i="6"/>
  <c r="C16" i="6"/>
  <c r="F13" i="6"/>
  <c r="G11" i="6"/>
  <c r="F10" i="6"/>
  <c r="E10" i="6"/>
  <c r="G10" i="6" s="1"/>
  <c r="A5" i="6"/>
  <c r="A1" i="6"/>
  <c r="A1" i="8" s="1"/>
  <c r="A51" i="5"/>
  <c r="N44" i="5"/>
  <c r="N43" i="5"/>
  <c r="K39" i="5"/>
  <c r="I35" i="5"/>
  <c r="H33" i="5"/>
  <c r="F29" i="5"/>
  <c r="L28" i="5"/>
  <c r="D28" i="5"/>
  <c r="J27" i="5"/>
  <c r="G27" i="5"/>
  <c r="J26" i="5"/>
  <c r="G26" i="5"/>
  <c r="J25" i="5"/>
  <c r="N25" i="5" s="1"/>
  <c r="G25" i="5"/>
  <c r="P24" i="5"/>
  <c r="J24" i="5"/>
  <c r="G24" i="5"/>
  <c r="S23" i="5"/>
  <c r="P23" i="5"/>
  <c r="J23" i="5"/>
  <c r="G23" i="5"/>
  <c r="S22" i="5"/>
  <c r="P22" i="5"/>
  <c r="J22" i="5"/>
  <c r="G22" i="5"/>
  <c r="S21" i="5"/>
  <c r="P21" i="5"/>
  <c r="J21" i="5"/>
  <c r="G21" i="5"/>
  <c r="N21" i="5" s="1"/>
  <c r="S20" i="5"/>
  <c r="P20" i="5"/>
  <c r="J20" i="5"/>
  <c r="G20" i="5"/>
  <c r="S19" i="5"/>
  <c r="P19" i="5"/>
  <c r="J19" i="5"/>
  <c r="G19" i="5"/>
  <c r="S18" i="5"/>
  <c r="P18" i="5"/>
  <c r="J18" i="5"/>
  <c r="G18" i="5"/>
  <c r="S17" i="5"/>
  <c r="P17" i="5"/>
  <c r="J17" i="5"/>
  <c r="G17" i="5"/>
  <c r="S16" i="5"/>
  <c r="P16" i="5"/>
  <c r="J16" i="5"/>
  <c r="G16" i="5"/>
  <c r="S15" i="5"/>
  <c r="P15" i="5"/>
  <c r="J15" i="5"/>
  <c r="G15" i="5"/>
  <c r="S14" i="5"/>
  <c r="P14" i="5"/>
  <c r="J14" i="5"/>
  <c r="G14" i="5"/>
  <c r="S13" i="5"/>
  <c r="P13" i="5"/>
  <c r="J13" i="5"/>
  <c r="G13" i="5"/>
  <c r="S12" i="5"/>
  <c r="P12" i="5"/>
  <c r="J12" i="5"/>
  <c r="N12" i="5" s="1"/>
  <c r="G12" i="5"/>
  <c r="S11" i="5"/>
  <c r="P11" i="5"/>
  <c r="J11" i="5"/>
  <c r="G11" i="5"/>
  <c r="S10" i="5"/>
  <c r="P10" i="5"/>
  <c r="J10" i="5"/>
  <c r="G10" i="5"/>
  <c r="S9" i="5"/>
  <c r="P9" i="5"/>
  <c r="J9" i="5"/>
  <c r="G9" i="5"/>
  <c r="N9" i="5" s="1"/>
  <c r="J8" i="5"/>
  <c r="G8" i="5"/>
  <c r="N8" i="5" s="1"/>
  <c r="S7" i="5"/>
  <c r="P7" i="5"/>
  <c r="J7" i="5"/>
  <c r="G7" i="5"/>
  <c r="N7" i="5" s="1"/>
  <c r="E30" i="6"/>
  <c r="E55" i="7" l="1"/>
  <c r="G60" i="7"/>
  <c r="G63" i="7"/>
  <c r="L122" i="7"/>
  <c r="E49" i="7"/>
  <c r="N24" i="5"/>
  <c r="N13" i="5"/>
  <c r="N14" i="5"/>
  <c r="N15" i="5"/>
  <c r="N17" i="5"/>
  <c r="N19" i="5"/>
  <c r="N11" i="5"/>
  <c r="N26" i="5"/>
  <c r="N16" i="5"/>
  <c r="N20" i="5"/>
  <c r="N22" i="5"/>
  <c r="N23" i="5"/>
  <c r="E57" i="8"/>
  <c r="P99" i="21"/>
  <c r="Z21" i="21"/>
  <c r="K106" i="19"/>
  <c r="K101" i="19"/>
  <c r="C32" i="18"/>
  <c r="H24" i="18" s="1"/>
  <c r="H26" i="18" s="1"/>
  <c r="X55" i="21"/>
  <c r="R97" i="21"/>
  <c r="R99" i="21" s="1"/>
  <c r="D106" i="19"/>
  <c r="D101" i="19"/>
  <c r="R55" i="19"/>
  <c r="P55" i="19"/>
  <c r="P98" i="19" s="1"/>
  <c r="N98" i="19"/>
  <c r="B130" i="13"/>
  <c r="C130" i="13"/>
  <c r="M93" i="12"/>
  <c r="M98" i="12" s="1"/>
  <c r="E49" i="8"/>
  <c r="E59" i="8" s="1"/>
  <c r="E62" i="8" s="1"/>
  <c r="Y136" i="7"/>
  <c r="G67" i="7"/>
  <c r="E17" i="7"/>
  <c r="E19" i="7"/>
  <c r="V109" i="7"/>
  <c r="Y109" i="7" s="1"/>
  <c r="G46" i="7"/>
  <c r="D123" i="7"/>
  <c r="K9" i="7"/>
  <c r="P107" i="7" s="1"/>
  <c r="G50" i="7"/>
  <c r="G53" i="7"/>
  <c r="G55" i="7" s="1"/>
  <c r="G56" i="7"/>
  <c r="G59" i="7" s="1"/>
  <c r="E67" i="7"/>
  <c r="J68" i="7"/>
  <c r="X112" i="7"/>
  <c r="H123" i="7"/>
  <c r="H124" i="7" s="1"/>
  <c r="F89" i="17"/>
  <c r="B18" i="17"/>
  <c r="E18" i="14"/>
  <c r="M18" i="14"/>
  <c r="B18" i="14"/>
  <c r="F80" i="14"/>
  <c r="C18" i="14"/>
  <c r="G18" i="14"/>
  <c r="K18" i="14"/>
  <c r="J18" i="14"/>
  <c r="O15" i="14"/>
  <c r="F45" i="14"/>
  <c r="F88" i="14"/>
  <c r="O18" i="17"/>
  <c r="D91" i="17"/>
  <c r="G89" i="17"/>
  <c r="M27" i="16"/>
  <c r="P27" i="16" s="1"/>
  <c r="D31" i="16" s="1"/>
  <c r="E14" i="16"/>
  <c r="L14" i="16" s="1"/>
  <c r="M14" i="16" s="1"/>
  <c r="N14" i="16" s="1"/>
  <c r="S107" i="7"/>
  <c r="S38" i="14"/>
  <c r="K38" i="14"/>
  <c r="K38" i="17" s="1"/>
  <c r="H10" i="6"/>
  <c r="H11" i="6"/>
  <c r="F20" i="7"/>
  <c r="E20" i="7"/>
  <c r="R112" i="7"/>
  <c r="J28" i="5"/>
  <c r="K78" i="7"/>
  <c r="G28" i="5"/>
  <c r="N10" i="5"/>
  <c r="E16" i="6"/>
  <c r="F17" i="7"/>
  <c r="B136" i="7"/>
  <c r="G35" i="8"/>
  <c r="I113" i="12"/>
  <c r="R42" i="14"/>
  <c r="J51" i="5"/>
  <c r="V107" i="7"/>
  <c r="G52" i="7"/>
  <c r="L121" i="7"/>
  <c r="P39" i="10"/>
  <c r="L52" i="12"/>
  <c r="K52" i="12"/>
  <c r="M52" i="12" s="1"/>
  <c r="L85" i="12"/>
  <c r="K85" i="12"/>
  <c r="N18" i="5"/>
  <c r="N27" i="5"/>
  <c r="J70" i="7"/>
  <c r="J112" i="7" s="1"/>
  <c r="P108" i="7"/>
  <c r="S108" i="7" s="1"/>
  <c r="C123" i="7"/>
  <c r="C124" i="7" s="1"/>
  <c r="J109" i="7"/>
  <c r="V108" i="7"/>
  <c r="Y108" i="7" s="1"/>
  <c r="X136" i="7"/>
  <c r="Z136" i="7"/>
  <c r="K56" i="12"/>
  <c r="M56" i="12" s="1"/>
  <c r="G31" i="5"/>
  <c r="J37" i="5"/>
  <c r="D21" i="7"/>
  <c r="K10" i="7" s="1"/>
  <c r="B123" i="7"/>
  <c r="G49" i="12"/>
  <c r="L16" i="12"/>
  <c r="K16" i="12"/>
  <c r="M16" i="12" s="1"/>
  <c r="L27" i="12"/>
  <c r="K27" i="12"/>
  <c r="F87" i="12"/>
  <c r="F113" i="12" s="1"/>
  <c r="L75" i="12"/>
  <c r="K75" i="12"/>
  <c r="G48" i="13"/>
  <c r="L26" i="13"/>
  <c r="K26" i="13"/>
  <c r="M26" i="13" s="1"/>
  <c r="S14" i="16"/>
  <c r="G51" i="5"/>
  <c r="G55" i="5" s="1"/>
  <c r="R109" i="7"/>
  <c r="S109" i="7" s="1"/>
  <c r="L78" i="12"/>
  <c r="K78" i="12"/>
  <c r="L51" i="13"/>
  <c r="K51" i="13"/>
  <c r="M51" i="13" s="1"/>
  <c r="F111" i="13"/>
  <c r="L25" i="12"/>
  <c r="L69" i="12"/>
  <c r="L71" i="12" s="1"/>
  <c r="K69" i="12"/>
  <c r="L82" i="12"/>
  <c r="K82" i="12"/>
  <c r="C128" i="12"/>
  <c r="B128" i="12"/>
  <c r="O37" i="13"/>
  <c r="L41" i="14"/>
  <c r="L11" i="12"/>
  <c r="M11" i="12" s="1"/>
  <c r="K14" i="12"/>
  <c r="K25" i="12"/>
  <c r="L108" i="12"/>
  <c r="K10" i="13"/>
  <c r="M24" i="13"/>
  <c r="M29" i="13"/>
  <c r="K31" i="13"/>
  <c r="M31" i="13" s="1"/>
  <c r="K97" i="13"/>
  <c r="M92" i="13"/>
  <c r="M97" i="13" s="1"/>
  <c r="G97" i="13"/>
  <c r="M104" i="13"/>
  <c r="M107" i="13" s="1"/>
  <c r="M29" i="14"/>
  <c r="F63" i="14"/>
  <c r="F71" i="14"/>
  <c r="F89" i="14" s="1"/>
  <c r="O15" i="16"/>
  <c r="W15" i="16" s="1"/>
  <c r="X15" i="16" s="1"/>
  <c r="P15" i="16" s="1"/>
  <c r="N15" i="16"/>
  <c r="U15" i="16" s="1"/>
  <c r="O16" i="16"/>
  <c r="W16" i="16" s="1"/>
  <c r="X16" i="16" s="1"/>
  <c r="P16" i="16" s="1"/>
  <c r="L14" i="12"/>
  <c r="L98" i="12"/>
  <c r="L29" i="13"/>
  <c r="M70" i="13"/>
  <c r="L77" i="13"/>
  <c r="L84" i="13"/>
  <c r="M84" i="13" s="1"/>
  <c r="L92" i="13"/>
  <c r="L97" i="13" s="1"/>
  <c r="F41" i="14"/>
  <c r="D89" i="14"/>
  <c r="S16" i="16"/>
  <c r="L10" i="13"/>
  <c r="L48" i="13" s="1"/>
  <c r="K13" i="13"/>
  <c r="M13" i="13" s="1"/>
  <c r="L55" i="13"/>
  <c r="M55" i="13" s="1"/>
  <c r="I111" i="13"/>
  <c r="K70" i="13"/>
  <c r="M68" i="13"/>
  <c r="K86" i="13"/>
  <c r="M74" i="13"/>
  <c r="M81" i="13"/>
  <c r="F86" i="13"/>
  <c r="M95" i="13"/>
  <c r="O12" i="14"/>
  <c r="O13" i="14"/>
  <c r="F54" i="14"/>
  <c r="O14" i="16"/>
  <c r="W14" i="16" s="1"/>
  <c r="X14" i="16" s="1"/>
  <c r="Q16" i="16"/>
  <c r="G98" i="12"/>
  <c r="N28" i="5" l="1"/>
  <c r="Z55" i="21"/>
  <c r="X97" i="21"/>
  <c r="P106" i="19"/>
  <c r="P101" i="19"/>
  <c r="R98" i="19"/>
  <c r="N106" i="19"/>
  <c r="E11" i="18"/>
  <c r="N101" i="19"/>
  <c r="L86" i="13"/>
  <c r="M82" i="12"/>
  <c r="K40" i="17"/>
  <c r="C126" i="12"/>
  <c r="B126" i="12"/>
  <c r="B131" i="13"/>
  <c r="C131" i="13"/>
  <c r="L42" i="14"/>
  <c r="M75" i="12"/>
  <c r="K87" i="12"/>
  <c r="S41" i="14"/>
  <c r="M25" i="12"/>
  <c r="L87" i="12"/>
  <c r="J43" i="5"/>
  <c r="M37" i="5"/>
  <c r="P110" i="7"/>
  <c r="V110" i="7"/>
  <c r="Y110" i="7" s="1"/>
  <c r="C144" i="7"/>
  <c r="C145" i="7" s="1"/>
  <c r="S15" i="16"/>
  <c r="M14" i="12"/>
  <c r="M49" i="12" s="1"/>
  <c r="M69" i="12"/>
  <c r="M71" i="12" s="1"/>
  <c r="K71" i="12"/>
  <c r="Q15" i="16"/>
  <c r="M31" i="5"/>
  <c r="G43" i="5"/>
  <c r="K69" i="7"/>
  <c r="Y107" i="7"/>
  <c r="J21" i="7"/>
  <c r="M28" i="5"/>
  <c r="K68" i="7"/>
  <c r="O18" i="14"/>
  <c r="D91" i="14" s="1"/>
  <c r="S10" i="14"/>
  <c r="T38" i="14" s="1"/>
  <c r="U38" i="14" s="1"/>
  <c r="U39" i="14" s="1"/>
  <c r="U40" i="14" s="1"/>
  <c r="L111" i="13"/>
  <c r="G89" i="14"/>
  <c r="B128" i="13"/>
  <c r="C128" i="13"/>
  <c r="D124" i="7"/>
  <c r="J111" i="7"/>
  <c r="K11" i="7"/>
  <c r="L9" i="7" s="1"/>
  <c r="N18" i="16"/>
  <c r="D30" i="16" s="1"/>
  <c r="U14" i="16"/>
  <c r="P14" i="16" s="1"/>
  <c r="Q14" i="16" s="1"/>
  <c r="Q18" i="16" s="1"/>
  <c r="D20" i="16" s="1"/>
  <c r="M77" i="13"/>
  <c r="M86" i="13" s="1"/>
  <c r="K48" i="13"/>
  <c r="M10" i="13"/>
  <c r="M48" i="13" s="1"/>
  <c r="L49" i="12"/>
  <c r="M78" i="12"/>
  <c r="K49" i="12"/>
  <c r="G111" i="13"/>
  <c r="K52" i="13"/>
  <c r="L52" i="13"/>
  <c r="M27" i="12"/>
  <c r="G113" i="12"/>
  <c r="L53" i="12"/>
  <c r="K53" i="12"/>
  <c r="M53" i="12" s="1"/>
  <c r="B124" i="7"/>
  <c r="I124" i="7" s="1"/>
  <c r="I123" i="7"/>
  <c r="M85" i="12"/>
  <c r="C129" i="12"/>
  <c r="B129" i="12"/>
  <c r="K41" i="14"/>
  <c r="K42" i="14" s="1"/>
  <c r="M43" i="5" l="1"/>
  <c r="M45" i="5" s="1"/>
  <c r="U11" i="18"/>
  <c r="V11" i="18" s="1"/>
  <c r="AJ35" i="18" s="1"/>
  <c r="U10" i="18"/>
  <c r="V10" i="18" s="1"/>
  <c r="AJ34" i="18" s="1"/>
  <c r="U9" i="18"/>
  <c r="V9" i="18" s="1"/>
  <c r="AJ33" i="18" s="1"/>
  <c r="U8" i="18"/>
  <c r="V8" i="18" s="1"/>
  <c r="Z97" i="21"/>
  <c r="X99" i="21"/>
  <c r="Z99" i="21" s="1"/>
  <c r="S42" i="14"/>
  <c r="R43" i="14" s="1"/>
  <c r="T38" i="17"/>
  <c r="M87" i="12"/>
  <c r="V112" i="7"/>
  <c r="K70" i="7"/>
  <c r="B144" i="7"/>
  <c r="B145" i="7" s="1"/>
  <c r="M113" i="12"/>
  <c r="D23" i="16"/>
  <c r="D27" i="16" s="1"/>
  <c r="D24" i="16"/>
  <c r="D28" i="16" s="1"/>
  <c r="K113" i="12"/>
  <c r="E71" i="12"/>
  <c r="E70" i="13"/>
  <c r="M52" i="13"/>
  <c r="M111" i="13"/>
  <c r="J113" i="7"/>
  <c r="K110" i="7"/>
  <c r="J120" i="7"/>
  <c r="J114" i="7"/>
  <c r="J124" i="7" s="1"/>
  <c r="Y112" i="7"/>
  <c r="X113" i="7" s="1"/>
  <c r="V113" i="7"/>
  <c r="M41" i="5"/>
  <c r="L113" i="12"/>
  <c r="C127" i="12"/>
  <c r="B127" i="12"/>
  <c r="B129" i="13"/>
  <c r="C129" i="13"/>
  <c r="K111" i="13"/>
  <c r="K109" i="7"/>
  <c r="S110" i="7"/>
  <c r="P112" i="7"/>
  <c r="L10" i="7"/>
  <c r="L11" i="7" s="1"/>
  <c r="W10" i="18" l="1"/>
  <c r="X10" i="18" s="1"/>
  <c r="Y10" i="18" s="1"/>
  <c r="AA10" i="18" s="1"/>
  <c r="AB10" i="18" s="1"/>
  <c r="AC10" i="18" s="1"/>
  <c r="E13" i="18"/>
  <c r="E15" i="18" s="1"/>
  <c r="W8" i="18"/>
  <c r="X8" i="18" s="1"/>
  <c r="Y8" i="18" s="1"/>
  <c r="AA8" i="18" s="1"/>
  <c r="AB8" i="18" s="1"/>
  <c r="AC8" i="18" s="1"/>
  <c r="AJ32" i="18"/>
  <c r="W9" i="18"/>
  <c r="X9" i="18" s="1"/>
  <c r="Y9" i="18" s="1"/>
  <c r="AA9" i="18" s="1"/>
  <c r="AB9" i="18" s="1"/>
  <c r="AC9" i="18" s="1"/>
  <c r="W11" i="18"/>
  <c r="X11" i="18" s="1"/>
  <c r="Y11" i="18" s="1"/>
  <c r="AA11" i="18" s="1"/>
  <c r="AB11" i="18" s="1"/>
  <c r="AC11" i="18" s="1"/>
  <c r="S112" i="7"/>
  <c r="R113" i="7" s="1"/>
  <c r="L115" i="7" s="1"/>
  <c r="E64" i="8"/>
  <c r="E51" i="12"/>
  <c r="E49" i="12"/>
  <c r="L110" i="7"/>
  <c r="L109" i="7"/>
  <c r="J123" i="7"/>
  <c r="E48" i="13"/>
  <c r="E50" i="13"/>
  <c r="D32" i="16"/>
  <c r="H25" i="16" s="1"/>
  <c r="K111" i="7"/>
  <c r="B28" i="10"/>
  <c r="Q26" i="10"/>
  <c r="AF8" i="18" l="1"/>
  <c r="AJ23" i="18" s="1"/>
  <c r="AD8" i="18"/>
  <c r="AI41" i="18" s="1"/>
  <c r="AF10" i="18"/>
  <c r="AJ25" i="18" s="1"/>
  <c r="AD10" i="18"/>
  <c r="AI43" i="18" s="1"/>
  <c r="AF9" i="18"/>
  <c r="AJ24" i="18" s="1"/>
  <c r="AD9" i="18"/>
  <c r="AI42" i="18" s="1"/>
  <c r="AF11" i="18"/>
  <c r="AJ26" i="18" s="1"/>
  <c r="AD11" i="18"/>
  <c r="AI44" i="18" s="1"/>
  <c r="P113" i="7"/>
  <c r="M47" i="5" s="1"/>
  <c r="M61" i="5" s="1"/>
  <c r="M63" i="5" s="1"/>
  <c r="B34" i="10"/>
  <c r="Q34" i="10" s="1"/>
  <c r="Q28" i="10"/>
  <c r="Q29" i="10"/>
  <c r="Q39" i="10" s="1"/>
  <c r="E111" i="13"/>
  <c r="K50" i="13"/>
  <c r="L50" i="13"/>
  <c r="L56" i="13" s="1"/>
  <c r="C40" i="11"/>
  <c r="C41" i="11" s="1"/>
  <c r="I115" i="7"/>
  <c r="K51" i="12"/>
  <c r="E113" i="12"/>
  <c r="L51" i="12"/>
  <c r="L57" i="12" s="1"/>
  <c r="L111" i="7"/>
  <c r="AE9" i="18" l="1"/>
  <c r="AJ18" i="18" s="1"/>
  <c r="V15" i="18"/>
  <c r="AK33" i="18" s="1"/>
  <c r="V17" i="18"/>
  <c r="AK35" i="18" s="1"/>
  <c r="AE11" i="18"/>
  <c r="AJ20" i="18" s="1"/>
  <c r="AE10" i="18"/>
  <c r="AJ19" i="18" s="1"/>
  <c r="AJ40" i="18" s="1"/>
  <c r="V16" i="18"/>
  <c r="AK34" i="18" s="1"/>
  <c r="AE8" i="18"/>
  <c r="AJ17" i="18" s="1"/>
  <c r="V14" i="18"/>
  <c r="C125" i="12"/>
  <c r="C130" i="12" s="1"/>
  <c r="B125" i="12"/>
  <c r="B130" i="12" s="1"/>
  <c r="C132" i="12" s="1"/>
  <c r="M50" i="13"/>
  <c r="M56" i="13" s="1"/>
  <c r="K56" i="13"/>
  <c r="M51" i="12"/>
  <c r="M57" i="12" s="1"/>
  <c r="K57" i="12"/>
  <c r="B127" i="13"/>
  <c r="B132" i="13" s="1"/>
  <c r="C134" i="13" s="1"/>
  <c r="C127" i="13"/>
  <c r="C132" i="13" s="1"/>
  <c r="M115" i="7"/>
  <c r="AK32" i="18" l="1"/>
  <c r="W14" i="18"/>
  <c r="X14" i="18" s="1"/>
  <c r="Y14" i="18" s="1"/>
  <c r="AA14" i="18" s="1"/>
  <c r="AB14" i="18" s="1"/>
  <c r="AC14" i="18" s="1"/>
  <c r="AJ22" i="18"/>
  <c r="AJ31" i="18"/>
  <c r="W15" i="18"/>
  <c r="X15" i="18" s="1"/>
  <c r="Y15" i="18" s="1"/>
  <c r="AA15" i="18" s="1"/>
  <c r="AB15" i="18" s="1"/>
  <c r="AC15" i="18" s="1"/>
  <c r="W16" i="18"/>
  <c r="X16" i="18" s="1"/>
  <c r="Y16" i="18" s="1"/>
  <c r="AA16" i="18" s="1"/>
  <c r="AB16" i="18" s="1"/>
  <c r="AC16" i="18" s="1"/>
  <c r="W17" i="18"/>
  <c r="X17" i="18" s="1"/>
  <c r="Y17" i="18" s="1"/>
  <c r="AA17" i="18" s="1"/>
  <c r="AB17" i="18" s="1"/>
  <c r="AC17" i="18" s="1"/>
  <c r="C135" i="13"/>
  <c r="C133" i="12"/>
  <c r="AF15" i="18" l="1"/>
  <c r="AK24" i="18" s="1"/>
  <c r="AD15" i="18"/>
  <c r="AJ42" i="18" s="1"/>
  <c r="AF14" i="18"/>
  <c r="AK23" i="18" s="1"/>
  <c r="AD14" i="18"/>
  <c r="AJ41" i="18" s="1"/>
  <c r="AF17" i="18"/>
  <c r="AK26" i="18" s="1"/>
  <c r="AD17" i="18"/>
  <c r="AJ44" i="18" s="1"/>
  <c r="AF16" i="18"/>
  <c r="AK25" i="18" s="1"/>
  <c r="AD16" i="18"/>
  <c r="AJ43" i="18" s="1"/>
  <c r="E29" i="6"/>
  <c r="E31" i="6" s="1"/>
  <c r="E33" i="6" s="1"/>
  <c r="E24" i="6" s="1"/>
  <c r="E25" i="6" l="1"/>
  <c r="E27" i="6" s="1"/>
  <c r="E18" i="6" s="1"/>
  <c r="E17" i="6" s="1"/>
  <c r="D17" i="6" s="1"/>
  <c r="C20" i="6" s="1"/>
  <c r="V22" i="18"/>
  <c r="AL34" i="18" s="1"/>
  <c r="AE16" i="18"/>
  <c r="AK19" i="18" s="1"/>
  <c r="AK40" i="18" s="1"/>
  <c r="V20" i="18"/>
  <c r="AE14" i="18"/>
  <c r="AK17" i="18" s="1"/>
  <c r="V21" i="18"/>
  <c r="AL33" i="18" s="1"/>
  <c r="AE15" i="18"/>
  <c r="AK18" i="18" s="1"/>
  <c r="V23" i="18"/>
  <c r="AL35" i="18" s="1"/>
  <c r="AE17" i="18"/>
  <c r="AK20" i="18" s="1"/>
  <c r="W23" i="18" l="1"/>
  <c r="X23" i="18" s="1"/>
  <c r="Y23" i="18" s="1"/>
  <c r="AA23" i="18" s="1"/>
  <c r="AB23" i="18" s="1"/>
  <c r="AC23" i="18" s="1"/>
  <c r="W21" i="18"/>
  <c r="X21" i="18" s="1"/>
  <c r="Y21" i="18" s="1"/>
  <c r="AA21" i="18" s="1"/>
  <c r="AB21" i="18" s="1"/>
  <c r="AC21" i="18" s="1"/>
  <c r="AK31" i="18"/>
  <c r="AK22" i="18"/>
  <c r="W22" i="18"/>
  <c r="X22" i="18" s="1"/>
  <c r="Y22" i="18" s="1"/>
  <c r="AA22" i="18" s="1"/>
  <c r="AB22" i="18" s="1"/>
  <c r="AC22" i="18" s="1"/>
  <c r="AL32" i="18"/>
  <c r="W20" i="18"/>
  <c r="X20" i="18" s="1"/>
  <c r="Y20" i="18" s="1"/>
  <c r="AA20" i="18" s="1"/>
  <c r="AB20" i="18" s="1"/>
  <c r="AC20" i="18" s="1"/>
  <c r="AF23" i="18" l="1"/>
  <c r="AL26" i="18" s="1"/>
  <c r="AD23" i="18"/>
  <c r="AK44" i="18" s="1"/>
  <c r="AF21" i="18"/>
  <c r="AL24" i="18" s="1"/>
  <c r="AD21" i="18"/>
  <c r="AK42" i="18" s="1"/>
  <c r="AF20" i="18"/>
  <c r="AL23" i="18" s="1"/>
  <c r="AD20" i="18"/>
  <c r="AK41" i="18" s="1"/>
  <c r="AF22" i="18"/>
  <c r="AL25" i="18" s="1"/>
  <c r="AD22" i="18"/>
  <c r="AK43" i="18" s="1"/>
  <c r="AE20" i="18" l="1"/>
  <c r="AL17" i="18" s="1"/>
  <c r="V26" i="18"/>
  <c r="V29" i="18"/>
  <c r="AM35" i="18" s="1"/>
  <c r="AE23" i="18"/>
  <c r="AL20" i="18" s="1"/>
  <c r="AE22" i="18"/>
  <c r="AL19" i="18" s="1"/>
  <c r="AL40" i="18" s="1"/>
  <c r="V28" i="18"/>
  <c r="AM34" i="18" s="1"/>
  <c r="AE21" i="18"/>
  <c r="AL18" i="18" s="1"/>
  <c r="V27" i="18"/>
  <c r="AM33" i="18" s="1"/>
  <c r="W27" i="18" l="1"/>
  <c r="X27" i="18" s="1"/>
  <c r="Y27" i="18" s="1"/>
  <c r="AA27" i="18" s="1"/>
  <c r="AB27" i="18" s="1"/>
  <c r="AC27" i="18" s="1"/>
  <c r="AM32" i="18"/>
  <c r="W26" i="18"/>
  <c r="X26" i="18" s="1"/>
  <c r="Y26" i="18" s="1"/>
  <c r="AA26" i="18" s="1"/>
  <c r="AB26" i="18" s="1"/>
  <c r="AC26" i="18" s="1"/>
  <c r="AL22" i="18"/>
  <c r="AL31" i="18"/>
  <c r="W28" i="18"/>
  <c r="X28" i="18" s="1"/>
  <c r="Y28" i="18" s="1"/>
  <c r="AA28" i="18" s="1"/>
  <c r="AB28" i="18" s="1"/>
  <c r="AC28" i="18" s="1"/>
  <c r="W29" i="18"/>
  <c r="X29" i="18" s="1"/>
  <c r="Y29" i="18" s="1"/>
  <c r="AA29" i="18" s="1"/>
  <c r="AB29" i="18" s="1"/>
  <c r="AC29" i="18" s="1"/>
  <c r="AF26" i="18" l="1"/>
  <c r="AM23" i="18" s="1"/>
  <c r="AD26" i="18"/>
  <c r="AL41" i="18" s="1"/>
  <c r="AF27" i="18"/>
  <c r="AM24" i="18" s="1"/>
  <c r="AD27" i="18"/>
  <c r="AF29" i="18"/>
  <c r="AM26" i="18" s="1"/>
  <c r="AD29" i="18"/>
  <c r="AF28" i="18"/>
  <c r="AM25" i="18" s="1"/>
  <c r="AD28" i="18"/>
  <c r="AL43" i="18" l="1"/>
  <c r="V34" i="18"/>
  <c r="V33" i="18"/>
  <c r="AL42" i="18"/>
  <c r="AL44" i="18"/>
  <c r="V35" i="18"/>
  <c r="AE29" i="18"/>
  <c r="AM20" i="18" s="1"/>
  <c r="AE28" i="18"/>
  <c r="AM19" i="18" s="1"/>
  <c r="AM40" i="18" s="1"/>
  <c r="AE27" i="18"/>
  <c r="AM18" i="18" s="1"/>
  <c r="V32" i="18"/>
  <c r="AE26" i="18"/>
  <c r="AM17" i="18" s="1"/>
  <c r="W33" i="18" l="1"/>
  <c r="X33" i="18" s="1"/>
  <c r="Y33" i="18" s="1"/>
  <c r="AA33" i="18" s="1"/>
  <c r="AB33" i="18" s="1"/>
  <c r="AC33" i="18" s="1"/>
  <c r="AN33" i="18"/>
  <c r="AN35" i="18"/>
  <c r="W35" i="18"/>
  <c r="X35" i="18" s="1"/>
  <c r="Y35" i="18" s="1"/>
  <c r="AA35" i="18" s="1"/>
  <c r="AB35" i="18" s="1"/>
  <c r="AC35" i="18" s="1"/>
  <c r="W34" i="18"/>
  <c r="X34" i="18" s="1"/>
  <c r="Y34" i="18" s="1"/>
  <c r="AA34" i="18" s="1"/>
  <c r="AB34" i="18" s="1"/>
  <c r="AC34" i="18" s="1"/>
  <c r="AN34" i="18"/>
  <c r="AN32" i="18"/>
  <c r="W32" i="18"/>
  <c r="X32" i="18" s="1"/>
  <c r="Y32" i="18" s="1"/>
  <c r="AA32" i="18" s="1"/>
  <c r="AB32" i="18" s="1"/>
  <c r="AC32" i="18" s="1"/>
  <c r="AM22" i="18"/>
  <c r="AM31" i="18"/>
  <c r="AF35" i="18" l="1"/>
  <c r="AD35" i="18"/>
  <c r="AF34" i="18"/>
  <c r="AN25" i="18" s="1"/>
  <c r="AD34" i="18"/>
  <c r="AF33" i="18"/>
  <c r="AD33" i="18"/>
  <c r="AN26" i="18"/>
  <c r="AF32" i="18"/>
  <c r="AN23" i="18" s="1"/>
  <c r="AD32" i="18"/>
  <c r="AN24" i="18"/>
  <c r="V40" i="18" l="1"/>
  <c r="AM43" i="18"/>
  <c r="AE34" i="18"/>
  <c r="AN19" i="18" s="1"/>
  <c r="AN40" i="18" s="1"/>
  <c r="AE33" i="18"/>
  <c r="AN18" i="18" s="1"/>
  <c r="V39" i="18"/>
  <c r="AM42" i="18"/>
  <c r="U41" i="18"/>
  <c r="AE35" i="18"/>
  <c r="AN20" i="18" s="1"/>
  <c r="AM44" i="18"/>
  <c r="V38" i="18"/>
  <c r="W38" i="18" s="1"/>
  <c r="X38" i="18" s="1"/>
  <c r="Y38" i="18" s="1"/>
  <c r="AA38" i="18" s="1"/>
  <c r="AB38" i="18" s="1"/>
  <c r="AC38" i="18" s="1"/>
  <c r="AM41" i="18"/>
  <c r="AE32" i="18"/>
  <c r="AN17" i="18" s="1"/>
  <c r="AO35" i="18" l="1"/>
  <c r="V41" i="18"/>
  <c r="W41" i="18" s="1"/>
  <c r="X41" i="18" s="1"/>
  <c r="Z41" i="18" s="1"/>
  <c r="AA41" i="18" s="1"/>
  <c r="AB41" i="18" s="1"/>
  <c r="AF38" i="18"/>
  <c r="AD38" i="18"/>
  <c r="W39" i="18"/>
  <c r="X39" i="18" s="1"/>
  <c r="Y39" i="18" s="1"/>
  <c r="AA39" i="18" s="1"/>
  <c r="AB39" i="18" s="1"/>
  <c r="AC39" i="18" s="1"/>
  <c r="AO33" i="18"/>
  <c r="AO34" i="18"/>
  <c r="W40" i="18"/>
  <c r="X40" i="18" s="1"/>
  <c r="Y40" i="18" s="1"/>
  <c r="AA40" i="18" s="1"/>
  <c r="AB40" i="18" s="1"/>
  <c r="AC40" i="18" s="1"/>
  <c r="AO32" i="18"/>
  <c r="AN31" i="18"/>
  <c r="AN22" i="18"/>
  <c r="AF40" i="18" l="1"/>
  <c r="AD40" i="18"/>
  <c r="AN41" i="18"/>
  <c r="U44" i="18"/>
  <c r="V44" i="18" s="1"/>
  <c r="W44" i="18" s="1"/>
  <c r="X44" i="18" s="1"/>
  <c r="Z44" i="18" s="1"/>
  <c r="AA44" i="18" s="1"/>
  <c r="AB44" i="18" s="1"/>
  <c r="AE38" i="18"/>
  <c r="AE41" i="18"/>
  <c r="AC41" i="18"/>
  <c r="AF39" i="18"/>
  <c r="AO24" i="18" s="1"/>
  <c r="AD39" i="18"/>
  <c r="AO23" i="18"/>
  <c r="AO25" i="18"/>
  <c r="AO26" i="18"/>
  <c r="AE44" i="18" l="1"/>
  <c r="AC44" i="18"/>
  <c r="AD41" i="18"/>
  <c r="AO20" i="18" s="1"/>
  <c r="U47" i="18"/>
  <c r="AN44" i="18"/>
  <c r="AE40" i="18"/>
  <c r="AO19" i="18" s="1"/>
  <c r="AO40" i="18" s="1"/>
  <c r="AN43" i="18"/>
  <c r="U46" i="18"/>
  <c r="AE39" i="18"/>
  <c r="AO18" i="18" s="1"/>
  <c r="U45" i="18"/>
  <c r="AN42" i="18"/>
  <c r="AO17" i="18"/>
  <c r="AP33" i="18" l="1"/>
  <c r="V45" i="18"/>
  <c r="W45" i="18" s="1"/>
  <c r="X45" i="18" s="1"/>
  <c r="Z45" i="18" s="1"/>
  <c r="AA45" i="18" s="1"/>
  <c r="AB45" i="18" s="1"/>
  <c r="V46" i="18"/>
  <c r="W46" i="18" s="1"/>
  <c r="X46" i="18" s="1"/>
  <c r="Z46" i="18" s="1"/>
  <c r="AA46" i="18" s="1"/>
  <c r="AB46" i="18" s="1"/>
  <c r="AP34" i="18"/>
  <c r="AP35" i="18"/>
  <c r="V47" i="18"/>
  <c r="W47" i="18" s="1"/>
  <c r="X47" i="18" s="1"/>
  <c r="Z47" i="18" s="1"/>
  <c r="AA47" i="18" s="1"/>
  <c r="AB47" i="18" s="1"/>
  <c r="AD44" i="18"/>
  <c r="AO41" i="18"/>
  <c r="U50" i="18"/>
  <c r="V50" i="18" s="1"/>
  <c r="W50" i="18" s="1"/>
  <c r="X50" i="18" s="1"/>
  <c r="Z50" i="18" s="1"/>
  <c r="AA50" i="18" s="1"/>
  <c r="AB50" i="18" s="1"/>
  <c r="AO31" i="18"/>
  <c r="AO22" i="18"/>
  <c r="AP32" i="18"/>
  <c r="AE47" i="18" l="1"/>
  <c r="AC47" i="18"/>
  <c r="AE46" i="18"/>
  <c r="AC46" i="18"/>
  <c r="AE45" i="18"/>
  <c r="AC45" i="18"/>
  <c r="AE50" i="18"/>
  <c r="AC50" i="18"/>
  <c r="AP23" i="18"/>
  <c r="AP24" i="18"/>
  <c r="AP26" i="18"/>
  <c r="AP25" i="18"/>
  <c r="AP41" i="18" l="1"/>
  <c r="AD50" i="18"/>
  <c r="U56" i="18"/>
  <c r="V56" i="18" s="1"/>
  <c r="W56" i="18" s="1"/>
  <c r="X56" i="18" s="1"/>
  <c r="Z56" i="18" s="1"/>
  <c r="AA56" i="18" s="1"/>
  <c r="AB56" i="18" s="1"/>
  <c r="AO43" i="18"/>
  <c r="U52" i="18"/>
  <c r="AD46" i="18"/>
  <c r="AP19" i="18" s="1"/>
  <c r="AP40" i="18" s="1"/>
  <c r="AO44" i="18"/>
  <c r="AD47" i="18"/>
  <c r="AP20" i="18" s="1"/>
  <c r="U53" i="18"/>
  <c r="AD45" i="18"/>
  <c r="AP18" i="18" s="1"/>
  <c r="U51" i="18"/>
  <c r="AO42" i="18"/>
  <c r="AP17" i="18"/>
  <c r="AQ33" i="18" l="1"/>
  <c r="V51" i="18"/>
  <c r="W51" i="18" s="1"/>
  <c r="X51" i="18" s="1"/>
  <c r="Z51" i="18" s="1"/>
  <c r="AA51" i="18" s="1"/>
  <c r="AB51" i="18" s="1"/>
  <c r="AE56" i="18"/>
  <c r="AC56" i="18"/>
  <c r="V53" i="18"/>
  <c r="W53" i="18" s="1"/>
  <c r="X53" i="18" s="1"/>
  <c r="Z53" i="18" s="1"/>
  <c r="AA53" i="18" s="1"/>
  <c r="AB53" i="18" s="1"/>
  <c r="AQ35" i="18"/>
  <c r="AQ34" i="18"/>
  <c r="V52" i="18"/>
  <c r="W52" i="18" s="1"/>
  <c r="X52" i="18" s="1"/>
  <c r="Z52" i="18" s="1"/>
  <c r="AA52" i="18" s="1"/>
  <c r="AB52" i="18" s="1"/>
  <c r="AQ32" i="18"/>
  <c r="AP22" i="18"/>
  <c r="AP31" i="18"/>
  <c r="AE52" i="18" l="1"/>
  <c r="AC52" i="18"/>
  <c r="AD56" i="18"/>
  <c r="AQ41" i="18"/>
  <c r="AE51" i="18"/>
  <c r="AC51" i="18"/>
  <c r="AE53" i="18"/>
  <c r="AQ26" i="18" s="1"/>
  <c r="AC53" i="18"/>
  <c r="AQ25" i="18"/>
  <c r="AQ24" i="18"/>
  <c r="AQ23" i="18"/>
  <c r="AP44" i="18" l="1"/>
  <c r="AD53" i="18"/>
  <c r="AQ20" i="18" s="1"/>
  <c r="U59" i="18"/>
  <c r="AD52" i="18"/>
  <c r="AQ19" i="18" s="1"/>
  <c r="AQ40" i="18" s="1"/>
  <c r="U58" i="18"/>
  <c r="AP43" i="18"/>
  <c r="AD51" i="18"/>
  <c r="AQ18" i="18" s="1"/>
  <c r="U57" i="18"/>
  <c r="AP42" i="18"/>
  <c r="AQ17" i="18"/>
  <c r="AR35" i="18" l="1"/>
  <c r="AJ38" i="18" s="1"/>
  <c r="V59" i="18"/>
  <c r="W59" i="18" s="1"/>
  <c r="X59" i="18" s="1"/>
  <c r="Z59" i="18" s="1"/>
  <c r="AA59" i="18" s="1"/>
  <c r="AB59" i="18" s="1"/>
  <c r="AR33" i="18"/>
  <c r="V57" i="18"/>
  <c r="W57" i="18" s="1"/>
  <c r="X57" i="18" s="1"/>
  <c r="Z57" i="18" s="1"/>
  <c r="AA57" i="18" s="1"/>
  <c r="AB57" i="18" s="1"/>
  <c r="AR34" i="18"/>
  <c r="V58" i="18"/>
  <c r="W58" i="18" s="1"/>
  <c r="X58" i="18" s="1"/>
  <c r="Z58" i="18" s="1"/>
  <c r="AA58" i="18" s="1"/>
  <c r="AB58" i="18" s="1"/>
  <c r="AR32" i="18"/>
  <c r="AQ31" i="18"/>
  <c r="AQ22" i="18"/>
  <c r="AE57" i="18" l="1"/>
  <c r="AC57" i="18"/>
  <c r="AE58" i="18"/>
  <c r="AR25" i="18" s="1"/>
  <c r="AC58" i="18"/>
  <c r="AE59" i="18"/>
  <c r="AC59" i="18"/>
  <c r="AR24" i="18"/>
  <c r="E14" i="18"/>
  <c r="AR23" i="18"/>
  <c r="AR26" i="18"/>
  <c r="AD58" i="18" l="1"/>
  <c r="AQ43" i="18"/>
  <c r="AQ44" i="18"/>
  <c r="AI47" i="18" s="1"/>
  <c r="AD59" i="18"/>
  <c r="AR20" i="18" s="1"/>
  <c r="AQ42" i="18"/>
  <c r="AD57" i="18"/>
  <c r="AR18" i="18" s="1"/>
  <c r="AR17" i="18"/>
  <c r="AR19" i="18"/>
  <c r="AR40" i="18" s="1"/>
  <c r="AR31" i="18" l="1"/>
  <c r="AR22" i="18"/>
  <c r="AJ29" i="18" l="1"/>
  <c r="H18" i="18"/>
  <c r="H28" i="18" s="1"/>
  <c r="E9" i="18" s="1"/>
  <c r="E8" i="18" s="1"/>
  <c r="H10" i="18" s="1"/>
  <c r="H11" i="18" s="1"/>
</calcChain>
</file>

<file path=xl/comments1.xml><?xml version="1.0" encoding="utf-8"?>
<comments xmlns="http://schemas.openxmlformats.org/spreadsheetml/2006/main">
  <authors>
    <author>Melissa Cheesman</author>
  </authors>
  <commentList>
    <comment ref="D8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Staff has adjusted out Non-regulated Revenues and Expenses related to the City of Castle Rock and the City of Kalama.</t>
        </r>
      </text>
    </comment>
    <comment ref="I25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all regulated</t>
        </r>
      </text>
    </comment>
    <comment ref="B82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Simplified Employee Pension</t>
        </r>
      </text>
    </comment>
  </commentList>
</comments>
</file>

<file path=xl/comments10.xml><?xml version="1.0" encoding="utf-8"?>
<comments xmlns="http://schemas.openxmlformats.org/spreadsheetml/2006/main">
  <authors>
    <author>Melissa Cheesman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numbered per  row as they appear in the pro forma workbook tab "WP-3, pg 3 - Benefits Analysis"</t>
        </r>
      </text>
    </comment>
  </commentList>
</comments>
</file>

<file path=xl/comments11.xml><?xml version="1.0" encoding="utf-8"?>
<comments xmlns="http://schemas.openxmlformats.org/spreadsheetml/2006/main">
  <authors>
    <author>Jackie Davis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Jackie Davis:</t>
        </r>
        <r>
          <rPr>
            <sz val="9"/>
            <color indexed="81"/>
            <rFont val="Tahoma"/>
            <family val="2"/>
          </rPr>
          <t xml:space="preserve">
There was no way to separate the insignifcant amount of drop box activity here.</t>
        </r>
      </text>
    </comment>
  </commentList>
</comments>
</file>

<file path=xl/comments12.xml><?xml version="1.0" encoding="utf-8"?>
<comments xmlns="http://schemas.openxmlformats.org/spreadsheetml/2006/main">
  <authors>
    <author>Gerrie Booth</author>
    <author>Melissa Cheesman</author>
  </authors>
  <commentList>
    <comment ref="H21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B&amp;O tax rate for the state of WA</t>
        </r>
      </text>
    </comment>
    <comment ref="E22" authorId="1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adjust to Heirborne Investment, LLC 2013 Total Company Cost of Debt</t>
        </r>
      </text>
    </comment>
    <comment ref="H22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rate WUTC charges garbage companies on revenue annually
</t>
        </r>
        <r>
          <rPr>
            <b/>
            <sz val="9"/>
            <color indexed="81"/>
            <rFont val="Tahoma"/>
            <family val="2"/>
          </rPr>
          <t xml:space="preserve">CHEESMAN:
</t>
        </r>
        <r>
          <rPr>
            <sz val="9"/>
            <color indexed="81"/>
            <rFont val="Tahoma"/>
            <family val="2"/>
          </rPr>
          <t xml:space="preserve">Adj to actual UTC Fee 0.4275% (or 0.004275)
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allowed income tax rate for S-Corp companies.
</t>
        </r>
        <r>
          <rPr>
            <b/>
            <sz val="9"/>
            <color indexed="81"/>
            <rFont val="Tahoma"/>
            <family val="2"/>
          </rPr>
          <t xml:space="preserve">CHEESMAN:
</t>
        </r>
        <r>
          <rPr>
            <sz val="9"/>
            <color indexed="81"/>
            <rFont val="Tahoma"/>
            <family val="2"/>
          </rPr>
          <t>Adjust to actual Tax Rate for the Test Year</t>
        </r>
      </text>
    </comment>
    <comment ref="H24" authorId="1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Adj to appropriate calculation</t>
        </r>
      </text>
    </comment>
  </commentList>
</comments>
</file>

<file path=xl/comments2.xml><?xml version="1.0" encoding="utf-8"?>
<comments xmlns="http://schemas.openxmlformats.org/spreadsheetml/2006/main">
  <authors>
    <author>Mary Spencer</author>
  </authors>
  <commentList>
    <comment ref="D13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residential refunds - see test year gl detail spreadsheet cell J1010 provided on 10/02/13</t>
        </r>
      </text>
    </comment>
    <comment ref="D14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commercial refunds - see test year gl detail spreadsheet cell L980 provided on 10/02/13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drop box refunds - see test year gl detail spreadsheet cell K954 provided on 10/02/13</t>
        </r>
      </text>
    </comment>
    <comment ref="L47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test period change in allowance for doubtful accounts - see test year gl detail excel tab cell G1042 provided 10-02-13
</t>
        </r>
        <r>
          <rPr>
            <b/>
            <sz val="8"/>
            <color indexed="81"/>
            <rFont val="Tahoma"/>
            <family val="2"/>
          </rPr>
          <t xml:space="preserve">CHEESMAN:
</t>
        </r>
        <r>
          <rPr>
            <sz val="8"/>
            <color indexed="81"/>
            <rFont val="Tahoma"/>
            <family val="2"/>
          </rPr>
          <t>GL, row 1042, Bad Debt Exp - Residential</t>
        </r>
      </text>
    </comment>
  </commentList>
</comments>
</file>

<file path=xl/comments3.xml><?xml version="1.0" encoding="utf-8"?>
<comments xmlns="http://schemas.openxmlformats.org/spreadsheetml/2006/main">
  <authors>
    <author>Mary Spencer</author>
  </authors>
  <commentList>
    <comment ref="H38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0.31 represents the amount the disposal fees are increasing as of 12/01/13</t>
        </r>
      </text>
    </comment>
  </commentList>
</comments>
</file>

<file path=xl/comments4.xml><?xml version="1.0" encoding="utf-8"?>
<comments xmlns="http://schemas.openxmlformats.org/spreadsheetml/2006/main">
  <authors>
    <author>Brett Shearer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Brett Shearer:</t>
        </r>
        <r>
          <rPr>
            <sz val="9"/>
            <color indexed="81"/>
            <rFont val="Tahoma"/>
            <family val="2"/>
          </rPr>
          <t xml:space="preserve">
All hard coded values came from company provided utility bills. </t>
        </r>
      </text>
    </comment>
  </commentList>
</comments>
</file>

<file path=xl/comments5.xml><?xml version="1.0" encoding="utf-8"?>
<comments xmlns="http://schemas.openxmlformats.org/spreadsheetml/2006/main">
  <authors>
    <author>Melissa Cheesman</author>
  </authors>
  <commentList>
    <comment ref="F49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revenue generated per dollar of assets</t>
        </r>
      </text>
    </comment>
  </commentList>
</comments>
</file>

<file path=xl/comments6.xml><?xml version="1.0" encoding="utf-8"?>
<comments xmlns="http://schemas.openxmlformats.org/spreadsheetml/2006/main">
  <authors>
    <author>Melissa Cheesman</author>
  </authors>
  <commentList>
    <comment ref="F57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revenue generated per dollar of assets</t>
        </r>
      </text>
    </comment>
  </commentList>
</comments>
</file>

<file path=xl/comments7.xml><?xml version="1.0" encoding="utf-8"?>
<comments xmlns="http://schemas.openxmlformats.org/spreadsheetml/2006/main">
  <authors>
    <author>Mary Spencer</author>
  </authors>
  <commentList>
    <comment ref="D10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06/30/12 long-term debt; a balance sheet verifying these amounts can be requested from Chris Flynn, the Company's internal accountant</t>
        </r>
      </text>
    </comment>
    <comment ref="E10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06/30/13 long-term debt per the compiled balance sheet provided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weighted cost of debt as all long-term obligations are held at 6%</t>
        </r>
      </text>
    </comment>
  </commentList>
</comments>
</file>

<file path=xl/comments8.xml><?xml version="1.0" encoding="utf-8"?>
<comments xmlns="http://schemas.openxmlformats.org/spreadsheetml/2006/main">
  <authors>
    <author>Jackie Davis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Jackie Davis:</t>
        </r>
        <r>
          <rPr>
            <sz val="9"/>
            <color indexed="81"/>
            <rFont val="Tahoma"/>
            <family val="2"/>
          </rPr>
          <t xml:space="preserve">
There was no way to separate the insignifcant amount of drop box activity here.</t>
        </r>
      </text>
    </comment>
  </commentList>
</comments>
</file>

<file path=xl/comments9.xml><?xml version="1.0" encoding="utf-8"?>
<comments xmlns="http://schemas.openxmlformats.org/spreadsheetml/2006/main">
  <authors>
    <author>Melissa Cheesman</author>
  </authors>
  <commentList>
    <comment ref="C137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Non-reg DB estimate, waiting for route data from company
</t>
        </r>
      </text>
    </comment>
  </commentList>
</comments>
</file>

<file path=xl/sharedStrings.xml><?xml version="1.0" encoding="utf-8"?>
<sst xmlns="http://schemas.openxmlformats.org/spreadsheetml/2006/main" count="1869" uniqueCount="791">
  <si>
    <t xml:space="preserve"> NEW IMPROVED LURITO - GALLAGHER FORMULA</t>
  </si>
  <si>
    <t>NOTE:</t>
  </si>
  <si>
    <t>!??!</t>
  </si>
  <si>
    <t>OP/RATIO</t>
  </si>
  <si>
    <t xml:space="preserve">      curve</t>
  </si>
  <si>
    <t>Red numbers are input fields.</t>
  </si>
  <si>
    <t>Black are formula calculations</t>
  </si>
  <si>
    <t>STAFF</t>
  </si>
  <si>
    <t>FORMULAS</t>
  </si>
  <si>
    <t>1st Revenue</t>
  </si>
  <si>
    <t>1st Turnover</t>
  </si>
  <si>
    <t>M</t>
  </si>
  <si>
    <t>ROR</t>
  </si>
  <si>
    <t>ROE</t>
  </si>
  <si>
    <t>Adj ROE</t>
  </si>
  <si>
    <t>Pre Tax ROE</t>
  </si>
  <si>
    <t>Adj M</t>
  </si>
  <si>
    <t>Revenues</t>
  </si>
  <si>
    <t>Decision</t>
  </si>
  <si>
    <t xml:space="preserve">     lookup table</t>
  </si>
  <si>
    <t>!!!</t>
  </si>
  <si>
    <t>Revenue Requirement</t>
  </si>
  <si>
    <t>!!!&lt;--</t>
  </si>
  <si>
    <t xml:space="preserve"> 1. less than 50</t>
  </si>
  <si>
    <t>@EXP(5.72260-(.68367*@LN(T)))</t>
  </si>
  <si>
    <t>Revenue Deficiency</t>
  </si>
  <si>
    <t xml:space="preserve"> 2. Between 50 and 125</t>
  </si>
  <si>
    <t>@EXP(5.70827-(.68367*@LN(T)))</t>
  </si>
  <si>
    <t>*</t>
  </si>
  <si>
    <t>Revenue</t>
  </si>
  <si>
    <t>input&gt;</t>
  </si>
  <si>
    <t>* p/f before rates</t>
  </si>
  <si>
    <t xml:space="preserve"> 3. Between 125 and 140</t>
  </si>
  <si>
    <t>@EXP(5.69850-(.68367*@LN(T)))</t>
  </si>
  <si>
    <t>Expenses</t>
  </si>
  <si>
    <t xml:space="preserve"> 4. greater than 400</t>
  </si>
  <si>
    <t>@EXP(5.69220-(.68367*@LN(T)))</t>
  </si>
  <si>
    <t>Avg. Investment  -</t>
  </si>
  <si>
    <t>curve turnover</t>
  </si>
  <si>
    <t>(calculated)</t>
  </si>
  <si>
    <t>2nd Turnover</t>
  </si>
  <si>
    <t xml:space="preserve">     lookup tables</t>
  </si>
  <si>
    <t>final turnover</t>
  </si>
  <si>
    <t>curve No. used</t>
  </si>
  <si>
    <t xml:space="preserve">Company actual </t>
  </si>
  <si>
    <t>capital structure:</t>
  </si>
  <si>
    <t>OPERATING RATIO -&gt;</t>
  </si>
  <si>
    <t>-</t>
  </si>
  <si>
    <t>=</t>
  </si>
  <si>
    <t>3rd Turnover</t>
  </si>
  <si>
    <t xml:space="preserve">Actual Debt Ratio </t>
  </si>
  <si>
    <t xml:space="preserve"> Conversion factor data:</t>
  </si>
  <si>
    <t>Actual Equity Ratio</t>
  </si>
  <si>
    <t xml:space="preserve"> B &amp; O Tax</t>
  </si>
  <si>
    <t>Actual Cost of Debt</t>
  </si>
  <si>
    <t xml:space="preserve"> WUTC Fee</t>
  </si>
  <si>
    <t xml:space="preserve"> City Tax</t>
  </si>
  <si>
    <t>Tax Rate</t>
  </si>
  <si>
    <t xml:space="preserve"> Bad Debts</t>
  </si>
  <si>
    <t>4th Turnover</t>
  </si>
  <si>
    <t>Revenue Sensitive</t>
  </si>
  <si>
    <t>Conversion Factor</t>
  </si>
  <si>
    <t>yes</t>
  </si>
  <si>
    <t>Bad Debts</t>
  </si>
  <si>
    <t>5th Turnover</t>
  </si>
  <si>
    <t>WCI</t>
  </si>
  <si>
    <t>6th Turnover</t>
  </si>
  <si>
    <t>Diff</t>
  </si>
  <si>
    <t>7th turnover</t>
  </si>
  <si>
    <t>Cost of Debt</t>
  </si>
  <si>
    <t>R-9</t>
  </si>
  <si>
    <t>8th turnover</t>
  </si>
  <si>
    <t>9th turnover</t>
  </si>
  <si>
    <t>RC-1</t>
  </si>
  <si>
    <t>Utilities</t>
  </si>
  <si>
    <t>R-6D</t>
  </si>
  <si>
    <t>R-6E</t>
  </si>
  <si>
    <t>R-6H</t>
  </si>
  <si>
    <t>Property Taxes</t>
  </si>
  <si>
    <t>R-6G</t>
  </si>
  <si>
    <t>Fuel</t>
  </si>
  <si>
    <t>P-4</t>
  </si>
  <si>
    <t>P-5A</t>
  </si>
  <si>
    <t>P-1A</t>
  </si>
  <si>
    <t>Rate Case Expense</t>
  </si>
  <si>
    <t xml:space="preserve">Payroll </t>
  </si>
  <si>
    <t>WASTE CONTROL, INC.</t>
  </si>
  <si>
    <t>Results of Operations</t>
  </si>
  <si>
    <t>For the Twelve Months Ended June 30, 2013 Historical and  May 31, 2015 Forecasted</t>
  </si>
  <si>
    <r>
      <t>(See Independent Accountants</t>
    </r>
    <r>
      <rPr>
        <b/>
        <sz val="12"/>
        <rFont val="Arial"/>
        <family val="2"/>
      </rPr>
      <t>’</t>
    </r>
    <r>
      <rPr>
        <b/>
        <sz val="12"/>
        <rFont val="Times New Roman"/>
        <family val="1"/>
      </rPr>
      <t xml:space="preserve"> Compilation Report)</t>
    </r>
  </si>
  <si>
    <t>Staff</t>
  </si>
  <si>
    <t>Per Books</t>
  </si>
  <si>
    <t>Non-</t>
  </si>
  <si>
    <t>Regulated</t>
  </si>
  <si>
    <t>Reclass</t>
  </si>
  <si>
    <t>Restating</t>
  </si>
  <si>
    <t>Restated</t>
  </si>
  <si>
    <t>Pro Forma</t>
  </si>
  <si>
    <t>Pro forma</t>
  </si>
  <si>
    <t xml:space="preserve">Income </t>
  </si>
  <si>
    <t>Adjust</t>
  </si>
  <si>
    <t>Income</t>
  </si>
  <si>
    <t>Statement</t>
  </si>
  <si>
    <t>Adj #</t>
  </si>
  <si>
    <t>Allocation</t>
  </si>
  <si>
    <t>Difference</t>
  </si>
  <si>
    <t>REVENUES</t>
  </si>
  <si>
    <t>Residential</t>
  </si>
  <si>
    <t>Actual</t>
  </si>
  <si>
    <t>R-2</t>
  </si>
  <si>
    <t>Commercial</t>
  </si>
  <si>
    <t>Drop Box</t>
  </si>
  <si>
    <t>Fuel Surcharge</t>
  </si>
  <si>
    <t>Cust</t>
  </si>
  <si>
    <t>R-7</t>
  </si>
  <si>
    <t>Contract Hauling</t>
  </si>
  <si>
    <t>Pass Thru</t>
  </si>
  <si>
    <t>P-5</t>
  </si>
  <si>
    <t>Kalama</t>
  </si>
  <si>
    <t>Refunds</t>
  </si>
  <si>
    <t>Total Revenue</t>
  </si>
  <si>
    <t xml:space="preserve">Gross operational revenue </t>
  </si>
  <si>
    <t>OPERATING EXPENSES</t>
  </si>
  <si>
    <t>Wages Drivers</t>
  </si>
  <si>
    <t>Pickups</t>
  </si>
  <si>
    <t>RC-2</t>
  </si>
  <si>
    <t>P-1</t>
  </si>
  <si>
    <t>Wages Drop Box Drivers</t>
  </si>
  <si>
    <t>Wages Mechanics</t>
  </si>
  <si>
    <t>Wages Supervisor</t>
  </si>
  <si>
    <t>Wages Extra Labor</t>
  </si>
  <si>
    <t>Fringe Benefits</t>
  </si>
  <si>
    <t>R-3</t>
  </si>
  <si>
    <t>Contract Labor</t>
  </si>
  <si>
    <t>Maintenance</t>
  </si>
  <si>
    <t>Maintenance/ Cont./Dr Bx</t>
  </si>
  <si>
    <t>Truck Rental</t>
  </si>
  <si>
    <t>Equipment Rent</t>
  </si>
  <si>
    <t>Tires</t>
  </si>
  <si>
    <t>R-6</t>
  </si>
  <si>
    <t>Disposal Fees - Cowlitz County</t>
  </si>
  <si>
    <t>RC-3</t>
  </si>
  <si>
    <t>Disposal Fees - G-49 Packers</t>
  </si>
  <si>
    <t>Disposal Fees - G-49</t>
  </si>
  <si>
    <t>Disposal Fees Pass Thru</t>
  </si>
  <si>
    <t>Storm water management</t>
  </si>
  <si>
    <t>Liability Insurance</t>
  </si>
  <si>
    <t>Officer Salaries</t>
  </si>
  <si>
    <t>Office Salaries</t>
  </si>
  <si>
    <t>Management Fees</t>
  </si>
  <si>
    <t>Bad Debt Expense</t>
  </si>
  <si>
    <t>Office Supply</t>
  </si>
  <si>
    <t>Postage</t>
  </si>
  <si>
    <t>Bank Charges</t>
  </si>
  <si>
    <t>P-2,3</t>
  </si>
  <si>
    <t>Accounting</t>
  </si>
  <si>
    <t>Legal</t>
  </si>
  <si>
    <t>WUTC Fee</t>
  </si>
  <si>
    <t>Franchise</t>
  </si>
  <si>
    <t>Communications</t>
  </si>
  <si>
    <t>Laundry/Uniforms</t>
  </si>
  <si>
    <t>Miscellaneous</t>
  </si>
  <si>
    <t>Dues and Subscriptions</t>
  </si>
  <si>
    <t>Dues Non-deductible</t>
  </si>
  <si>
    <t>Travel</t>
  </si>
  <si>
    <t>Seminars</t>
  </si>
  <si>
    <t>Meals and Entertainment</t>
  </si>
  <si>
    <t>Advertising</t>
  </si>
  <si>
    <t>Truck License</t>
  </si>
  <si>
    <t>R-5</t>
  </si>
  <si>
    <t>Taxes and Licensing</t>
  </si>
  <si>
    <t>Permits</t>
  </si>
  <si>
    <t>Contributions</t>
  </si>
  <si>
    <t>B &amp; O Tax</t>
  </si>
  <si>
    <t>Land Rent</t>
  </si>
  <si>
    <t>Computer Expense</t>
  </si>
  <si>
    <t>Workmen’s Comp</t>
  </si>
  <si>
    <t>Payroll Taxes</t>
  </si>
  <si>
    <t>Employee Relations</t>
  </si>
  <si>
    <t>Life Insurance</t>
  </si>
  <si>
    <t>Counseling Services</t>
  </si>
  <si>
    <t>Employee Medical Insurance</t>
  </si>
  <si>
    <t>Drug Testing</t>
  </si>
  <si>
    <t>SEP Benefits</t>
  </si>
  <si>
    <t>Interest</t>
  </si>
  <si>
    <t>R-4</t>
  </si>
  <si>
    <t>Freight</t>
  </si>
  <si>
    <t>Consulting</t>
  </si>
  <si>
    <t>Safety Equipment Expense</t>
  </si>
  <si>
    <t>Depreciation:</t>
  </si>
  <si>
    <t>R-1</t>
  </si>
  <si>
    <t xml:space="preserve">  Trucks</t>
  </si>
  <si>
    <t xml:space="preserve">  Service Cars</t>
  </si>
  <si>
    <t xml:space="preserve">  Shop</t>
  </si>
  <si>
    <t xml:space="preserve">  Office Furniture and Fixtures</t>
  </si>
  <si>
    <t xml:space="preserve">  Leasehold Improvements</t>
  </si>
  <si>
    <t xml:space="preserve">  Containers</t>
  </si>
  <si>
    <t xml:space="preserve">  Carts</t>
  </si>
  <si>
    <t xml:space="preserve">  Drop Box Truck</t>
  </si>
  <si>
    <t xml:space="preserve">  Drop Boxes</t>
  </si>
  <si>
    <t>Overtime Adjustment</t>
  </si>
  <si>
    <t>Total Expenses</t>
  </si>
  <si>
    <t>NET OPERATING INCOME</t>
  </si>
  <si>
    <t>OTHER INCOME/EXPENSE</t>
  </si>
  <si>
    <t>OPERATING RATIO %</t>
  </si>
  <si>
    <t>NET INVESTMENT</t>
  </si>
  <si>
    <t>SCHEDULE 2 - SUMMARY OF RESTATING ADJUSTMENTS</t>
  </si>
  <si>
    <t xml:space="preserve"> </t>
  </si>
  <si>
    <t xml:space="preserve">Restate </t>
  </si>
  <si>
    <t>Eliminate</t>
  </si>
  <si>
    <t>Total</t>
  </si>
  <si>
    <t>Remove</t>
  </si>
  <si>
    <t>Depr to</t>
  </si>
  <si>
    <t>Allocate</t>
  </si>
  <si>
    <t>Taxes &amp;</t>
  </si>
  <si>
    <t xml:space="preserve">Other </t>
  </si>
  <si>
    <t xml:space="preserve">Fuel </t>
  </si>
  <si>
    <t>Disposal</t>
  </si>
  <si>
    <t>Benefit</t>
  </si>
  <si>
    <t>Expense</t>
  </si>
  <si>
    <t>Licensing</t>
  </si>
  <si>
    <t>Surcharge</t>
  </si>
  <si>
    <t>Adjustments</t>
  </si>
  <si>
    <t>Payroll</t>
  </si>
  <si>
    <t>Fees</t>
  </si>
  <si>
    <t>Maintenance/Cont./Dr Bx</t>
  </si>
  <si>
    <t>Dues and Subscription</t>
  </si>
  <si>
    <t>Increase (decrease)</t>
  </si>
  <si>
    <t>SCHEDULE 3 SUMMARY OF PRO FORMA ADJUSTMENTS</t>
  </si>
  <si>
    <t>(See Independent Accountants’ Compilation Report)</t>
  </si>
  <si>
    <t>Increase</t>
  </si>
  <si>
    <t>Rate Case Cost</t>
  </si>
  <si>
    <t>Taxes and licensing</t>
  </si>
  <si>
    <t xml:space="preserve">Every </t>
  </si>
  <si>
    <t>Monthly</t>
  </si>
  <si>
    <t>Employee</t>
  </si>
  <si>
    <t>Employer</t>
  </si>
  <si>
    <t xml:space="preserve">HSACompany </t>
  </si>
  <si>
    <t>Both Employer and Employee Payments</t>
  </si>
  <si>
    <t>Salary</t>
  </si>
  <si>
    <t>Medical</t>
  </si>
  <si>
    <t>Dental</t>
  </si>
  <si>
    <t>Contribution</t>
  </si>
  <si>
    <t>For the Month of April 2014</t>
  </si>
  <si>
    <t>Invoice</t>
  </si>
  <si>
    <t>Match</t>
  </si>
  <si>
    <t>Pay Type</t>
  </si>
  <si>
    <t>Hrly/Sal 1</t>
  </si>
  <si>
    <t>Hourly</t>
  </si>
  <si>
    <t>Salaried</t>
  </si>
  <si>
    <t>Number of Employees</t>
  </si>
  <si>
    <t>Total Employee activity</t>
  </si>
  <si>
    <t>Total Employer activity</t>
  </si>
  <si>
    <t>Total Medical activity</t>
  </si>
  <si>
    <t>Total Dental Employee activity</t>
  </si>
  <si>
    <t>Total Dental Employer activity</t>
  </si>
  <si>
    <t>Total Dental activity</t>
  </si>
  <si>
    <t>Sub Total April 2014 Payments</t>
  </si>
  <si>
    <t>Income Statement Expense</t>
  </si>
  <si>
    <t>Notes</t>
  </si>
  <si>
    <t>All employees are eligible for over time over 40hrs per week.  All Salary employees are shown with monthly and semi-monthly amounts.</t>
  </si>
  <si>
    <t>Staff Pro forma Adjustment (Regulated)</t>
  </si>
  <si>
    <t>All hourly employees hourly wage is also shown.</t>
  </si>
  <si>
    <t xml:space="preserve">WCI States (DR 13-4b) pro forma adjustment needs to include an annual plan administrative </t>
  </si>
  <si>
    <t>Total Subscribers</t>
  </si>
  <si>
    <t>Percent WCI Subscribers</t>
  </si>
  <si>
    <t>WORKPAPER 6 - CAPITAL STRUCTURE/COST OF DEBT/ROE ANALYSIS</t>
  </si>
  <si>
    <t>End of</t>
  </si>
  <si>
    <t>Average</t>
  </si>
  <si>
    <t>Period</t>
  </si>
  <si>
    <t>%</t>
  </si>
  <si>
    <t>Long Term Debt</t>
  </si>
  <si>
    <t>Equity</t>
  </si>
  <si>
    <t>Interest Expense</t>
  </si>
  <si>
    <t>actual test period</t>
  </si>
  <si>
    <t>Weighted cost of debt</t>
  </si>
  <si>
    <t>ROE  Waste Control</t>
  </si>
  <si>
    <t>Cost</t>
  </si>
  <si>
    <t>Weighted</t>
  </si>
  <si>
    <t>Debt</t>
  </si>
  <si>
    <t xml:space="preserve">Rate of Return </t>
  </si>
  <si>
    <t>Net Income (BFIT)</t>
  </si>
  <si>
    <t>FIT (line 9)</t>
  </si>
  <si>
    <t>Net Income (AFIT) (line 1-2)</t>
  </si>
  <si>
    <t>Average Investment</t>
  </si>
  <si>
    <t>Rate of Return (line 4/3)</t>
  </si>
  <si>
    <t>Less: Interest Expense</t>
  </si>
  <si>
    <t>Taxable Income</t>
  </si>
  <si>
    <t>FIT</t>
  </si>
  <si>
    <t>LG Inputs</t>
  </si>
  <si>
    <t>Prime 2009-12</t>
  </si>
  <si>
    <t>Plus Bases</t>
  </si>
  <si>
    <t>UTC Fee</t>
  </si>
  <si>
    <t>from the annual report</t>
  </si>
  <si>
    <t xml:space="preserve">Tax Rate </t>
  </si>
  <si>
    <t>Bad Debt</t>
  </si>
  <si>
    <t>WORKPAPER 8 - CUSTOMER COUNTS</t>
  </si>
  <si>
    <t>Changed per City of Kalama report as of December 31, 2012</t>
  </si>
  <si>
    <t>Customer Count for:</t>
  </si>
  <si>
    <t>weeks</t>
  </si>
  <si>
    <t>Cowlitz</t>
  </si>
  <si>
    <t>City of</t>
  </si>
  <si>
    <t>Annual</t>
  </si>
  <si>
    <t>Regular Service Only</t>
  </si>
  <si>
    <t>County</t>
  </si>
  <si>
    <t>Castle Rock</t>
  </si>
  <si>
    <t>Woodland</t>
  </si>
  <si>
    <t>1 minican</t>
  </si>
  <si>
    <t>Non</t>
  </si>
  <si>
    <t>1 can wk</t>
  </si>
  <si>
    <t>Total Resi</t>
  </si>
  <si>
    <t>2 can wk</t>
  </si>
  <si>
    <t>3 can wk</t>
  </si>
  <si>
    <t>4 can wk</t>
  </si>
  <si>
    <t>5 can wk</t>
  </si>
  <si>
    <t>City of Kalama</t>
  </si>
  <si>
    <t>6 can wk</t>
  </si>
  <si>
    <t xml:space="preserve">Contract </t>
  </si>
  <si>
    <t>Carts</t>
  </si>
  <si>
    <t>Rate</t>
  </si>
  <si>
    <t>Customer Count</t>
  </si>
  <si>
    <t>30-35 gal</t>
  </si>
  <si>
    <t>60-65 gal</t>
  </si>
  <si>
    <t>90-100 gal</t>
  </si>
  <si>
    <t>Pickup</t>
  </si>
  <si>
    <t>On Call</t>
  </si>
  <si>
    <t>Added 25 ft</t>
  </si>
  <si>
    <t>One pu per mo</t>
  </si>
  <si>
    <t>Res drive in</t>
  </si>
  <si>
    <t>Overwght</t>
  </si>
  <si>
    <t>Extras</t>
  </si>
  <si>
    <t>NSF</t>
  </si>
  <si>
    <t>WORKPAPER 8 - CUSTOMER COUNTS, Continued</t>
  </si>
  <si>
    <t>Rent</t>
  </si>
  <si>
    <t>Frequency</t>
  </si>
  <si>
    <t>Pick up Customer Count</t>
  </si>
  <si>
    <t>of Pickup</t>
  </si>
  <si>
    <t>Cust Count</t>
  </si>
  <si>
    <t>Containers</t>
  </si>
  <si>
    <t>1.0 Yd pu</t>
  </si>
  <si>
    <t xml:space="preserve">  Rent</t>
  </si>
  <si>
    <t>1.5Yd pu</t>
  </si>
  <si>
    <t>1.5 Yd pu</t>
  </si>
  <si>
    <t>2.0 Yd pu</t>
  </si>
  <si>
    <t>3.0 Yd pu</t>
  </si>
  <si>
    <t>4.0 Yd pu</t>
  </si>
  <si>
    <t>5.0 Yd pu</t>
  </si>
  <si>
    <t>6.0 Yd pu</t>
  </si>
  <si>
    <t>Container Del</t>
  </si>
  <si>
    <t>1 yd special</t>
  </si>
  <si>
    <t>1/2  yd special</t>
  </si>
  <si>
    <t>Sub Comm 1</t>
  </si>
  <si>
    <t>2 yd special</t>
  </si>
  <si>
    <t>3 yd special</t>
  </si>
  <si>
    <t>4 yd special</t>
  </si>
  <si>
    <t>Rent per day</t>
  </si>
  <si>
    <t>Drive in fee</t>
  </si>
  <si>
    <t>4 yd compactor</t>
  </si>
  <si>
    <t>Rent only</t>
  </si>
  <si>
    <t>See 2 yd</t>
  </si>
  <si>
    <t>Sub</t>
  </si>
  <si>
    <t>Number</t>
  </si>
  <si>
    <t>of Units</t>
  </si>
  <si>
    <t xml:space="preserve">City of </t>
  </si>
  <si>
    <t>CARTS</t>
  </si>
  <si>
    <t>CANS--com'l</t>
  </si>
  <si>
    <t>UNDER 5</t>
  </si>
  <si>
    <t>OVER 5</t>
  </si>
  <si>
    <t>Min charge</t>
  </si>
  <si>
    <t>Special pu</t>
  </si>
  <si>
    <t>DELUX</t>
  </si>
  <si>
    <t>Additional unit</t>
  </si>
  <si>
    <t>MULTIFAM</t>
  </si>
  <si>
    <t>STAFF - Customer Count</t>
  </si>
  <si>
    <t>STAFF - Pickup</t>
  </si>
  <si>
    <t>Non-Regulated</t>
  </si>
  <si>
    <t>Commercial Containers</t>
  </si>
  <si>
    <t>30-35gal ovr20</t>
  </si>
  <si>
    <t>Non 2</t>
  </si>
  <si>
    <t>unknown</t>
  </si>
  <si>
    <t>Sub Comm 2</t>
  </si>
  <si>
    <t>60-65 gal ovr20</t>
  </si>
  <si>
    <t>Total Comm</t>
  </si>
  <si>
    <t>Percentage</t>
  </si>
  <si>
    <t>Total Packer</t>
  </si>
  <si>
    <t>Comm Extras</t>
  </si>
  <si>
    <t>Total Reg Garbage</t>
  </si>
  <si>
    <t>Mileage</t>
  </si>
  <si>
    <t>OverWght</t>
  </si>
  <si>
    <t>Extras ***</t>
  </si>
  <si>
    <t>Delivery</t>
  </si>
  <si>
    <t>Total Non-Reg Customers per the City of Kalama provided information</t>
  </si>
  <si>
    <t>Total Non-Reg Pickup  per the City of Kalama provided information</t>
  </si>
  <si>
    <t>DROP BOX Customer Counts</t>
  </si>
  <si>
    <t>20yd P</t>
  </si>
  <si>
    <t>30yd P</t>
  </si>
  <si>
    <t>40yd P</t>
  </si>
  <si>
    <t>20yd T</t>
  </si>
  <si>
    <t>30yd T</t>
  </si>
  <si>
    <t>40yd T</t>
  </si>
  <si>
    <t>20yd Del</t>
  </si>
  <si>
    <t>30yd Del</t>
  </si>
  <si>
    <t>40yd Del</t>
  </si>
  <si>
    <t>30yd Comp Haul</t>
  </si>
  <si>
    <t>40yd Comp Haul</t>
  </si>
  <si>
    <t>Respot</t>
  </si>
  <si>
    <t>Rent P</t>
  </si>
  <si>
    <t>30yd w/Lid Rent</t>
  </si>
  <si>
    <t>Box Rent Day</t>
  </si>
  <si>
    <t>Per Hour</t>
  </si>
  <si>
    <t>Plastic</t>
  </si>
  <si>
    <t>Rent T</t>
  </si>
  <si>
    <t>Haul P</t>
  </si>
  <si>
    <t>Haul T</t>
  </si>
  <si>
    <t>Acct #513.1</t>
  </si>
  <si>
    <t>Acct #514.1</t>
  </si>
  <si>
    <t>Acct #512.1</t>
  </si>
  <si>
    <t>Acct #515.1</t>
  </si>
  <si>
    <t>moved all to</t>
  </si>
  <si>
    <t>Customers</t>
  </si>
  <si>
    <t xml:space="preserve">compacted </t>
  </si>
  <si>
    <t>Mt SH rent w/lid</t>
  </si>
  <si>
    <t>corrected all were 40</t>
  </si>
  <si>
    <t>TOTAL DB</t>
  </si>
  <si>
    <t>actual annual pickup for the test year.</t>
  </si>
  <si>
    <t>Delivery and respot</t>
  </si>
  <si>
    <t>WORKPAPER 9 - FUEL ANALYSIS</t>
  </si>
  <si>
    <t>Test Year</t>
  </si>
  <si>
    <t>07/01/12 - 06/30/13</t>
  </si>
  <si>
    <t>Gallons</t>
  </si>
  <si>
    <t>Fuel Cost</t>
  </si>
  <si>
    <t>Cost per gallon</t>
  </si>
  <si>
    <t>actual</t>
  </si>
  <si>
    <t>Forecasted Fuel Cost</t>
  </si>
  <si>
    <t>AVG</t>
  </si>
  <si>
    <t>Actual Misc Shop - Test Year</t>
  </si>
  <si>
    <t>Total Forecasted Expense</t>
  </si>
  <si>
    <t>Per Operations</t>
  </si>
  <si>
    <t>Test Year Fuel Expense</t>
  </si>
  <si>
    <t>Test Year Actual Fuel Expense</t>
  </si>
  <si>
    <t>Demonstrated Fuel</t>
  </si>
  <si>
    <t>Total Test Year Actual Fuel Expense</t>
  </si>
  <si>
    <t>Test Year Actual Total  Gallons</t>
  </si>
  <si>
    <t>AVG Test Year Cost per Gallon</t>
  </si>
  <si>
    <t>Pro forma Fuel Expense to Most Resent 12-months</t>
  </si>
  <si>
    <t>Total Pro forma Fuel Expense</t>
  </si>
  <si>
    <t>AVG Pro forma Cost per Gallon</t>
  </si>
  <si>
    <t>Change in AVG Cost per Gallon</t>
  </si>
  <si>
    <t>Regulated Pro forma</t>
  </si>
  <si>
    <t>WCE</t>
  </si>
  <si>
    <t>A</t>
  </si>
  <si>
    <t>B</t>
  </si>
  <si>
    <t>C</t>
  </si>
  <si>
    <t>D</t>
  </si>
  <si>
    <t>E</t>
  </si>
  <si>
    <t>WORKPAPER 12- UTLITIES</t>
  </si>
  <si>
    <t>Staff Allocation Factor using 3-Factor See Tab "3-Factor"</t>
  </si>
  <si>
    <t>UTILITY COSTS/ALLOCATIONS</t>
  </si>
  <si>
    <t>PROPERTY (description)</t>
  </si>
  <si>
    <t>WCI Allocation</t>
  </si>
  <si>
    <t>Parcel</t>
  </si>
  <si>
    <t>657 W Scott Ave Woodland 98674</t>
  </si>
  <si>
    <t xml:space="preserve">    (Storage For Woodland Area containers)</t>
  </si>
  <si>
    <t>1208 River RD Longview 98632</t>
  </si>
  <si>
    <t xml:space="preserve">    (Land N. of the MRF)</t>
  </si>
  <si>
    <t>1226 River RD Longview 98632</t>
  </si>
  <si>
    <t>River Rd</t>
  </si>
  <si>
    <t>1150 3rd Ave Longview 98632</t>
  </si>
  <si>
    <t xml:space="preserve">    (Commercial)</t>
  </si>
  <si>
    <t xml:space="preserve">River Rd </t>
  </si>
  <si>
    <t xml:space="preserve">    (Roll Cart Storage)</t>
  </si>
  <si>
    <t>2564 Lewis River RD Woodland 98674</t>
  </si>
  <si>
    <t xml:space="preserve">   (Carts and tubs)</t>
  </si>
  <si>
    <t>950 3rd Ave Longview 98632</t>
  </si>
  <si>
    <t xml:space="preserve">   (Bone Yard/TS/Portal Building)</t>
  </si>
  <si>
    <t xml:space="preserve">   (Wash Bay/TS Booths/Office Parking Lot)</t>
  </si>
  <si>
    <t xml:space="preserve">   (Main Office Building &amp; Shop)</t>
  </si>
  <si>
    <t>1120 3rd Ave Longview 98632</t>
  </si>
  <si>
    <t xml:space="preserve">   (Applied Industries Land)</t>
  </si>
  <si>
    <t>1152 River RD Longview 98632</t>
  </si>
  <si>
    <t>920 TAX CODE WOODLAND 98674</t>
  </si>
  <si>
    <t>TOTALS</t>
  </si>
  <si>
    <t>WORKPAPER 13- LAND RENTS</t>
  </si>
  <si>
    <t>Explanation of methodology:</t>
  </si>
  <si>
    <t>Staff Calculated Return on equity percentage</t>
  </si>
  <si>
    <t>HBI</t>
  </si>
  <si>
    <t>Equity percentage 2013</t>
  </si>
  <si>
    <t>Debt percentage 2013</t>
  </si>
  <si>
    <t>Cost of debt 2013</t>
  </si>
  <si>
    <t>HBII</t>
  </si>
  <si>
    <t>Property</t>
  </si>
  <si>
    <t>1150 3rd Ave (Main office)</t>
  </si>
  <si>
    <t>950 3rd Avenue (Covered Parking)</t>
  </si>
  <si>
    <t>3 mo</t>
  </si>
  <si>
    <t>1150 3rd Ave (Emp parking, wash bay)</t>
  </si>
  <si>
    <t>River Road (Cart &amp; container storage)</t>
  </si>
  <si>
    <t>Woodland storage</t>
  </si>
  <si>
    <t>Stanley Plaza Painting facility</t>
  </si>
  <si>
    <t>Allocated costs HB</t>
  </si>
  <si>
    <t>Allocated costs HB II</t>
  </si>
  <si>
    <t>HB Depreciation</t>
  </si>
  <si>
    <t>HB II Depreciation</t>
  </si>
  <si>
    <t>Total Annual Rent Expense</t>
  </si>
  <si>
    <t>per Operations</t>
  </si>
  <si>
    <t>add back newly rented items</t>
  </si>
  <si>
    <t>Adjusted rent as allowed in prior case</t>
  </si>
  <si>
    <t>Excess (Disallowed) Rent</t>
  </si>
  <si>
    <t>* Although $12,000 was adjusted in the prior rate case, there was not an explanation and we did not follow up because the full rate increase was granted.</t>
  </si>
  <si>
    <t>of</t>
  </si>
  <si>
    <t xml:space="preserve">Asset </t>
  </si>
  <si>
    <t>Percent</t>
  </si>
  <si>
    <t>Debt/</t>
  </si>
  <si>
    <t>Earnings Growth</t>
  </si>
  <si>
    <t>Dividend</t>
  </si>
  <si>
    <t>Assets</t>
  </si>
  <si>
    <t>Turnover</t>
  </si>
  <si>
    <t>Beta</t>
  </si>
  <si>
    <t>Growth</t>
  </si>
  <si>
    <t>EPS-2013</t>
  </si>
  <si>
    <t>EPS-F</t>
  </si>
  <si>
    <t>Years</t>
  </si>
  <si>
    <t>Yeild</t>
  </si>
  <si>
    <t>Annaly Capital</t>
  </si>
  <si>
    <t>Realty Income Corp</t>
  </si>
  <si>
    <t>WORKPAPER 15-PROPERTY TAX</t>
  </si>
  <si>
    <t>Property Tax 2012</t>
  </si>
  <si>
    <t>1st</t>
  </si>
  <si>
    <t>2nd</t>
  </si>
  <si>
    <t xml:space="preserve">Description </t>
  </si>
  <si>
    <t>Account #</t>
  </si>
  <si>
    <t>Parcel #</t>
  </si>
  <si>
    <t>WCR</t>
  </si>
  <si>
    <t>Curb</t>
  </si>
  <si>
    <t>WCPF</t>
  </si>
  <si>
    <t>Half</t>
  </si>
  <si>
    <t>Amounts</t>
  </si>
  <si>
    <t>Splits</t>
  </si>
  <si>
    <t>R042568</t>
  </si>
  <si>
    <t>R033233</t>
  </si>
  <si>
    <t>R033250</t>
  </si>
  <si>
    <t>R033246</t>
  </si>
  <si>
    <t>R033248</t>
  </si>
  <si>
    <t>R033251</t>
  </si>
  <si>
    <t>P009026</t>
  </si>
  <si>
    <t>P009293</t>
  </si>
  <si>
    <t>River Rd (Roll Cart Storage)</t>
  </si>
  <si>
    <t>R033249</t>
  </si>
  <si>
    <t>P003374</t>
  </si>
  <si>
    <t>R033291</t>
  </si>
  <si>
    <t>(Bone Yard/TS/Portal Building)</t>
  </si>
  <si>
    <t>R033236</t>
  </si>
  <si>
    <t>R033240</t>
  </si>
  <si>
    <t>R033234</t>
  </si>
  <si>
    <t>Delinquent amount form 2011</t>
  </si>
  <si>
    <t>Totals on Splits</t>
  </si>
  <si>
    <t>Parcel #1002602 &amp; #1006204 Activity</t>
  </si>
  <si>
    <t>WCI/WCR/WCE</t>
  </si>
  <si>
    <t>P003213</t>
  </si>
  <si>
    <t>P005420</t>
  </si>
  <si>
    <t>Total WCI</t>
  </si>
  <si>
    <t>R033239</t>
  </si>
  <si>
    <t xml:space="preserve">   (MRF - South End)</t>
  </si>
  <si>
    <t>R033241</t>
  </si>
  <si>
    <t xml:space="preserve">   (Building Ex E. - Scrap Metal Area)</t>
  </si>
  <si>
    <t>1154 River RD Longview 98632</t>
  </si>
  <si>
    <t>R033237</t>
  </si>
  <si>
    <t>(MRF - North End)</t>
  </si>
  <si>
    <t>P003653</t>
  </si>
  <si>
    <t>Total WCR</t>
  </si>
  <si>
    <t>WCE (Longview)</t>
  </si>
  <si>
    <t>P003654</t>
  </si>
  <si>
    <t>WCE (Kelso)</t>
  </si>
  <si>
    <t>P003652</t>
  </si>
  <si>
    <t>Total WCE</t>
  </si>
  <si>
    <t>Curbside/HBI/HBII</t>
  </si>
  <si>
    <t>P001731</t>
  </si>
  <si>
    <t>Total HB I and Curbside</t>
  </si>
  <si>
    <t>Totals By Individual Company</t>
  </si>
  <si>
    <t xml:space="preserve">1st </t>
  </si>
  <si>
    <t>HB I</t>
  </si>
  <si>
    <t>HB II</t>
  </si>
  <si>
    <t>Total For HB</t>
  </si>
  <si>
    <t>Set up notes between HB I and HB II and HB I will pay total amount.</t>
  </si>
  <si>
    <t>Curbside</t>
  </si>
  <si>
    <t>2nd Half</t>
  </si>
  <si>
    <t>1st Half</t>
  </si>
  <si>
    <t>Total Tax Due in the Year 2012</t>
  </si>
  <si>
    <t>Payment are postmarked on or before the due date Shown</t>
  </si>
  <si>
    <t>1st Half APR 30th</t>
  </si>
  <si>
    <t>2nd Half OCT 31st</t>
  </si>
  <si>
    <t>WORKPAPER 15-PROPERTY TAX, CONTINUED</t>
  </si>
  <si>
    <t>Property Tax 2013</t>
  </si>
  <si>
    <t>Parcel #1002602 &amp; #1002604 Activity</t>
  </si>
  <si>
    <t>Curbside/HBI</t>
  </si>
  <si>
    <t>Total Tax Due in the Year 2013</t>
  </si>
  <si>
    <t>WORKPAPER 16-DISPOSAL FEES</t>
  </si>
  <si>
    <t xml:space="preserve">July </t>
  </si>
  <si>
    <t>Jeff sugg does multiple per day</t>
  </si>
  <si>
    <t>9 loads Mon Thurs.</t>
  </si>
  <si>
    <t>Disposal Schedule for Tons @ Cowlitz County Landfill</t>
  </si>
  <si>
    <t>Aug</t>
  </si>
  <si>
    <t>Sept</t>
  </si>
  <si>
    <t>Oct</t>
  </si>
  <si>
    <t>Nov</t>
  </si>
  <si>
    <t>Dec</t>
  </si>
  <si>
    <t>Jan</t>
  </si>
  <si>
    <t>Feb</t>
  </si>
  <si>
    <t>March</t>
  </si>
  <si>
    <t>April</t>
  </si>
  <si>
    <t>May</t>
  </si>
  <si>
    <t>June</t>
  </si>
  <si>
    <t>TOTAL</t>
  </si>
  <si>
    <t>Resi/Comm</t>
  </si>
  <si>
    <t>Total Tons</t>
  </si>
  <si>
    <t>Residential Tons</t>
  </si>
  <si>
    <t>Commercial Tons</t>
  </si>
  <si>
    <t>Kalama Residential Tons</t>
  </si>
  <si>
    <t>Kalama Commercial Tons</t>
  </si>
  <si>
    <t>Jeff sugg truck 24</t>
  </si>
  <si>
    <t>Drop Box Tons</t>
  </si>
  <si>
    <t>Total operational Tons</t>
  </si>
  <si>
    <t>Total Commercial Tons</t>
  </si>
  <si>
    <t>Commercial container tons unsupported</t>
  </si>
  <si>
    <t>All waste expenses for non-regulated revenue for the Fibre activity in WCI is Fibre's responsibly to pay out to Weyerhaeuser. WCI hauls this activity</t>
  </si>
  <si>
    <t>New rate effective Dec 1, 2013</t>
  </si>
  <si>
    <t>to the Weyerhaeuser MRF and does not get reimbursed for any dump fees.</t>
  </si>
  <si>
    <t>The residential non regulated is calculated below for Kyle Miller</t>
  </si>
  <si>
    <t>Change</t>
  </si>
  <si>
    <t xml:space="preserve">Jeff Sugg made 33 commercial stops that were non regulated during the route study period out of 333 total stops (See WP-16 disposal). Thus 10% of his stops would be non regulated.  We applied the 10% to the commercial tons to get the non regulated portion.  </t>
  </si>
  <si>
    <t>All drop boxes in WCI are regulated per conversation with Joe Willis.  No cities have contracts for drop box billing to customers.</t>
  </si>
  <si>
    <t>Kyle Miller - Truck #7</t>
  </si>
  <si>
    <t>RESTATE</t>
  </si>
  <si>
    <t>Date</t>
  </si>
  <si>
    <t>1st Drop</t>
  </si>
  <si>
    <t>2nd Drop</t>
  </si>
  <si>
    <t>Month</t>
  </si>
  <si>
    <t>IS</t>
  </si>
  <si>
    <t>Schedule</t>
  </si>
  <si>
    <t>Test Yr</t>
  </si>
  <si>
    <t>$ pr Ton</t>
  </si>
  <si>
    <t>Tons</t>
  </si>
  <si>
    <t>Amount the schedule above is short</t>
  </si>
  <si>
    <t>Reg</t>
  </si>
  <si>
    <t>July</t>
  </si>
  <si>
    <t>Restate</t>
  </si>
  <si>
    <t>August</t>
  </si>
  <si>
    <t>PRO FORMA</t>
  </si>
  <si>
    <t>September</t>
  </si>
  <si>
    <t>October</t>
  </si>
  <si>
    <t>November</t>
  </si>
  <si>
    <t>December</t>
  </si>
  <si>
    <t>January</t>
  </si>
  <si>
    <t>February</t>
  </si>
  <si>
    <t>non-regulated tons</t>
  </si>
  <si>
    <t>WORKPAPER 19 - Truck Rents</t>
  </si>
  <si>
    <t>First Year</t>
  </si>
  <si>
    <t>Second Year</t>
  </si>
  <si>
    <t>Mo</t>
  </si>
  <si>
    <t>Yr</t>
  </si>
  <si>
    <t>Asset Description</t>
  </si>
  <si>
    <t>Date in Service</t>
  </si>
  <si>
    <t>Original Asset Cost</t>
  </si>
  <si>
    <t>Salvage Value</t>
  </si>
  <si>
    <t>Service Life</t>
  </si>
  <si>
    <t>Fully Depreciated</t>
  </si>
  <si>
    <t>Asset Disposal</t>
  </si>
  <si>
    <t>Depreciable Cost</t>
  </si>
  <si>
    <t>Test Year Depreciation</t>
  </si>
  <si>
    <t>Accumulated Depreciation</t>
  </si>
  <si>
    <t>Disposal Year Depreciation</t>
  </si>
  <si>
    <t>Total Year Depreciation</t>
  </si>
  <si>
    <t xml:space="preserve"> Department Allocation</t>
  </si>
  <si>
    <t>Total Allocated Year Depreciation</t>
  </si>
  <si>
    <t>Branch Allocation</t>
  </si>
  <si>
    <t>Allocated Accumulated Depreciation</t>
  </si>
  <si>
    <t>Purchase Date</t>
  </si>
  <si>
    <t>End of Test Period</t>
  </si>
  <si>
    <t>Date Fully Depreciated</t>
  </si>
  <si>
    <t>Beging of Test Period</t>
  </si>
  <si>
    <t>Disposition Date</t>
  </si>
  <si>
    <t>List</t>
  </si>
  <si>
    <t>$</t>
  </si>
  <si>
    <t>Yrs</t>
  </si>
  <si>
    <t xml:space="preserve"> Mo.</t>
  </si>
  <si>
    <t xml:space="preserve">  Yr.</t>
  </si>
  <si>
    <t>Yearly</t>
  </si>
  <si>
    <t>Beginning</t>
  </si>
  <si>
    <t>Ending</t>
  </si>
  <si>
    <t>1150 3rd Ave - Commercial</t>
  </si>
  <si>
    <t>(Packer) SPARE TRUCK #3</t>
  </si>
  <si>
    <t>(Front Loader) SPARE TRUCK #6</t>
  </si>
  <si>
    <t>(Packer) SPARE TRUCK #29</t>
  </si>
  <si>
    <t>Actual Capital Structure:</t>
  </si>
  <si>
    <t>Insurance</t>
  </si>
  <si>
    <t>Licenses</t>
  </si>
  <si>
    <t>Tires and tubes</t>
  </si>
  <si>
    <t>estimate</t>
  </si>
  <si>
    <t>Staff Calculated Rent</t>
  </si>
  <si>
    <t>Repairs and Maint</t>
  </si>
  <si>
    <t>Allocated Expense</t>
  </si>
  <si>
    <t>Cost of Equity</t>
  </si>
  <si>
    <t>Other Expenses</t>
  </si>
  <si>
    <t>Allowable Rent Expense</t>
  </si>
  <si>
    <t>Collection Days per Year</t>
  </si>
  <si>
    <t>Number of times each spare truck was used during the test year broken down by month.</t>
  </si>
  <si>
    <t>Spare Tucks Provided by WCE</t>
  </si>
  <si>
    <t>Ryder System</t>
  </si>
  <si>
    <t>Interest Exp</t>
  </si>
  <si>
    <t>HBI 2013</t>
  </si>
  <si>
    <t>P-5B</t>
  </si>
  <si>
    <t>R-6F</t>
  </si>
  <si>
    <t>RC-3, RC-1A</t>
  </si>
  <si>
    <t>P-1B</t>
  </si>
  <si>
    <t>R-6B</t>
  </si>
  <si>
    <t>R-6A</t>
  </si>
  <si>
    <t>R-6C</t>
  </si>
  <si>
    <t>R-6, R-6C</t>
  </si>
  <si>
    <t>R-1 , R-1A</t>
  </si>
  <si>
    <t>R-1, R-1A</t>
  </si>
  <si>
    <t>Subtotal</t>
  </si>
  <si>
    <t>Allowed</t>
  </si>
  <si>
    <t>P-2 and P-3</t>
  </si>
  <si>
    <t>General Rate Case Cost - Adjusted</t>
  </si>
  <si>
    <t>Docket TG-131794</t>
  </si>
  <si>
    <t>Docket TG-140560</t>
  </si>
  <si>
    <t xml:space="preserve">Between </t>
  </si>
  <si>
    <t>Prior to</t>
  </si>
  <si>
    <t>Filing Date &amp;</t>
  </si>
  <si>
    <t>PHC &amp;</t>
  </si>
  <si>
    <t>After</t>
  </si>
  <si>
    <t>Filing Date</t>
  </si>
  <si>
    <t>Notice of PHC</t>
  </si>
  <si>
    <t xml:space="preserve">Notice of </t>
  </si>
  <si>
    <t>Dismissal</t>
  </si>
  <si>
    <t xml:space="preserve">Dismissal </t>
  </si>
  <si>
    <t>Activity</t>
  </si>
  <si>
    <t>Footnote</t>
  </si>
  <si>
    <t>(Aug. - Sept 2013)</t>
  </si>
  <si>
    <t>(Oct - Dec 2013)</t>
  </si>
  <si>
    <t>PHC Date</t>
  </si>
  <si>
    <t>(Jan - Mar 2014)</t>
  </si>
  <si>
    <t>(Apr - Jun  2014)</t>
  </si>
  <si>
    <t xml:space="preserve">  Total</t>
  </si>
  <si>
    <t>Allocation Factor</t>
  </si>
  <si>
    <t>Allowed Expense</t>
  </si>
  <si>
    <t>Amortization Period</t>
  </si>
  <si>
    <t xml:space="preserve">Rate Case (Years) </t>
  </si>
  <si>
    <t>Annual Amortized Rate Case Cost</t>
  </si>
  <si>
    <t>Years 1 - 5</t>
  </si>
  <si>
    <t>Footnotes:</t>
  </si>
  <si>
    <t>Dollar values linked to WCI's response to Staff formal Data Request 20 provided in file "DR 20 Jan-Jun 2014 GL detail legal and accounting.xls".</t>
  </si>
  <si>
    <t>Dollar values could not be linked to WCI 's response  in file "DR20 WKG-#5012593-v1-7-8-14_TG_140560_Billing_HIstory_w_Costs_and_Fees.pdf".</t>
  </si>
  <si>
    <t>Allocation factors are Staff's recommendation as set forth in its testimony.</t>
  </si>
  <si>
    <t>Amortization Periods are Staff's recommendation as set forth in its testimony.</t>
  </si>
  <si>
    <t>Remove WCI  Adjustment</t>
  </si>
  <si>
    <t>Total Adjustment</t>
  </si>
  <si>
    <t>WCI Total Adjustment after change in allocation</t>
  </si>
  <si>
    <t>Allowed Increase</t>
  </si>
  <si>
    <t>WORKPAPER 2 - DEPRECIATION</t>
  </si>
  <si>
    <t>In Support of Tariff No. 16 G-101, Effective June 1, 2014</t>
  </si>
  <si>
    <t>Months in first year</t>
  </si>
  <si>
    <t>Months in second year</t>
  </si>
  <si>
    <t>First year</t>
  </si>
  <si>
    <t>Second year</t>
  </si>
  <si>
    <t>Accumulated</t>
  </si>
  <si>
    <t xml:space="preserve">Monthly </t>
  </si>
  <si>
    <t>Year</t>
  </si>
  <si>
    <t>Depreciation</t>
  </si>
  <si>
    <t>Asset Cost</t>
  </si>
  <si>
    <t>Investment</t>
  </si>
  <si>
    <t>Drop Boxes</t>
  </si>
  <si>
    <t>Drop Box Trucks</t>
  </si>
  <si>
    <t>Packers</t>
  </si>
  <si>
    <t>Service cars</t>
  </si>
  <si>
    <t>Shed &amp; Equipment</t>
  </si>
  <si>
    <t>Office Equipment</t>
  </si>
  <si>
    <t>Leasehold Improvements</t>
  </si>
  <si>
    <t>Note: Annual rents of $36k include 8% sales tax</t>
  </si>
  <si>
    <t>Yield</t>
  </si>
  <si>
    <t>Total Reduction</t>
  </si>
  <si>
    <t>Commercial Carts</t>
  </si>
  <si>
    <t>Total Commercial</t>
  </si>
  <si>
    <t>Consolidated with others</t>
  </si>
  <si>
    <t>Deluxe O-25ft</t>
  </si>
  <si>
    <t>ALLOCATIONS BASED ON THE CITY OF KALAMA PROVIDED INFORMATION</t>
  </si>
  <si>
    <t>Annual Employer Payments for Medical and Denial</t>
  </si>
  <si>
    <t>Count Employees with Medical/Denial</t>
  </si>
  <si>
    <t>******</t>
  </si>
  <si>
    <t>Pro forma Adjust per Change in AVG Cost per Gallon</t>
  </si>
  <si>
    <t>WCI states this is lube expense not fuel</t>
  </si>
  <si>
    <t>PRO FORMA - Residential and 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</si>
</sst>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dd\-mmm\-yy_)"/>
    <numFmt numFmtId="166" formatCode="#,##0.0000_);\(#,##0.0000\)"/>
    <numFmt numFmtId="167" formatCode="0_)"/>
    <numFmt numFmtId="168" formatCode="#,##0.000_);\(#,##0.000\)"/>
    <numFmt numFmtId="169" formatCode="#,##0.000000_);\(#,##0.000000\)"/>
    <numFmt numFmtId="170" formatCode="_(* #,##0_);_(* \(#,##0\);_(* &quot;-&quot;??_);_(@_)"/>
    <numFmt numFmtId="171" formatCode="#,##0.00;\-#,##0.00;* ??"/>
    <numFmt numFmtId="172" formatCode="#,##0;\-#,##0;* ??"/>
    <numFmt numFmtId="173" formatCode="0.0%"/>
    <numFmt numFmtId="174" formatCode="0.0000%"/>
    <numFmt numFmtId="175" formatCode="0.000"/>
    <numFmt numFmtId="176" formatCode="_(* #,##0.000_);_(* \(#,##0.000\);_(* &quot;-&quot;???_);_(@_)"/>
    <numFmt numFmtId="177" formatCode="_(* #,##0.00_);_(* \(#,##0.00\);_(* &quot;-&quot;???_);_(@_)"/>
    <numFmt numFmtId="178" formatCode="_(&quot;$&quot;* #,##0_);_(&quot;$&quot;* \(#,##0\);_(&quot;$&quot;* &quot;-&quot;??_);_(@_)"/>
    <numFmt numFmtId="179" formatCode="&quot;$&quot;#,##0"/>
    <numFmt numFmtId="180" formatCode="0.0000"/>
    <numFmt numFmtId="181" formatCode="[$-F800]dddd\,\ mmmm\ dd\,\ yyyy"/>
    <numFmt numFmtId="182" formatCode="&quot;$&quot;#,##0.00"/>
    <numFmt numFmtId="183" formatCode="#,###_);\(#,###\);&quot;-&quot;"/>
    <numFmt numFmtId="184" formatCode="mmmm\ d\,\ yyyy"/>
    <numFmt numFmtId="185" formatCode="_*\ #,###.0,;_(* \(#,###.0,\);_(* &quot;-&quot;??_);_(@_)"/>
    <numFmt numFmtId="186" formatCode="#,##0.0"/>
  </numFmts>
  <fonts count="172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name val="Times New Roman"/>
      <family val="1"/>
    </font>
    <font>
      <sz val="12"/>
      <name val="Helv"/>
    </font>
    <font>
      <sz val="13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12"/>
      <name val="Arial"/>
      <family val="2"/>
    </font>
    <font>
      <b/>
      <sz val="12"/>
      <color indexed="60"/>
      <name val="Times New Roman"/>
      <family val="1"/>
    </font>
    <font>
      <sz val="9"/>
      <color indexed="10"/>
      <name val="Times New Roman"/>
      <family val="1"/>
    </font>
    <font>
      <sz val="10"/>
      <color indexed="36"/>
      <name val="Times New Roman"/>
      <family val="1"/>
    </font>
    <font>
      <b/>
      <sz val="9"/>
      <color indexed="10"/>
      <name val="Times New Roman"/>
      <family val="1"/>
    </font>
    <font>
      <b/>
      <sz val="10"/>
      <color indexed="60"/>
      <name val="Times New Roman"/>
      <family val="1"/>
    </font>
    <font>
      <b/>
      <sz val="10"/>
      <color rgb="FF7030A0"/>
      <name val="Times New Roman"/>
      <family val="1"/>
    </font>
    <font>
      <sz val="10"/>
      <color rgb="FF7030A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name val="Arial"/>
      <family val="2"/>
    </font>
    <font>
      <sz val="7"/>
      <name val="Times New Roman"/>
      <family val="1"/>
    </font>
    <font>
      <sz val="7"/>
      <color rgb="FF7030A0"/>
      <name val="Times New Roman"/>
      <family val="1"/>
    </font>
    <font>
      <b/>
      <sz val="7"/>
      <name val="Times New Roman"/>
      <family val="1"/>
    </font>
    <font>
      <b/>
      <sz val="7"/>
      <color rgb="FF7030A0"/>
      <name val="Times New Roman"/>
      <family val="1"/>
    </font>
    <font>
      <b/>
      <sz val="12"/>
      <name val="Arial"/>
      <family val="2"/>
    </font>
    <font>
      <b/>
      <sz val="7"/>
      <name val="Arial"/>
      <family val="2"/>
    </font>
    <font>
      <sz val="7"/>
      <color rgb="FF7030A0"/>
      <name val="Arial"/>
      <family val="2"/>
    </font>
    <font>
      <b/>
      <sz val="12"/>
      <color rgb="FF7030A0"/>
      <name val="Arial"/>
      <family val="2"/>
    </font>
    <font>
      <b/>
      <sz val="12"/>
      <color rgb="FFC00000"/>
      <name val="Arial"/>
      <family val="2"/>
    </font>
    <font>
      <b/>
      <sz val="7"/>
      <color rgb="FF7030A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Ariel"/>
    </font>
    <font>
      <sz val="9"/>
      <name val="Arial"/>
      <family val="2"/>
    </font>
    <font>
      <sz val="6"/>
      <name val="Arial"/>
      <family val="2"/>
    </font>
    <font>
      <sz val="9"/>
      <color indexed="60"/>
      <name val="Arial"/>
      <family val="2"/>
    </font>
    <font>
      <sz val="13"/>
      <color indexed="36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rgb="FF7030A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7030A0"/>
      <name val="Arial"/>
      <family val="2"/>
    </font>
    <font>
      <b/>
      <u/>
      <sz val="11"/>
      <name val="Times New Roman"/>
      <family val="1"/>
    </font>
    <font>
      <u/>
      <sz val="11"/>
      <name val="Times New Roman"/>
      <family val="1"/>
    </font>
    <font>
      <b/>
      <sz val="12"/>
      <color rgb="FF7030A0"/>
      <name val="Times New Roman"/>
      <family val="1"/>
    </font>
    <font>
      <sz val="12"/>
      <color rgb="FF7030A0"/>
      <name val="Times New Roman"/>
      <family val="1"/>
    </font>
    <font>
      <sz val="12"/>
      <color indexed="60"/>
      <name val="Times New Roman"/>
      <family val="1"/>
    </font>
    <font>
      <b/>
      <i/>
      <sz val="12"/>
      <color rgb="FF7030A0"/>
      <name val="Times New Roman"/>
      <family val="1"/>
    </font>
    <font>
      <b/>
      <sz val="11"/>
      <color rgb="FF7030A0"/>
      <name val="Times New Roman"/>
      <family val="1"/>
    </font>
    <font>
      <b/>
      <u/>
      <sz val="11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"/>
      <name val="Times New Roman"/>
      <family val="1"/>
    </font>
    <font>
      <sz val="14"/>
      <color rgb="FF7030A0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Times New Roman"/>
      <family val="2"/>
    </font>
    <font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2"/>
      <color theme="1" tint="4.9989318521683403E-2"/>
      <name val="Times New Roman"/>
      <family val="1"/>
    </font>
    <font>
      <b/>
      <u/>
      <sz val="11"/>
      <color indexed="8"/>
      <name val="Times New Roman"/>
      <family val="1"/>
    </font>
    <font>
      <u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i/>
      <sz val="12"/>
      <color indexed="36"/>
      <name val="Times New Roman"/>
      <family val="1"/>
    </font>
    <font>
      <sz val="12"/>
      <color indexed="36"/>
      <name val="Times New Roman"/>
      <family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sz val="11"/>
      <color rgb="FF7030A0"/>
      <name val="Times New Roman"/>
      <family val="2"/>
    </font>
    <font>
      <b/>
      <sz val="11"/>
      <color rgb="FF7030A0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8"/>
      <color theme="1"/>
      <name val="Calibri"/>
      <family val="2"/>
      <scheme val="minor"/>
    </font>
    <font>
      <sz val="8"/>
      <color theme="1"/>
      <name val="Times New Roman"/>
      <family val="2"/>
    </font>
    <font>
      <b/>
      <sz val="8"/>
      <color rgb="FF7030A0"/>
      <name val="Times New Roman"/>
      <family val="1"/>
    </font>
    <font>
      <sz val="12"/>
      <color rgb="FFC00000"/>
      <name val="Times New Roman"/>
      <family val="1"/>
    </font>
    <font>
      <b/>
      <sz val="12"/>
      <color rgb="FFC00000"/>
      <name val="Times New Roman"/>
      <family val="1"/>
    </font>
    <font>
      <sz val="11"/>
      <name val="Calibri"/>
      <family val="2"/>
      <scheme val="minor"/>
    </font>
    <font>
      <sz val="11"/>
      <color rgb="FFFF0000"/>
      <name val="Cambria"/>
      <family val="1"/>
      <scheme val="major"/>
    </font>
    <font>
      <sz val="11"/>
      <name val="Cambria"/>
      <family val="1"/>
      <scheme val="major"/>
    </font>
    <font>
      <sz val="11"/>
      <color indexed="10"/>
      <name val="Cambria"/>
      <family val="1"/>
      <scheme val="major"/>
    </font>
    <font>
      <b/>
      <sz val="12"/>
      <name val="Calibri"/>
      <family val="2"/>
      <scheme val="minor"/>
    </font>
    <font>
      <sz val="11"/>
      <color rgb="FF7030A0"/>
      <name val="Cambria"/>
      <family val="1"/>
      <scheme val="major"/>
    </font>
    <font>
      <sz val="11"/>
      <color rgb="FFE6AF00"/>
      <name val="Calibri"/>
      <family val="2"/>
      <scheme val="minor"/>
    </font>
    <font>
      <sz val="11"/>
      <color rgb="FFC00000"/>
      <name val="Times New Roman"/>
      <family val="1"/>
    </font>
    <font>
      <b/>
      <sz val="11"/>
      <color rgb="FFC00000"/>
      <name val="Times New Roman"/>
      <family val="1"/>
    </font>
    <font>
      <sz val="11"/>
      <color rgb="FF7030A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12"/>
      <name val="SWISS"/>
    </font>
    <font>
      <i/>
      <sz val="10"/>
      <color indexed="10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name val="Arial"/>
      <family val="2"/>
    </font>
    <font>
      <sz val="10"/>
      <color indexed="6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10"/>
      <color indexed="9"/>
      <name val="Arial"/>
      <family val="2"/>
    </font>
    <font>
      <i/>
      <sz val="10"/>
      <color indexed="9"/>
      <name val="Arial"/>
      <family val="2"/>
    </font>
    <font>
      <sz val="12"/>
      <name val="Arial MT"/>
    </font>
    <font>
      <b/>
      <u/>
      <sz val="11"/>
      <name val="Arial"/>
      <family val="2"/>
    </font>
    <font>
      <sz val="14"/>
      <name val="Arial"/>
      <family val="2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name val="Times New Roman"/>
      <family val="1"/>
    </font>
    <font>
      <sz val="12"/>
      <color rgb="FF7030A0"/>
      <name val="Arial"/>
      <family val="2"/>
    </font>
    <font>
      <b/>
      <sz val="10"/>
      <color rgb="FF7030A0"/>
      <name val="Arial"/>
      <family val="2"/>
    </font>
    <font>
      <b/>
      <sz val="8"/>
      <color rgb="FF7030A0"/>
      <name val="Calibri"/>
      <family val="2"/>
      <scheme val="minor"/>
    </font>
    <font>
      <sz val="8"/>
      <color rgb="FF7030A0"/>
      <name val="Times New Roman"/>
      <family val="2"/>
    </font>
    <font>
      <b/>
      <sz val="8"/>
      <color rgb="FF7030A0"/>
      <name val="Times New Roman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8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theme="4" tint="0.5999938962981048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auto="1"/>
      </bottom>
      <diagonal/>
    </border>
  </borders>
  <cellStyleXfs count="439">
    <xf numFmtId="37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0"/>
    <xf numFmtId="164" fontId="6" fillId="0" borderId="0"/>
    <xf numFmtId="0" fontId="8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4" fillId="0" borderId="0"/>
    <xf numFmtId="0" fontId="68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" fillId="0" borderId="0"/>
    <xf numFmtId="44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5" fillId="12" borderId="0" applyNumberFormat="0" applyBorder="0" applyAlignment="0" applyProtection="0"/>
    <xf numFmtId="0" fontId="105" fillId="13" borderId="0" applyNumberFormat="0" applyBorder="0" applyAlignment="0" applyProtection="0"/>
    <xf numFmtId="0" fontId="105" fillId="14" borderId="0" applyNumberFormat="0" applyBorder="0" applyAlignment="0" applyProtection="0"/>
    <xf numFmtId="0" fontId="105" fillId="15" borderId="0" applyNumberFormat="0" applyBorder="0" applyAlignment="0" applyProtection="0"/>
    <xf numFmtId="0" fontId="105" fillId="12" borderId="0" applyNumberFormat="0" applyBorder="0" applyAlignment="0" applyProtection="0"/>
    <xf numFmtId="0" fontId="105" fillId="16" borderId="0" applyNumberFormat="0" applyBorder="0" applyAlignment="0" applyProtection="0"/>
    <xf numFmtId="0" fontId="105" fillId="17" borderId="0" applyNumberFormat="0" applyBorder="0" applyAlignment="0" applyProtection="0"/>
    <xf numFmtId="0" fontId="105" fillId="15" borderId="0" applyNumberFormat="0" applyBorder="0" applyAlignment="0" applyProtection="0"/>
    <xf numFmtId="0" fontId="105" fillId="12" borderId="0" applyNumberFormat="0" applyBorder="0" applyAlignment="0" applyProtection="0"/>
    <xf numFmtId="0" fontId="105" fillId="18" borderId="0" applyNumberFormat="0" applyBorder="0" applyAlignment="0" applyProtection="0"/>
    <xf numFmtId="0" fontId="105" fillId="14" borderId="0" applyNumberFormat="0" applyBorder="0" applyAlignment="0" applyProtection="0"/>
    <xf numFmtId="0" fontId="105" fillId="19" borderId="0" applyNumberFormat="0" applyBorder="0" applyAlignment="0" applyProtection="0"/>
    <xf numFmtId="0" fontId="105" fillId="12" borderId="0" applyNumberFormat="0" applyBorder="0" applyAlignment="0" applyProtection="0"/>
    <xf numFmtId="0" fontId="105" fillId="16" borderId="0" applyNumberFormat="0" applyBorder="0" applyAlignment="0" applyProtection="0"/>
    <xf numFmtId="0" fontId="105" fillId="18" borderId="0" applyNumberFormat="0" applyBorder="0" applyAlignment="0" applyProtection="0"/>
    <xf numFmtId="0" fontId="105" fillId="19" borderId="0" applyNumberFormat="0" applyBorder="0" applyAlignment="0" applyProtection="0"/>
    <xf numFmtId="0" fontId="105" fillId="20" borderId="0" applyNumberFormat="0" applyBorder="0" applyAlignment="0" applyProtection="0"/>
    <xf numFmtId="0" fontId="106" fillId="21" borderId="0" applyNumberFormat="0" applyBorder="0" applyAlignment="0" applyProtection="0"/>
    <xf numFmtId="0" fontId="106" fillId="22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6" fillId="23" borderId="0" applyNumberFormat="0" applyBorder="0" applyAlignment="0" applyProtection="0"/>
    <xf numFmtId="0" fontId="106" fillId="12" borderId="0" applyNumberFormat="0" applyBorder="0" applyAlignment="0" applyProtection="0"/>
    <xf numFmtId="0" fontId="106" fillId="24" borderId="0" applyNumberFormat="0" applyBorder="0" applyAlignment="0" applyProtection="0"/>
    <xf numFmtId="0" fontId="106" fillId="21" borderId="0" applyNumberFormat="0" applyBorder="0" applyAlignment="0" applyProtection="0"/>
    <xf numFmtId="0" fontId="106" fillId="14" borderId="0" applyNumberFormat="0" applyBorder="0" applyAlignment="0" applyProtection="0"/>
    <xf numFmtId="0" fontId="106" fillId="21" borderId="0" applyNumberFormat="0" applyBorder="0" applyAlignment="0" applyProtection="0"/>
    <xf numFmtId="0" fontId="106" fillId="25" borderId="0" applyNumberFormat="0" applyBorder="0" applyAlignment="0" applyProtection="0"/>
    <xf numFmtId="0" fontId="106" fillId="26" borderId="0" applyNumberFormat="0" applyBorder="0" applyAlignment="0" applyProtection="0"/>
    <xf numFmtId="0" fontId="106" fillId="27" borderId="0" applyNumberFormat="0" applyBorder="0" applyAlignment="0" applyProtection="0"/>
    <xf numFmtId="0" fontId="106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28" borderId="0" applyNumberFormat="0" applyBorder="0" applyAlignment="0" applyProtection="0"/>
    <xf numFmtId="41" fontId="4" fillId="0" borderId="0"/>
    <xf numFmtId="41" fontId="4" fillId="0" borderId="0"/>
    <xf numFmtId="41" fontId="4" fillId="0" borderId="0"/>
    <xf numFmtId="41" fontId="4" fillId="0" borderId="0"/>
    <xf numFmtId="0" fontId="107" fillId="30" borderId="0" applyNumberFormat="0" applyBorder="0" applyAlignment="0" applyProtection="0"/>
    <xf numFmtId="3" fontId="4" fillId="0" borderId="0"/>
    <xf numFmtId="3" fontId="4" fillId="0" borderId="0"/>
    <xf numFmtId="3" fontId="4" fillId="0" borderId="0"/>
    <xf numFmtId="3" fontId="4" fillId="0" borderId="0"/>
    <xf numFmtId="182" fontId="108" fillId="0" borderId="0" applyFill="0"/>
    <xf numFmtId="182" fontId="108" fillId="0" borderId="0">
      <alignment horizontal="center"/>
    </xf>
    <xf numFmtId="0" fontId="108" fillId="0" borderId="0" applyFill="0">
      <alignment horizontal="center"/>
    </xf>
    <xf numFmtId="182" fontId="109" fillId="0" borderId="50" applyFill="0"/>
    <xf numFmtId="0" fontId="4" fillId="0" borderId="0" applyFont="0" applyAlignment="0"/>
    <xf numFmtId="0" fontId="110" fillId="0" borderId="0" applyFill="0">
      <alignment vertical="top"/>
    </xf>
    <xf numFmtId="0" fontId="109" fillId="0" borderId="0" applyFill="0">
      <alignment horizontal="left" vertical="top"/>
    </xf>
    <xf numFmtId="182" fontId="30" fillId="0" borderId="2" applyFill="0"/>
    <xf numFmtId="0" fontId="4" fillId="0" borderId="0" applyNumberFormat="0" applyFont="0" applyAlignment="0"/>
    <xf numFmtId="0" fontId="110" fillId="0" borderId="0" applyFill="0">
      <alignment wrapText="1"/>
    </xf>
    <xf numFmtId="0" fontId="109" fillId="0" borderId="0" applyFill="0">
      <alignment horizontal="left" vertical="top" wrapText="1"/>
    </xf>
    <xf numFmtId="182" fontId="111" fillId="0" borderId="0" applyFill="0"/>
    <xf numFmtId="0" fontId="112" fillId="0" borderId="0" applyNumberFormat="0" applyFont="0" applyAlignment="0">
      <alignment horizontal="center"/>
    </xf>
    <xf numFmtId="0" fontId="113" fillId="0" borderId="0" applyFill="0">
      <alignment vertical="top" wrapText="1"/>
    </xf>
    <xf numFmtId="0" fontId="30" fillId="0" borderId="0" applyFill="0">
      <alignment horizontal="left" vertical="top" wrapText="1"/>
    </xf>
    <xf numFmtId="182" fontId="4" fillId="0" borderId="0" applyFill="0"/>
    <xf numFmtId="0" fontId="112" fillId="0" borderId="0" applyNumberFormat="0" applyFont="0" applyAlignment="0">
      <alignment horizontal="center"/>
    </xf>
    <xf numFmtId="0" fontId="114" fillId="0" borderId="0" applyFill="0">
      <alignment vertical="center" wrapText="1"/>
    </xf>
    <xf numFmtId="0" fontId="15" fillId="0" borderId="0">
      <alignment horizontal="left" vertical="center" wrapText="1"/>
    </xf>
    <xf numFmtId="182" fontId="39" fillId="0" borderId="0" applyFill="0"/>
    <xf numFmtId="0" fontId="112" fillId="0" borderId="0" applyNumberFormat="0" applyFont="0" applyAlignment="0">
      <alignment horizontal="center"/>
    </xf>
    <xf numFmtId="0" fontId="115" fillId="0" borderId="0" applyFill="0">
      <alignment horizontal="center" vertical="center" wrapText="1"/>
    </xf>
    <xf numFmtId="0" fontId="4" fillId="0" borderId="0" applyFill="0">
      <alignment horizontal="center" vertical="center" wrapText="1"/>
    </xf>
    <xf numFmtId="182" fontId="116" fillId="0" borderId="0" applyFill="0"/>
    <xf numFmtId="0" fontId="112" fillId="0" borderId="0" applyNumberFormat="0" applyFont="0" applyAlignment="0">
      <alignment horizontal="center"/>
    </xf>
    <xf numFmtId="0" fontId="117" fillId="0" borderId="0" applyFill="0">
      <alignment horizontal="center" vertical="center" wrapText="1"/>
    </xf>
    <xf numFmtId="0" fontId="118" fillId="0" borderId="0" applyFill="0">
      <alignment horizontal="center" vertical="center" wrapText="1"/>
    </xf>
    <xf numFmtId="182" fontId="119" fillId="0" borderId="0" applyFill="0"/>
    <xf numFmtId="0" fontId="112" fillId="0" borderId="0" applyNumberFormat="0" applyFont="0" applyAlignment="0">
      <alignment horizontal="center"/>
    </xf>
    <xf numFmtId="0" fontId="120" fillId="0" borderId="0">
      <alignment horizontal="center" wrapText="1"/>
    </xf>
    <xf numFmtId="0" fontId="116" fillId="0" borderId="0" applyFill="0">
      <alignment horizontal="center" wrapText="1"/>
    </xf>
    <xf numFmtId="0" fontId="121" fillId="31" borderId="51" applyNumberFormat="0" applyAlignment="0" applyProtection="0"/>
    <xf numFmtId="0" fontId="121" fillId="12" borderId="51" applyNumberFormat="0" applyAlignment="0" applyProtection="0"/>
    <xf numFmtId="0" fontId="122" fillId="32" borderId="52" applyNumberFormat="0" applyAlignment="0" applyProtection="0"/>
    <xf numFmtId="0" fontId="4" fillId="6" borderId="0">
      <alignment horizontal="center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8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124" fillId="0" borderId="0"/>
    <xf numFmtId="3" fontId="4" fillId="0" borderId="0" applyFill="0" applyBorder="0" applyAlignment="0" applyProtection="0"/>
    <xf numFmtId="0" fontId="125" fillId="0" borderId="0"/>
    <xf numFmtId="0" fontId="125" fillId="0" borderId="0"/>
    <xf numFmtId="0" fontId="126" fillId="33" borderId="7" applyAlignment="0">
      <alignment horizontal="right"/>
      <protection locked="0"/>
    </xf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5" fontId="4" fillId="0" borderId="0" applyFill="0" applyBorder="0" applyAlignment="0" applyProtection="0"/>
    <xf numFmtId="0" fontId="128" fillId="34" borderId="0">
      <alignment horizontal="right"/>
      <protection locked="0"/>
    </xf>
    <xf numFmtId="184" fontId="4" fillId="0" borderId="0" applyFill="0" applyBorder="0" applyAlignment="0" applyProtection="0"/>
    <xf numFmtId="14" fontId="4" fillId="0" borderId="0"/>
    <xf numFmtId="0" fontId="129" fillId="0" borderId="0" applyNumberFormat="0" applyFill="0" applyBorder="0" applyAlignment="0" applyProtection="0"/>
    <xf numFmtId="2" fontId="128" fillId="34" borderId="0">
      <alignment horizontal="right"/>
      <protection locked="0"/>
    </xf>
    <xf numFmtId="1" fontId="4" fillId="0" borderId="0">
      <alignment horizontal="center"/>
    </xf>
    <xf numFmtId="2" fontId="4" fillId="0" borderId="0" applyFill="0" applyBorder="0" applyAlignment="0" applyProtection="0"/>
    <xf numFmtId="0" fontId="130" fillId="35" borderId="0" applyNumberFormat="0" applyBorder="0" applyAlignment="0" applyProtection="0"/>
    <xf numFmtId="38" fontId="108" fillId="36" borderId="0" applyNumberFormat="0" applyBorder="0" applyAlignment="0" applyProtection="0"/>
    <xf numFmtId="0" fontId="30" fillId="0" borderId="39" applyNumberFormat="0" applyAlignment="0" applyProtection="0">
      <alignment horizontal="left" vertical="center"/>
    </xf>
    <xf numFmtId="0" fontId="30" fillId="0" borderId="13">
      <alignment horizontal="left" vertical="center"/>
    </xf>
    <xf numFmtId="0" fontId="131" fillId="0" borderId="53" applyNumberFormat="0" applyFill="0" applyAlignment="0" applyProtection="0"/>
    <xf numFmtId="0" fontId="132" fillId="0" borderId="54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5" fillId="0" borderId="56" applyNumberFormat="0" applyFill="0" applyAlignment="0" applyProtection="0"/>
    <xf numFmtId="0" fontId="136" fillId="0" borderId="57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0" fontId="108" fillId="37" borderId="26" applyNumberFormat="0" applyBorder="0" applyAlignment="0" applyProtection="0"/>
    <xf numFmtId="0" fontId="140" fillId="19" borderId="51" applyNumberFormat="0" applyAlignment="0" applyProtection="0"/>
    <xf numFmtId="3" fontId="141" fillId="36" borderId="0">
      <protection locked="0"/>
    </xf>
    <xf numFmtId="4" fontId="141" fillId="36" borderId="0">
      <protection locked="0"/>
    </xf>
    <xf numFmtId="0" fontId="142" fillId="0" borderId="58" applyNumberFormat="0" applyFill="0" applyAlignment="0" applyProtection="0"/>
    <xf numFmtId="41" fontId="143" fillId="38" borderId="0" applyFill="0" applyBorder="0" applyAlignment="0" applyProtection="0"/>
    <xf numFmtId="0" fontId="144" fillId="19" borderId="0" applyNumberFormat="0" applyBorder="0" applyAlignment="0" applyProtection="0"/>
    <xf numFmtId="43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5" fillId="0" borderId="0"/>
    <xf numFmtId="0" fontId="2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37" fontId="15" fillId="0" borderId="0"/>
    <xf numFmtId="37" fontId="15" fillId="0" borderId="0"/>
    <xf numFmtId="0" fontId="2" fillId="0" borderId="0"/>
    <xf numFmtId="0" fontId="105" fillId="0" borderId="0"/>
    <xf numFmtId="37" fontId="15" fillId="0" borderId="0"/>
    <xf numFmtId="0" fontId="105" fillId="0" borderId="0"/>
    <xf numFmtId="37" fontId="15" fillId="0" borderId="0"/>
    <xf numFmtId="0" fontId="105" fillId="0" borderId="0"/>
    <xf numFmtId="37" fontId="15" fillId="0" borderId="0"/>
    <xf numFmtId="0" fontId="105" fillId="0" borderId="0"/>
    <xf numFmtId="0" fontId="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2" fillId="0" borderId="0"/>
    <xf numFmtId="0" fontId="12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4" fillId="0" borderId="0"/>
    <xf numFmtId="0" fontId="105" fillId="0" borderId="0"/>
    <xf numFmtId="0" fontId="124" fillId="0" borderId="0">
      <alignment vertical="top"/>
    </xf>
    <xf numFmtId="0" fontId="124" fillId="0" borderId="0">
      <alignment vertical="top"/>
    </xf>
    <xf numFmtId="0" fontId="124" fillId="0" borderId="0">
      <alignment vertical="top"/>
    </xf>
    <xf numFmtId="0" fontId="105" fillId="0" borderId="0"/>
    <xf numFmtId="0" fontId="2" fillId="0" borderId="0"/>
    <xf numFmtId="0" fontId="2" fillId="0" borderId="0"/>
    <xf numFmtId="0" fontId="2" fillId="0" borderId="0"/>
    <xf numFmtId="37" fontId="15" fillId="0" borderId="0"/>
    <xf numFmtId="37" fontId="15" fillId="0" borderId="0"/>
    <xf numFmtId="0" fontId="4" fillId="0" borderId="0"/>
    <xf numFmtId="0" fontId="105" fillId="15" borderId="59" applyNumberFormat="0" applyFont="0" applyAlignment="0" applyProtection="0"/>
    <xf numFmtId="0" fontId="108" fillId="15" borderId="59" applyNumberFormat="0" applyFont="0" applyAlignment="0" applyProtection="0"/>
    <xf numFmtId="173" fontId="146" fillId="0" borderId="0" applyNumberFormat="0"/>
    <xf numFmtId="0" fontId="135" fillId="31" borderId="60" applyNumberFormat="0" applyAlignment="0" applyProtection="0"/>
    <xf numFmtId="10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8" fontId="147" fillId="0" borderId="0" applyNumberFormat="0" applyFont="0" applyFill="0" applyBorder="0">
      <alignment horizontal="left" indent="4"/>
      <protection locked="0"/>
    </xf>
    <xf numFmtId="0" fontId="148" fillId="0" borderId="0" applyNumberFormat="0" applyFont="0" applyFill="0" applyBorder="0" applyAlignment="0" applyProtection="0">
      <alignment horizontal="left"/>
    </xf>
    <xf numFmtId="15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0" fontId="149" fillId="0" borderId="30">
      <alignment horizontal="center"/>
    </xf>
    <xf numFmtId="0" fontId="149" fillId="0" borderId="30">
      <alignment horizontal="center"/>
    </xf>
    <xf numFmtId="3" fontId="148" fillId="0" borderId="0" applyFont="0" applyFill="0" applyBorder="0" applyAlignment="0" applyProtection="0"/>
    <xf numFmtId="0" fontId="148" fillId="39" borderId="0" applyNumberFormat="0" applyFont="0" applyBorder="0" applyAlignment="0" applyProtection="0"/>
    <xf numFmtId="185" fontId="150" fillId="40" borderId="11" applyNumberFormat="0" applyFill="0"/>
    <xf numFmtId="0" fontId="151" fillId="40" borderId="0" applyNumberFormat="0" applyFill="0" applyBorder="0" applyAlignment="0" applyProtection="0">
      <alignment horizontal="left" indent="7"/>
    </xf>
    <xf numFmtId="0" fontId="4" fillId="41" borderId="11" applyNumberFormat="0" applyFill="0">
      <alignment horizontal="left" indent="6"/>
    </xf>
    <xf numFmtId="185" fontId="111" fillId="0" borderId="61" applyNumberFormat="0" applyFill="0"/>
    <xf numFmtId="0" fontId="152" fillId="42" borderId="26" applyNumberFormat="0" applyFill="0" applyBorder="0" applyAlignment="0">
      <alignment horizontal="right"/>
    </xf>
    <xf numFmtId="0" fontId="153" fillId="43" borderId="11" applyNumberFormat="0" applyFill="0" applyBorder="0" applyAlignment="0"/>
    <xf numFmtId="0" fontId="111" fillId="0" borderId="11" applyNumberFormat="0" applyFill="0"/>
    <xf numFmtId="185" fontId="111" fillId="0" borderId="11" applyNumberFormat="0" applyFill="0"/>
    <xf numFmtId="0" fontId="4" fillId="44" borderId="0" applyNumberFormat="0" applyFill="0" applyBorder="0" applyAlignment="0"/>
    <xf numFmtId="0" fontId="154" fillId="45" borderId="11" applyNumberFormat="0" applyFill="0" applyBorder="0">
      <alignment horizontal="left" indent="1"/>
    </xf>
    <xf numFmtId="0" fontId="152" fillId="0" borderId="11" applyNumberFormat="0" applyFill="0">
      <alignment horizontal="left" indent="1"/>
    </xf>
    <xf numFmtId="185" fontId="111" fillId="0" borderId="11" applyNumberFormat="0" applyFill="0"/>
    <xf numFmtId="0" fontId="4" fillId="6" borderId="0" applyNumberFormat="0" applyFill="0" applyBorder="0" applyAlignment="0"/>
    <xf numFmtId="0" fontId="153" fillId="6" borderId="11" applyNumberFormat="0" applyFill="0" applyBorder="0">
      <alignment horizontal="left" indent="2"/>
    </xf>
    <xf numFmtId="0" fontId="152" fillId="6" borderId="11" applyNumberFormat="0" applyFill="0">
      <alignment horizontal="left" indent="2"/>
    </xf>
    <xf numFmtId="185" fontId="150" fillId="0" borderId="11" applyNumberFormat="0" applyFill="0"/>
    <xf numFmtId="0" fontId="4" fillId="0" borderId="0" applyNumberFormat="0" applyFill="0" applyBorder="0" applyAlignment="0"/>
    <xf numFmtId="0" fontId="154" fillId="0" borderId="11" applyNumberFormat="0" applyFill="0" applyBorder="0">
      <alignment horizontal="left" indent="3"/>
    </xf>
    <xf numFmtId="0" fontId="4" fillId="0" borderId="11" applyNumberFormat="0" applyFill="0" applyProtection="0">
      <alignment horizontal="left" indent="3"/>
    </xf>
    <xf numFmtId="185" fontId="150" fillId="0" borderId="11" applyNumberFormat="0" applyFill="0"/>
    <xf numFmtId="0" fontId="4" fillId="0" borderId="0" applyNumberFormat="0" applyFill="0" applyBorder="0" applyAlignment="0"/>
    <xf numFmtId="0" fontId="155" fillId="0" borderId="11" applyNumberFormat="0" applyFill="0" applyBorder="0">
      <alignment horizontal="left" indent="4"/>
    </xf>
    <xf numFmtId="186" fontId="4" fillId="0" borderId="11" applyNumberFormat="0" applyFill="0">
      <alignment horizontal="left" indent="4"/>
    </xf>
    <xf numFmtId="185" fontId="150" fillId="0" borderId="11" applyNumberFormat="0" applyFill="0"/>
    <xf numFmtId="0" fontId="4" fillId="0" borderId="0" applyNumberFormat="0" applyBorder="0" applyAlignment="0"/>
    <xf numFmtId="0" fontId="155" fillId="0" borderId="11" applyNumberFormat="0" applyFill="0" applyBorder="0">
      <alignment horizontal="left" indent="5"/>
    </xf>
    <xf numFmtId="0" fontId="4" fillId="0" borderId="11" applyNumberFormat="0" applyFill="0">
      <alignment horizontal="left" indent="5"/>
    </xf>
    <xf numFmtId="185" fontId="150" fillId="0" borderId="11" applyNumberFormat="0" applyFill="0"/>
    <xf numFmtId="0" fontId="4" fillId="0" borderId="0" applyNumberFormat="0" applyFill="0" applyBorder="0" applyAlignment="0"/>
    <xf numFmtId="0" fontId="156" fillId="0" borderId="11" applyNumberFormat="0" applyFill="0" applyBorder="0">
      <alignment horizontal="left" indent="6"/>
    </xf>
    <xf numFmtId="0" fontId="115" fillId="0" borderId="11" applyNumberFormat="0" applyFill="0">
      <alignment horizontal="left" indent="6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24" fillId="0" borderId="0">
      <alignment vertical="top"/>
    </xf>
    <xf numFmtId="0" fontId="124" fillId="0" borderId="0">
      <alignment vertical="top"/>
    </xf>
    <xf numFmtId="0" fontId="124" fillId="0" borderId="0" applyNumberFormat="0" applyBorder="0" applyAlignment="0"/>
    <xf numFmtId="0" fontId="124" fillId="0" borderId="0" applyNumberFormat="0" applyBorder="0" applyAlignment="0"/>
    <xf numFmtId="37" fontId="158" fillId="0" borderId="0"/>
    <xf numFmtId="185" fontId="159" fillId="40" borderId="11" applyNumberFormat="0" applyProtection="0">
      <alignment horizontal="right"/>
    </xf>
    <xf numFmtId="0" fontId="160" fillId="0" borderId="0" applyNumberFormat="0" applyFill="0" applyBorder="0" applyAlignment="0" applyProtection="0"/>
    <xf numFmtId="0" fontId="161" fillId="0" borderId="62" applyNumberFormat="0" applyFill="0" applyAlignment="0" applyProtection="0"/>
    <xf numFmtId="0" fontId="161" fillId="0" borderId="63" applyNumberFormat="0" applyFill="0" applyAlignment="0" applyProtection="0"/>
    <xf numFmtId="0" fontId="162" fillId="0" borderId="0" applyNumberFormat="0" applyFill="0" applyBorder="0" applyAlignment="0" applyProtection="0"/>
    <xf numFmtId="170" fontId="15" fillId="40" borderId="0" applyFont="0" applyFill="0" applyBorder="0" applyAlignment="0" applyProtection="0">
      <alignment wrapText="1"/>
    </xf>
    <xf numFmtId="0" fontId="15" fillId="40" borderId="24" applyNumberFormat="0" applyFill="0" applyBorder="0" applyProtection="0">
      <alignment horizontal="right"/>
    </xf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94">
    <xf numFmtId="37" fontId="0" fillId="0" borderId="0" xfId="0"/>
    <xf numFmtId="164" fontId="7" fillId="0" borderId="0" xfId="5" applyFont="1"/>
    <xf numFmtId="164" fontId="8" fillId="0" borderId="0" xfId="5" applyFont="1"/>
    <xf numFmtId="0" fontId="9" fillId="0" borderId="0" xfId="4" applyFont="1" applyAlignment="1">
      <alignment horizontal="left"/>
    </xf>
    <xf numFmtId="164" fontId="10" fillId="0" borderId="0" xfId="5" applyFont="1"/>
    <xf numFmtId="164" fontId="11" fillId="0" borderId="1" xfId="5" applyFont="1" applyBorder="1"/>
    <xf numFmtId="164" fontId="12" fillId="0" borderId="2" xfId="5" applyFont="1" applyBorder="1"/>
    <xf numFmtId="164" fontId="12" fillId="0" borderId="3" xfId="5" applyFont="1" applyBorder="1"/>
    <xf numFmtId="164" fontId="10" fillId="0" borderId="0" xfId="5" applyFont="1" applyAlignment="1" applyProtection="1">
      <alignment horizontal="center"/>
    </xf>
    <xf numFmtId="164" fontId="10" fillId="0" borderId="0" xfId="5" applyFont="1" applyAlignment="1" applyProtection="1">
      <alignment horizontal="left"/>
    </xf>
    <xf numFmtId="0" fontId="9" fillId="0" borderId="0" xfId="4" applyFont="1" applyAlignment="1">
      <alignment horizontal="center"/>
    </xf>
    <xf numFmtId="164" fontId="11" fillId="0" borderId="4" xfId="5" applyFont="1" applyBorder="1"/>
    <xf numFmtId="164" fontId="12" fillId="0" borderId="0" xfId="5" applyFont="1" applyBorder="1"/>
    <xf numFmtId="164" fontId="12" fillId="0" borderId="5" xfId="5" applyFont="1" applyBorder="1"/>
    <xf numFmtId="164" fontId="12" fillId="0" borderId="4" xfId="5" applyFont="1" applyBorder="1"/>
    <xf numFmtId="164" fontId="12" fillId="0" borderId="0" xfId="5" applyFont="1"/>
    <xf numFmtId="165" fontId="13" fillId="0" borderId="0" xfId="4" applyNumberFormat="1" applyFont="1" applyAlignment="1" applyProtection="1">
      <alignment horizontal="left"/>
    </xf>
    <xf numFmtId="164" fontId="12" fillId="0" borderId="6" xfId="5" applyFont="1" applyBorder="1"/>
    <xf numFmtId="164" fontId="12" fillId="0" borderId="7" xfId="5" applyFont="1" applyBorder="1"/>
    <xf numFmtId="164" fontId="12" fillId="0" borderId="8" xfId="5" applyFont="1" applyBorder="1"/>
    <xf numFmtId="5" fontId="14" fillId="0" borderId="0" xfId="5" applyNumberFormat="1" applyFont="1" applyAlignment="1" applyProtection="1">
      <alignment horizontal="center"/>
    </xf>
    <xf numFmtId="164" fontId="8" fillId="0" borderId="0" xfId="5" applyFont="1" applyFill="1"/>
    <xf numFmtId="164" fontId="12" fillId="0" borderId="0" xfId="5" applyFont="1" applyAlignment="1" applyProtection="1">
      <alignment horizontal="left"/>
    </xf>
    <xf numFmtId="41" fontId="12" fillId="0" borderId="0" xfId="5" applyNumberFormat="1" applyFont="1" applyProtection="1"/>
    <xf numFmtId="37" fontId="10" fillId="0" borderId="0" xfId="5" applyNumberFormat="1" applyFont="1" applyProtection="1"/>
    <xf numFmtId="39" fontId="10" fillId="0" borderId="0" xfId="5" applyNumberFormat="1" applyFont="1" applyProtection="1"/>
    <xf numFmtId="166" fontId="10" fillId="0" borderId="0" xfId="5" applyNumberFormat="1" applyFont="1" applyProtection="1"/>
    <xf numFmtId="164" fontId="10" fillId="0" borderId="0" xfId="5" applyFont="1" applyProtection="1"/>
    <xf numFmtId="5" fontId="12" fillId="0" borderId="0" xfId="5" applyNumberFormat="1" applyFont="1" applyProtection="1"/>
    <xf numFmtId="167" fontId="12" fillId="0" borderId="0" xfId="5" applyNumberFormat="1" applyFont="1" applyAlignment="1" applyProtection="1">
      <alignment horizontal="left"/>
    </xf>
    <xf numFmtId="43" fontId="8" fillId="0" borderId="0" xfId="5" applyNumberFormat="1" applyFont="1" applyFill="1"/>
    <xf numFmtId="10" fontId="16" fillId="0" borderId="0" xfId="3" applyNumberFormat="1" applyFont="1" applyFill="1"/>
    <xf numFmtId="164" fontId="12" fillId="0" borderId="0" xfId="5" applyFont="1" applyAlignment="1" applyProtection="1">
      <alignment horizontal="right"/>
    </xf>
    <xf numFmtId="41" fontId="17" fillId="0" borderId="0" xfId="5" applyNumberFormat="1" applyFont="1" applyProtection="1"/>
    <xf numFmtId="164" fontId="12" fillId="0" borderId="0" xfId="5" applyFont="1" applyFill="1"/>
    <xf numFmtId="3" fontId="12" fillId="0" borderId="0" xfId="5" applyNumberFormat="1" applyFont="1" applyFill="1"/>
    <xf numFmtId="10" fontId="10" fillId="0" borderId="0" xfId="5" applyNumberFormat="1" applyFont="1" applyProtection="1"/>
    <xf numFmtId="10" fontId="12" fillId="0" borderId="0" xfId="5" applyNumberFormat="1" applyFont="1" applyFill="1"/>
    <xf numFmtId="39" fontId="12" fillId="0" borderId="0" xfId="5" applyNumberFormat="1" applyFont="1" applyProtection="1"/>
    <xf numFmtId="168" fontId="10" fillId="0" borderId="0" xfId="5" applyNumberFormat="1" applyFont="1" applyProtection="1"/>
    <xf numFmtId="164" fontId="12" fillId="0" borderId="0" xfId="5" applyFont="1" applyProtection="1"/>
    <xf numFmtId="43" fontId="10" fillId="0" borderId="0" xfId="1" applyFont="1" applyProtection="1"/>
    <xf numFmtId="164" fontId="12" fillId="0" borderId="0" xfId="5" applyFont="1" applyAlignment="1" applyProtection="1">
      <alignment horizontal="fill"/>
    </xf>
    <xf numFmtId="169" fontId="12" fillId="0" borderId="0" xfId="5" applyNumberFormat="1" applyFont="1" applyProtection="1"/>
    <xf numFmtId="170" fontId="10" fillId="0" borderId="0" xfId="1" applyNumberFormat="1" applyFont="1"/>
    <xf numFmtId="164" fontId="12" fillId="0" borderId="0" xfId="5" applyFont="1" applyFill="1" applyAlignment="1" applyProtection="1">
      <alignment horizontal="right"/>
    </xf>
    <xf numFmtId="10" fontId="17" fillId="0" borderId="0" xfId="5" applyNumberFormat="1" applyFont="1" applyFill="1" applyProtection="1"/>
    <xf numFmtId="164" fontId="12" fillId="0" borderId="9" xfId="5" applyFont="1" applyFill="1" applyBorder="1" applyAlignment="1" applyProtection="1">
      <alignment horizontal="left"/>
    </xf>
    <xf numFmtId="168" fontId="17" fillId="0" borderId="0" xfId="5" applyNumberFormat="1" applyFont="1" applyFill="1" applyProtection="1"/>
    <xf numFmtId="164" fontId="12" fillId="0" borderId="0" xfId="5" applyFont="1" applyFill="1" applyAlignment="1" applyProtection="1">
      <alignment horizontal="left"/>
    </xf>
    <xf numFmtId="164" fontId="10" fillId="0" borderId="0" xfId="5" applyFont="1" applyFill="1"/>
    <xf numFmtId="164" fontId="18" fillId="0" borderId="0" xfId="5" applyFont="1" applyFill="1"/>
    <xf numFmtId="10" fontId="19" fillId="0" borderId="0" xfId="5" applyNumberFormat="1" applyFont="1" applyFill="1" applyProtection="1"/>
    <xf numFmtId="168" fontId="19" fillId="0" borderId="0" xfId="5" applyNumberFormat="1" applyFont="1" applyFill="1" applyProtection="1"/>
    <xf numFmtId="10" fontId="12" fillId="0" borderId="0" xfId="5" applyNumberFormat="1" applyFont="1" applyFill="1" applyProtection="1"/>
    <xf numFmtId="10" fontId="12" fillId="0" borderId="0" xfId="5" applyNumberFormat="1" applyFont="1" applyProtection="1"/>
    <xf numFmtId="166" fontId="12" fillId="0" borderId="0" xfId="5" applyNumberFormat="1" applyFont="1" applyProtection="1"/>
    <xf numFmtId="164" fontId="20" fillId="0" borderId="0" xfId="5" applyFont="1"/>
    <xf numFmtId="164" fontId="10" fillId="0" borderId="0" xfId="5" applyFont="1" applyFill="1" applyBorder="1"/>
    <xf numFmtId="164" fontId="10" fillId="0" borderId="0" xfId="5" applyFont="1" applyBorder="1"/>
    <xf numFmtId="164" fontId="22" fillId="0" borderId="0" xfId="5" applyFont="1"/>
    <xf numFmtId="170" fontId="21" fillId="0" borderId="0" xfId="1" applyNumberFormat="1" applyFont="1" applyBorder="1"/>
    <xf numFmtId="37" fontId="25" fillId="0" borderId="0" xfId="0" applyFont="1"/>
    <xf numFmtId="37" fontId="5" fillId="0" borderId="0" xfId="0" applyFont="1" applyFill="1"/>
    <xf numFmtId="37" fontId="7" fillId="0" borderId="0" xfId="0" applyFont="1" applyFill="1"/>
    <xf numFmtId="37" fontId="7" fillId="0" borderId="0" xfId="0" applyFont="1" applyFill="1" applyBorder="1"/>
    <xf numFmtId="37" fontId="26" fillId="0" borderId="0" xfId="0" applyFont="1" applyFill="1" applyBorder="1"/>
    <xf numFmtId="37" fontId="27" fillId="0" borderId="0" xfId="0" applyFont="1" applyFill="1" applyBorder="1"/>
    <xf numFmtId="37" fontId="26" fillId="0" borderId="0" xfId="0" applyFont="1" applyFill="1"/>
    <xf numFmtId="37" fontId="5" fillId="0" borderId="0" xfId="0" applyFont="1" applyFill="1" applyBorder="1" applyAlignment="1">
      <alignment horizontal="center"/>
    </xf>
    <xf numFmtId="37" fontId="28" fillId="0" borderId="0" xfId="0" applyFont="1" applyFill="1" applyBorder="1" applyAlignment="1">
      <alignment horizontal="center"/>
    </xf>
    <xf numFmtId="37" fontId="29" fillId="0" borderId="0" xfId="0" applyFont="1" applyFill="1" applyBorder="1" applyAlignment="1">
      <alignment horizontal="center"/>
    </xf>
    <xf numFmtId="37" fontId="28" fillId="0" borderId="0" xfId="0" applyFont="1" applyFill="1" applyAlignment="1">
      <alignment horizontal="center"/>
    </xf>
    <xf numFmtId="37" fontId="32" fillId="0" borderId="0" xfId="0" applyFont="1"/>
    <xf numFmtId="37" fontId="0" fillId="0" borderId="0" xfId="0" applyFill="1"/>
    <xf numFmtId="37" fontId="33" fillId="0" borderId="0" xfId="0" applyFont="1" applyAlignment="1">
      <alignment horizontal="center"/>
    </xf>
    <xf numFmtId="37" fontId="34" fillId="0" borderId="0" xfId="0" applyFont="1" applyAlignment="1">
      <alignment horizontal="center"/>
    </xf>
    <xf numFmtId="37" fontId="30" fillId="0" borderId="0" xfId="0" applyFont="1" applyAlignment="1">
      <alignment horizontal="center"/>
    </xf>
    <xf numFmtId="37" fontId="31" fillId="0" borderId="0" xfId="0" applyFont="1" applyAlignment="1">
      <alignment horizontal="center"/>
    </xf>
    <xf numFmtId="37" fontId="35" fillId="0" borderId="0" xfId="0" applyFont="1" applyAlignment="1">
      <alignment horizontal="center"/>
    </xf>
    <xf numFmtId="37" fontId="30" fillId="0" borderId="0" xfId="0" applyFont="1" applyFill="1" applyAlignment="1">
      <alignment horizontal="center"/>
    </xf>
    <xf numFmtId="37" fontId="25" fillId="0" borderId="7" xfId="0" applyFont="1" applyBorder="1" applyAlignment="1">
      <alignment horizontal="center"/>
    </xf>
    <xf numFmtId="37" fontId="32" fillId="0" borderId="7" xfId="0" applyFont="1" applyBorder="1" applyAlignment="1">
      <alignment horizontal="center"/>
    </xf>
    <xf numFmtId="37" fontId="25" fillId="0" borderId="0" xfId="0" applyFont="1" applyBorder="1" applyAlignment="1">
      <alignment horizontal="center"/>
    </xf>
    <xf numFmtId="37" fontId="36" fillId="0" borderId="0" xfId="0" applyFont="1" applyFill="1"/>
    <xf numFmtId="37" fontId="37" fillId="0" borderId="0" xfId="0" applyFont="1" applyFill="1"/>
    <xf numFmtId="37" fontId="37" fillId="0" borderId="0" xfId="0" applyFont="1" applyFill="1" applyAlignment="1">
      <alignment horizontal="left" indent="1"/>
    </xf>
    <xf numFmtId="170" fontId="0" fillId="0" borderId="0" xfId="1" applyNumberFormat="1" applyFont="1"/>
    <xf numFmtId="170" fontId="25" fillId="0" borderId="0" xfId="1" applyNumberFormat="1" applyFont="1"/>
    <xf numFmtId="170" fontId="32" fillId="0" borderId="0" xfId="1" applyNumberFormat="1" applyFont="1"/>
    <xf numFmtId="170" fontId="0" fillId="0" borderId="0" xfId="1" applyNumberFormat="1" applyFont="1" applyFill="1"/>
    <xf numFmtId="42" fontId="38" fillId="0" borderId="0" xfId="0" applyNumberFormat="1" applyFont="1" applyFill="1" applyProtection="1"/>
    <xf numFmtId="41" fontId="38" fillId="0" borderId="0" xfId="0" applyNumberFormat="1" applyFont="1" applyFill="1" applyProtection="1"/>
    <xf numFmtId="37" fontId="25" fillId="0" borderId="0" xfId="0" applyFont="1" applyFill="1"/>
    <xf numFmtId="170" fontId="15" fillId="0" borderId="0" xfId="1" applyNumberFormat="1" applyFont="1" applyFill="1"/>
    <xf numFmtId="170" fontId="25" fillId="0" borderId="0" xfId="1" applyNumberFormat="1" applyFont="1" applyFill="1"/>
    <xf numFmtId="170" fontId="35" fillId="0" borderId="0" xfId="1" applyNumberFormat="1" applyFont="1" applyFill="1"/>
    <xf numFmtId="41" fontId="38" fillId="0" borderId="7" xfId="0" applyNumberFormat="1" applyFont="1" applyFill="1" applyBorder="1" applyProtection="1"/>
    <xf numFmtId="37" fontId="36" fillId="0" borderId="0" xfId="0" applyFont="1" applyFill="1" applyAlignment="1">
      <alignment horizontal="right" indent="1"/>
    </xf>
    <xf numFmtId="170" fontId="30" fillId="0" borderId="13" xfId="1" applyNumberFormat="1" applyFont="1" applyBorder="1"/>
    <xf numFmtId="170" fontId="31" fillId="0" borderId="13" xfId="1" applyNumberFormat="1" applyFont="1" applyBorder="1"/>
    <xf numFmtId="170" fontId="35" fillId="0" borderId="13" xfId="1" applyNumberFormat="1" applyFont="1" applyBorder="1"/>
    <xf numFmtId="170" fontId="30" fillId="0" borderId="13" xfId="1" applyNumberFormat="1" applyFont="1" applyFill="1" applyBorder="1"/>
    <xf numFmtId="41" fontId="38" fillId="0" borderId="14" xfId="0" applyNumberFormat="1" applyFont="1" applyFill="1" applyBorder="1" applyProtection="1"/>
    <xf numFmtId="37" fontId="14" fillId="0" borderId="0" xfId="0" applyFont="1" applyFill="1"/>
    <xf numFmtId="170" fontId="39" fillId="0" borderId="0" xfId="1" applyNumberFormat="1" applyFont="1"/>
    <xf numFmtId="9" fontId="39" fillId="0" borderId="0" xfId="3" applyFont="1"/>
    <xf numFmtId="41" fontId="38" fillId="0" borderId="0" xfId="0" applyNumberFormat="1" applyFont="1" applyFill="1"/>
    <xf numFmtId="37" fontId="38" fillId="0" borderId="0" xfId="0" applyFont="1"/>
    <xf numFmtId="170" fontId="32" fillId="0" borderId="0" xfId="1" applyNumberFormat="1" applyFont="1" applyFill="1"/>
    <xf numFmtId="170" fontId="15" fillId="0" borderId="0" xfId="1" applyNumberFormat="1" applyFont="1" applyFill="1" applyBorder="1"/>
    <xf numFmtId="170" fontId="40" fillId="0" borderId="0" xfId="1" applyNumberFormat="1" applyFont="1"/>
    <xf numFmtId="170" fontId="35" fillId="0" borderId="0" xfId="1" applyNumberFormat="1" applyFont="1"/>
    <xf numFmtId="41" fontId="38" fillId="0" borderId="0" xfId="0" applyNumberFormat="1" applyFont="1" applyFill="1" applyBorder="1" applyProtection="1"/>
    <xf numFmtId="41" fontId="38" fillId="0" borderId="0" xfId="0" applyNumberFormat="1" applyFont="1" applyFill="1" applyBorder="1"/>
    <xf numFmtId="37" fontId="36" fillId="0" borderId="0" xfId="0" applyFont="1" applyFill="1" applyAlignment="1">
      <alignment horizontal="right"/>
    </xf>
    <xf numFmtId="170" fontId="33" fillId="0" borderId="13" xfId="1" applyNumberFormat="1" applyFont="1" applyBorder="1"/>
    <xf numFmtId="170" fontId="30" fillId="0" borderId="0" xfId="1" applyNumberFormat="1" applyFont="1" applyFill="1" applyBorder="1"/>
    <xf numFmtId="42" fontId="37" fillId="0" borderId="0" xfId="0" applyNumberFormat="1" applyFont="1" applyFill="1" applyBorder="1" applyProtection="1"/>
    <xf numFmtId="170" fontId="41" fillId="0" borderId="0" xfId="1" applyNumberFormat="1" applyFont="1"/>
    <xf numFmtId="9" fontId="0" fillId="0" borderId="0" xfId="3" applyFont="1"/>
    <xf numFmtId="9" fontId="25" fillId="0" borderId="0" xfId="3" applyFont="1"/>
    <xf numFmtId="9" fontId="32" fillId="0" borderId="0" xfId="3" applyFont="1"/>
    <xf numFmtId="9" fontId="0" fillId="0" borderId="0" xfId="3" applyFont="1" applyFill="1"/>
    <xf numFmtId="170" fontId="42" fillId="0" borderId="0" xfId="1" applyNumberFormat="1" applyFont="1" applyFill="1" applyBorder="1"/>
    <xf numFmtId="37" fontId="42" fillId="0" borderId="0" xfId="0" applyFont="1" applyFill="1" applyBorder="1"/>
    <xf numFmtId="0" fontId="44" fillId="0" borderId="0" xfId="6" applyFont="1" applyFill="1"/>
    <xf numFmtId="37" fontId="43" fillId="0" borderId="0" xfId="0" applyFont="1" applyFill="1"/>
    <xf numFmtId="37" fontId="44" fillId="0" borderId="0" xfId="0" applyFont="1" applyFill="1"/>
    <xf numFmtId="37" fontId="44" fillId="0" borderId="0" xfId="0" applyFont="1" applyFill="1" applyBorder="1"/>
    <xf numFmtId="37" fontId="44" fillId="0" borderId="0" xfId="0" applyNumberFormat="1" applyFont="1" applyFill="1" applyProtection="1"/>
    <xf numFmtId="37" fontId="44" fillId="0" borderId="0" xfId="0" applyNumberFormat="1" applyFont="1" applyFill="1" applyBorder="1" applyProtection="1"/>
    <xf numFmtId="0" fontId="43" fillId="0" borderId="0" xfId="6" applyFont="1" applyFill="1" applyAlignment="1">
      <alignment horizontal="right"/>
    </xf>
    <xf numFmtId="0" fontId="43" fillId="0" borderId="0" xfId="6" applyFont="1" applyFill="1"/>
    <xf numFmtId="37" fontId="43" fillId="0" borderId="0" xfId="0" applyFont="1" applyFill="1" applyBorder="1" applyAlignment="1">
      <alignment horizontal="center"/>
    </xf>
    <xf numFmtId="0" fontId="44" fillId="0" borderId="0" xfId="6" applyFont="1" applyFill="1" applyAlignment="1">
      <alignment wrapText="1"/>
    </xf>
    <xf numFmtId="0" fontId="44" fillId="0" borderId="0" xfId="6" applyFont="1" applyBorder="1" applyAlignment="1">
      <alignment wrapText="1"/>
    </xf>
    <xf numFmtId="0" fontId="44" fillId="0" borderId="0" xfId="6" applyFont="1" applyAlignment="1">
      <alignment wrapText="1"/>
    </xf>
    <xf numFmtId="37" fontId="45" fillId="0" borderId="0" xfId="0" applyFont="1" applyFill="1"/>
    <xf numFmtId="37" fontId="46" fillId="0" borderId="0" xfId="0" applyFont="1" applyFill="1" applyAlignment="1">
      <alignment horizontal="center"/>
    </xf>
    <xf numFmtId="37" fontId="46" fillId="0" borderId="0" xfId="0" applyFont="1" applyFill="1" applyBorder="1" applyAlignment="1">
      <alignment horizontal="center"/>
    </xf>
    <xf numFmtId="37" fontId="46" fillId="0" borderId="0" xfId="0" applyFont="1" applyFill="1"/>
    <xf numFmtId="37" fontId="46" fillId="0" borderId="0" xfId="0" applyFont="1" applyFill="1" applyBorder="1"/>
    <xf numFmtId="49" fontId="46" fillId="0" borderId="0" xfId="6" applyNumberFormat="1" applyFont="1" applyFill="1" applyAlignment="1">
      <alignment horizontal="center" wrapText="1"/>
    </xf>
    <xf numFmtId="49" fontId="46" fillId="0" borderId="0" xfId="6" applyNumberFormat="1" applyFont="1" applyBorder="1" applyAlignment="1">
      <alignment horizontal="center" wrapText="1"/>
    </xf>
    <xf numFmtId="49" fontId="46" fillId="0" borderId="0" xfId="6" applyNumberFormat="1" applyFont="1" applyAlignment="1">
      <alignment horizontal="center" wrapText="1"/>
    </xf>
    <xf numFmtId="37" fontId="46" fillId="0" borderId="0" xfId="0" applyNumberFormat="1" applyFont="1" applyFill="1" applyProtection="1"/>
    <xf numFmtId="37" fontId="46" fillId="0" borderId="0" xfId="0" applyNumberFormat="1" applyFont="1" applyFill="1" applyBorder="1" applyProtection="1"/>
    <xf numFmtId="49" fontId="46" fillId="0" borderId="0" xfId="0" applyNumberFormat="1" applyFont="1" applyFill="1" applyAlignment="1">
      <alignment horizontal="center"/>
    </xf>
    <xf numFmtId="49" fontId="46" fillId="0" borderId="0" xfId="0" applyNumberFormat="1" applyFont="1" applyFill="1" applyBorder="1" applyAlignment="1">
      <alignment horizontal="center"/>
    </xf>
    <xf numFmtId="49" fontId="46" fillId="0" borderId="0" xfId="6" applyNumberFormat="1" applyFont="1" applyFill="1" applyAlignment="1"/>
    <xf numFmtId="49" fontId="46" fillId="0" borderId="0" xfId="6" applyNumberFormat="1" applyFont="1" applyFill="1" applyBorder="1" applyAlignment="1"/>
    <xf numFmtId="37" fontId="46" fillId="0" borderId="0" xfId="0" applyNumberFormat="1" applyFont="1" applyFill="1" applyAlignment="1" applyProtection="1">
      <alignment horizontal="center"/>
    </xf>
    <xf numFmtId="37" fontId="46" fillId="0" borderId="0" xfId="0" applyNumberFormat="1" applyFont="1" applyFill="1" applyBorder="1" applyAlignment="1" applyProtection="1">
      <alignment horizontal="center"/>
    </xf>
    <xf numFmtId="37" fontId="46" fillId="0" borderId="14" xfId="0" applyFont="1" applyFill="1" applyBorder="1" applyAlignment="1">
      <alignment horizontal="center"/>
    </xf>
    <xf numFmtId="37" fontId="46" fillId="0" borderId="14" xfId="0" applyNumberFormat="1" applyFont="1" applyFill="1" applyBorder="1" applyAlignment="1" applyProtection="1">
      <alignment horizontal="center"/>
    </xf>
    <xf numFmtId="49" fontId="46" fillId="0" borderId="14" xfId="0" applyNumberFormat="1" applyFont="1" applyFill="1" applyBorder="1" applyAlignment="1">
      <alignment horizontal="center"/>
    </xf>
    <xf numFmtId="49" fontId="46" fillId="0" borderId="0" xfId="0" applyNumberFormat="1" applyFont="1" applyFill="1" applyBorder="1" applyAlignment="1"/>
    <xf numFmtId="37" fontId="47" fillId="0" borderId="0" xfId="0" applyFont="1" applyFill="1"/>
    <xf numFmtId="37" fontId="45" fillId="0" borderId="0" xfId="0" applyFont="1" applyFill="1" applyBorder="1"/>
    <xf numFmtId="37" fontId="45" fillId="0" borderId="0" xfId="0" applyNumberFormat="1" applyFont="1" applyFill="1" applyProtection="1"/>
    <xf numFmtId="37" fontId="45" fillId="0" borderId="0" xfId="0" applyNumberFormat="1" applyFont="1" applyFill="1" applyBorder="1" applyProtection="1"/>
    <xf numFmtId="37" fontId="45" fillId="0" borderId="0" xfId="0" applyFont="1" applyFill="1" applyAlignment="1">
      <alignment horizontal="left" indent="1"/>
    </xf>
    <xf numFmtId="42" fontId="45" fillId="0" borderId="0" xfId="0" applyNumberFormat="1" applyFont="1" applyFill="1" applyProtection="1"/>
    <xf numFmtId="41" fontId="45" fillId="0" borderId="0" xfId="0" applyNumberFormat="1" applyFont="1" applyFill="1" applyBorder="1" applyProtection="1"/>
    <xf numFmtId="41" fontId="45" fillId="0" borderId="0" xfId="0" applyNumberFormat="1" applyFont="1" applyFill="1" applyProtection="1"/>
    <xf numFmtId="42" fontId="45" fillId="0" borderId="0" xfId="0" applyNumberFormat="1" applyFont="1" applyFill="1" applyBorder="1" applyProtection="1"/>
    <xf numFmtId="170" fontId="45" fillId="0" borderId="0" xfId="1" applyNumberFormat="1" applyFont="1" applyFill="1" applyProtection="1"/>
    <xf numFmtId="41" fontId="45" fillId="0" borderId="0" xfId="0" applyNumberFormat="1" applyFont="1" applyFill="1"/>
    <xf numFmtId="41" fontId="45" fillId="0" borderId="0" xfId="0" applyNumberFormat="1" applyFont="1" applyFill="1" applyBorder="1"/>
    <xf numFmtId="41" fontId="45" fillId="0" borderId="14" xfId="0" applyNumberFormat="1" applyFont="1" applyFill="1" applyBorder="1" applyProtection="1"/>
    <xf numFmtId="41" fontId="45" fillId="0" borderId="7" xfId="0" applyNumberFormat="1" applyFont="1" applyFill="1" applyBorder="1" applyProtection="1"/>
    <xf numFmtId="41" fontId="45" fillId="0" borderId="15" xfId="0" applyNumberFormat="1" applyFont="1" applyFill="1" applyBorder="1" applyProtection="1"/>
    <xf numFmtId="41" fontId="45" fillId="0" borderId="13" xfId="0" applyNumberFormat="1" applyFont="1" applyFill="1" applyBorder="1" applyProtection="1"/>
    <xf numFmtId="37" fontId="47" fillId="0" borderId="0" xfId="0" applyNumberFormat="1" applyFont="1" applyFill="1" applyProtection="1"/>
    <xf numFmtId="41" fontId="48" fillId="0" borderId="0" xfId="0" applyNumberFormat="1" applyFont="1" applyFill="1" applyBorder="1" applyProtection="1"/>
    <xf numFmtId="41" fontId="45" fillId="0" borderId="16" xfId="0" applyNumberFormat="1" applyFont="1" applyFill="1" applyBorder="1" applyProtection="1"/>
    <xf numFmtId="42" fontId="45" fillId="0" borderId="17" xfId="0" applyNumberFormat="1" applyFont="1" applyFill="1" applyBorder="1" applyProtection="1"/>
    <xf numFmtId="0" fontId="46" fillId="0" borderId="0" xfId="6" applyFont="1" applyFill="1"/>
    <xf numFmtId="0" fontId="46" fillId="0" borderId="0" xfId="6" applyFont="1" applyFill="1" applyBorder="1"/>
    <xf numFmtId="0" fontId="46" fillId="0" borderId="0" xfId="6" applyFont="1" applyFill="1" applyAlignment="1">
      <alignment horizontal="center"/>
    </xf>
    <xf numFmtId="37" fontId="46" fillId="0" borderId="7" xfId="0" applyFont="1" applyFill="1" applyBorder="1" applyAlignment="1">
      <alignment horizontal="center"/>
    </xf>
    <xf numFmtId="41" fontId="48" fillId="0" borderId="0" xfId="0" applyNumberFormat="1" applyFont="1" applyFill="1" applyProtection="1"/>
    <xf numFmtId="0" fontId="51" fillId="0" borderId="0" xfId="7" applyFont="1" applyAlignment="1">
      <alignment horizontal="center"/>
    </xf>
    <xf numFmtId="49" fontId="52" fillId="0" borderId="0" xfId="7" applyNumberFormat="1" applyFont="1" applyAlignment="1">
      <alignment horizontal="left"/>
    </xf>
    <xf numFmtId="171" fontId="53" fillId="0" borderId="0" xfId="7" applyNumberFormat="1" applyFont="1" applyAlignment="1">
      <alignment horizontal="center"/>
    </xf>
    <xf numFmtId="0" fontId="53" fillId="0" borderId="0" xfId="7" applyFont="1" applyAlignment="1">
      <alignment horizontal="center"/>
    </xf>
    <xf numFmtId="0" fontId="53" fillId="2" borderId="0" xfId="7" applyFont="1" applyFill="1" applyAlignment="1">
      <alignment horizontal="center"/>
    </xf>
    <xf numFmtId="0" fontId="52" fillId="0" borderId="0" xfId="7" applyFont="1"/>
    <xf numFmtId="17" fontId="54" fillId="0" borderId="0" xfId="7" applyNumberFormat="1" applyFont="1" applyAlignment="1">
      <alignment horizontal="center"/>
    </xf>
    <xf numFmtId="0" fontId="54" fillId="0" borderId="0" xfId="7" applyFont="1"/>
    <xf numFmtId="49" fontId="51" fillId="0" borderId="0" xfId="7" applyNumberFormat="1" applyFont="1" applyAlignment="1">
      <alignment horizontal="left"/>
    </xf>
    <xf numFmtId="0" fontId="54" fillId="0" borderId="0" xfId="7" applyFont="1" applyAlignment="1">
      <alignment horizontal="center"/>
    </xf>
    <xf numFmtId="0" fontId="52" fillId="0" borderId="0" xfId="7" applyFont="1" applyFill="1"/>
    <xf numFmtId="0" fontId="51" fillId="0" borderId="13" xfId="7" applyFont="1" applyBorder="1" applyAlignment="1">
      <alignment horizontal="center"/>
    </xf>
    <xf numFmtId="49" fontId="53" fillId="0" borderId="13" xfId="7" applyNumberFormat="1" applyFont="1" applyBorder="1" applyAlignment="1">
      <alignment horizontal="left"/>
    </xf>
    <xf numFmtId="0" fontId="53" fillId="0" borderId="13" xfId="7" applyFont="1" applyBorder="1"/>
    <xf numFmtId="0" fontId="53" fillId="2" borderId="13" xfId="7" applyFont="1" applyFill="1" applyBorder="1"/>
    <xf numFmtId="0" fontId="53" fillId="0" borderId="13" xfId="7" applyFont="1" applyFill="1" applyBorder="1"/>
    <xf numFmtId="0" fontId="51" fillId="0" borderId="13" xfId="7" applyFont="1" applyBorder="1"/>
    <xf numFmtId="49" fontId="52" fillId="0" borderId="0" xfId="7" applyNumberFormat="1" applyFont="1" applyFill="1" applyAlignment="1">
      <alignment horizontal="left"/>
    </xf>
    <xf numFmtId="171" fontId="52" fillId="0" borderId="0" xfId="7" applyNumberFormat="1" applyFont="1" applyFill="1" applyAlignment="1">
      <alignment horizontal="left"/>
    </xf>
    <xf numFmtId="39" fontId="52" fillId="0" borderId="0" xfId="7" applyNumberFormat="1" applyFont="1" applyFill="1"/>
    <xf numFmtId="39" fontId="52" fillId="2" borderId="0" xfId="7" applyNumberFormat="1" applyFont="1" applyFill="1"/>
    <xf numFmtId="0" fontId="54" fillId="0" borderId="0" xfId="7" applyFont="1" applyFill="1"/>
    <xf numFmtId="0" fontId="54" fillId="3" borderId="0" xfId="7" applyFont="1" applyFill="1"/>
    <xf numFmtId="0" fontId="51" fillId="4" borderId="0" xfId="7" applyFont="1" applyFill="1" applyAlignment="1">
      <alignment horizontal="center"/>
    </xf>
    <xf numFmtId="49" fontId="52" fillId="4" borderId="0" xfId="7" applyNumberFormat="1" applyFont="1" applyFill="1" applyAlignment="1">
      <alignment horizontal="left"/>
    </xf>
    <xf numFmtId="171" fontId="52" fillId="4" borderId="0" xfId="7" applyNumberFormat="1" applyFont="1" applyFill="1" applyAlignment="1">
      <alignment horizontal="left"/>
    </xf>
    <xf numFmtId="39" fontId="52" fillId="4" borderId="0" xfId="7" applyNumberFormat="1" applyFont="1" applyFill="1"/>
    <xf numFmtId="0" fontId="52" fillId="4" borderId="0" xfId="7" applyFont="1" applyFill="1"/>
    <xf numFmtId="0" fontId="54" fillId="4" borderId="0" xfId="7" applyFont="1" applyFill="1"/>
    <xf numFmtId="49" fontId="52" fillId="0" borderId="7" xfId="7" applyNumberFormat="1" applyFont="1" applyFill="1" applyBorder="1" applyAlignment="1">
      <alignment horizontal="left"/>
    </xf>
    <xf numFmtId="171" fontId="52" fillId="0" borderId="7" xfId="7" applyNumberFormat="1" applyFont="1" applyFill="1" applyBorder="1" applyAlignment="1">
      <alignment horizontal="left"/>
    </xf>
    <xf numFmtId="39" fontId="52" fillId="0" borderId="7" xfId="7" applyNumberFormat="1" applyFont="1" applyFill="1" applyBorder="1"/>
    <xf numFmtId="39" fontId="52" fillId="2" borderId="7" xfId="7" applyNumberFormat="1" applyFont="1" applyFill="1" applyBorder="1"/>
    <xf numFmtId="49" fontId="51" fillId="0" borderId="0" xfId="7" applyNumberFormat="1" applyFont="1" applyFill="1" applyAlignment="1">
      <alignment horizontal="center"/>
    </xf>
    <xf numFmtId="49" fontId="53" fillId="0" borderId="0" xfId="7" applyNumberFormat="1" applyFont="1" applyFill="1" applyAlignment="1">
      <alignment horizontal="center"/>
    </xf>
    <xf numFmtId="172" fontId="51" fillId="0" borderId="0" xfId="7" applyNumberFormat="1" applyFont="1" applyFill="1" applyAlignment="1">
      <alignment horizontal="center"/>
    </xf>
    <xf numFmtId="0" fontId="52" fillId="2" borderId="0" xfId="7" applyFont="1" applyFill="1"/>
    <xf numFmtId="39" fontId="54" fillId="0" borderId="0" xfId="7" applyNumberFormat="1" applyFont="1" applyFill="1"/>
    <xf numFmtId="171" fontId="52" fillId="0" borderId="0" xfId="7" applyNumberFormat="1" applyFont="1" applyAlignment="1">
      <alignment horizontal="left"/>
    </xf>
    <xf numFmtId="49" fontId="54" fillId="0" borderId="0" xfId="7" applyNumberFormat="1" applyFont="1" applyAlignment="1">
      <alignment horizontal="left"/>
    </xf>
    <xf numFmtId="171" fontId="54" fillId="0" borderId="0" xfId="7" applyNumberFormat="1" applyFont="1" applyAlignment="1">
      <alignment horizontal="left"/>
    </xf>
    <xf numFmtId="0" fontId="54" fillId="2" borderId="0" xfId="7" applyFont="1" applyFill="1"/>
    <xf numFmtId="39" fontId="54" fillId="0" borderId="0" xfId="7" applyNumberFormat="1" applyFont="1"/>
    <xf numFmtId="49" fontId="51" fillId="2" borderId="0" xfId="7" applyNumberFormat="1" applyFont="1" applyFill="1" applyAlignment="1">
      <alignment horizontal="left"/>
    </xf>
    <xf numFmtId="171" fontId="51" fillId="2" borderId="0" xfId="7" applyNumberFormat="1" applyFont="1" applyFill="1" applyAlignment="1">
      <alignment horizontal="left"/>
    </xf>
    <xf numFmtId="0" fontId="51" fillId="2" borderId="0" xfId="7" applyFont="1" applyFill="1"/>
    <xf numFmtId="39" fontId="51" fillId="2" borderId="0" xfId="7" applyNumberFormat="1" applyFont="1" applyFill="1"/>
    <xf numFmtId="44" fontId="51" fillId="2" borderId="13" xfId="8" applyFont="1" applyFill="1" applyBorder="1"/>
    <xf numFmtId="49" fontId="51" fillId="0" borderId="0" xfId="7" applyNumberFormat="1" applyFont="1"/>
    <xf numFmtId="0" fontId="51" fillId="0" borderId="0" xfId="7" applyFont="1"/>
    <xf numFmtId="49" fontId="51" fillId="0" borderId="0" xfId="7" quotePrefix="1" applyNumberFormat="1" applyFont="1" applyAlignment="1">
      <alignment horizontal="left"/>
    </xf>
    <xf numFmtId="171" fontId="51" fillId="0" borderId="0" xfId="7" applyNumberFormat="1" applyFont="1" applyAlignment="1">
      <alignment horizontal="left"/>
    </xf>
    <xf numFmtId="0" fontId="51" fillId="0" borderId="0" xfId="7" applyFont="1" applyFill="1"/>
    <xf numFmtId="43" fontId="54" fillId="0" borderId="0" xfId="1" applyFont="1"/>
    <xf numFmtId="43" fontId="54" fillId="0" borderId="0" xfId="1" applyFont="1" applyBorder="1"/>
    <xf numFmtId="43" fontId="51" fillId="0" borderId="18" xfId="7" applyNumberFormat="1" applyFont="1" applyBorder="1"/>
    <xf numFmtId="43" fontId="51" fillId="0" borderId="0" xfId="1" applyFont="1" applyBorder="1"/>
    <xf numFmtId="6" fontId="54" fillId="0" borderId="0" xfId="7" applyNumberFormat="1" applyFont="1"/>
    <xf numFmtId="173" fontId="54" fillId="0" borderId="0" xfId="9" applyNumberFormat="1" applyFont="1"/>
    <xf numFmtId="0" fontId="8" fillId="0" borderId="0" xfId="4" applyFont="1"/>
    <xf numFmtId="37" fontId="9" fillId="0" borderId="0" xfId="4" applyNumberFormat="1" applyFont="1" applyAlignment="1">
      <alignment horizontal="left"/>
    </xf>
    <xf numFmtId="0" fontId="37" fillId="0" borderId="0" xfId="4" applyFont="1"/>
    <xf numFmtId="0" fontId="36" fillId="0" borderId="0" xfId="4" applyFont="1" applyAlignment="1">
      <alignment horizontal="center"/>
    </xf>
    <xf numFmtId="14" fontId="55" fillId="0" borderId="0" xfId="4" applyNumberFormat="1" applyFont="1" applyAlignment="1">
      <alignment horizontal="center"/>
    </xf>
    <xf numFmtId="0" fontId="55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42" fontId="8" fillId="0" borderId="0" xfId="4" applyNumberFormat="1" applyFont="1" applyFill="1" applyProtection="1"/>
    <xf numFmtId="42" fontId="8" fillId="0" borderId="0" xfId="4" applyNumberFormat="1" applyFont="1" applyProtection="1"/>
    <xf numFmtId="37" fontId="8" fillId="0" borderId="0" xfId="4" applyNumberFormat="1" applyFont="1" applyProtection="1"/>
    <xf numFmtId="37" fontId="8" fillId="0" borderId="0" xfId="4" applyNumberFormat="1" applyFont="1" applyFill="1" applyProtection="1"/>
    <xf numFmtId="44" fontId="8" fillId="0" borderId="0" xfId="4" applyNumberFormat="1" applyFont="1" applyFill="1"/>
    <xf numFmtId="0" fontId="8" fillId="0" borderId="0" xfId="4" applyFont="1" applyFill="1"/>
    <xf numFmtId="0" fontId="8" fillId="0" borderId="0" xfId="4" applyFont="1" applyFill="1" applyAlignment="1">
      <alignment horizontal="center"/>
    </xf>
    <xf numFmtId="0" fontId="9" fillId="0" borderId="0" xfId="4" applyFont="1"/>
    <xf numFmtId="0" fontId="9" fillId="0" borderId="0" xfId="4" applyFont="1" applyFill="1"/>
    <xf numFmtId="0" fontId="9" fillId="0" borderId="0" xfId="4" applyFont="1" applyFill="1" applyAlignment="1">
      <alignment horizontal="center"/>
    </xf>
    <xf numFmtId="10" fontId="8" fillId="0" borderId="0" xfId="4" applyNumberFormat="1" applyFont="1" applyFill="1"/>
    <xf numFmtId="0" fontId="57" fillId="0" borderId="10" xfId="4" applyFont="1" applyFill="1" applyBorder="1" applyAlignment="1">
      <alignment horizontal="center"/>
    </xf>
    <xf numFmtId="10" fontId="58" fillId="0" borderId="11" xfId="10" applyNumberFormat="1" applyFont="1" applyFill="1" applyBorder="1"/>
    <xf numFmtId="10" fontId="8" fillId="0" borderId="2" xfId="4" applyNumberFormat="1" applyFont="1" applyFill="1" applyBorder="1"/>
    <xf numFmtId="10" fontId="58" fillId="0" borderId="19" xfId="10" applyNumberFormat="1" applyFont="1" applyFill="1" applyBorder="1"/>
    <xf numFmtId="0" fontId="8" fillId="0" borderId="0" xfId="6" applyFill="1" applyAlignment="1"/>
    <xf numFmtId="0" fontId="9" fillId="0" borderId="0" xfId="4" applyFont="1" applyFill="1" applyBorder="1"/>
    <xf numFmtId="10" fontId="9" fillId="0" borderId="0" xfId="4" applyNumberFormat="1" applyFont="1" applyFill="1" applyBorder="1" applyProtection="1"/>
    <xf numFmtId="0" fontId="59" fillId="0" borderId="0" xfId="6" applyFont="1" applyFill="1" applyAlignment="1">
      <alignment wrapText="1"/>
    </xf>
    <xf numFmtId="10" fontId="8" fillId="0" borderId="0" xfId="4" applyNumberFormat="1" applyFont="1" applyFill="1" applyProtection="1"/>
    <xf numFmtId="39" fontId="8" fillId="0" borderId="0" xfId="4" applyNumberFormat="1" applyFont="1" applyFill="1" applyProtection="1"/>
    <xf numFmtId="0" fontId="8" fillId="0" borderId="0" xfId="4" applyFont="1" applyBorder="1"/>
    <xf numFmtId="0" fontId="8" fillId="0" borderId="0" xfId="6" applyFont="1" applyFill="1" applyAlignment="1"/>
    <xf numFmtId="10" fontId="16" fillId="0" borderId="0" xfId="3" applyNumberFormat="1" applyFont="1" applyFill="1" applyAlignment="1"/>
    <xf numFmtId="10" fontId="8" fillId="0" borderId="0" xfId="3" applyNumberFormat="1" applyFont="1" applyFill="1" applyAlignment="1"/>
    <xf numFmtId="0" fontId="60" fillId="0" borderId="0" xfId="4" applyFont="1"/>
    <xf numFmtId="174" fontId="16" fillId="0" borderId="0" xfId="3" applyNumberFormat="1" applyFont="1" applyFill="1" applyAlignment="1"/>
    <xf numFmtId="0" fontId="59" fillId="0" borderId="0" xfId="6" applyFont="1" applyFill="1" applyAlignment="1"/>
    <xf numFmtId="0" fontId="44" fillId="0" borderId="0" xfId="11" applyFont="1"/>
    <xf numFmtId="0" fontId="43" fillId="0" borderId="0" xfId="11" applyFont="1"/>
    <xf numFmtId="0" fontId="44" fillId="0" borderId="0" xfId="11" applyFont="1" applyBorder="1"/>
    <xf numFmtId="0" fontId="43" fillId="0" borderId="0" xfId="11" applyFont="1" applyAlignment="1">
      <alignment horizontal="center"/>
    </xf>
    <xf numFmtId="37" fontId="43" fillId="0" borderId="0" xfId="11" applyNumberFormat="1" applyFont="1" applyAlignment="1">
      <alignment horizontal="center"/>
    </xf>
    <xf numFmtId="0" fontId="43" fillId="0" borderId="0" xfId="11" applyFont="1" applyBorder="1" applyAlignment="1">
      <alignment horizontal="center"/>
    </xf>
    <xf numFmtId="0" fontId="62" fillId="0" borderId="0" xfId="11" applyFont="1" applyBorder="1"/>
    <xf numFmtId="0" fontId="47" fillId="0" borderId="0" xfId="11" applyFont="1" applyBorder="1" applyAlignment="1">
      <alignment horizontal="center"/>
    </xf>
    <xf numFmtId="0" fontId="47" fillId="0" borderId="0" xfId="11" applyFont="1" applyAlignment="1">
      <alignment horizontal="center"/>
    </xf>
    <xf numFmtId="0" fontId="45" fillId="0" borderId="0" xfId="11" applyFont="1"/>
    <xf numFmtId="0" fontId="47" fillId="0" borderId="0" xfId="11" applyFont="1" applyBorder="1"/>
    <xf numFmtId="0" fontId="47" fillId="0" borderId="24" xfId="11" applyFont="1" applyBorder="1" applyAlignment="1">
      <alignment horizontal="center"/>
    </xf>
    <xf numFmtId="0" fontId="44" fillId="0" borderId="24" xfId="11" applyFont="1" applyBorder="1"/>
    <xf numFmtId="170" fontId="44" fillId="0" borderId="0" xfId="1" applyNumberFormat="1" applyFont="1" applyBorder="1"/>
    <xf numFmtId="173" fontId="44" fillId="0" borderId="0" xfId="3" applyNumberFormat="1" applyFont="1" applyBorder="1"/>
    <xf numFmtId="170" fontId="44" fillId="0" borderId="25" xfId="1" applyNumberFormat="1" applyFont="1" applyBorder="1"/>
    <xf numFmtId="0" fontId="45" fillId="0" borderId="26" xfId="11" applyFont="1" applyBorder="1"/>
    <xf numFmtId="0" fontId="45" fillId="0" borderId="27" xfId="11" applyFont="1" applyBorder="1"/>
    <xf numFmtId="0" fontId="45" fillId="0" borderId="28" xfId="11" applyFont="1" applyBorder="1"/>
    <xf numFmtId="170" fontId="63" fillId="0" borderId="25" xfId="1" applyNumberFormat="1" applyFont="1" applyBorder="1"/>
    <xf numFmtId="0" fontId="43" fillId="0" borderId="29" xfId="11" applyFont="1" applyBorder="1"/>
    <xf numFmtId="173" fontId="44" fillId="0" borderId="30" xfId="3" applyNumberFormat="1" applyFont="1" applyBorder="1"/>
    <xf numFmtId="175" fontId="44" fillId="0" borderId="30" xfId="11" applyNumberFormat="1" applyFont="1" applyBorder="1"/>
    <xf numFmtId="173" fontId="44" fillId="0" borderId="31" xfId="11" applyNumberFormat="1" applyFont="1" applyBorder="1"/>
    <xf numFmtId="0" fontId="45" fillId="0" borderId="0" xfId="11" applyFont="1" applyBorder="1"/>
    <xf numFmtId="43" fontId="44" fillId="0" borderId="0" xfId="1" applyFont="1"/>
    <xf numFmtId="0" fontId="45" fillId="0" borderId="32" xfId="11" applyFont="1" applyBorder="1"/>
    <xf numFmtId="0" fontId="45" fillId="0" borderId="33" xfId="11" applyFont="1" applyBorder="1"/>
    <xf numFmtId="0" fontId="45" fillId="0" borderId="3" xfId="11" applyFont="1" applyBorder="1"/>
    <xf numFmtId="0" fontId="47" fillId="0" borderId="13" xfId="11" applyFont="1" applyBorder="1"/>
    <xf numFmtId="0" fontId="47" fillId="0" borderId="0" xfId="11" applyFont="1"/>
    <xf numFmtId="0" fontId="61" fillId="5" borderId="7" xfId="11" applyFont="1" applyFill="1" applyBorder="1"/>
    <xf numFmtId="0" fontId="47" fillId="0" borderId="7" xfId="11" applyFont="1" applyBorder="1"/>
    <xf numFmtId="0" fontId="61" fillId="5" borderId="0" xfId="11" applyFont="1" applyFill="1" applyBorder="1"/>
    <xf numFmtId="0" fontId="45" fillId="0" borderId="34" xfId="11" applyFont="1" applyFill="1" applyBorder="1"/>
    <xf numFmtId="0" fontId="45" fillId="0" borderId="35" xfId="11" applyFont="1" applyFill="1" applyBorder="1"/>
    <xf numFmtId="0" fontId="45" fillId="0" borderId="36" xfId="11" applyFont="1" applyFill="1" applyBorder="1"/>
    <xf numFmtId="0" fontId="45" fillId="0" borderId="8" xfId="11" applyFont="1" applyFill="1" applyBorder="1"/>
    <xf numFmtId="0" fontId="45" fillId="0" borderId="0" xfId="11" applyFont="1" applyFill="1"/>
    <xf numFmtId="0" fontId="44" fillId="0" borderId="0" xfId="11" applyFont="1" applyFill="1"/>
    <xf numFmtId="0" fontId="45" fillId="0" borderId="26" xfId="11" applyFont="1" applyFill="1" applyBorder="1"/>
    <xf numFmtId="0" fontId="45" fillId="0" borderId="27" xfId="11" applyFont="1" applyFill="1" applyBorder="1"/>
    <xf numFmtId="0" fontId="45" fillId="0" borderId="28" xfId="11" applyFont="1" applyFill="1" applyBorder="1"/>
    <xf numFmtId="8" fontId="45" fillId="0" borderId="27" xfId="11" applyNumberFormat="1" applyFont="1" applyFill="1" applyBorder="1"/>
    <xf numFmtId="8" fontId="45" fillId="0" borderId="26" xfId="11" applyNumberFormat="1" applyFont="1" applyFill="1" applyBorder="1"/>
    <xf numFmtId="0" fontId="45" fillId="0" borderId="24" xfId="11" applyFont="1" applyFill="1" applyBorder="1"/>
    <xf numFmtId="0" fontId="45" fillId="0" borderId="0" xfId="11" applyFont="1" applyFill="1" applyBorder="1"/>
    <xf numFmtId="0" fontId="64" fillId="0" borderId="0" xfId="11" applyFont="1" applyBorder="1"/>
    <xf numFmtId="0" fontId="45" fillId="6" borderId="0" xfId="11" applyFont="1" applyFill="1" applyBorder="1" applyAlignment="1">
      <alignment horizontal="center"/>
    </xf>
    <xf numFmtId="0" fontId="47" fillId="7" borderId="0" xfId="11" applyFont="1" applyFill="1" applyBorder="1" applyAlignment="1">
      <alignment horizontal="center"/>
    </xf>
    <xf numFmtId="0" fontId="44" fillId="0" borderId="22" xfId="11" applyFont="1" applyBorder="1"/>
    <xf numFmtId="0" fontId="44" fillId="0" borderId="23" xfId="11" applyFont="1" applyBorder="1"/>
    <xf numFmtId="0" fontId="44" fillId="0" borderId="25" xfId="11" applyFont="1" applyBorder="1"/>
    <xf numFmtId="173" fontId="43" fillId="0" borderId="0" xfId="3" applyNumberFormat="1" applyFont="1" applyBorder="1"/>
    <xf numFmtId="175" fontId="44" fillId="0" borderId="0" xfId="11" applyNumberFormat="1" applyFont="1" applyBorder="1"/>
    <xf numFmtId="173" fontId="63" fillId="0" borderId="25" xfId="11" applyNumberFormat="1" applyFont="1" applyBorder="1"/>
    <xf numFmtId="0" fontId="45" fillId="6" borderId="26" xfId="11" applyFont="1" applyFill="1" applyBorder="1"/>
    <xf numFmtId="0" fontId="45" fillId="7" borderId="28" xfId="11" applyFont="1" applyFill="1" applyBorder="1"/>
    <xf numFmtId="0" fontId="45" fillId="8" borderId="28" xfId="11" applyFont="1" applyFill="1" applyBorder="1"/>
    <xf numFmtId="0" fontId="43" fillId="0" borderId="0" xfId="11" applyFont="1" applyBorder="1" applyAlignment="1"/>
    <xf numFmtId="0" fontId="47" fillId="0" borderId="26" xfId="11" applyFont="1" applyBorder="1"/>
    <xf numFmtId="0" fontId="64" fillId="0" borderId="26" xfId="11" applyFont="1" applyBorder="1"/>
    <xf numFmtId="170" fontId="43" fillId="0" borderId="0" xfId="1" applyNumberFormat="1" applyFont="1" applyBorder="1"/>
    <xf numFmtId="9" fontId="43" fillId="0" borderId="0" xfId="3" applyFont="1" applyBorder="1"/>
    <xf numFmtId="0" fontId="45" fillId="0" borderId="13" xfId="11" applyFont="1" applyBorder="1"/>
    <xf numFmtId="170" fontId="44" fillId="0" borderId="30" xfId="1" applyNumberFormat="1" applyFont="1" applyBorder="1"/>
    <xf numFmtId="170" fontId="44" fillId="0" borderId="31" xfId="1" applyNumberFormat="1" applyFont="1" applyBorder="1"/>
    <xf numFmtId="0" fontId="61" fillId="0" borderId="0" xfId="11" applyFont="1" applyBorder="1"/>
    <xf numFmtId="0" fontId="44" fillId="0" borderId="21" xfId="11" applyFont="1" applyBorder="1"/>
    <xf numFmtId="0" fontId="45" fillId="0" borderId="24" xfId="11" applyFont="1" applyBorder="1"/>
    <xf numFmtId="0" fontId="45" fillId="0" borderId="5" xfId="11" applyFont="1" applyBorder="1"/>
    <xf numFmtId="0" fontId="47" fillId="0" borderId="26" xfId="11" applyFont="1" applyFill="1" applyBorder="1"/>
    <xf numFmtId="173" fontId="63" fillId="0" borderId="0" xfId="11" applyNumberFormat="1" applyFont="1" applyBorder="1"/>
    <xf numFmtId="0" fontId="58" fillId="0" borderId="24" xfId="11" applyFont="1" applyBorder="1"/>
    <xf numFmtId="0" fontId="58" fillId="0" borderId="0" xfId="11" applyFont="1" applyBorder="1"/>
    <xf numFmtId="0" fontId="57" fillId="0" borderId="0" xfId="11" applyFont="1" applyBorder="1"/>
    <xf numFmtId="0" fontId="58" fillId="0" borderId="25" xfId="11" applyFont="1" applyBorder="1"/>
    <xf numFmtId="170" fontId="58" fillId="0" borderId="0" xfId="11" applyNumberFormat="1" applyFont="1" applyBorder="1"/>
    <xf numFmtId="170" fontId="58" fillId="0" borderId="25" xfId="11" applyNumberFormat="1" applyFont="1" applyBorder="1"/>
    <xf numFmtId="0" fontId="58" fillId="0" borderId="24" xfId="11" applyFont="1" applyFill="1" applyBorder="1"/>
    <xf numFmtId="0" fontId="58" fillId="0" borderId="0" xfId="11" applyFont="1" applyFill="1" applyBorder="1"/>
    <xf numFmtId="0" fontId="64" fillId="0" borderId="27" xfId="11" applyFont="1" applyFill="1" applyBorder="1"/>
    <xf numFmtId="0" fontId="64" fillId="0" borderId="26" xfId="11" applyFont="1" applyFill="1" applyBorder="1"/>
    <xf numFmtId="170" fontId="63" fillId="0" borderId="0" xfId="1" applyNumberFormat="1" applyFont="1" applyBorder="1"/>
    <xf numFmtId="0" fontId="47" fillId="0" borderId="27" xfId="11" applyFont="1" applyFill="1" applyBorder="1"/>
    <xf numFmtId="1" fontId="58" fillId="0" borderId="0" xfId="11" applyNumberFormat="1" applyFont="1" applyBorder="1"/>
    <xf numFmtId="1" fontId="58" fillId="0" borderId="25" xfId="11" applyNumberFormat="1" applyFont="1" applyBorder="1"/>
    <xf numFmtId="173" fontId="44" fillId="0" borderId="0" xfId="11" applyNumberFormat="1" applyFont="1"/>
    <xf numFmtId="170" fontId="44" fillId="0" borderId="0" xfId="11" applyNumberFormat="1" applyFont="1"/>
    <xf numFmtId="0" fontId="57" fillId="0" borderId="24" xfId="11" applyFont="1" applyBorder="1"/>
    <xf numFmtId="10" fontId="57" fillId="0" borderId="0" xfId="3" applyNumberFormat="1" applyFont="1" applyBorder="1"/>
    <xf numFmtId="0" fontId="57" fillId="0" borderId="29" xfId="11" applyFont="1" applyBorder="1"/>
    <xf numFmtId="0" fontId="58" fillId="0" borderId="30" xfId="11" applyFont="1" applyBorder="1"/>
    <xf numFmtId="0" fontId="58" fillId="0" borderId="31" xfId="11" applyFont="1" applyBorder="1"/>
    <xf numFmtId="0" fontId="47" fillId="0" borderId="37" xfId="11" applyFont="1" applyBorder="1"/>
    <xf numFmtId="0" fontId="45" fillId="0" borderId="38" xfId="11" applyFont="1" applyBorder="1"/>
    <xf numFmtId="0" fontId="45" fillId="0" borderId="37" xfId="11" applyFont="1" applyBorder="1"/>
    <xf numFmtId="173" fontId="61" fillId="2" borderId="39" xfId="3" applyNumberFormat="1" applyFont="1" applyFill="1" applyBorder="1"/>
    <xf numFmtId="173" fontId="43" fillId="0" borderId="39" xfId="3" applyNumberFormat="1" applyFont="1" applyBorder="1"/>
    <xf numFmtId="0" fontId="43" fillId="0" borderId="30" xfId="11" applyFont="1" applyBorder="1"/>
    <xf numFmtId="0" fontId="44" fillId="0" borderId="31" xfId="11" applyFont="1" applyBorder="1"/>
    <xf numFmtId="173" fontId="47" fillId="0" borderId="0" xfId="3" applyNumberFormat="1" applyFont="1"/>
    <xf numFmtId="173" fontId="43" fillId="0" borderId="0" xfId="3" applyNumberFormat="1" applyFont="1"/>
    <xf numFmtId="173" fontId="43" fillId="0" borderId="0" xfId="11" applyNumberFormat="1" applyFont="1"/>
    <xf numFmtId="8" fontId="45" fillId="0" borderId="27" xfId="11" applyNumberFormat="1" applyFont="1" applyBorder="1"/>
    <xf numFmtId="8" fontId="45" fillId="0" borderId="26" xfId="11" applyNumberFormat="1" applyFont="1" applyBorder="1"/>
    <xf numFmtId="0" fontId="47" fillId="0" borderId="10" xfId="11" applyFont="1" applyBorder="1"/>
    <xf numFmtId="0" fontId="43" fillId="0" borderId="0" xfId="11" applyFont="1" applyBorder="1"/>
    <xf numFmtId="0" fontId="47" fillId="0" borderId="11" xfId="11" applyFont="1" applyBorder="1"/>
    <xf numFmtId="0" fontId="57" fillId="5" borderId="0" xfId="11" applyFont="1" applyFill="1"/>
    <xf numFmtId="0" fontId="47" fillId="0" borderId="12" xfId="11" applyFont="1" applyBorder="1"/>
    <xf numFmtId="43" fontId="63" fillId="0" borderId="0" xfId="12" applyNumberFormat="1" applyFont="1" applyFill="1" applyBorder="1"/>
    <xf numFmtId="0" fontId="66" fillId="0" borderId="0" xfId="12" applyFont="1" applyFill="1" applyBorder="1"/>
    <xf numFmtId="0" fontId="63" fillId="0" borderId="0" xfId="12" applyFont="1" applyFill="1" applyBorder="1"/>
    <xf numFmtId="0" fontId="63" fillId="0" borderId="0" xfId="12" applyFont="1" applyFill="1"/>
    <xf numFmtId="0" fontId="44" fillId="0" borderId="24" xfId="11" applyFont="1" applyFill="1" applyBorder="1"/>
    <xf numFmtId="0" fontId="66" fillId="0" borderId="2" xfId="12" applyFont="1" applyFill="1" applyBorder="1"/>
    <xf numFmtId="0" fontId="63" fillId="0" borderId="2" xfId="12" applyFont="1" applyFill="1" applyBorder="1"/>
    <xf numFmtId="43" fontId="46" fillId="0" borderId="0" xfId="12" applyNumberFormat="1" applyFont="1" applyFill="1" applyBorder="1"/>
    <xf numFmtId="1" fontId="67" fillId="0" borderId="0" xfId="1" applyNumberFormat="1" applyFont="1" applyFill="1" applyBorder="1"/>
    <xf numFmtId="43" fontId="63" fillId="0" borderId="21" xfId="12" applyNumberFormat="1" applyFont="1" applyFill="1" applyBorder="1"/>
    <xf numFmtId="1" fontId="67" fillId="0" borderId="22" xfId="12" applyNumberFormat="1" applyFont="1" applyFill="1" applyBorder="1"/>
    <xf numFmtId="1" fontId="46" fillId="0" borderId="23" xfId="12" applyNumberFormat="1" applyFont="1" applyFill="1" applyBorder="1"/>
    <xf numFmtId="43" fontId="46" fillId="0" borderId="29" xfId="12" applyNumberFormat="1" applyFont="1" applyFill="1" applyBorder="1"/>
    <xf numFmtId="173" fontId="67" fillId="0" borderId="30" xfId="3" applyNumberFormat="1" applyFont="1" applyFill="1" applyBorder="1"/>
    <xf numFmtId="173" fontId="46" fillId="0" borderId="31" xfId="3" applyNumberFormat="1" applyFont="1" applyFill="1" applyBorder="1"/>
    <xf numFmtId="170" fontId="46" fillId="0" borderId="0" xfId="12" applyNumberFormat="1" applyFont="1" applyFill="1" applyBorder="1"/>
    <xf numFmtId="1" fontId="45" fillId="0" borderId="24" xfId="11" applyNumberFormat="1" applyFont="1" applyBorder="1"/>
    <xf numFmtId="1" fontId="45" fillId="0" borderId="0" xfId="11" applyNumberFormat="1" applyFont="1"/>
    <xf numFmtId="0" fontId="44" fillId="0" borderId="0" xfId="11" applyFont="1" applyFill="1" applyBorder="1"/>
    <xf numFmtId="0" fontId="69" fillId="0" borderId="0" xfId="13" applyFont="1"/>
    <xf numFmtId="0" fontId="59" fillId="0" borderId="0" xfId="13" applyFont="1"/>
    <xf numFmtId="0" fontId="9" fillId="0" borderId="0" xfId="11" applyFont="1"/>
    <xf numFmtId="0" fontId="8" fillId="0" borderId="0" xfId="11" applyFont="1" applyBorder="1"/>
    <xf numFmtId="0" fontId="8" fillId="0" borderId="0" xfId="11" applyFont="1"/>
    <xf numFmtId="0" fontId="9" fillId="0" borderId="0" xfId="11" applyFont="1" applyAlignment="1">
      <alignment horizontal="center"/>
    </xf>
    <xf numFmtId="0" fontId="9" fillId="0" borderId="0" xfId="11" applyFont="1" applyBorder="1" applyAlignment="1">
      <alignment horizontal="center"/>
    </xf>
    <xf numFmtId="0" fontId="69" fillId="0" borderId="0" xfId="14" applyFont="1"/>
    <xf numFmtId="0" fontId="70" fillId="0" borderId="0" xfId="14" applyFont="1" applyAlignment="1">
      <alignment horizontal="center"/>
    </xf>
    <xf numFmtId="0" fontId="70" fillId="0" borderId="0" xfId="14" applyFont="1" applyBorder="1" applyAlignment="1">
      <alignment horizontal="center"/>
    </xf>
    <xf numFmtId="43" fontId="71" fillId="0" borderId="0" xfId="13" applyNumberFormat="1" applyFont="1"/>
    <xf numFmtId="0" fontId="71" fillId="0" borderId="0" xfId="14" applyFont="1" applyAlignment="1">
      <alignment horizontal="center"/>
    </xf>
    <xf numFmtId="43" fontId="70" fillId="0" borderId="0" xfId="14" applyNumberFormat="1" applyFont="1" applyAlignment="1">
      <alignment horizontal="center"/>
    </xf>
    <xf numFmtId="0" fontId="72" fillId="0" borderId="0" xfId="13" applyFont="1" applyAlignment="1">
      <alignment horizontal="center"/>
    </xf>
    <xf numFmtId="0" fontId="69" fillId="0" borderId="0" xfId="13" applyFont="1" applyAlignment="1">
      <alignment horizontal="center"/>
    </xf>
    <xf numFmtId="0" fontId="73" fillId="0" borderId="0" xfId="14" applyFont="1" applyAlignment="1">
      <alignment horizontal="center"/>
    </xf>
    <xf numFmtId="0" fontId="73" fillId="0" borderId="0" xfId="14" applyFont="1" applyBorder="1" applyAlignment="1">
      <alignment horizontal="center"/>
    </xf>
    <xf numFmtId="43" fontId="73" fillId="0" borderId="0" xfId="14" applyNumberFormat="1" applyFont="1" applyFill="1" applyAlignment="1">
      <alignment horizontal="center"/>
    </xf>
    <xf numFmtId="0" fontId="74" fillId="0" borderId="0" xfId="14" applyFont="1" applyFill="1" applyAlignment="1">
      <alignment horizontal="center"/>
    </xf>
    <xf numFmtId="0" fontId="72" fillId="0" borderId="0" xfId="13" applyFont="1" applyFill="1" applyBorder="1" applyAlignment="1">
      <alignment horizontal="center"/>
    </xf>
    <xf numFmtId="0" fontId="69" fillId="0" borderId="0" xfId="13" applyFont="1" applyFill="1" applyBorder="1" applyAlignment="1">
      <alignment horizontal="center"/>
    </xf>
    <xf numFmtId="17" fontId="69" fillId="0" borderId="0" xfId="14" applyNumberFormat="1" applyFont="1" applyAlignment="1">
      <alignment horizontal="left"/>
    </xf>
    <xf numFmtId="0" fontId="69" fillId="0" borderId="0" xfId="14" applyFont="1" applyBorder="1"/>
    <xf numFmtId="43" fontId="69" fillId="0" borderId="0" xfId="14" applyNumberFormat="1" applyFont="1" applyFill="1"/>
    <xf numFmtId="0" fontId="69" fillId="0" borderId="0" xfId="14" applyFont="1" applyFill="1"/>
    <xf numFmtId="176" fontId="69" fillId="0" borderId="0" xfId="14" applyNumberFormat="1" applyFont="1" applyFill="1"/>
    <xf numFmtId="0" fontId="69" fillId="0" borderId="0" xfId="13" applyFont="1" applyFill="1"/>
    <xf numFmtId="176" fontId="72" fillId="0" borderId="0" xfId="14" applyNumberFormat="1" applyFont="1" applyFill="1"/>
    <xf numFmtId="4" fontId="69" fillId="0" borderId="0" xfId="13" applyNumberFormat="1" applyFont="1" applyFill="1"/>
    <xf numFmtId="0" fontId="69" fillId="0" borderId="0" xfId="14" applyFont="1" applyAlignment="1">
      <alignment horizontal="right"/>
    </xf>
    <xf numFmtId="0" fontId="69" fillId="0" borderId="0" xfId="14" applyFont="1" applyBorder="1" applyAlignment="1">
      <alignment horizontal="right"/>
    </xf>
    <xf numFmtId="0" fontId="69" fillId="0" borderId="0" xfId="14" applyFont="1" applyFill="1" applyBorder="1" applyAlignment="1">
      <alignment horizontal="right"/>
    </xf>
    <xf numFmtId="43" fontId="69" fillId="0" borderId="0" xfId="14" applyNumberFormat="1" applyFont="1" applyFill="1" applyBorder="1"/>
    <xf numFmtId="0" fontId="69" fillId="0" borderId="0" xfId="14" applyFont="1" applyFill="1" applyBorder="1"/>
    <xf numFmtId="176" fontId="69" fillId="0" borderId="0" xfId="14" applyNumberFormat="1" applyFont="1" applyFill="1" applyBorder="1"/>
    <xf numFmtId="0" fontId="69" fillId="0" borderId="0" xfId="13" applyFont="1" applyFill="1" applyBorder="1"/>
    <xf numFmtId="0" fontId="72" fillId="0" borderId="0" xfId="13" applyFont="1" applyBorder="1"/>
    <xf numFmtId="4" fontId="69" fillId="0" borderId="0" xfId="13" applyNumberFormat="1" applyFont="1" applyFill="1" applyBorder="1"/>
    <xf numFmtId="0" fontId="69" fillId="0" borderId="0" xfId="13" applyFont="1" applyBorder="1"/>
    <xf numFmtId="0" fontId="72" fillId="0" borderId="0" xfId="13" applyFont="1"/>
    <xf numFmtId="0" fontId="75" fillId="0" borderId="18" xfId="13" applyFont="1" applyBorder="1"/>
    <xf numFmtId="43" fontId="69" fillId="0" borderId="0" xfId="13" applyNumberFormat="1" applyFont="1" applyFill="1"/>
    <xf numFmtId="0" fontId="72" fillId="0" borderId="0" xfId="13" applyFont="1" applyFill="1"/>
    <xf numFmtId="177" fontId="59" fillId="0" borderId="0" xfId="13" applyNumberFormat="1" applyFont="1" applyFill="1"/>
    <xf numFmtId="0" fontId="9" fillId="0" borderId="0" xfId="13" applyFont="1" applyFill="1"/>
    <xf numFmtId="0" fontId="59" fillId="0" borderId="0" xfId="13" applyFont="1" applyFill="1"/>
    <xf numFmtId="4" fontId="69" fillId="0" borderId="40" xfId="13" applyNumberFormat="1" applyFont="1" applyFill="1" applyBorder="1"/>
    <xf numFmtId="0" fontId="59" fillId="0" borderId="0" xfId="13" applyFont="1" applyBorder="1"/>
    <xf numFmtId="0" fontId="58" fillId="0" borderId="0" xfId="14" applyFont="1"/>
    <xf numFmtId="43" fontId="8" fillId="0" borderId="7" xfId="14" applyNumberFormat="1" applyFont="1" applyFill="1" applyBorder="1"/>
    <xf numFmtId="0" fontId="58" fillId="0" borderId="0" xfId="14" applyFont="1" applyFill="1"/>
    <xf numFmtId="177" fontId="59" fillId="0" borderId="0" xfId="13" applyNumberFormat="1" applyFont="1" applyBorder="1"/>
    <xf numFmtId="43" fontId="59" fillId="0" borderId="0" xfId="13" applyNumberFormat="1" applyFont="1" applyBorder="1"/>
    <xf numFmtId="43" fontId="69" fillId="0" borderId="7" xfId="14" applyNumberFormat="1" applyFont="1" applyFill="1" applyBorder="1"/>
    <xf numFmtId="0" fontId="16" fillId="0" borderId="0" xfId="13" applyFont="1" applyBorder="1"/>
    <xf numFmtId="43" fontId="16" fillId="0" borderId="0" xfId="13" applyNumberFormat="1" applyFont="1" applyBorder="1"/>
    <xf numFmtId="0" fontId="76" fillId="0" borderId="0" xfId="13" applyFont="1"/>
    <xf numFmtId="0" fontId="77" fillId="0" borderId="0" xfId="13" applyFont="1"/>
    <xf numFmtId="0" fontId="77" fillId="0" borderId="0" xfId="13" applyFont="1" applyBorder="1"/>
    <xf numFmtId="0" fontId="58" fillId="0" borderId="0" xfId="13" applyFont="1"/>
    <xf numFmtId="0" fontId="57" fillId="0" borderId="0" xfId="13" applyFont="1"/>
    <xf numFmtId="0" fontId="58" fillId="0" borderId="0" xfId="13" applyFont="1" applyBorder="1"/>
    <xf numFmtId="170" fontId="58" fillId="0" borderId="0" xfId="1" applyNumberFormat="1" applyFont="1"/>
    <xf numFmtId="170" fontId="58" fillId="0" borderId="13" xfId="1" applyNumberFormat="1" applyFont="1" applyBorder="1"/>
    <xf numFmtId="44" fontId="58" fillId="0" borderId="0" xfId="2" applyFont="1"/>
    <xf numFmtId="170" fontId="58" fillId="0" borderId="0" xfId="13" applyNumberFormat="1" applyFont="1"/>
    <xf numFmtId="43" fontId="58" fillId="0" borderId="0" xfId="1" applyNumberFormat="1" applyFont="1"/>
    <xf numFmtId="43" fontId="58" fillId="0" borderId="0" xfId="1" applyNumberFormat="1" applyFont="1" applyBorder="1"/>
    <xf numFmtId="43" fontId="58" fillId="0" borderId="0" xfId="13" applyNumberFormat="1" applyFont="1"/>
    <xf numFmtId="170" fontId="57" fillId="0" borderId="18" xfId="1" applyNumberFormat="1" applyFont="1" applyBorder="1"/>
    <xf numFmtId="170" fontId="58" fillId="0" borderId="0" xfId="1" applyNumberFormat="1" applyFont="1" applyBorder="1"/>
    <xf numFmtId="0" fontId="63" fillId="0" borderId="0" xfId="19" applyFont="1"/>
    <xf numFmtId="0" fontId="44" fillId="0" borderId="0" xfId="19" applyFont="1"/>
    <xf numFmtId="0" fontId="10" fillId="0" borderId="0" xfId="11" applyFont="1" applyBorder="1"/>
    <xf numFmtId="0" fontId="10" fillId="0" borderId="0" xfId="11" applyFont="1"/>
    <xf numFmtId="0" fontId="63" fillId="0" borderId="0" xfId="19" applyFont="1" applyFill="1" applyAlignment="1">
      <alignment horizontal="left" vertical="center" wrapText="1"/>
    </xf>
    <xf numFmtId="0" fontId="63" fillId="0" borderId="0" xfId="19" applyFont="1" applyFill="1"/>
    <xf numFmtId="0" fontId="63" fillId="0" borderId="0" xfId="19" applyFont="1" applyFill="1" applyBorder="1"/>
    <xf numFmtId="0" fontId="13" fillId="0" borderId="0" xfId="11" applyFont="1" applyBorder="1" applyAlignment="1">
      <alignment horizontal="center"/>
    </xf>
    <xf numFmtId="0" fontId="13" fillId="0" borderId="0" xfId="11" applyFont="1" applyAlignment="1">
      <alignment horizontal="center"/>
    </xf>
    <xf numFmtId="0" fontId="63" fillId="0" borderId="0" xfId="19" applyFont="1" applyFill="1" applyBorder="1" applyAlignment="1">
      <alignment horizontal="center"/>
    </xf>
    <xf numFmtId="37" fontId="80" fillId="0" borderId="0" xfId="0" applyFont="1"/>
    <xf numFmtId="37" fontId="4" fillId="0" borderId="0" xfId="0" applyFont="1"/>
    <xf numFmtId="37" fontId="81" fillId="0" borderId="30" xfId="0" applyFont="1" applyBorder="1"/>
    <xf numFmtId="37" fontId="81" fillId="0" borderId="30" xfId="0" applyFont="1" applyBorder="1" applyAlignment="1">
      <alignment wrapText="1"/>
    </xf>
    <xf numFmtId="17" fontId="4" fillId="0" borderId="0" xfId="0" applyNumberFormat="1" applyFont="1"/>
    <xf numFmtId="37" fontId="0" fillId="0" borderId="30" xfId="0" applyBorder="1"/>
    <xf numFmtId="37" fontId="0" fillId="0" borderId="30" xfId="0" applyBorder="1" applyAlignment="1">
      <alignment wrapText="1"/>
    </xf>
    <xf numFmtId="37" fontId="81" fillId="0" borderId="0" xfId="0" applyFont="1" applyFill="1"/>
    <xf numFmtId="9" fontId="82" fillId="0" borderId="0" xfId="0" applyNumberFormat="1" applyFont="1"/>
    <xf numFmtId="37" fontId="82" fillId="0" borderId="0" xfId="0" applyFont="1" applyFill="1" applyAlignment="1">
      <alignment horizontal="center"/>
    </xf>
    <xf numFmtId="37" fontId="82" fillId="0" borderId="0" xfId="0" applyFont="1" applyFill="1" applyBorder="1"/>
    <xf numFmtId="37" fontId="82" fillId="0" borderId="0" xfId="0" applyFont="1"/>
    <xf numFmtId="37" fontId="81" fillId="0" borderId="0" xfId="0" applyFont="1" applyFill="1" applyBorder="1"/>
    <xf numFmtId="37" fontId="82" fillId="0" borderId="0" xfId="0" applyFont="1" applyFill="1" applyBorder="1" applyAlignment="1">
      <alignment horizontal="center"/>
    </xf>
    <xf numFmtId="4" fontId="4" fillId="0" borderId="0" xfId="0" applyNumberFormat="1" applyFont="1"/>
    <xf numFmtId="4" fontId="0" fillId="0" borderId="0" xfId="0" applyNumberFormat="1"/>
    <xf numFmtId="37" fontId="82" fillId="0" borderId="0" xfId="0" applyFont="1" applyFill="1"/>
    <xf numFmtId="9" fontId="83" fillId="2" borderId="0" xfId="0" applyNumberFormat="1" applyFont="1" applyFill="1"/>
    <xf numFmtId="0" fontId="44" fillId="0" borderId="0" xfId="19" applyFont="1" applyFill="1" applyAlignment="1">
      <alignment horizontal="left" vertical="center" wrapText="1"/>
    </xf>
    <xf numFmtId="0" fontId="44" fillId="0" borderId="0" xfId="19" applyFont="1" applyFill="1"/>
    <xf numFmtId="0" fontId="44" fillId="0" borderId="0" xfId="19" applyFont="1" applyFill="1" applyBorder="1"/>
    <xf numFmtId="0" fontId="44" fillId="0" borderId="0" xfId="19" applyFont="1" applyFill="1" applyBorder="1" applyAlignment="1">
      <alignment horizontal="center"/>
    </xf>
    <xf numFmtId="0" fontId="84" fillId="0" borderId="0" xfId="13" applyFont="1"/>
    <xf numFmtId="0" fontId="85" fillId="0" borderId="7" xfId="13" applyFont="1" applyBorder="1" applyAlignment="1">
      <alignment horizontal="center"/>
    </xf>
    <xf numFmtId="43" fontId="85" fillId="0" borderId="7" xfId="13" applyNumberFormat="1" applyFont="1" applyBorder="1" applyAlignment="1">
      <alignment horizontal="center"/>
    </xf>
    <xf numFmtId="0" fontId="84" fillId="0" borderId="7" xfId="13" applyFont="1" applyBorder="1" applyAlignment="1">
      <alignment horizontal="center"/>
    </xf>
    <xf numFmtId="0" fontId="84" fillId="0" borderId="1" xfId="13" applyFont="1" applyBorder="1"/>
    <xf numFmtId="0" fontId="84" fillId="0" borderId="32" xfId="13" applyFont="1" applyBorder="1"/>
    <xf numFmtId="43" fontId="84" fillId="0" borderId="0" xfId="13" applyNumberFormat="1" applyFont="1"/>
    <xf numFmtId="0" fontId="84" fillId="0" borderId="3" xfId="13" applyFont="1" applyBorder="1"/>
    <xf numFmtId="0" fontId="43" fillId="0" borderId="4" xfId="13" applyFont="1" applyBorder="1"/>
    <xf numFmtId="0" fontId="84" fillId="0" borderId="4" xfId="13" applyFont="1" applyBorder="1"/>
    <xf numFmtId="43" fontId="84" fillId="0" borderId="4" xfId="13" applyNumberFormat="1" applyFont="1" applyBorder="1"/>
    <xf numFmtId="0" fontId="84" fillId="0" borderId="5" xfId="13" applyFont="1" applyBorder="1"/>
    <xf numFmtId="0" fontId="86" fillId="0" borderId="4" xfId="13" applyFont="1" applyBorder="1" applyAlignment="1">
      <alignment horizontal="left"/>
    </xf>
    <xf numFmtId="0" fontId="86" fillId="0" borderId="37" xfId="13" applyFont="1" applyBorder="1"/>
    <xf numFmtId="173" fontId="86" fillId="0" borderId="4" xfId="13" applyNumberFormat="1" applyFont="1" applyBorder="1"/>
    <xf numFmtId="173" fontId="86" fillId="0" borderId="0" xfId="3" applyNumberFormat="1" applyFont="1"/>
    <xf numFmtId="173" fontId="86" fillId="0" borderId="4" xfId="3" applyNumberFormat="1" applyFont="1" applyBorder="1"/>
    <xf numFmtId="0" fontId="84" fillId="0" borderId="4" xfId="13" applyFont="1" applyBorder="1" applyAlignment="1">
      <alignment horizontal="left"/>
    </xf>
    <xf numFmtId="9" fontId="84" fillId="0" borderId="4" xfId="13" applyNumberFormat="1" applyFont="1" applyBorder="1"/>
    <xf numFmtId="0" fontId="86" fillId="0" borderId="0" xfId="13" applyFont="1"/>
    <xf numFmtId="0" fontId="84" fillId="0" borderId="37" xfId="13" applyFont="1" applyBorder="1"/>
    <xf numFmtId="0" fontId="47" fillId="0" borderId="37" xfId="13" applyFont="1" applyBorder="1" applyAlignment="1">
      <alignment horizontal="left"/>
    </xf>
    <xf numFmtId="0" fontId="84" fillId="0" borderId="37" xfId="13" applyFont="1" applyBorder="1" applyAlignment="1">
      <alignment horizontal="left"/>
    </xf>
    <xf numFmtId="179" fontId="84" fillId="0" borderId="5" xfId="13" applyNumberFormat="1" applyFont="1" applyBorder="1" applyAlignment="1">
      <alignment horizontal="center"/>
    </xf>
    <xf numFmtId="3" fontId="61" fillId="0" borderId="4" xfId="13" applyNumberFormat="1" applyFont="1" applyFill="1" applyBorder="1"/>
    <xf numFmtId="179" fontId="84" fillId="0" borderId="5" xfId="13" applyNumberFormat="1" applyFont="1" applyBorder="1"/>
    <xf numFmtId="0" fontId="84" fillId="0" borderId="5" xfId="13" applyFont="1" applyBorder="1" applyAlignment="1">
      <alignment horizontal="center"/>
    </xf>
    <xf numFmtId="3" fontId="84" fillId="0" borderId="5" xfId="13" applyNumberFormat="1" applyFont="1" applyBorder="1"/>
    <xf numFmtId="0" fontId="84" fillId="0" borderId="8" xfId="13" applyFont="1" applyBorder="1"/>
    <xf numFmtId="3" fontId="61" fillId="0" borderId="6" xfId="13" applyNumberFormat="1" applyFont="1" applyFill="1" applyBorder="1"/>
    <xf numFmtId="3" fontId="84" fillId="0" borderId="8" xfId="13" applyNumberFormat="1" applyFont="1" applyBorder="1"/>
    <xf numFmtId="3" fontId="84" fillId="0" borderId="0" xfId="13" applyNumberFormat="1" applyFont="1"/>
    <xf numFmtId="0" fontId="85" fillId="0" borderId="36" xfId="13" applyFont="1" applyBorder="1"/>
    <xf numFmtId="5" fontId="47" fillId="0" borderId="41" xfId="13" applyNumberFormat="1" applyFont="1" applyBorder="1"/>
    <xf numFmtId="5" fontId="47" fillId="0" borderId="42" xfId="13" applyNumberFormat="1" applyFont="1" applyBorder="1"/>
    <xf numFmtId="5" fontId="47" fillId="0" borderId="43" xfId="13" applyNumberFormat="1" applyFont="1" applyBorder="1"/>
    <xf numFmtId="10" fontId="86" fillId="0" borderId="0" xfId="13" applyNumberFormat="1" applyFont="1"/>
    <xf numFmtId="37" fontId="3" fillId="0" borderId="0" xfId="0" applyFont="1" applyAlignment="1">
      <alignment horizontal="center"/>
    </xf>
    <xf numFmtId="37" fontId="3" fillId="0" borderId="0" xfId="0" applyFont="1" applyBorder="1" applyAlignment="1">
      <alignment horizontal="center"/>
    </xf>
    <xf numFmtId="37" fontId="3" fillId="0" borderId="0" xfId="0" applyFont="1" applyFill="1" applyBorder="1" applyAlignment="1">
      <alignment horizontal="center"/>
    </xf>
    <xf numFmtId="37" fontId="3" fillId="0" borderId="7" xfId="0" applyFont="1" applyBorder="1" applyAlignment="1">
      <alignment horizontal="center"/>
    </xf>
    <xf numFmtId="37" fontId="3" fillId="0" borderId="7" xfId="0" applyFont="1" applyFill="1" applyBorder="1" applyAlignment="1">
      <alignment horizontal="center"/>
    </xf>
    <xf numFmtId="37" fontId="0" fillId="2" borderId="0" xfId="0" applyFill="1"/>
    <xf numFmtId="173" fontId="3" fillId="2" borderId="26" xfId="20" applyNumberFormat="1" applyFont="1" applyFill="1" applyBorder="1"/>
    <xf numFmtId="37" fontId="87" fillId="2" borderId="0" xfId="0" applyFont="1" applyFill="1"/>
    <xf numFmtId="173" fontId="0" fillId="2" borderId="0" xfId="20" applyNumberFormat="1" applyFont="1" applyFill="1"/>
    <xf numFmtId="2" fontId="0" fillId="2" borderId="0" xfId="0" applyNumberFormat="1" applyFill="1"/>
    <xf numFmtId="2" fontId="87" fillId="2" borderId="0" xfId="0" applyNumberFormat="1" applyFont="1" applyFill="1"/>
    <xf numFmtId="175" fontId="0" fillId="2" borderId="0" xfId="0" applyNumberFormat="1" applyFill="1"/>
    <xf numFmtId="0" fontId="48" fillId="0" borderId="0" xfId="19" applyFont="1"/>
    <xf numFmtId="0" fontId="88" fillId="0" borderId="0" xfId="11" applyFont="1"/>
    <xf numFmtId="0" fontId="89" fillId="0" borderId="0" xfId="11" applyFont="1" applyBorder="1"/>
    <xf numFmtId="0" fontId="89" fillId="0" borderId="0" xfId="11" applyFont="1"/>
    <xf numFmtId="0" fontId="48" fillId="0" borderId="0" xfId="19" applyFont="1" applyFill="1" applyAlignment="1">
      <alignment horizontal="left" vertical="center" wrapText="1"/>
    </xf>
    <xf numFmtId="0" fontId="48" fillId="0" borderId="0" xfId="19" applyFont="1" applyFill="1"/>
    <xf numFmtId="0" fontId="48" fillId="0" borderId="0" xfId="19" applyFont="1" applyFill="1" applyBorder="1"/>
    <xf numFmtId="0" fontId="88" fillId="0" borderId="0" xfId="11" applyFont="1" applyAlignment="1">
      <alignment horizontal="center"/>
    </xf>
    <xf numFmtId="0" fontId="88" fillId="0" borderId="0" xfId="11" applyFont="1" applyBorder="1" applyAlignment="1">
      <alignment horizontal="center"/>
    </xf>
    <xf numFmtId="0" fontId="48" fillId="0" borderId="0" xfId="19" applyFont="1" applyFill="1" applyBorder="1" applyAlignment="1">
      <alignment horizontal="center"/>
    </xf>
    <xf numFmtId="0" fontId="90" fillId="0" borderId="0" xfId="13" applyFont="1" applyFill="1"/>
    <xf numFmtId="0" fontId="91" fillId="0" borderId="0" xfId="13" applyFont="1" applyFill="1" applyAlignment="1">
      <alignment horizontal="center"/>
    </xf>
    <xf numFmtId="0" fontId="91" fillId="0" borderId="0" xfId="13" applyFont="1" applyFill="1"/>
    <xf numFmtId="39" fontId="90" fillId="0" borderId="0" xfId="13" applyNumberFormat="1" applyFont="1" applyFill="1" applyAlignment="1">
      <alignment horizontal="center"/>
    </xf>
    <xf numFmtId="0" fontId="90" fillId="0" borderId="26" xfId="13" applyFont="1" applyFill="1" applyBorder="1" applyAlignment="1">
      <alignment horizontal="center"/>
    </xf>
    <xf numFmtId="0" fontId="91" fillId="0" borderId="1" xfId="13" applyFont="1" applyFill="1" applyBorder="1"/>
    <xf numFmtId="0" fontId="91" fillId="0" borderId="2" xfId="13" applyFont="1" applyFill="1" applyBorder="1"/>
    <xf numFmtId="0" fontId="90" fillId="0" borderId="20" xfId="13" applyNumberFormat="1" applyFont="1" applyFill="1" applyBorder="1" applyAlignment="1">
      <alignment horizontal="center"/>
    </xf>
    <xf numFmtId="0" fontId="90" fillId="0" borderId="44" xfId="13" applyFont="1" applyFill="1" applyBorder="1" applyAlignment="1">
      <alignment horizontal="center"/>
    </xf>
    <xf numFmtId="0" fontId="90" fillId="0" borderId="28" xfId="13" applyFont="1" applyFill="1" applyBorder="1" applyAlignment="1">
      <alignment horizontal="center"/>
    </xf>
    <xf numFmtId="0" fontId="91" fillId="0" borderId="6" xfId="13" applyFont="1" applyFill="1" applyBorder="1"/>
    <xf numFmtId="0" fontId="91" fillId="0" borderId="7" xfId="13" applyFont="1" applyFill="1" applyBorder="1"/>
    <xf numFmtId="0" fontId="90" fillId="0" borderId="13" xfId="13" applyFont="1" applyFill="1" applyBorder="1" applyAlignment="1">
      <alignment horizontal="center"/>
    </xf>
    <xf numFmtId="0" fontId="91" fillId="0" borderId="13" xfId="13" applyFont="1" applyFill="1" applyBorder="1" applyAlignment="1">
      <alignment horizontal="center"/>
    </xf>
    <xf numFmtId="0" fontId="91" fillId="0" borderId="13" xfId="13" applyFont="1" applyFill="1" applyBorder="1"/>
    <xf numFmtId="39" fontId="90" fillId="0" borderId="7" xfId="13" applyNumberFormat="1" applyFont="1" applyFill="1" applyBorder="1" applyAlignment="1">
      <alignment horizontal="center"/>
    </xf>
    <xf numFmtId="0" fontId="90" fillId="0" borderId="0" xfId="13" applyFont="1" applyFill="1" applyBorder="1" applyAlignment="1">
      <alignment horizontal="center"/>
    </xf>
    <xf numFmtId="0" fontId="91" fillId="0" borderId="0" xfId="13" applyFont="1" applyFill="1" applyBorder="1" applyAlignment="1">
      <alignment horizontal="center"/>
    </xf>
    <xf numFmtId="0" fontId="91" fillId="0" borderId="0" xfId="13" applyFont="1" applyFill="1" applyBorder="1"/>
    <xf numFmtId="39" fontId="91" fillId="0" borderId="7" xfId="13" applyNumberFormat="1" applyFont="1" applyFill="1" applyBorder="1"/>
    <xf numFmtId="39" fontId="90" fillId="0" borderId="7" xfId="13" applyNumberFormat="1" applyFont="1" applyFill="1" applyBorder="1"/>
    <xf numFmtId="39" fontId="90" fillId="0" borderId="26" xfId="13" applyNumberFormat="1" applyFont="1" applyFill="1" applyBorder="1" applyAlignment="1">
      <alignment horizontal="center"/>
    </xf>
    <xf numFmtId="39" fontId="91" fillId="0" borderId="0" xfId="13" applyNumberFormat="1" applyFont="1" applyFill="1"/>
    <xf numFmtId="0" fontId="90" fillId="0" borderId="1" xfId="13" applyFont="1" applyFill="1" applyBorder="1"/>
    <xf numFmtId="0" fontId="91" fillId="0" borderId="2" xfId="13" applyFont="1" applyFill="1" applyBorder="1" applyAlignment="1">
      <alignment horizontal="center"/>
    </xf>
    <xf numFmtId="0" fontId="91" fillId="0" borderId="3" xfId="13" applyFont="1" applyFill="1" applyBorder="1" applyAlignment="1">
      <alignment horizontal="center"/>
    </xf>
    <xf numFmtId="39" fontId="91" fillId="0" borderId="13" xfId="13" applyNumberFormat="1" applyFont="1" applyFill="1" applyBorder="1"/>
    <xf numFmtId="39" fontId="90" fillId="0" borderId="13" xfId="13" applyNumberFormat="1" applyFont="1" applyFill="1" applyBorder="1"/>
    <xf numFmtId="0" fontId="90" fillId="0" borderId="4" xfId="13" applyFont="1" applyFill="1" applyBorder="1"/>
    <xf numFmtId="0" fontId="91" fillId="0" borderId="5" xfId="13" applyFont="1" applyFill="1" applyBorder="1" applyAlignment="1">
      <alignment horizontal="center"/>
    </xf>
    <xf numFmtId="0" fontId="90" fillId="0" borderId="6" xfId="13" applyFont="1" applyFill="1" applyBorder="1"/>
    <xf numFmtId="0" fontId="91" fillId="0" borderId="7" xfId="13" applyFont="1" applyFill="1" applyBorder="1" applyAlignment="1">
      <alignment horizontal="center"/>
    </xf>
    <xf numFmtId="0" fontId="91" fillId="0" borderId="8" xfId="13" applyFont="1" applyFill="1" applyBorder="1" applyAlignment="1">
      <alignment horizontal="center"/>
    </xf>
    <xf numFmtId="39" fontId="90" fillId="0" borderId="0" xfId="13" applyNumberFormat="1" applyFont="1" applyFill="1"/>
    <xf numFmtId="0" fontId="90" fillId="0" borderId="0" xfId="13" applyFont="1" applyFill="1" applyBorder="1"/>
    <xf numFmtId="39" fontId="91" fillId="0" borderId="0" xfId="13" applyNumberFormat="1" applyFont="1" applyFill="1" applyBorder="1"/>
    <xf numFmtId="39" fontId="92" fillId="2" borderId="0" xfId="13" applyNumberFormat="1" applyFont="1" applyFill="1"/>
    <xf numFmtId="39" fontId="90" fillId="0" borderId="20" xfId="13" applyNumberFormat="1" applyFont="1" applyFill="1" applyBorder="1"/>
    <xf numFmtId="39" fontId="90" fillId="0" borderId="28" xfId="13" applyNumberFormat="1" applyFont="1" applyFill="1" applyBorder="1" applyAlignment="1">
      <alignment horizontal="center"/>
    </xf>
    <xf numFmtId="39" fontId="92" fillId="2" borderId="13" xfId="13" applyNumberFormat="1" applyFont="1" applyFill="1" applyBorder="1"/>
    <xf numFmtId="39" fontId="91" fillId="9" borderId="13" xfId="13" applyNumberFormat="1" applyFont="1" applyFill="1" applyBorder="1"/>
    <xf numFmtId="0" fontId="90" fillId="0" borderId="7" xfId="13" applyFont="1" applyFill="1" applyBorder="1"/>
    <xf numFmtId="0" fontId="90" fillId="0" borderId="7" xfId="13" applyFont="1" applyFill="1" applyBorder="1" applyAlignment="1">
      <alignment horizontal="right"/>
    </xf>
    <xf numFmtId="0" fontId="90" fillId="0" borderId="7" xfId="13" applyFont="1" applyFill="1" applyBorder="1" applyAlignment="1">
      <alignment horizontal="center"/>
    </xf>
    <xf numFmtId="39" fontId="90" fillId="0" borderId="18" xfId="13" applyNumberFormat="1" applyFont="1" applyFill="1" applyBorder="1"/>
    <xf numFmtId="39" fontId="91" fillId="0" borderId="18" xfId="13" applyNumberFormat="1" applyFont="1" applyFill="1" applyBorder="1"/>
    <xf numFmtId="0" fontId="90" fillId="0" borderId="45" xfId="13" applyFont="1" applyFill="1" applyBorder="1"/>
    <xf numFmtId="0" fontId="91" fillId="0" borderId="39" xfId="13" applyFont="1" applyFill="1" applyBorder="1" applyAlignment="1">
      <alignment horizontal="center"/>
    </xf>
    <xf numFmtId="0" fontId="91" fillId="0" borderId="39" xfId="13" applyFont="1" applyFill="1" applyBorder="1"/>
    <xf numFmtId="39" fontId="92" fillId="0" borderId="46" xfId="13" applyNumberFormat="1" applyFont="1" applyFill="1" applyBorder="1"/>
    <xf numFmtId="39" fontId="90" fillId="0" borderId="0" xfId="13" applyNumberFormat="1" applyFont="1" applyFill="1" applyBorder="1"/>
    <xf numFmtId="39" fontId="90" fillId="0" borderId="32" xfId="13" applyNumberFormat="1" applyFont="1" applyFill="1" applyBorder="1"/>
    <xf numFmtId="39" fontId="90" fillId="0" borderId="26" xfId="13" applyNumberFormat="1" applyFont="1" applyFill="1" applyBorder="1"/>
    <xf numFmtId="0" fontId="90" fillId="0" borderId="0" xfId="13" applyFont="1" applyFill="1" applyAlignment="1">
      <alignment horizontal="center"/>
    </xf>
    <xf numFmtId="39" fontId="90" fillId="0" borderId="0" xfId="13" applyNumberFormat="1" applyFont="1" applyFill="1" applyBorder="1" applyAlignment="1">
      <alignment horizontal="center"/>
    </xf>
    <xf numFmtId="0" fontId="91" fillId="0" borderId="47" xfId="13" applyFont="1" applyFill="1" applyBorder="1"/>
    <xf numFmtId="0" fontId="90" fillId="0" borderId="46" xfId="13" applyNumberFormat="1" applyFont="1" applyFill="1" applyBorder="1" applyAlignment="1">
      <alignment horizontal="center"/>
    </xf>
    <xf numFmtId="39" fontId="90" fillId="0" borderId="40" xfId="13" applyNumberFormat="1" applyFont="1" applyFill="1" applyBorder="1"/>
    <xf numFmtId="0" fontId="90" fillId="0" borderId="2" xfId="13" applyFont="1" applyFill="1" applyBorder="1" applyAlignment="1">
      <alignment horizontal="center"/>
    </xf>
    <xf numFmtId="0" fontId="90" fillId="0" borderId="32" xfId="13" applyFont="1" applyFill="1" applyBorder="1"/>
    <xf numFmtId="0" fontId="90" fillId="0" borderId="36" xfId="13" applyFont="1" applyFill="1" applyBorder="1"/>
    <xf numFmtId="0" fontId="90" fillId="0" borderId="45" xfId="13" applyFont="1" applyFill="1" applyBorder="1" applyAlignment="1">
      <alignment horizontal="center"/>
    </xf>
    <xf numFmtId="39" fontId="90" fillId="0" borderId="20" xfId="13" applyNumberFormat="1" applyFont="1" applyFill="1" applyBorder="1" applyAlignment="1">
      <alignment horizontal="center"/>
    </xf>
    <xf numFmtId="180" fontId="90" fillId="0" borderId="20" xfId="13" applyNumberFormat="1" applyFont="1" applyFill="1" applyBorder="1"/>
    <xf numFmtId="0" fontId="44" fillId="0" borderId="0" xfId="19" applyFont="1" applyAlignment="1">
      <alignment horizontal="center"/>
    </xf>
    <xf numFmtId="0" fontId="44" fillId="0" borderId="7" xfId="19" applyFont="1" applyBorder="1"/>
    <xf numFmtId="0" fontId="44" fillId="0" borderId="7" xfId="19" applyFont="1" applyBorder="1" applyAlignment="1">
      <alignment horizontal="center"/>
    </xf>
    <xf numFmtId="0" fontId="58" fillId="0" borderId="0" xfId="19" applyFont="1"/>
    <xf numFmtId="0" fontId="44" fillId="0" borderId="0" xfId="19" applyFont="1" applyBorder="1"/>
    <xf numFmtId="0" fontId="44" fillId="0" borderId="0" xfId="19" applyFont="1" applyBorder="1" applyAlignment="1">
      <alignment horizontal="center"/>
    </xf>
    <xf numFmtId="3" fontId="58" fillId="0" borderId="0" xfId="19" applyNumberFormat="1" applyFont="1"/>
    <xf numFmtId="37" fontId="58" fillId="0" borderId="0" xfId="19" applyNumberFormat="1" applyFont="1"/>
    <xf numFmtId="0" fontId="44" fillId="0" borderId="0" xfId="19" applyFont="1" applyAlignment="1">
      <alignment horizontal="right"/>
    </xf>
    <xf numFmtId="37" fontId="44" fillId="0" borderId="0" xfId="19" applyNumberFormat="1" applyFont="1"/>
    <xf numFmtId="0" fontId="44" fillId="2" borderId="0" xfId="19" applyFont="1" applyFill="1" applyAlignment="1">
      <alignment horizontal="right"/>
    </xf>
    <xf numFmtId="2" fontId="44" fillId="0" borderId="0" xfId="19" applyNumberFormat="1" applyFont="1"/>
    <xf numFmtId="4" fontId="44" fillId="0" borderId="0" xfId="19" applyNumberFormat="1" applyFont="1"/>
    <xf numFmtId="0" fontId="44" fillId="0" borderId="7" xfId="19" applyFont="1" applyBorder="1" applyAlignment="1">
      <alignment horizontal="right"/>
    </xf>
    <xf numFmtId="2" fontId="44" fillId="0" borderId="7" xfId="19" applyNumberFormat="1" applyFont="1" applyBorder="1"/>
    <xf numFmtId="4" fontId="44" fillId="0" borderId="7" xfId="19" applyNumberFormat="1" applyFont="1" applyBorder="1"/>
    <xf numFmtId="39" fontId="44" fillId="0" borderId="0" xfId="19" applyNumberFormat="1" applyFont="1"/>
    <xf numFmtId="0" fontId="44" fillId="2" borderId="0" xfId="19" applyFont="1" applyFill="1"/>
    <xf numFmtId="0" fontId="93" fillId="0" borderId="0" xfId="19" applyFont="1"/>
    <xf numFmtId="43" fontId="93" fillId="0" borderId="0" xfId="21" applyFont="1"/>
    <xf numFmtId="43" fontId="93" fillId="0" borderId="0" xfId="19" applyNumberFormat="1" applyFont="1"/>
    <xf numFmtId="173" fontId="93" fillId="0" borderId="0" xfId="22" applyNumberFormat="1" applyFont="1"/>
    <xf numFmtId="0" fontId="68" fillId="0" borderId="0" xfId="13" applyFont="1" applyFill="1" applyAlignment="1">
      <alignment wrapText="1"/>
    </xf>
    <xf numFmtId="0" fontId="93" fillId="0" borderId="21" xfId="19" applyFont="1" applyBorder="1"/>
    <xf numFmtId="0" fontId="93" fillId="0" borderId="22" xfId="19" applyFont="1" applyBorder="1"/>
    <xf numFmtId="2" fontId="93" fillId="0" borderId="22" xfId="19" applyNumberFormat="1" applyFont="1" applyBorder="1"/>
    <xf numFmtId="0" fontId="93" fillId="0" borderId="23" xfId="19" applyFont="1" applyBorder="1"/>
    <xf numFmtId="0" fontId="58" fillId="0" borderId="21" xfId="19" applyFont="1" applyBorder="1"/>
    <xf numFmtId="0" fontId="58" fillId="0" borderId="22" xfId="19" applyFont="1" applyBorder="1"/>
    <xf numFmtId="1" fontId="58" fillId="0" borderId="22" xfId="19" applyNumberFormat="1" applyFont="1" applyBorder="1"/>
    <xf numFmtId="0" fontId="57" fillId="0" borderId="22" xfId="19" applyFont="1" applyBorder="1" applyAlignment="1">
      <alignment horizontal="center"/>
    </xf>
    <xf numFmtId="0" fontId="57" fillId="0" borderId="23" xfId="19" applyFont="1" applyBorder="1" applyAlignment="1">
      <alignment horizontal="center"/>
    </xf>
    <xf numFmtId="181" fontId="44" fillId="0" borderId="0" xfId="19" applyNumberFormat="1" applyFont="1" applyAlignment="1">
      <alignment horizontal="left"/>
    </xf>
    <xf numFmtId="43" fontId="44" fillId="0" borderId="0" xfId="21" applyFont="1"/>
    <xf numFmtId="0" fontId="93" fillId="0" borderId="24" xfId="19" applyFont="1" applyBorder="1"/>
    <xf numFmtId="0" fontId="93" fillId="0" borderId="0" xfId="19" applyFont="1" applyBorder="1"/>
    <xf numFmtId="43" fontId="93" fillId="0" borderId="0" xfId="19" applyNumberFormat="1" applyFont="1" applyBorder="1"/>
    <xf numFmtId="0" fontId="93" fillId="0" borderId="25" xfId="19" applyFont="1" applyBorder="1"/>
    <xf numFmtId="0" fontId="58" fillId="0" borderId="24" xfId="19" applyFont="1" applyBorder="1"/>
    <xf numFmtId="0" fontId="58" fillId="0" borderId="0" xfId="19" applyFont="1" applyBorder="1"/>
    <xf numFmtId="43" fontId="58" fillId="0" borderId="0" xfId="19" applyNumberFormat="1" applyFont="1" applyBorder="1"/>
    <xf numFmtId="0" fontId="58" fillId="0" borderId="25" xfId="19" applyFont="1" applyBorder="1"/>
    <xf numFmtId="37" fontId="58" fillId="0" borderId="0" xfId="19" applyNumberFormat="1" applyFont="1" applyBorder="1"/>
    <xf numFmtId="43" fontId="57" fillId="0" borderId="48" xfId="19" applyNumberFormat="1" applyFont="1" applyBorder="1"/>
    <xf numFmtId="170" fontId="58" fillId="0" borderId="25" xfId="1" applyNumberFormat="1" applyFont="1" applyBorder="1"/>
    <xf numFmtId="173" fontId="58" fillId="0" borderId="25" xfId="3" applyNumberFormat="1" applyFont="1" applyBorder="1"/>
    <xf numFmtId="43" fontId="44" fillId="0" borderId="0" xfId="19" applyNumberFormat="1" applyFont="1"/>
    <xf numFmtId="43" fontId="58" fillId="0" borderId="0" xfId="19" applyNumberFormat="1" applyFont="1" applyFill="1" applyBorder="1"/>
    <xf numFmtId="0" fontId="94" fillId="0" borderId="0" xfId="19" applyFont="1" applyBorder="1"/>
    <xf numFmtId="1" fontId="94" fillId="0" borderId="18" xfId="19" applyNumberFormat="1" applyFont="1" applyBorder="1"/>
    <xf numFmtId="1" fontId="94" fillId="0" borderId="0" xfId="19" applyNumberFormat="1" applyFont="1" applyBorder="1"/>
    <xf numFmtId="0" fontId="57" fillId="0" borderId="24" xfId="19" applyFont="1" applyBorder="1"/>
    <xf numFmtId="1" fontId="57" fillId="0" borderId="2" xfId="19" applyNumberFormat="1" applyFont="1" applyBorder="1"/>
    <xf numFmtId="1" fontId="57" fillId="0" borderId="13" xfId="19" applyNumberFormat="1" applyFont="1" applyBorder="1"/>
    <xf numFmtId="1" fontId="44" fillId="0" borderId="0" xfId="19" applyNumberFormat="1" applyFont="1" applyBorder="1"/>
    <xf numFmtId="0" fontId="93" fillId="0" borderId="29" xfId="19" applyFont="1" applyBorder="1"/>
    <xf numFmtId="0" fontId="93" fillId="0" borderId="30" xfId="19" applyFont="1" applyBorder="1"/>
    <xf numFmtId="0" fontId="93" fillId="0" borderId="31" xfId="19" applyFont="1" applyBorder="1"/>
    <xf numFmtId="0" fontId="58" fillId="0" borderId="45" xfId="19" applyFont="1" applyBorder="1"/>
    <xf numFmtId="170" fontId="58" fillId="0" borderId="46" xfId="1" applyNumberFormat="1" applyFont="1" applyBorder="1"/>
    <xf numFmtId="0" fontId="58" fillId="0" borderId="30" xfId="19" applyFont="1" applyBorder="1"/>
    <xf numFmtId="0" fontId="58" fillId="0" borderId="31" xfId="19" applyFont="1" applyBorder="1"/>
    <xf numFmtId="0" fontId="58" fillId="0" borderId="23" xfId="19" applyFont="1" applyBorder="1"/>
    <xf numFmtId="0" fontId="44" fillId="0" borderId="24" xfId="19" applyFont="1" applyBorder="1"/>
    <xf numFmtId="0" fontId="44" fillId="0" borderId="25" xfId="19" applyFont="1" applyBorder="1"/>
    <xf numFmtId="170" fontId="94" fillId="0" borderId="18" xfId="21" applyNumberFormat="1" applyFont="1" applyBorder="1"/>
    <xf numFmtId="0" fontId="57" fillId="0" borderId="0" xfId="19" applyFont="1" applyBorder="1"/>
    <xf numFmtId="170" fontId="57" fillId="0" borderId="18" xfId="21" applyNumberFormat="1" applyFont="1" applyBorder="1"/>
    <xf numFmtId="0" fontId="44" fillId="0" borderId="29" xfId="19" applyFont="1" applyBorder="1"/>
    <xf numFmtId="0" fontId="44" fillId="0" borderId="30" xfId="19" applyFont="1" applyBorder="1"/>
    <xf numFmtId="0" fontId="44" fillId="0" borderId="31" xfId="19" applyFont="1" applyBorder="1"/>
    <xf numFmtId="0" fontId="58" fillId="0" borderId="29" xfId="19" applyFont="1" applyBorder="1"/>
    <xf numFmtId="14" fontId="44" fillId="0" borderId="0" xfId="19" applyNumberFormat="1" applyFont="1"/>
    <xf numFmtId="43" fontId="44" fillId="0" borderId="2" xfId="21" applyFont="1" applyBorder="1"/>
    <xf numFmtId="43" fontId="44" fillId="0" borderId="2" xfId="19" applyNumberFormat="1" applyFont="1" applyBorder="1"/>
    <xf numFmtId="174" fontId="44" fillId="0" borderId="0" xfId="19" applyNumberFormat="1" applyFont="1"/>
    <xf numFmtId="0" fontId="95" fillId="0" borderId="0" xfId="25" applyFont="1"/>
    <xf numFmtId="178" fontId="95" fillId="0" borderId="0" xfId="26" applyNumberFormat="1" applyFont="1"/>
    <xf numFmtId="178" fontId="95" fillId="0" borderId="0" xfId="26" applyNumberFormat="1" applyFont="1" applyFill="1"/>
    <xf numFmtId="9" fontId="95" fillId="0" borderId="0" xfId="27" applyFont="1"/>
    <xf numFmtId="0" fontId="95" fillId="0" borderId="0" xfId="25" applyFont="1" applyAlignment="1">
      <alignment horizontal="left"/>
    </xf>
    <xf numFmtId="0" fontId="97" fillId="0" borderId="26" xfId="25" applyFont="1" applyBorder="1" applyAlignment="1">
      <alignment horizontal="center"/>
    </xf>
    <xf numFmtId="0" fontId="97" fillId="0" borderId="26" xfId="25" applyFont="1" applyFill="1" applyBorder="1" applyAlignment="1">
      <alignment horizontal="center"/>
    </xf>
    <xf numFmtId="0" fontId="98" fillId="4" borderId="26" xfId="25" applyFont="1" applyFill="1" applyBorder="1" applyAlignment="1">
      <alignment horizontal="center"/>
    </xf>
    <xf numFmtId="178" fontId="95" fillId="0" borderId="0" xfId="26" applyNumberFormat="1" applyFont="1" applyFill="1" applyAlignment="1">
      <alignment horizontal="center"/>
    </xf>
    <xf numFmtId="178" fontId="95" fillId="0" borderId="0" xfId="26" applyNumberFormat="1" applyFont="1" applyAlignment="1">
      <alignment horizontal="center"/>
    </xf>
    <xf numFmtId="0" fontId="95" fillId="0" borderId="0" xfId="25" applyFont="1" applyAlignment="1">
      <alignment horizontal="center"/>
    </xf>
    <xf numFmtId="9" fontId="95" fillId="0" borderId="0" xfId="27" applyFont="1" applyAlignment="1">
      <alignment horizontal="center"/>
    </xf>
    <xf numFmtId="0" fontId="95" fillId="0" borderId="37" xfId="25" applyFont="1" applyBorder="1" applyAlignment="1">
      <alignment horizontal="center"/>
    </xf>
    <xf numFmtId="178" fontId="95" fillId="0" borderId="36" xfId="26" applyNumberFormat="1" applyFont="1" applyBorder="1" applyAlignment="1">
      <alignment horizontal="center" wrapText="1"/>
    </xf>
    <xf numFmtId="0" fontId="95" fillId="0" borderId="36" xfId="25" applyFont="1" applyBorder="1" applyAlignment="1">
      <alignment horizontal="center" wrapText="1"/>
    </xf>
    <xf numFmtId="178" fontId="95" fillId="0" borderId="36" xfId="28" applyNumberFormat="1" applyFont="1" applyBorder="1" applyAlignment="1">
      <alignment horizontal="center" wrapText="1"/>
    </xf>
    <xf numFmtId="0" fontId="99" fillId="4" borderId="26" xfId="25" applyFont="1" applyFill="1" applyBorder="1" applyAlignment="1">
      <alignment horizontal="center"/>
    </xf>
    <xf numFmtId="0" fontId="95" fillId="4" borderId="26" xfId="25" applyFont="1" applyFill="1" applyBorder="1" applyAlignment="1">
      <alignment horizontal="center"/>
    </xf>
    <xf numFmtId="178" fontId="95" fillId="4" borderId="26" xfId="26" applyNumberFormat="1" applyFont="1" applyFill="1" applyBorder="1" applyAlignment="1">
      <alignment horizontal="center" wrapText="1"/>
    </xf>
    <xf numFmtId="0" fontId="95" fillId="4" borderId="26" xfId="25" applyFont="1" applyFill="1" applyBorder="1" applyAlignment="1">
      <alignment horizontal="center" wrapText="1"/>
    </xf>
    <xf numFmtId="0" fontId="95" fillId="0" borderId="26" xfId="25" applyFont="1" applyBorder="1" applyAlignment="1">
      <alignment horizontal="center"/>
    </xf>
    <xf numFmtId="0" fontId="95" fillId="10" borderId="26" xfId="25" applyFont="1" applyFill="1" applyBorder="1" applyAlignment="1">
      <alignment horizontal="center"/>
    </xf>
    <xf numFmtId="178" fontId="95" fillId="10" borderId="26" xfId="26" applyNumberFormat="1" applyFont="1" applyFill="1" applyBorder="1" applyAlignment="1">
      <alignment horizontal="center" wrapText="1"/>
    </xf>
    <xf numFmtId="178" fontId="95" fillId="0" borderId="26" xfId="26" applyNumberFormat="1" applyFont="1" applyBorder="1" applyAlignment="1">
      <alignment horizontal="center" wrapText="1"/>
    </xf>
    <xf numFmtId="178" fontId="95" fillId="0" borderId="26" xfId="26" applyNumberFormat="1" applyFont="1" applyBorder="1" applyAlignment="1">
      <alignment horizontal="center"/>
    </xf>
    <xf numFmtId="178" fontId="95" fillId="9" borderId="26" xfId="26" applyNumberFormat="1" applyFont="1" applyFill="1" applyBorder="1" applyAlignment="1">
      <alignment horizontal="center"/>
    </xf>
    <xf numFmtId="178" fontId="95" fillId="0" borderId="26" xfId="28" applyNumberFormat="1" applyFont="1" applyBorder="1" applyAlignment="1">
      <alignment horizontal="center" wrapText="1"/>
    </xf>
    <xf numFmtId="178" fontId="95" fillId="0" borderId="26" xfId="28" applyNumberFormat="1" applyFont="1" applyBorder="1" applyAlignment="1">
      <alignment horizontal="center"/>
    </xf>
    <xf numFmtId="0" fontId="95" fillId="0" borderId="0" xfId="25" applyFont="1" applyFill="1" applyAlignment="1">
      <alignment horizontal="center"/>
    </xf>
    <xf numFmtId="0" fontId="36" fillId="0" borderId="0" xfId="25" applyFont="1" applyFill="1" applyAlignment="1">
      <alignment horizontal="left"/>
    </xf>
    <xf numFmtId="0" fontId="95" fillId="0" borderId="0" xfId="25" applyFont="1" applyFill="1" applyAlignment="1">
      <alignment horizontal="left"/>
    </xf>
    <xf numFmtId="9" fontId="95" fillId="0" borderId="0" xfId="27" applyFont="1" applyFill="1" applyAlignment="1">
      <alignment horizontal="center"/>
    </xf>
    <xf numFmtId="0" fontId="95" fillId="0" borderId="0" xfId="25" applyFont="1" applyFill="1"/>
    <xf numFmtId="0" fontId="45" fillId="4" borderId="0" xfId="13" applyFont="1" applyFill="1" applyAlignment="1">
      <alignment horizontal="right"/>
    </xf>
    <xf numFmtId="0" fontId="98" fillId="4" borderId="0" xfId="25" applyFont="1" applyFill="1" applyAlignment="1">
      <alignment horizontal="center"/>
    </xf>
    <xf numFmtId="178" fontId="100" fillId="4" borderId="0" xfId="29" applyNumberFormat="1" applyFont="1" applyFill="1" applyAlignment="1">
      <alignment horizontal="center"/>
    </xf>
    <xf numFmtId="9" fontId="98" fillId="4" borderId="0" xfId="25" applyNumberFormat="1" applyFont="1" applyFill="1" applyAlignment="1">
      <alignment horizontal="center"/>
    </xf>
    <xf numFmtId="0" fontId="101" fillId="10" borderId="0" xfId="25" applyFont="1" applyFill="1" applyAlignment="1">
      <alignment horizontal="center"/>
    </xf>
    <xf numFmtId="0" fontId="101" fillId="11" borderId="0" xfId="25" applyFont="1" applyFill="1" applyAlignment="1">
      <alignment horizontal="center"/>
    </xf>
    <xf numFmtId="178" fontId="101" fillId="11" borderId="0" xfId="26" applyNumberFormat="1" applyFont="1" applyFill="1" applyAlignment="1">
      <alignment horizontal="center"/>
    </xf>
    <xf numFmtId="178" fontId="95" fillId="9" borderId="0" xfId="26" applyNumberFormat="1" applyFont="1" applyFill="1"/>
    <xf numFmtId="1" fontId="95" fillId="0" borderId="0" xfId="25" applyNumberFormat="1" applyFont="1"/>
    <xf numFmtId="0" fontId="100" fillId="4" borderId="0" xfId="25" applyFont="1" applyFill="1" applyAlignment="1">
      <alignment horizontal="center"/>
    </xf>
    <xf numFmtId="0" fontId="45" fillId="0" borderId="0" xfId="14" applyFont="1"/>
    <xf numFmtId="0" fontId="102" fillId="0" borderId="0" xfId="14" applyFont="1"/>
    <xf numFmtId="0" fontId="47" fillId="0" borderId="45" xfId="14" applyFont="1" applyBorder="1"/>
    <xf numFmtId="0" fontId="47" fillId="0" borderId="39" xfId="14" applyFont="1" applyBorder="1"/>
    <xf numFmtId="178" fontId="47" fillId="0" borderId="39" xfId="14" applyNumberFormat="1" applyFont="1" applyBorder="1"/>
    <xf numFmtId="0" fontId="103" fillId="0" borderId="39" xfId="14" applyFont="1" applyBorder="1"/>
    <xf numFmtId="0" fontId="47" fillId="0" borderId="46" xfId="14" applyFont="1" applyBorder="1"/>
    <xf numFmtId="0" fontId="45" fillId="0" borderId="21" xfId="14" applyFont="1" applyBorder="1"/>
    <xf numFmtId="0" fontId="45" fillId="0" borderId="22" xfId="14" applyFont="1" applyBorder="1"/>
    <xf numFmtId="178" fontId="45" fillId="0" borderId="23" xfId="14" applyNumberFormat="1" applyFont="1" applyBorder="1"/>
    <xf numFmtId="0" fontId="104" fillId="0" borderId="0" xfId="14" applyFont="1"/>
    <xf numFmtId="41" fontId="104" fillId="0" borderId="0" xfId="14" applyNumberFormat="1" applyFont="1"/>
    <xf numFmtId="0" fontId="45" fillId="0" borderId="24" xfId="14" applyFont="1" applyBorder="1"/>
    <xf numFmtId="0" fontId="45" fillId="0" borderId="0" xfId="14" applyFont="1" applyBorder="1"/>
    <xf numFmtId="178" fontId="45" fillId="0" borderId="25" xfId="14" applyNumberFormat="1" applyFont="1" applyBorder="1"/>
    <xf numFmtId="43" fontId="104" fillId="0" borderId="0" xfId="14" applyNumberFormat="1" applyFont="1"/>
    <xf numFmtId="0" fontId="64" fillId="0" borderId="0" xfId="14" applyFont="1" applyAlignment="1">
      <alignment horizontal="center"/>
    </xf>
    <xf numFmtId="0" fontId="104" fillId="0" borderId="24" xfId="14" applyFont="1" applyBorder="1"/>
    <xf numFmtId="4" fontId="45" fillId="0" borderId="25" xfId="14" applyNumberFormat="1" applyFont="1" applyBorder="1"/>
    <xf numFmtId="41" fontId="45" fillId="0" borderId="0" xfId="14" applyNumberFormat="1" applyFont="1"/>
    <xf numFmtId="10" fontId="104" fillId="0" borderId="0" xfId="14" applyNumberFormat="1" applyFont="1" applyBorder="1"/>
    <xf numFmtId="9" fontId="104" fillId="0" borderId="0" xfId="14" applyNumberFormat="1" applyFont="1" applyBorder="1"/>
    <xf numFmtId="10" fontId="45" fillId="0" borderId="0" xfId="14" applyNumberFormat="1" applyFont="1" applyBorder="1"/>
    <xf numFmtId="9" fontId="45" fillId="0" borderId="0" xfId="14" applyNumberFormat="1" applyFont="1" applyBorder="1"/>
    <xf numFmtId="170" fontId="104" fillId="0" borderId="0" xfId="1" applyNumberFormat="1" applyFont="1"/>
    <xf numFmtId="170" fontId="61" fillId="0" borderId="26" xfId="14" applyNumberFormat="1" applyFont="1" applyBorder="1"/>
    <xf numFmtId="0" fontId="45" fillId="0" borderId="49" xfId="14" applyFont="1" applyBorder="1"/>
    <xf numFmtId="0" fontId="45" fillId="0" borderId="7" xfId="14" applyFont="1" applyBorder="1"/>
    <xf numFmtId="4" fontId="45" fillId="0" borderId="47" xfId="14" applyNumberFormat="1" applyFont="1" applyBorder="1"/>
    <xf numFmtId="0" fontId="104" fillId="0" borderId="0" xfId="14" applyFont="1" applyBorder="1"/>
    <xf numFmtId="170" fontId="104" fillId="0" borderId="25" xfId="14" applyNumberFormat="1" applyFont="1" applyBorder="1"/>
    <xf numFmtId="0" fontId="45" fillId="0" borderId="29" xfId="14" applyFont="1" applyBorder="1"/>
    <xf numFmtId="0" fontId="45" fillId="0" borderId="30" xfId="14" applyFont="1" applyBorder="1"/>
    <xf numFmtId="0" fontId="45" fillId="0" borderId="31" xfId="14" applyFont="1" applyBorder="1"/>
    <xf numFmtId="9" fontId="45" fillId="0" borderId="0" xfId="27" applyFont="1"/>
    <xf numFmtId="173" fontId="102" fillId="0" borderId="0" xfId="27" applyNumberFormat="1" applyFont="1"/>
    <xf numFmtId="0" fontId="45" fillId="0" borderId="0" xfId="14" applyFont="1" applyAlignment="1">
      <alignment horizontal="left" wrapText="1"/>
    </xf>
    <xf numFmtId="0" fontId="61" fillId="0" borderId="0" xfId="14" applyFont="1"/>
    <xf numFmtId="173" fontId="102" fillId="0" borderId="0" xfId="14" applyNumberFormat="1" applyFont="1"/>
    <xf numFmtId="0" fontId="45" fillId="0" borderId="0" xfId="14" applyFont="1" applyAlignment="1">
      <alignment horizontal="center"/>
    </xf>
    <xf numFmtId="0" fontId="45" fillId="0" borderId="7" xfId="14" applyFont="1" applyBorder="1" applyAlignment="1">
      <alignment horizontal="center"/>
    </xf>
    <xf numFmtId="0" fontId="45" fillId="0" borderId="0" xfId="14" applyFont="1" applyAlignment="1">
      <alignment horizontal="right"/>
    </xf>
    <xf numFmtId="173" fontId="61" fillId="0" borderId="0" xfId="3" applyNumberFormat="1" applyFont="1"/>
    <xf numFmtId="0" fontId="45" fillId="0" borderId="7" xfId="14" applyFont="1" applyBorder="1" applyAlignment="1">
      <alignment horizontal="right"/>
    </xf>
    <xf numFmtId="0" fontId="45" fillId="9" borderId="0" xfId="14" applyFont="1" applyFill="1"/>
    <xf numFmtId="0" fontId="58" fillId="0" borderId="0" xfId="4" applyFont="1"/>
    <xf numFmtId="0" fontId="57" fillId="0" borderId="0" xfId="4" applyFont="1"/>
    <xf numFmtId="0" fontId="57" fillId="0" borderId="0" xfId="6" applyFont="1" applyFill="1" applyAlignment="1"/>
    <xf numFmtId="10" fontId="8" fillId="0" borderId="0" xfId="4" applyNumberFormat="1" applyFont="1" applyFill="1" applyBorder="1"/>
    <xf numFmtId="0" fontId="57" fillId="0" borderId="13" xfId="6" applyFont="1" applyFill="1" applyBorder="1" applyAlignment="1"/>
    <xf numFmtId="10" fontId="58" fillId="0" borderId="10" xfId="4" applyNumberFormat="1" applyFont="1" applyBorder="1"/>
    <xf numFmtId="0" fontId="58" fillId="0" borderId="21" xfId="6" applyFont="1" applyFill="1" applyBorder="1" applyAlignment="1"/>
    <xf numFmtId="10" fontId="58" fillId="0" borderId="22" xfId="3" applyNumberFormat="1" applyFont="1" applyFill="1" applyBorder="1" applyAlignment="1"/>
    <xf numFmtId="0" fontId="58" fillId="0" borderId="29" xfId="6" applyFont="1" applyFill="1" applyBorder="1" applyAlignment="1"/>
    <xf numFmtId="0" fontId="58" fillId="0" borderId="30" xfId="6" applyFont="1" applyFill="1" applyBorder="1" applyAlignment="1"/>
    <xf numFmtId="170" fontId="58" fillId="0" borderId="23" xfId="1" applyNumberFormat="1" applyFont="1" applyBorder="1"/>
    <xf numFmtId="37" fontId="58" fillId="0" borderId="31" xfId="4" applyNumberFormat="1" applyFont="1" applyBorder="1"/>
    <xf numFmtId="0" fontId="58" fillId="0" borderId="0" xfId="4" applyFont="1" applyFill="1"/>
    <xf numFmtId="0" fontId="57" fillId="0" borderId="0" xfId="4" applyFont="1" applyAlignment="1">
      <alignment horizontal="center"/>
    </xf>
    <xf numFmtId="37" fontId="5" fillId="0" borderId="0" xfId="0" applyFont="1" applyFill="1" applyAlignment="1">
      <alignment horizontal="center"/>
    </xf>
    <xf numFmtId="37" fontId="43" fillId="0" borderId="0" xfId="0" applyFont="1" applyFill="1" applyAlignment="1">
      <alignment horizontal="center"/>
    </xf>
    <xf numFmtId="0" fontId="9" fillId="0" borderId="0" xfId="4" applyFont="1" applyAlignment="1">
      <alignment horizontal="center"/>
    </xf>
    <xf numFmtId="41" fontId="44" fillId="0" borderId="0" xfId="6" applyNumberFormat="1" applyFont="1" applyFill="1"/>
    <xf numFmtId="164" fontId="9" fillId="0" borderId="0" xfId="5" applyFont="1" applyFill="1" applyBorder="1" applyAlignment="1">
      <alignment horizontal="center"/>
    </xf>
    <xf numFmtId="164" fontId="8" fillId="0" borderId="0" xfId="5" applyFont="1" applyBorder="1"/>
    <xf numFmtId="164" fontId="8" fillId="0" borderId="0" xfId="5" applyFont="1" applyBorder="1" applyAlignment="1">
      <alignment horizontal="center"/>
    </xf>
    <xf numFmtId="164" fontId="12" fillId="0" borderId="0" xfId="5" applyFont="1" applyBorder="1" applyAlignment="1" applyProtection="1">
      <alignment horizontal="left"/>
    </xf>
    <xf numFmtId="170" fontId="8" fillId="0" borderId="0" xfId="1" applyNumberFormat="1" applyFont="1" applyFill="1" applyBorder="1"/>
    <xf numFmtId="170" fontId="10" fillId="0" borderId="0" xfId="1" applyNumberFormat="1" applyFont="1" applyFill="1" applyBorder="1" applyAlignment="1" applyProtection="1">
      <alignment horizontal="center"/>
    </xf>
    <xf numFmtId="170" fontId="10" fillId="0" borderId="0" xfId="1" applyNumberFormat="1" applyFont="1" applyFill="1" applyBorder="1" applyAlignment="1" applyProtection="1">
      <alignment horizontal="left"/>
    </xf>
    <xf numFmtId="43" fontId="10" fillId="0" borderId="0" xfId="1" applyFont="1" applyBorder="1"/>
    <xf numFmtId="164" fontId="21" fillId="0" borderId="0" xfId="5" applyFont="1" applyBorder="1"/>
    <xf numFmtId="164" fontId="8" fillId="0" borderId="0" xfId="5" applyFont="1" applyFill="1" applyBorder="1" applyAlignment="1">
      <alignment wrapText="1"/>
    </xf>
    <xf numFmtId="164" fontId="22" fillId="0" borderId="0" xfId="5" applyFont="1" applyBorder="1"/>
    <xf numFmtId="170" fontId="10" fillId="0" borderId="0" xfId="1" applyNumberFormat="1" applyFont="1" applyBorder="1"/>
    <xf numFmtId="37" fontId="10" fillId="0" borderId="0" xfId="5" applyNumberFormat="1" applyFont="1" applyBorder="1" applyProtection="1"/>
    <xf numFmtId="170" fontId="10" fillId="0" borderId="0" xfId="1" applyNumberFormat="1" applyFont="1" applyBorder="1" applyProtection="1"/>
    <xf numFmtId="164" fontId="10" fillId="0" borderId="0" xfId="5" applyFont="1" applyBorder="1" applyAlignment="1">
      <alignment wrapText="1"/>
    </xf>
    <xf numFmtId="164" fontId="10" fillId="0" borderId="0" xfId="5" applyFont="1" applyBorder="1" applyAlignment="1">
      <alignment horizontal="left" wrapText="1"/>
    </xf>
    <xf numFmtId="4" fontId="0" fillId="0" borderId="13" xfId="0" applyNumberFormat="1" applyBorder="1"/>
    <xf numFmtId="43" fontId="51" fillId="0" borderId="13" xfId="7" applyNumberFormat="1" applyFont="1" applyBorder="1"/>
    <xf numFmtId="43" fontId="51" fillId="0" borderId="0" xfId="7" applyNumberFormat="1" applyFont="1"/>
    <xf numFmtId="43" fontId="51" fillId="0" borderId="0" xfId="7" applyNumberFormat="1" applyFont="1" applyBorder="1"/>
    <xf numFmtId="0" fontId="51" fillId="0" borderId="0" xfId="7" applyFont="1" applyBorder="1"/>
    <xf numFmtId="0" fontId="52" fillId="0" borderId="0" xfId="7" applyFont="1" applyBorder="1"/>
    <xf numFmtId="0" fontId="1" fillId="0" borderId="0" xfId="437"/>
    <xf numFmtId="0" fontId="164" fillId="0" borderId="0" xfId="437" applyFont="1"/>
    <xf numFmtId="0" fontId="1" fillId="0" borderId="64" xfId="437" applyFill="1" applyBorder="1" applyAlignment="1">
      <alignment horizontal="centerContinuous"/>
    </xf>
    <xf numFmtId="0" fontId="1" fillId="0" borderId="0" xfId="437" applyFill="1"/>
    <xf numFmtId="0" fontId="1" fillId="0" borderId="0" xfId="437" applyFill="1" applyBorder="1" applyAlignment="1">
      <alignment horizontal="centerContinuous"/>
    </xf>
    <xf numFmtId="0" fontId="1" fillId="46" borderId="0" xfId="437" applyFill="1" applyAlignment="1">
      <alignment horizontal="center"/>
    </xf>
    <xf numFmtId="0" fontId="1" fillId="0" borderId="0" xfId="437" applyFill="1" applyBorder="1" applyAlignment="1">
      <alignment horizontal="center"/>
    </xf>
    <xf numFmtId="0" fontId="1" fillId="0" borderId="0" xfId="437" applyFont="1" applyFill="1" applyAlignment="1">
      <alignment horizontal="center"/>
    </xf>
    <xf numFmtId="0" fontId="1" fillId="0" borderId="0" xfId="437" applyAlignment="1">
      <alignment horizontal="center"/>
    </xf>
    <xf numFmtId="0" fontId="1" fillId="0" borderId="0" xfId="437" applyFont="1" applyAlignment="1">
      <alignment horizontal="center"/>
    </xf>
    <xf numFmtId="0" fontId="1" fillId="46" borderId="0" xfId="437" applyFont="1" applyFill="1" applyAlignment="1">
      <alignment horizontal="center"/>
    </xf>
    <xf numFmtId="0" fontId="165" fillId="0" borderId="0" xfId="437" applyFont="1" applyAlignment="1">
      <alignment horizontal="center"/>
    </xf>
    <xf numFmtId="0" fontId="164" fillId="0" borderId="0" xfId="437" applyFont="1" applyAlignment="1">
      <alignment textRotation="90"/>
    </xf>
    <xf numFmtId="0" fontId="165" fillId="46" borderId="0" xfId="437" applyFont="1" applyFill="1" applyAlignment="1">
      <alignment horizontal="center"/>
    </xf>
    <xf numFmtId="0" fontId="165" fillId="0" borderId="0" xfId="437" applyFont="1"/>
    <xf numFmtId="14" fontId="1" fillId="46" borderId="0" xfId="437" applyNumberFormat="1" applyFill="1" applyAlignment="1">
      <alignment horizontal="center"/>
    </xf>
    <xf numFmtId="0" fontId="1" fillId="0" borderId="0" xfId="437" applyAlignment="1">
      <alignment horizontal="right"/>
    </xf>
    <xf numFmtId="178" fontId="0" fillId="0" borderId="0" xfId="436" applyNumberFormat="1" applyFont="1"/>
    <xf numFmtId="178" fontId="0" fillId="46" borderId="0" xfId="436" applyNumberFormat="1" applyFont="1" applyFill="1"/>
    <xf numFmtId="178" fontId="1" fillId="0" borderId="0" xfId="437" applyNumberFormat="1" applyFill="1"/>
    <xf numFmtId="0" fontId="1" fillId="46" borderId="0" xfId="437" applyFill="1"/>
    <xf numFmtId="178" fontId="1" fillId="0" borderId="0" xfId="437" applyNumberFormat="1"/>
    <xf numFmtId="9" fontId="0" fillId="0" borderId="0" xfId="438" applyFont="1" applyAlignment="1">
      <alignment horizontal="center"/>
    </xf>
    <xf numFmtId="178" fontId="0" fillId="0" borderId="0" xfId="436" applyNumberFormat="1" applyFont="1" applyAlignment="1">
      <alignment horizontal="center"/>
    </xf>
    <xf numFmtId="6" fontId="1" fillId="0" borderId="0" xfId="437" applyNumberFormat="1" applyFill="1"/>
    <xf numFmtId="178" fontId="1" fillId="46" borderId="18" xfId="437" applyNumberFormat="1" applyFill="1" applyBorder="1"/>
    <xf numFmtId="178" fontId="1" fillId="0" borderId="0" xfId="437" applyNumberFormat="1" applyFill="1" applyBorder="1"/>
    <xf numFmtId="0" fontId="78" fillId="0" borderId="7" xfId="437" applyFont="1" applyBorder="1"/>
    <xf numFmtId="0" fontId="79" fillId="0" borderId="0" xfId="437" applyFont="1"/>
    <xf numFmtId="44" fontId="51" fillId="0" borderId="0" xfId="7" applyNumberFormat="1" applyFont="1" applyBorder="1"/>
    <xf numFmtId="0" fontId="58" fillId="0" borderId="0" xfId="324" applyFont="1"/>
    <xf numFmtId="0" fontId="8" fillId="0" borderId="0" xfId="324" applyFont="1"/>
    <xf numFmtId="37" fontId="9" fillId="0" borderId="0" xfId="324" applyNumberFormat="1" applyFont="1"/>
    <xf numFmtId="0" fontId="9" fillId="0" borderId="0" xfId="324" applyFont="1"/>
    <xf numFmtId="0" fontId="9" fillId="0" borderId="0" xfId="324" applyFont="1" applyBorder="1"/>
    <xf numFmtId="37" fontId="9" fillId="0" borderId="0" xfId="324" applyNumberFormat="1" applyFont="1" applyAlignment="1">
      <alignment horizontal="center"/>
    </xf>
    <xf numFmtId="37" fontId="9" fillId="0" borderId="0" xfId="324" applyNumberFormat="1" applyFont="1" applyBorder="1" applyAlignment="1">
      <alignment horizontal="center"/>
    </xf>
    <xf numFmtId="0" fontId="8" fillId="0" borderId="0" xfId="324" applyFont="1" applyFill="1"/>
    <xf numFmtId="0" fontId="8" fillId="0" borderId="0" xfId="324" applyFont="1" applyBorder="1"/>
    <xf numFmtId="0" fontId="10" fillId="0" borderId="0" xfId="324" applyFont="1"/>
    <xf numFmtId="0" fontId="10" fillId="0" borderId="0" xfId="324" applyFont="1" applyFill="1"/>
    <xf numFmtId="0" fontId="10" fillId="0" borderId="0" xfId="324" applyFont="1" applyBorder="1"/>
    <xf numFmtId="0" fontId="104" fillId="0" borderId="0" xfId="324" applyFont="1"/>
    <xf numFmtId="0" fontId="37" fillId="0" borderId="0" xfId="324" applyFont="1"/>
    <xf numFmtId="0" fontId="10" fillId="0" borderId="0" xfId="324" quotePrefix="1" applyFont="1" applyFill="1" applyAlignment="1">
      <alignment horizontal="right"/>
    </xf>
    <xf numFmtId="0" fontId="10" fillId="0" borderId="0" xfId="324" applyFont="1" applyBorder="1" applyAlignment="1">
      <alignment horizontal="center"/>
    </xf>
    <xf numFmtId="0" fontId="13" fillId="0" borderId="0" xfId="324" applyFont="1" applyAlignment="1">
      <alignment horizontal="center"/>
    </xf>
    <xf numFmtId="0" fontId="10" fillId="0" borderId="0" xfId="324" applyFont="1" applyAlignment="1">
      <alignment horizontal="center"/>
    </xf>
    <xf numFmtId="0" fontId="61" fillId="0" borderId="0" xfId="324" applyFont="1" applyBorder="1" applyAlignment="1">
      <alignment horizontal="center"/>
    </xf>
    <xf numFmtId="0" fontId="13" fillId="0" borderId="0" xfId="324" applyFont="1" applyBorder="1" applyAlignment="1">
      <alignment horizontal="left"/>
    </xf>
    <xf numFmtId="0" fontId="166" fillId="0" borderId="0" xfId="324" applyFont="1" applyBorder="1" applyAlignment="1">
      <alignment horizontal="center"/>
    </xf>
    <xf numFmtId="14" fontId="166" fillId="0" borderId="0" xfId="324" quotePrefix="1" applyNumberFormat="1" applyFont="1" applyBorder="1" applyAlignment="1">
      <alignment horizontal="center"/>
    </xf>
    <xf numFmtId="14" fontId="10" fillId="0" borderId="0" xfId="324" applyNumberFormat="1" applyFont="1" applyFill="1" applyBorder="1" applyAlignment="1">
      <alignment horizontal="center"/>
    </xf>
    <xf numFmtId="14" fontId="166" fillId="0" borderId="0" xfId="324" applyNumberFormat="1" applyFont="1" applyBorder="1" applyAlignment="1">
      <alignment horizontal="center"/>
    </xf>
    <xf numFmtId="14" fontId="10" fillId="0" borderId="0" xfId="324" applyNumberFormat="1" applyFont="1" applyBorder="1" applyAlignment="1">
      <alignment horizontal="center"/>
    </xf>
    <xf numFmtId="0" fontId="61" fillId="0" borderId="7" xfId="324" applyFont="1" applyBorder="1" applyAlignment="1">
      <alignment horizontal="center"/>
    </xf>
    <xf numFmtId="44" fontId="10" fillId="0" borderId="0" xfId="324" applyNumberFormat="1" applyFont="1"/>
    <xf numFmtId="43" fontId="10" fillId="0" borderId="0" xfId="324" applyNumberFormat="1" applyFont="1" applyBorder="1"/>
    <xf numFmtId="44" fontId="104" fillId="0" borderId="0" xfId="324" applyNumberFormat="1" applyFont="1"/>
    <xf numFmtId="43" fontId="10" fillId="0" borderId="0" xfId="324" applyNumberFormat="1" applyFont="1"/>
    <xf numFmtId="43" fontId="104" fillId="0" borderId="0" xfId="324" applyNumberFormat="1" applyFont="1"/>
    <xf numFmtId="43" fontId="10" fillId="0" borderId="0" xfId="324" applyNumberFormat="1" applyFont="1" applyFill="1"/>
    <xf numFmtId="43" fontId="10" fillId="0" borderId="0" xfId="324" applyNumberFormat="1" applyFont="1" applyFill="1" applyBorder="1"/>
    <xf numFmtId="43" fontId="10" fillId="0" borderId="14" xfId="324" applyNumberFormat="1" applyFont="1" applyBorder="1"/>
    <xf numFmtId="44" fontId="10" fillId="0" borderId="17" xfId="324" applyNumberFormat="1" applyFont="1" applyBorder="1"/>
    <xf numFmtId="44" fontId="104" fillId="0" borderId="20" xfId="324" applyNumberFormat="1" applyFont="1" applyBorder="1"/>
    <xf numFmtId="0" fontId="37" fillId="0" borderId="0" xfId="324" applyFont="1" applyBorder="1"/>
    <xf numFmtId="43" fontId="37" fillId="0" borderId="0" xfId="324" applyNumberFormat="1" applyFont="1"/>
    <xf numFmtId="43" fontId="37" fillId="0" borderId="0" xfId="324" applyNumberFormat="1" applyFont="1" applyBorder="1"/>
    <xf numFmtId="0" fontId="21" fillId="0" borderId="0" xfId="324" applyFont="1" applyFill="1"/>
    <xf numFmtId="43" fontId="21" fillId="0" borderId="0" xfId="324" applyNumberFormat="1" applyFont="1" applyFill="1"/>
    <xf numFmtId="43" fontId="21" fillId="0" borderId="0" xfId="324" applyNumberFormat="1" applyFont="1" applyFill="1" applyBorder="1"/>
    <xf numFmtId="170" fontId="35" fillId="4" borderId="0" xfId="1" applyNumberFormat="1" applyFont="1" applyFill="1" applyAlignment="1">
      <alignment horizontal="center"/>
    </xf>
    <xf numFmtId="37" fontId="33" fillId="4" borderId="0" xfId="0" applyFont="1" applyFill="1" applyAlignment="1">
      <alignment horizontal="center"/>
    </xf>
    <xf numFmtId="37" fontId="167" fillId="4" borderId="0" xfId="0" applyFont="1" applyFill="1"/>
    <xf numFmtId="170" fontId="167" fillId="4" borderId="0" xfId="1" applyNumberFormat="1" applyFont="1" applyFill="1"/>
    <xf numFmtId="170" fontId="33" fillId="4" borderId="13" xfId="1" applyNumberFormat="1" applyFont="1" applyFill="1" applyBorder="1"/>
    <xf numFmtId="170" fontId="54" fillId="4" borderId="0" xfId="1" applyNumberFormat="1" applyFont="1" applyFill="1"/>
    <xf numFmtId="9" fontId="54" fillId="4" borderId="0" xfId="3" applyNumberFormat="1" applyFont="1" applyFill="1"/>
    <xf numFmtId="37" fontId="33" fillId="0" borderId="0" xfId="0" applyFont="1"/>
    <xf numFmtId="37" fontId="168" fillId="0" borderId="0" xfId="0" applyFont="1"/>
    <xf numFmtId="37" fontId="33" fillId="0" borderId="13" xfId="0" applyFont="1" applyBorder="1"/>
    <xf numFmtId="37" fontId="168" fillId="0" borderId="13" xfId="0" applyFont="1" applyBorder="1"/>
    <xf numFmtId="0" fontId="169" fillId="0" borderId="0" xfId="13" applyFont="1" applyFill="1" applyAlignment="1">
      <alignment horizontal="right"/>
    </xf>
    <xf numFmtId="0" fontId="170" fillId="0" borderId="0" xfId="13" applyFont="1" applyFill="1" applyAlignment="1">
      <alignment horizontal="center"/>
    </xf>
    <xf numFmtId="0" fontId="170" fillId="0" borderId="0" xfId="13" applyFont="1" applyFill="1"/>
    <xf numFmtId="0" fontId="169" fillId="0" borderId="0" xfId="13" applyFont="1" applyFill="1"/>
    <xf numFmtId="0" fontId="171" fillId="0" borderId="0" xfId="13" applyFont="1" applyFill="1" applyAlignment="1">
      <alignment horizontal="center"/>
    </xf>
    <xf numFmtId="0" fontId="171" fillId="0" borderId="0" xfId="13" applyFont="1" applyFill="1"/>
    <xf numFmtId="43" fontId="171" fillId="0" borderId="0" xfId="1" applyFont="1" applyFill="1" applyAlignment="1">
      <alignment horizontal="center"/>
    </xf>
    <xf numFmtId="43" fontId="171" fillId="0" borderId="0" xfId="1" applyFont="1" applyFill="1"/>
    <xf numFmtId="43" fontId="171" fillId="0" borderId="13" xfId="1" applyFont="1" applyFill="1" applyBorder="1" applyAlignment="1">
      <alignment horizontal="center"/>
    </xf>
    <xf numFmtId="43" fontId="171" fillId="0" borderId="13" xfId="1" applyFont="1" applyFill="1" applyBorder="1"/>
    <xf numFmtId="178" fontId="61" fillId="0" borderId="0" xfId="14" applyNumberFormat="1" applyFont="1"/>
    <xf numFmtId="170" fontId="61" fillId="0" borderId="0" xfId="1" applyNumberFormat="1" applyFont="1"/>
    <xf numFmtId="43" fontId="61" fillId="0" borderId="0" xfId="14" applyNumberFormat="1" applyFont="1" applyBorder="1"/>
    <xf numFmtId="170" fontId="61" fillId="0" borderId="20" xfId="1" applyNumberFormat="1" applyFont="1" applyBorder="1"/>
    <xf numFmtId="37" fontId="5" fillId="0" borderId="0" xfId="0" applyFont="1" applyFill="1" applyAlignment="1">
      <alignment horizontal="center"/>
    </xf>
    <xf numFmtId="37" fontId="9" fillId="0" borderId="0" xfId="0" applyFont="1" applyFill="1" applyAlignment="1">
      <alignment horizontal="center"/>
    </xf>
    <xf numFmtId="37" fontId="43" fillId="0" borderId="0" xfId="0" applyFont="1" applyFill="1" applyAlignment="1">
      <alignment horizontal="center"/>
    </xf>
    <xf numFmtId="37" fontId="5" fillId="0" borderId="0" xfId="324" applyNumberFormat="1" applyFont="1" applyAlignment="1">
      <alignment horizontal="center"/>
    </xf>
    <xf numFmtId="37" fontId="9" fillId="0" borderId="0" xfId="324" applyNumberFormat="1" applyFont="1" applyAlignment="1">
      <alignment horizontal="center"/>
    </xf>
    <xf numFmtId="37" fontId="9" fillId="0" borderId="0" xfId="11" applyNumberFormat="1" applyFont="1" applyAlignment="1">
      <alignment horizontal="center"/>
    </xf>
    <xf numFmtId="0" fontId="9" fillId="0" borderId="0" xfId="11" applyFont="1" applyAlignment="1">
      <alignment horizontal="center"/>
    </xf>
    <xf numFmtId="0" fontId="21" fillId="2" borderId="0" xfId="19" applyFont="1" applyFill="1" applyBorder="1" applyAlignment="1">
      <alignment horizontal="center" wrapText="1"/>
    </xf>
    <xf numFmtId="37" fontId="3" fillId="0" borderId="2" xfId="0" applyFont="1" applyBorder="1" applyAlignment="1">
      <alignment horizontal="center"/>
    </xf>
    <xf numFmtId="0" fontId="68" fillId="0" borderId="37" xfId="13" applyFont="1" applyBorder="1" applyAlignment="1">
      <alignment wrapText="1"/>
    </xf>
    <xf numFmtId="0" fontId="68" fillId="0" borderId="4" xfId="13" applyFont="1" applyBorder="1" applyAlignment="1">
      <alignment vertical="top" wrapText="1"/>
    </xf>
    <xf numFmtId="0" fontId="68" fillId="0" borderId="5" xfId="13" applyFont="1" applyBorder="1" applyAlignment="1">
      <alignment wrapText="1"/>
    </xf>
    <xf numFmtId="0" fontId="84" fillId="0" borderId="0" xfId="13" applyFont="1" applyAlignment="1">
      <alignment wrapText="1"/>
    </xf>
    <xf numFmtId="0" fontId="68" fillId="0" borderId="0" xfId="13" applyAlignment="1">
      <alignment wrapText="1"/>
    </xf>
    <xf numFmtId="37" fontId="88" fillId="0" borderId="0" xfId="11" applyNumberFormat="1" applyFont="1" applyAlignment="1">
      <alignment horizontal="center"/>
    </xf>
    <xf numFmtId="0" fontId="88" fillId="0" borderId="0" xfId="11" applyFont="1" applyAlignment="1">
      <alignment horizontal="center"/>
    </xf>
    <xf numFmtId="178" fontId="95" fillId="0" borderId="6" xfId="28" applyNumberFormat="1" applyFont="1" applyBorder="1" applyAlignment="1">
      <alignment horizontal="center" wrapText="1"/>
    </xf>
    <xf numFmtId="178" fontId="95" fillId="0" borderId="8" xfId="28" applyNumberFormat="1" applyFont="1" applyBorder="1" applyAlignment="1">
      <alignment horizontal="center" wrapText="1"/>
    </xf>
    <xf numFmtId="0" fontId="104" fillId="0" borderId="0" xfId="14" applyFont="1" applyAlignment="1">
      <alignment horizontal="center"/>
    </xf>
    <xf numFmtId="0" fontId="45" fillId="0" borderId="0" xfId="14" applyFont="1" applyAlignment="1">
      <alignment horizontal="center" wrapText="1"/>
    </xf>
    <xf numFmtId="0" fontId="104" fillId="0" borderId="0" xfId="14" applyFont="1" applyAlignment="1">
      <alignment horizontal="right"/>
    </xf>
    <xf numFmtId="0" fontId="96" fillId="4" borderId="26" xfId="25" applyFont="1" applyFill="1" applyBorder="1" applyAlignment="1">
      <alignment horizontal="center" wrapText="1"/>
    </xf>
    <xf numFmtId="0" fontId="97" fillId="0" borderId="26" xfId="25" applyFont="1" applyFill="1" applyBorder="1" applyAlignment="1">
      <alignment horizontal="center" wrapText="1"/>
    </xf>
    <xf numFmtId="0" fontId="95" fillId="0" borderId="36" xfId="25" applyFont="1" applyBorder="1" applyAlignment="1">
      <alignment horizontal="center" wrapText="1"/>
    </xf>
    <xf numFmtId="0" fontId="61" fillId="0" borderId="0" xfId="14" applyFont="1" applyBorder="1" applyAlignment="1">
      <alignment horizontal="center"/>
    </xf>
    <xf numFmtId="0" fontId="45" fillId="0" borderId="0" xfId="14" applyFont="1" applyAlignment="1">
      <alignment horizontal="left" wrapText="1"/>
    </xf>
    <xf numFmtId="0" fontId="95" fillId="0" borderId="6" xfId="25" applyFont="1" applyFill="1" applyBorder="1" applyAlignment="1">
      <alignment horizontal="center" wrapText="1"/>
    </xf>
    <xf numFmtId="0" fontId="95" fillId="0" borderId="7" xfId="25" applyFont="1" applyFill="1" applyBorder="1" applyAlignment="1">
      <alignment horizontal="center" wrapText="1"/>
    </xf>
    <xf numFmtId="0" fontId="95" fillId="0" borderId="8" xfId="25" applyFont="1" applyFill="1" applyBorder="1" applyAlignment="1">
      <alignment horizontal="center" wrapText="1"/>
    </xf>
    <xf numFmtId="178" fontId="95" fillId="0" borderId="36" xfId="26" applyNumberFormat="1" applyFont="1" applyBorder="1" applyAlignment="1">
      <alignment horizontal="center" wrapText="1"/>
    </xf>
    <xf numFmtId="178" fontId="95" fillId="0" borderId="6" xfId="26" applyNumberFormat="1" applyFont="1" applyBorder="1" applyAlignment="1">
      <alignment horizontal="center" wrapText="1"/>
    </xf>
    <xf numFmtId="178" fontId="95" fillId="0" borderId="8" xfId="26" applyNumberFormat="1" applyFont="1" applyBorder="1" applyAlignment="1">
      <alignment horizontal="center" wrapText="1"/>
    </xf>
    <xf numFmtId="37" fontId="9" fillId="0" borderId="0" xfId="4" applyNumberFormat="1" applyFont="1" applyAlignment="1">
      <alignment horizontal="center"/>
    </xf>
    <xf numFmtId="0" fontId="9" fillId="0" borderId="0" xfId="4" applyFont="1" applyAlignment="1">
      <alignment horizontal="center"/>
    </xf>
    <xf numFmtId="0" fontId="43" fillId="0" borderId="7" xfId="19" applyFont="1" applyBorder="1" applyAlignment="1">
      <alignment horizontal="center"/>
    </xf>
    <xf numFmtId="0" fontId="58" fillId="0" borderId="0" xfId="19" applyFont="1" applyAlignment="1">
      <alignment horizontal="center"/>
    </xf>
    <xf numFmtId="0" fontId="68" fillId="0" borderId="0" xfId="13" applyFont="1" applyFill="1" applyAlignment="1">
      <alignment horizontal="left" wrapText="1"/>
    </xf>
    <xf numFmtId="0" fontId="43" fillId="0" borderId="30" xfId="11" applyFont="1" applyBorder="1" applyAlignment="1">
      <alignment horizontal="center"/>
    </xf>
    <xf numFmtId="37" fontId="43" fillId="0" borderId="0" xfId="11" applyNumberFormat="1" applyFont="1" applyBorder="1" applyAlignment="1">
      <alignment horizontal="center"/>
    </xf>
    <xf numFmtId="0" fontId="43" fillId="0" borderId="0" xfId="11" applyFont="1" applyBorder="1" applyAlignment="1">
      <alignment horizontal="center"/>
    </xf>
    <xf numFmtId="0" fontId="43" fillId="0" borderId="0" xfId="11" applyFont="1" applyAlignment="1">
      <alignment horizontal="center"/>
    </xf>
    <xf numFmtId="0" fontId="61" fillId="5" borderId="0" xfId="11" applyFont="1" applyFill="1" applyBorder="1" applyAlignment="1">
      <alignment horizontal="center" vertical="center" wrapText="1"/>
    </xf>
    <xf numFmtId="37" fontId="43" fillId="0" borderId="0" xfId="11" applyNumberFormat="1" applyFont="1" applyAlignment="1">
      <alignment horizontal="center"/>
    </xf>
    <xf numFmtId="0" fontId="43" fillId="0" borderId="7" xfId="11" applyFont="1" applyBorder="1" applyAlignment="1">
      <alignment horizontal="center"/>
    </xf>
    <xf numFmtId="0" fontId="43" fillId="0" borderId="21" xfId="11" applyFont="1" applyBorder="1" applyAlignment="1">
      <alignment horizontal="center"/>
    </xf>
    <xf numFmtId="0" fontId="43" fillId="0" borderId="22" xfId="11" applyFont="1" applyBorder="1" applyAlignment="1">
      <alignment horizontal="center"/>
    </xf>
    <xf numFmtId="0" fontId="43" fillId="0" borderId="23" xfId="11" applyFont="1" applyBorder="1" applyAlignment="1">
      <alignment horizontal="center"/>
    </xf>
    <xf numFmtId="0" fontId="47" fillId="0" borderId="0" xfId="11" applyFont="1" applyFill="1" applyBorder="1" applyAlignment="1">
      <alignment horizontal="center"/>
    </xf>
    <xf numFmtId="0" fontId="47" fillId="0" borderId="0" xfId="11" applyFont="1" applyBorder="1" applyAlignment="1">
      <alignment horizontal="center"/>
    </xf>
    <xf numFmtId="0" fontId="65" fillId="0" borderId="21" xfId="11" applyFont="1" applyBorder="1" applyAlignment="1">
      <alignment horizontal="center"/>
    </xf>
    <xf numFmtId="0" fontId="65" fillId="0" borderId="22" xfId="11" applyFont="1" applyBorder="1" applyAlignment="1">
      <alignment horizontal="center"/>
    </xf>
    <xf numFmtId="0" fontId="65" fillId="0" borderId="23" xfId="11" applyFont="1" applyBorder="1" applyAlignment="1">
      <alignment horizontal="center"/>
    </xf>
    <xf numFmtId="0" fontId="44" fillId="0" borderId="30" xfId="11" applyFont="1" applyFill="1" applyBorder="1" applyAlignment="1">
      <alignment horizontal="center"/>
    </xf>
    <xf numFmtId="0" fontId="51" fillId="0" borderId="0" xfId="7" applyFont="1" applyAlignment="1">
      <alignment horizontal="center" wrapText="1"/>
    </xf>
    <xf numFmtId="0" fontId="163" fillId="0" borderId="0" xfId="437" applyFont="1" applyAlignment="1">
      <alignment horizontal="center"/>
    </xf>
    <xf numFmtId="0" fontId="1" fillId="0" borderId="7" xfId="437" applyBorder="1" applyAlignment="1">
      <alignment horizontal="center"/>
    </xf>
    <xf numFmtId="0" fontId="73" fillId="0" borderId="0" xfId="14" applyFont="1" applyFill="1" applyAlignment="1">
      <alignment horizontal="center"/>
    </xf>
    <xf numFmtId="0" fontId="70" fillId="0" borderId="0" xfId="14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</cellXfs>
  <cellStyles count="439">
    <cellStyle name="20% - Accent1 2" xfId="30"/>
    <cellStyle name="20% - Accent1 3" xfId="31"/>
    <cellStyle name="20% - Accent2 2" xfId="32"/>
    <cellStyle name="20% - Accent3 2" xfId="33"/>
    <cellStyle name="20% - Accent4 2" xfId="34"/>
    <cellStyle name="20% - Accent4 3" xfId="35"/>
    <cellStyle name="20% - Accent5 2" xfId="36"/>
    <cellStyle name="20% - Accent6 2" xfId="37"/>
    <cellStyle name="40% - Accent1 2" xfId="38"/>
    <cellStyle name="40% - Accent1 3" xfId="39"/>
    <cellStyle name="40% - Accent2 2" xfId="40"/>
    <cellStyle name="40% - Accent3 2" xfId="41"/>
    <cellStyle name="40% - Accent4 2" xfId="42"/>
    <cellStyle name="40% - Accent4 3" xfId="43"/>
    <cellStyle name="40% - Accent5 2" xfId="44"/>
    <cellStyle name="40% - Accent6 2" xfId="45"/>
    <cellStyle name="40% - Accent6 3" xfId="46"/>
    <cellStyle name="60% - Accent1 2" xfId="47"/>
    <cellStyle name="60% - Accent1 3" xfId="48"/>
    <cellStyle name="60% - Accent2 2" xfId="49"/>
    <cellStyle name="60% - Accent3 2" xfId="50"/>
    <cellStyle name="60% - Accent3 3" xfId="51"/>
    <cellStyle name="60% - Accent4 2" xfId="52"/>
    <cellStyle name="60% - Accent4 3" xfId="53"/>
    <cellStyle name="60% - Accent5 2" xfId="54"/>
    <cellStyle name="60% - Accent6 2" xfId="55"/>
    <cellStyle name="Accent1 2" xfId="56"/>
    <cellStyle name="Accent1 3" xfId="57"/>
    <cellStyle name="Accent2 2" xfId="58"/>
    <cellStyle name="Accent3 2" xfId="59"/>
    <cellStyle name="Accent4 2" xfId="60"/>
    <cellStyle name="Accent5 2" xfId="61"/>
    <cellStyle name="Accent6 2" xfId="62"/>
    <cellStyle name="Accounting" xfId="63"/>
    <cellStyle name="Accounting 2" xfId="64"/>
    <cellStyle name="Accounting 3" xfId="65"/>
    <cellStyle name="Accounting_2011-11" xfId="66"/>
    <cellStyle name="Bad 2" xfId="67"/>
    <cellStyle name="Budget" xfId="68"/>
    <cellStyle name="Budget 2" xfId="69"/>
    <cellStyle name="Budget 3" xfId="70"/>
    <cellStyle name="Budget_2011-11" xfId="71"/>
    <cellStyle name="C00A" xfId="72"/>
    <cellStyle name="C00B" xfId="73"/>
    <cellStyle name="C00L" xfId="74"/>
    <cellStyle name="C01A" xfId="75"/>
    <cellStyle name="C01B" xfId="76"/>
    <cellStyle name="C01H" xfId="77"/>
    <cellStyle name="C01L" xfId="78"/>
    <cellStyle name="C02A" xfId="79"/>
    <cellStyle name="C02B" xfId="80"/>
    <cellStyle name="C02H" xfId="81"/>
    <cellStyle name="C02L" xfId="82"/>
    <cellStyle name="C03A" xfId="83"/>
    <cellStyle name="C03B" xfId="84"/>
    <cellStyle name="C03H" xfId="85"/>
    <cellStyle name="C03L" xfId="86"/>
    <cellStyle name="C04A" xfId="87"/>
    <cellStyle name="C04B" xfId="88"/>
    <cellStyle name="C04H" xfId="89"/>
    <cellStyle name="C04L" xfId="90"/>
    <cellStyle name="C05A" xfId="91"/>
    <cellStyle name="C05B" xfId="92"/>
    <cellStyle name="C05H" xfId="93"/>
    <cellStyle name="C05L" xfId="94"/>
    <cellStyle name="C06A" xfId="95"/>
    <cellStyle name="C06B" xfId="96"/>
    <cellStyle name="C06H" xfId="97"/>
    <cellStyle name="C06L" xfId="98"/>
    <cellStyle name="C07A" xfId="99"/>
    <cellStyle name="C07B" xfId="100"/>
    <cellStyle name="C07H" xfId="101"/>
    <cellStyle name="C07L" xfId="102"/>
    <cellStyle name="Calculation 2" xfId="103"/>
    <cellStyle name="Calculation 3" xfId="104"/>
    <cellStyle name="Check Cell 2" xfId="105"/>
    <cellStyle name="combo" xfId="106"/>
    <cellStyle name="Comma" xfId="1" builtinId="3"/>
    <cellStyle name="Comma [0] 2" xfId="107"/>
    <cellStyle name="Comma 10" xfId="108"/>
    <cellStyle name="Comma 11" xfId="109"/>
    <cellStyle name="Comma 12" xfId="110"/>
    <cellStyle name="Comma 13" xfId="111"/>
    <cellStyle name="Comma 14" xfId="112"/>
    <cellStyle name="Comma 15" xfId="113"/>
    <cellStyle name="Comma 16" xfId="114"/>
    <cellStyle name="Comma 17" xfId="115"/>
    <cellStyle name="Comma 18" xfId="116"/>
    <cellStyle name="Comma 19" xfId="117"/>
    <cellStyle name="Comma 2" xfId="118"/>
    <cellStyle name="Comma 2 2" xfId="119"/>
    <cellStyle name="Comma 2 2 2" xfId="120"/>
    <cellStyle name="Comma 2 2 2 2" xfId="121"/>
    <cellStyle name="Comma 2 2 3" xfId="122"/>
    <cellStyle name="Comma 2 3" xfId="123"/>
    <cellStyle name="Comma 2 3 2" xfId="124"/>
    <cellStyle name="Comma 2 4" xfId="125"/>
    <cellStyle name="Comma 2 4 2" xfId="126"/>
    <cellStyle name="Comma 20" xfId="127"/>
    <cellStyle name="Comma 21" xfId="128"/>
    <cellStyle name="Comma 22" xfId="21"/>
    <cellStyle name="Comma 23" xfId="24"/>
    <cellStyle name="Comma 24" xfId="129"/>
    <cellStyle name="Comma 25" xfId="16"/>
    <cellStyle name="Comma 3" xfId="130"/>
    <cellStyle name="Comma 3 2" xfId="131"/>
    <cellStyle name="Comma 3 2 2" xfId="132"/>
    <cellStyle name="Comma 3 3" xfId="133"/>
    <cellStyle name="Comma 3 4" xfId="134"/>
    <cellStyle name="Comma 4" xfId="135"/>
    <cellStyle name="Comma 4 2" xfId="136"/>
    <cellStyle name="Comma 4 3" xfId="137"/>
    <cellStyle name="Comma 4 4" xfId="138"/>
    <cellStyle name="Comma 4 5" xfId="139"/>
    <cellStyle name="Comma 4 6" xfId="140"/>
    <cellStyle name="Comma 5" xfId="141"/>
    <cellStyle name="Comma 5 2" xfId="142"/>
    <cellStyle name="Comma 6" xfId="143"/>
    <cellStyle name="Comma 6 2" xfId="144"/>
    <cellStyle name="Comma 6 3" xfId="145"/>
    <cellStyle name="Comma 7" xfId="146"/>
    <cellStyle name="Comma 7 2" xfId="147"/>
    <cellStyle name="Comma 7 3" xfId="148"/>
    <cellStyle name="Comma 8" xfId="149"/>
    <cellStyle name="Comma 8 2" xfId="150"/>
    <cellStyle name="Comma 9" xfId="151"/>
    <cellStyle name="Comma(2)" xfId="152"/>
    <cellStyle name="Comma0" xfId="153"/>
    <cellStyle name="Comma0 - Style2" xfId="154"/>
    <cellStyle name="Comma1 - Style1" xfId="155"/>
    <cellStyle name="Comments" xfId="156"/>
    <cellStyle name="Currency" xfId="2" builtinId="4"/>
    <cellStyle name="Currency 10" xfId="157"/>
    <cellStyle name="Currency 11" xfId="8"/>
    <cellStyle name="Currency 12" xfId="18"/>
    <cellStyle name="Currency 13" xfId="436"/>
    <cellStyle name="Currency 2" xfId="29"/>
    <cellStyle name="Currency 2 2" xfId="158"/>
    <cellStyle name="Currency 2 2 2" xfId="159"/>
    <cellStyle name="Currency 2 3" xfId="28"/>
    <cellStyle name="Currency 2 3 2" xfId="160"/>
    <cellStyle name="Currency 2 3 3" xfId="161"/>
    <cellStyle name="Currency 2 4" xfId="162"/>
    <cellStyle name="Currency 2 4 2" xfId="163"/>
    <cellStyle name="Currency 2 5" xfId="164"/>
    <cellStyle name="Currency 3" xfId="165"/>
    <cellStyle name="Currency 3 2" xfId="166"/>
    <cellStyle name="Currency 3 3" xfId="167"/>
    <cellStyle name="Currency 4" xfId="168"/>
    <cellStyle name="Currency 4 2" xfId="169"/>
    <cellStyle name="Currency 5" xfId="26"/>
    <cellStyle name="Currency 5 2" xfId="170"/>
    <cellStyle name="Currency 5 3" xfId="171"/>
    <cellStyle name="Currency 6" xfId="172"/>
    <cellStyle name="Currency 6 2" xfId="173"/>
    <cellStyle name="Currency 7" xfId="174"/>
    <cellStyle name="Currency 7 2" xfId="175"/>
    <cellStyle name="Currency 8" xfId="176"/>
    <cellStyle name="Currency 8 2" xfId="177"/>
    <cellStyle name="Currency 9" xfId="178"/>
    <cellStyle name="Currency 9 2" xfId="179"/>
    <cellStyle name="Currency0" xfId="180"/>
    <cellStyle name="Data Enter" xfId="181"/>
    <cellStyle name="Date" xfId="182"/>
    <cellStyle name="date 2" xfId="183"/>
    <cellStyle name="Explanatory Text 2" xfId="184"/>
    <cellStyle name="FactSheet" xfId="185"/>
    <cellStyle name="fish" xfId="186"/>
    <cellStyle name="Fixed" xfId="187"/>
    <cellStyle name="Good 2" xfId="188"/>
    <cellStyle name="Grey" xfId="189"/>
    <cellStyle name="Header1" xfId="190"/>
    <cellStyle name="Header2" xfId="191"/>
    <cellStyle name="Heading 1 2" xfId="192"/>
    <cellStyle name="Heading 1 3" xfId="193"/>
    <cellStyle name="Heading 2 2" xfId="194"/>
    <cellStyle name="Heading 2 3" xfId="195"/>
    <cellStyle name="Heading 3 2" xfId="196"/>
    <cellStyle name="Heading 3 3" xfId="197"/>
    <cellStyle name="Heading 4 2" xfId="198"/>
    <cellStyle name="Hyperlink 2" xfId="199"/>
    <cellStyle name="Hyperlink 3" xfId="200"/>
    <cellStyle name="Hyperlink 4" xfId="201"/>
    <cellStyle name="Input [yellow]" xfId="202"/>
    <cellStyle name="Input 2" xfId="203"/>
    <cellStyle name="input(0)" xfId="204"/>
    <cellStyle name="Input(2)" xfId="205"/>
    <cellStyle name="Linked Cell 2" xfId="206"/>
    <cellStyle name="MW_STANDARD" xfId="207"/>
    <cellStyle name="Neutral 2" xfId="208"/>
    <cellStyle name="New_normal" xfId="209"/>
    <cellStyle name="Normal" xfId="0" builtinId="0"/>
    <cellStyle name="Normal - Style1" xfId="210"/>
    <cellStyle name="Normal - Style2" xfId="211"/>
    <cellStyle name="Normal - Style3" xfId="212"/>
    <cellStyle name="Normal - Style4" xfId="213"/>
    <cellStyle name="Normal - Style5" xfId="214"/>
    <cellStyle name="Normal - Style6" xfId="215"/>
    <cellStyle name="Normal - Style7" xfId="216"/>
    <cellStyle name="Normal - Style8" xfId="217"/>
    <cellStyle name="Normal 10" xfId="218"/>
    <cellStyle name="Normal 10 2" xfId="19"/>
    <cellStyle name="Normal 10 2 2" xfId="219"/>
    <cellStyle name="Normal 10 2 3" xfId="220"/>
    <cellStyle name="Normal 10 3" xfId="221"/>
    <cellStyle name="Normal 10_2112 DF Schedule" xfId="222"/>
    <cellStyle name="Normal 11" xfId="223"/>
    <cellStyle name="Normal 11 2" xfId="224"/>
    <cellStyle name="Normal 11 3" xfId="225"/>
    <cellStyle name="Normal 12" xfId="226"/>
    <cellStyle name="Normal 12 2" xfId="227"/>
    <cellStyle name="Normal 13" xfId="228"/>
    <cellStyle name="Normal 13 2" xfId="229"/>
    <cellStyle name="Normal 14" xfId="230"/>
    <cellStyle name="Normal 14 2" xfId="231"/>
    <cellStyle name="Normal 15" xfId="232"/>
    <cellStyle name="Normal 15 2" xfId="233"/>
    <cellStyle name="Normal 16" xfId="234"/>
    <cellStyle name="Normal 16 2" xfId="235"/>
    <cellStyle name="Normal 17" xfId="236"/>
    <cellStyle name="Normal 18" xfId="237"/>
    <cellStyle name="Normal 19" xfId="238"/>
    <cellStyle name="Normal 2" xfId="239"/>
    <cellStyle name="Normal 2 2" xfId="5"/>
    <cellStyle name="Normal 2 2 2" xfId="240"/>
    <cellStyle name="Normal 2 2 3" xfId="241"/>
    <cellStyle name="Normal 2 2 4" xfId="242"/>
    <cellStyle name="Normal 2 2_Actual_Fuel" xfId="243"/>
    <cellStyle name="Normal 2 3" xfId="11"/>
    <cellStyle name="Normal 2 3 2" xfId="244"/>
    <cellStyle name="Normal 2 3 3" xfId="245"/>
    <cellStyle name="Normal 2 3 4" xfId="246"/>
    <cellStyle name="Normal 2 4" xfId="14"/>
    <cellStyle name="Normal 2 4 2" xfId="247"/>
    <cellStyle name="Normal 2 5" xfId="12"/>
    <cellStyle name="Normal 2_2012-10" xfId="248"/>
    <cellStyle name="Normal 20" xfId="249"/>
    <cellStyle name="Normal 21" xfId="250"/>
    <cellStyle name="Normal 22" xfId="251"/>
    <cellStyle name="Normal 23" xfId="252"/>
    <cellStyle name="Normal 24" xfId="253"/>
    <cellStyle name="Normal 25" xfId="254"/>
    <cellStyle name="Normal 26" xfId="255"/>
    <cellStyle name="Normal 27" xfId="256"/>
    <cellStyle name="Normal 28" xfId="257"/>
    <cellStyle name="Normal 29" xfId="258"/>
    <cellStyle name="Normal 3" xfId="259"/>
    <cellStyle name="Normal 3 2" xfId="4"/>
    <cellStyle name="Normal 3 3" xfId="260"/>
    <cellStyle name="Normal 3 4" xfId="261"/>
    <cellStyle name="Normal 3_2012 PR" xfId="262"/>
    <cellStyle name="Normal 30" xfId="263"/>
    <cellStyle name="Normal 31" xfId="264"/>
    <cellStyle name="Normal 32" xfId="265"/>
    <cellStyle name="Normal 33" xfId="266"/>
    <cellStyle name="Normal 34" xfId="267"/>
    <cellStyle name="Normal 35" xfId="268"/>
    <cellStyle name="Normal 36" xfId="269"/>
    <cellStyle name="Normal 37" xfId="270"/>
    <cellStyle name="Normal 38" xfId="271"/>
    <cellStyle name="Normal 39" xfId="272"/>
    <cellStyle name="Normal 4" xfId="273"/>
    <cellStyle name="Normal 4 2" xfId="274"/>
    <cellStyle name="Normal 40" xfId="275"/>
    <cellStyle name="Normal 41" xfId="276"/>
    <cellStyle name="Normal 42" xfId="277"/>
    <cellStyle name="Normal 43" xfId="278"/>
    <cellStyle name="Normal 44" xfId="279"/>
    <cellStyle name="Normal 45" xfId="280"/>
    <cellStyle name="Normal 46" xfId="281"/>
    <cellStyle name="Normal 47" xfId="282"/>
    <cellStyle name="Normal 48" xfId="283"/>
    <cellStyle name="Normal 49" xfId="284"/>
    <cellStyle name="Normal 5" xfId="285"/>
    <cellStyle name="Normal 5 2" xfId="286"/>
    <cellStyle name="Normal 5 2 2" xfId="287"/>
    <cellStyle name="Normal 5 3" xfId="288"/>
    <cellStyle name="Normal 5_2112 DF Schedule" xfId="289"/>
    <cellStyle name="Normal 50" xfId="290"/>
    <cellStyle name="Normal 51" xfId="291"/>
    <cellStyle name="Normal 52" xfId="292"/>
    <cellStyle name="Normal 53" xfId="293"/>
    <cellStyle name="Normal 54" xfId="294"/>
    <cellStyle name="Normal 55" xfId="295"/>
    <cellStyle name="Normal 56" xfId="296"/>
    <cellStyle name="Normal 57" xfId="297"/>
    <cellStyle name="Normal 58" xfId="298"/>
    <cellStyle name="Normal 59" xfId="299"/>
    <cellStyle name="Normal 6" xfId="13"/>
    <cellStyle name="Normal 6 2" xfId="300"/>
    <cellStyle name="Normal 6 3" xfId="301"/>
    <cellStyle name="Normal 60" xfId="302"/>
    <cellStyle name="Normal 61" xfId="303"/>
    <cellStyle name="Normal 62" xfId="304"/>
    <cellStyle name="Normal 63" xfId="305"/>
    <cellStyle name="Normal 64" xfId="306"/>
    <cellStyle name="Normal 65" xfId="307"/>
    <cellStyle name="Normal 66" xfId="308"/>
    <cellStyle name="Normal 67" xfId="309"/>
    <cellStyle name="Normal 68" xfId="310"/>
    <cellStyle name="Normal 69" xfId="311"/>
    <cellStyle name="Normal 7" xfId="312"/>
    <cellStyle name="Normal 7 2" xfId="313"/>
    <cellStyle name="Normal 70" xfId="314"/>
    <cellStyle name="Normal 71" xfId="315"/>
    <cellStyle name="Normal 72" xfId="316"/>
    <cellStyle name="Normal 73" xfId="317"/>
    <cellStyle name="Normal 74" xfId="318"/>
    <cellStyle name="Normal 75" xfId="319"/>
    <cellStyle name="Normal 76" xfId="320"/>
    <cellStyle name="Normal 77" xfId="321"/>
    <cellStyle name="Normal 78" xfId="322"/>
    <cellStyle name="Normal 79" xfId="323"/>
    <cellStyle name="Normal 8" xfId="324"/>
    <cellStyle name="Normal 8 2" xfId="325"/>
    <cellStyle name="Normal 80" xfId="326"/>
    <cellStyle name="Normal 81" xfId="327"/>
    <cellStyle name="Normal 82" xfId="328"/>
    <cellStyle name="Normal 83" xfId="329"/>
    <cellStyle name="Normal 84" xfId="330"/>
    <cellStyle name="Normal 85" xfId="331"/>
    <cellStyle name="Normal 86" xfId="332"/>
    <cellStyle name="Normal 87" xfId="7"/>
    <cellStyle name="Normal 88" xfId="23"/>
    <cellStyle name="Normal 89" xfId="333"/>
    <cellStyle name="Normal 9" xfId="334"/>
    <cellStyle name="Normal 9 2" xfId="335"/>
    <cellStyle name="Normal 9 3" xfId="336"/>
    <cellStyle name="Normal 90" xfId="15"/>
    <cellStyle name="Normal 91" xfId="437"/>
    <cellStyle name="Normal_Book1" xfId="6"/>
    <cellStyle name="Normal_DEPN2K" xfId="25"/>
    <cellStyle name="Note 2" xfId="337"/>
    <cellStyle name="Note 3" xfId="338"/>
    <cellStyle name="Notes" xfId="339"/>
    <cellStyle name="Output 2" xfId="340"/>
    <cellStyle name="Percent" xfId="3" builtinId="5"/>
    <cellStyle name="Percent [2]" xfId="341"/>
    <cellStyle name="Percent 10" xfId="342"/>
    <cellStyle name="Percent 11" xfId="22"/>
    <cellStyle name="Percent 12" xfId="27"/>
    <cellStyle name="Percent 13" xfId="10"/>
    <cellStyle name="Percent 14" xfId="9"/>
    <cellStyle name="Percent 15" xfId="20"/>
    <cellStyle name="Percent 16" xfId="17"/>
    <cellStyle name="Percent 17" xfId="438"/>
    <cellStyle name="Percent 2" xfId="343"/>
    <cellStyle name="Percent 2 2" xfId="344"/>
    <cellStyle name="Percent 2 2 2" xfId="345"/>
    <cellStyle name="Percent 2 2 2 2" xfId="346"/>
    <cellStyle name="Percent 2 2 3" xfId="347"/>
    <cellStyle name="Percent 2 2 4" xfId="348"/>
    <cellStyle name="Percent 2 3" xfId="349"/>
    <cellStyle name="Percent 2 3 2" xfId="350"/>
    <cellStyle name="Percent 2 4" xfId="351"/>
    <cellStyle name="Percent 2 4 2" xfId="352"/>
    <cellStyle name="Percent 2 5" xfId="353"/>
    <cellStyle name="Percent 2 6" xfId="354"/>
    <cellStyle name="Percent 3" xfId="355"/>
    <cellStyle name="Percent 3 2" xfId="356"/>
    <cellStyle name="Percent 3 2 2" xfId="357"/>
    <cellStyle name="Percent 3 3" xfId="358"/>
    <cellStyle name="Percent 3 3 2" xfId="359"/>
    <cellStyle name="Percent 3 4" xfId="360"/>
    <cellStyle name="Percent 3 5" xfId="361"/>
    <cellStyle name="Percent 4" xfId="362"/>
    <cellStyle name="Percent 4 2" xfId="363"/>
    <cellStyle name="Percent 4 3" xfId="364"/>
    <cellStyle name="Percent 5" xfId="365"/>
    <cellStyle name="Percent 6" xfId="366"/>
    <cellStyle name="Percent 7" xfId="367"/>
    <cellStyle name="Percent 7 2" xfId="368"/>
    <cellStyle name="Percent 8" xfId="369"/>
    <cellStyle name="Percent 9" xfId="370"/>
    <cellStyle name="Percent(1)" xfId="371"/>
    <cellStyle name="Percent(2)" xfId="372"/>
    <cellStyle name="PRM" xfId="373"/>
    <cellStyle name="PRM 2" xfId="374"/>
    <cellStyle name="PRM 3" xfId="375"/>
    <cellStyle name="PRM_2011-11" xfId="376"/>
    <cellStyle name="PS_Comma" xfId="377"/>
    <cellStyle name="PSChar" xfId="378"/>
    <cellStyle name="PSDate" xfId="379"/>
    <cellStyle name="PSDec" xfId="380"/>
    <cellStyle name="PSHeading" xfId="381"/>
    <cellStyle name="PSHeading 2" xfId="382"/>
    <cellStyle name="PSInt" xfId="383"/>
    <cellStyle name="PSSpacer" xfId="384"/>
    <cellStyle name="R00A" xfId="385"/>
    <cellStyle name="R00B" xfId="386"/>
    <cellStyle name="R00L" xfId="387"/>
    <cellStyle name="R01A" xfId="388"/>
    <cellStyle name="R01B" xfId="389"/>
    <cellStyle name="R01H" xfId="390"/>
    <cellStyle name="R01L" xfId="391"/>
    <cellStyle name="R02A" xfId="392"/>
    <cellStyle name="R02B" xfId="393"/>
    <cellStyle name="R02H" xfId="394"/>
    <cellStyle name="R02L" xfId="395"/>
    <cellStyle name="R03A" xfId="396"/>
    <cellStyle name="R03B" xfId="397"/>
    <cellStyle name="R03H" xfId="398"/>
    <cellStyle name="R03L" xfId="399"/>
    <cellStyle name="R04A" xfId="400"/>
    <cellStyle name="R04B" xfId="401"/>
    <cellStyle name="R04H" xfId="402"/>
    <cellStyle name="R04L" xfId="403"/>
    <cellStyle name="R05A" xfId="404"/>
    <cellStyle name="R05B" xfId="405"/>
    <cellStyle name="R05H" xfId="406"/>
    <cellStyle name="R05L" xfId="407"/>
    <cellStyle name="R06A" xfId="408"/>
    <cellStyle name="R06B" xfId="409"/>
    <cellStyle name="R06H" xfId="410"/>
    <cellStyle name="R06L" xfId="411"/>
    <cellStyle name="R07A" xfId="412"/>
    <cellStyle name="R07B" xfId="413"/>
    <cellStyle name="R07H" xfId="414"/>
    <cellStyle name="R07L" xfId="415"/>
    <cellStyle name="STYL0 - Style1" xfId="416"/>
    <cellStyle name="STYL1 - Style2" xfId="417"/>
    <cellStyle name="STYL2 - Style3" xfId="418"/>
    <cellStyle name="STYL3 - Style4" xfId="419"/>
    <cellStyle name="STYL4 - Style5" xfId="420"/>
    <cellStyle name="STYL5 - Style6" xfId="421"/>
    <cellStyle name="STYL6 - Style7" xfId="422"/>
    <cellStyle name="STYL7 - Style8" xfId="423"/>
    <cellStyle name="Style 1" xfId="424"/>
    <cellStyle name="Style 1 2" xfId="425"/>
    <cellStyle name="STYLE1" xfId="426"/>
    <cellStyle name="STYLE1 2" xfId="427"/>
    <cellStyle name="sub heading" xfId="428"/>
    <cellStyle name="test" xfId="429"/>
    <cellStyle name="Title 2" xfId="430"/>
    <cellStyle name="Total 2" xfId="431"/>
    <cellStyle name="Total 3" xfId="432"/>
    <cellStyle name="Warning Text 2" xfId="433"/>
    <cellStyle name="WM_STANDARD" xfId="434"/>
    <cellStyle name="WMI_Default" xfId="4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3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ickels\Desktop\Example%20of%20WM%20of%20Sno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San%20Juan%20Sanitation%20Co\Year%202010\Staff\San%20Juan%20Sanitation\WUTC\SJS%20Income%20State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_TO_Z\WASTE%20COMPANY%20GROUP\WAC0252%20-%20Waste%20Control,%20Inc-1633\Rate%20Cases\2013%20Rate%20Case\Dave%20Wiley\Post%20Suspension\Files%20for%20conf%20call%20032114\sent%20to%20utc\staff%20WCI%20Pro%20forma%2010-11-2013%20cos%20from%20meliss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San%20Juan%20Sanitation%20Co\Year%202010\Staff\W_COMP\Rosario\2007%20rate%20case\Worksheets\070944%20Loan%20Recalcul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Data%20Requests\Data%20Requests\Formal%20DR%203-10\DR%203%20and%20DR%204%20-%20TG-140560WCI%20Operations%200522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Finanical%20Statements\2013,%20TY,%202012_Balance_Sheets%20WCI,%20WCE,%20HBII,%20H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Land%20rent%20calculation%20071120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Staff%20Disposal%20Tons%207-18-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Adj\Kalama%20Garbage%202012%20Activit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Data%20Requests\Data%20Requests\Formal%20DR%2020\DR%2020%20Jan-Jun%202014%20GL%20detail%20legal%20and%20accountin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ckhard\AppData\Local\Microsoft\Windows\Temporary%20Internet%20Files\Content.Outlook\RQ8DLBVD\Copy%20of%20GRC%20%20detail%20legal%20and%20accounting%20-%20adjusted%20for%20PHC%20d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Waste%20Management%20-%20Filings\Ellensburg\Year%202009\TG-091472%20(GRC)\Staff\TG-091472%20WM%20of%20Ellensburg%20(Workpaper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Waste%20Management\Sno-King\Year%202009\TG-091933\Staff\TG-091933%20WM%20of%20SnoKing%20GRC%20(Workpapers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ignments\Solid%20Waste\Waste%20Connections\Year%202008\American%20Disposal%20Company,%20Inc\Yr%202009\TG-090098%20(General%20Case)\Staff\TG-090097%20&amp;%20TG-090098%20Proforma%20(Staff%20-%20Route%20Hrs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Staff%20WCI%20Operations%200522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_TO_Z\WASTE%20COMPANY%20GROUP\WAC0252%20-%20Waste%20Control,%20Inc-1633\Rate%20Cases\2013%20Rate%20Case\Workpapers\Waste%20Control,%20Inc.-%20Cost%20Study%2006-30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A"/>
      <sheetName val="Schedule 3B"/>
      <sheetName val="Schedule 3C"/>
      <sheetName val="Schedule 4"/>
      <sheetName val="Schedule 5"/>
      <sheetName val="Schedule 6"/>
      <sheetName val="Schedule 7"/>
      <sheetName val="Schedule 8"/>
      <sheetName val="Schedule 9A"/>
      <sheetName val="Schedule 9B"/>
      <sheetName val="Schedule 10"/>
      <sheetName val="Reg Fe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Out"/>
      <sheetName val="Summary Price Out"/>
      <sheetName val="Fly Sheet"/>
      <sheetName val="Comp Report"/>
      <sheetName val="LURITXPF AVG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6 P2"/>
      <sheetName val="WP-7 - Affiliated "/>
      <sheetName val="WP-8 - Cust Counts (x per wk)"/>
      <sheetName val="WP-9 - Fuel"/>
      <sheetName val="WP-10  Misc GL"/>
      <sheetName val="WP-11 Bad Debts"/>
      <sheetName val="WP-12 Utilities"/>
      <sheetName val="Wp-13 Rent"/>
      <sheetName val="WP-14 Tires"/>
      <sheetName val="WP-15 p1 2012 Property Taxes"/>
      <sheetName val="WP-15 p22013 Property Taxes "/>
      <sheetName val="WP-16 Disposal"/>
      <sheetName val="WP-17 Study"/>
      <sheetName val="WP-18 Rate Case Cost"/>
      <sheetName val="WP-19 Truck Rent"/>
      <sheetName val="IS-PBC"/>
    </sheetNames>
    <sheetDataSet>
      <sheetData sheetId="0"/>
      <sheetData sheetId="1"/>
      <sheetData sheetId="2"/>
      <sheetData sheetId="3"/>
      <sheetData sheetId="4"/>
      <sheetData sheetId="5">
        <row r="12">
          <cell r="N12">
            <v>2072146.0600000005</v>
          </cell>
        </row>
        <row r="13">
          <cell r="N13">
            <v>598391.8899999999</v>
          </cell>
        </row>
        <row r="14">
          <cell r="N14">
            <v>940686.63000000012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138598.09962466493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3749822.6796246651</v>
          </cell>
        </row>
        <row r="24">
          <cell r="P24">
            <v>228928.23551778469</v>
          </cell>
        </row>
        <row r="25">
          <cell r="P25">
            <v>127205.2671373271</v>
          </cell>
        </row>
        <row r="26">
          <cell r="P26">
            <v>251253.96750839296</v>
          </cell>
        </row>
        <row r="27">
          <cell r="P27">
            <v>78457.117621228463</v>
          </cell>
        </row>
        <row r="28">
          <cell r="P28">
            <v>17198.564608778197</v>
          </cell>
        </row>
        <row r="29">
          <cell r="P29">
            <v>288833.80059194035</v>
          </cell>
        </row>
        <row r="30">
          <cell r="P30">
            <v>1134.4743952327601</v>
          </cell>
        </row>
        <row r="31">
          <cell r="P31">
            <v>116033.1751127311</v>
          </cell>
        </row>
        <row r="32">
          <cell r="P32">
            <v>8800.3548907904769</v>
          </cell>
        </row>
        <row r="33">
          <cell r="P33">
            <v>34842.579706165852</v>
          </cell>
        </row>
        <row r="34">
          <cell r="P34">
            <v>0</v>
          </cell>
        </row>
        <row r="35">
          <cell r="P35">
            <v>78476.542338847823</v>
          </cell>
        </row>
        <row r="36">
          <cell r="P36">
            <v>287953.89646662417</v>
          </cell>
        </row>
        <row r="37">
          <cell r="P37">
            <v>0</v>
          </cell>
        </row>
        <row r="38">
          <cell r="P38">
            <v>710942.63800000027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580453.57962466497</v>
          </cell>
        </row>
        <row r="42">
          <cell r="P42">
            <v>11614.193235388617</v>
          </cell>
        </row>
        <row r="43">
          <cell r="P43">
            <v>27263.805659873549</v>
          </cell>
        </row>
        <row r="44">
          <cell r="P44">
            <v>0</v>
          </cell>
        </row>
        <row r="45">
          <cell r="P45">
            <v>124738.67753921478</v>
          </cell>
        </row>
        <row r="46">
          <cell r="P46">
            <v>183516.06300614041</v>
          </cell>
        </row>
        <row r="47">
          <cell r="P47">
            <v>38368.550000000003</v>
          </cell>
        </row>
        <row r="48">
          <cell r="P48">
            <v>46258.533473522955</v>
          </cell>
        </row>
        <row r="49">
          <cell r="P49">
            <v>1557.2396762392536</v>
          </cell>
        </row>
        <row r="50">
          <cell r="P50">
            <v>4279.2893799158583</v>
          </cell>
        </row>
        <row r="51">
          <cell r="P51">
            <v>8805.7361336562062</v>
          </cell>
        </row>
        <row r="52">
          <cell r="P52">
            <v>50519.897499999992</v>
          </cell>
        </row>
        <row r="53">
          <cell r="P53">
            <v>16322.564665264314</v>
          </cell>
        </row>
        <row r="54">
          <cell r="P54">
            <v>3910.043973120295</v>
          </cell>
        </row>
        <row r="55">
          <cell r="P55">
            <v>17354.035412595604</v>
          </cell>
        </row>
        <row r="56">
          <cell r="P56">
            <v>0</v>
          </cell>
        </row>
        <row r="57">
          <cell r="P57">
            <v>17708.621304188768</v>
          </cell>
        </row>
        <row r="58">
          <cell r="P58">
            <v>37306.166244432548</v>
          </cell>
        </row>
        <row r="59">
          <cell r="P59">
            <v>18566.671911462588</v>
          </cell>
        </row>
        <row r="60">
          <cell r="P60">
            <v>0</v>
          </cell>
        </row>
        <row r="61">
          <cell r="P61">
            <v>8873.8979330528637</v>
          </cell>
        </row>
        <row r="62">
          <cell r="P62">
            <v>0</v>
          </cell>
        </row>
        <row r="63">
          <cell r="P63">
            <v>1587.540340223157</v>
          </cell>
        </row>
        <row r="64">
          <cell r="P64">
            <v>1009.9508867606683</v>
          </cell>
        </row>
        <row r="65">
          <cell r="P65">
            <v>17.227510910348201</v>
          </cell>
        </row>
        <row r="66">
          <cell r="P66">
            <v>1918.4227601271286</v>
          </cell>
        </row>
        <row r="67">
          <cell r="P67">
            <v>6106.6460182237061</v>
          </cell>
        </row>
        <row r="68">
          <cell r="P68">
            <v>778.1509467710373</v>
          </cell>
        </row>
        <row r="69">
          <cell r="P69">
            <v>267.04901645903561</v>
          </cell>
        </row>
        <row r="70">
          <cell r="P70">
            <v>0</v>
          </cell>
        </row>
        <row r="71">
          <cell r="P71">
            <v>72532.046345218725</v>
          </cell>
        </row>
        <row r="72">
          <cell r="P72">
            <v>125136.15716525837</v>
          </cell>
        </row>
        <row r="73">
          <cell r="P73">
            <v>4114.2408471871522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3524.3366157730379</v>
          </cell>
        </row>
        <row r="77">
          <cell r="P77">
            <v>0</v>
          </cell>
        </row>
        <row r="78">
          <cell r="P78">
            <v>1792.999151679295</v>
          </cell>
        </row>
        <row r="79">
          <cell r="P79">
            <v>0</v>
          </cell>
        </row>
        <row r="80">
          <cell r="P80">
            <v>8497.1147577440552</v>
          </cell>
        </row>
        <row r="81">
          <cell r="P81">
            <v>1273.2059334294772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489.25756853510831</v>
          </cell>
        </row>
        <row r="85">
          <cell r="P85">
            <v>22159.786994695445</v>
          </cell>
        </row>
        <row r="86">
          <cell r="P86">
            <v>7686.5731165054349</v>
          </cell>
        </row>
        <row r="87">
          <cell r="P87">
            <v>0</v>
          </cell>
        </row>
        <row r="88">
          <cell r="P88">
            <v>95725.476596468172</v>
          </cell>
        </row>
        <row r="89">
          <cell r="P89">
            <v>19395.58808069025</v>
          </cell>
        </row>
        <row r="90">
          <cell r="P90">
            <v>338.74730269883463</v>
          </cell>
        </row>
        <row r="91">
          <cell r="P91">
            <v>1942.9458067495875</v>
          </cell>
        </row>
        <row r="92">
          <cell r="P92">
            <v>2529.8313686208153</v>
          </cell>
        </row>
        <row r="93">
          <cell r="P93">
            <v>3995.3913333333358</v>
          </cell>
        </row>
        <row r="94">
          <cell r="P94">
            <v>28849.771677159551</v>
          </cell>
        </row>
        <row r="95">
          <cell r="P95">
            <v>16581.534399999997</v>
          </cell>
        </row>
        <row r="96">
          <cell r="P96">
            <v>6227.8397499999955</v>
          </cell>
        </row>
        <row r="97">
          <cell r="P97">
            <v>0</v>
          </cell>
        </row>
        <row r="98">
          <cell r="P98">
            <v>3861956.0128597994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CI"/>
      <sheetName val="WCI Trend"/>
      <sheetName val="WCI Test Year"/>
      <sheetName val="WCE"/>
      <sheetName val="WCE Trend"/>
      <sheetName val="WCE Test Year"/>
      <sheetName val="HBII"/>
      <sheetName val="HBII Trend"/>
      <sheetName val="HBII Test Year"/>
      <sheetName val="HB"/>
      <sheetName val="HB Trend"/>
      <sheetName val="HB Test Year"/>
      <sheetName val="All"/>
    </sheetNames>
    <sheetDataSet>
      <sheetData sheetId="0"/>
      <sheetData sheetId="1">
        <row r="41">
          <cell r="H41">
            <v>484726</v>
          </cell>
        </row>
        <row r="47">
          <cell r="H47">
            <v>649024</v>
          </cell>
        </row>
      </sheetData>
      <sheetData sheetId="2"/>
      <sheetData sheetId="3"/>
      <sheetData sheetId="4">
        <row r="43">
          <cell r="I43">
            <v>0.51511333471033283</v>
          </cell>
        </row>
        <row r="48">
          <cell r="I48">
            <v>0.48488666528966717</v>
          </cell>
        </row>
        <row r="56">
          <cell r="G56">
            <v>6.1412250074626758E-2</v>
          </cell>
        </row>
      </sheetData>
      <sheetData sheetId="5"/>
      <sheetData sheetId="6"/>
      <sheetData sheetId="7">
        <row r="45">
          <cell r="I45">
            <v>0.53798547839179434</v>
          </cell>
        </row>
        <row r="48">
          <cell r="I48">
            <v>0.46201452160820566</v>
          </cell>
        </row>
        <row r="55">
          <cell r="G55">
            <v>4.2778499507950263E-2</v>
          </cell>
        </row>
      </sheetData>
      <sheetData sheetId="8"/>
      <sheetData sheetId="9"/>
      <sheetData sheetId="10">
        <row r="41">
          <cell r="H41">
            <v>15001511</v>
          </cell>
          <cell r="I41">
            <v>0.93671667543032955</v>
          </cell>
        </row>
        <row r="44">
          <cell r="I44">
            <v>6.3283324569670438E-2</v>
          </cell>
        </row>
        <row r="50">
          <cell r="G50">
            <v>288980</v>
          </cell>
        </row>
        <row r="51">
          <cell r="G51">
            <v>1.9263392867558474E-2</v>
          </cell>
        </row>
      </sheetData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Summary"/>
      <sheetName val="Cost Calculation"/>
      <sheetName val="Capital Structure"/>
      <sheetName val="1150 3rd Ave - Comm"/>
      <sheetName val="950 3rd Ave - Cov. Parking"/>
      <sheetName val="1150 3rd Ave - Out. Parking"/>
      <sheetName val="warehouse"/>
      <sheetName val="4 Parcels N. of MRF"/>
      <sheetName val="657 W. Scott - Woodland"/>
      <sheetName val="Boneyard Imp"/>
    </sheetNames>
    <sheetDataSet>
      <sheetData sheetId="0">
        <row r="9">
          <cell r="C9">
            <v>1582.3584396790804</v>
          </cell>
        </row>
        <row r="10">
          <cell r="C10">
            <v>3303.833287798549</v>
          </cell>
        </row>
        <row r="11">
          <cell r="C11">
            <v>307.21067320726212</v>
          </cell>
        </row>
        <row r="12">
          <cell r="C12">
            <v>5220.8404999972163</v>
          </cell>
        </row>
        <row r="13">
          <cell r="C13">
            <v>1647.7090434061436</v>
          </cell>
        </row>
        <row r="14">
          <cell r="C14">
            <v>6983.0641132182354</v>
          </cell>
        </row>
        <row r="15">
          <cell r="C15">
            <v>6714.234975739997</v>
          </cell>
        </row>
        <row r="16">
          <cell r="C16">
            <v>5577.8318719000299</v>
          </cell>
        </row>
        <row r="17">
          <cell r="C17">
            <v>10497.278965199221</v>
          </cell>
        </row>
        <row r="18">
          <cell r="C18">
            <v>3809.3446120210115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Price Out"/>
      <sheetName val="Calculated Tons"/>
      <sheetName val="WP-8 - Cust Counts (x per wk)"/>
      <sheetName val="2012 Charge Activity"/>
    </sheetNames>
    <sheetDataSet>
      <sheetData sheetId="0"/>
      <sheetData sheetId="1">
        <row r="158">
          <cell r="C158">
            <v>13893.370816886854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Charge Activity"/>
    </sheetNames>
    <sheetDataSet>
      <sheetData sheetId="0">
        <row r="1114">
          <cell r="AC1114">
            <v>33</v>
          </cell>
          <cell r="AD1114">
            <v>53</v>
          </cell>
          <cell r="AE1114">
            <v>28</v>
          </cell>
          <cell r="AF1114">
            <v>888</v>
          </cell>
          <cell r="AG1114">
            <v>43</v>
          </cell>
          <cell r="AH1114">
            <v>57</v>
          </cell>
          <cell r="AI1114">
            <v>29</v>
          </cell>
          <cell r="AJ1114">
            <v>884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D5">
            <v>16243.8</v>
          </cell>
        </row>
        <row r="6">
          <cell r="D6">
            <v>990</v>
          </cell>
        </row>
        <row r="7">
          <cell r="D7">
            <v>264</v>
          </cell>
        </row>
        <row r="8">
          <cell r="D8">
            <v>770</v>
          </cell>
        </row>
        <row r="9">
          <cell r="D9">
            <v>16805</v>
          </cell>
        </row>
        <row r="10">
          <cell r="D10">
            <v>-5000</v>
          </cell>
        </row>
        <row r="11">
          <cell r="D11">
            <v>220</v>
          </cell>
        </row>
        <row r="12">
          <cell r="D12">
            <v>330</v>
          </cell>
        </row>
        <row r="13">
          <cell r="D13">
            <v>286</v>
          </cell>
        </row>
        <row r="14">
          <cell r="D14">
            <v>1914</v>
          </cell>
        </row>
        <row r="15">
          <cell r="D15">
            <v>385</v>
          </cell>
        </row>
        <row r="16">
          <cell r="D16">
            <v>220</v>
          </cell>
        </row>
        <row r="17">
          <cell r="D17">
            <v>363</v>
          </cell>
        </row>
        <row r="18">
          <cell r="D18">
            <v>440</v>
          </cell>
        </row>
        <row r="19">
          <cell r="D19">
            <v>286</v>
          </cell>
        </row>
        <row r="20">
          <cell r="D20">
            <v>242</v>
          </cell>
        </row>
        <row r="21">
          <cell r="D21">
            <v>21292</v>
          </cell>
        </row>
        <row r="22">
          <cell r="D22">
            <v>1210</v>
          </cell>
        </row>
        <row r="23">
          <cell r="D23">
            <v>990</v>
          </cell>
        </row>
        <row r="24">
          <cell r="D24">
            <v>132</v>
          </cell>
        </row>
        <row r="25">
          <cell r="D25">
            <v>16766.599999999999</v>
          </cell>
        </row>
        <row r="26">
          <cell r="D26">
            <v>660</v>
          </cell>
        </row>
        <row r="27">
          <cell r="D27">
            <v>330</v>
          </cell>
        </row>
        <row r="28">
          <cell r="D28">
            <v>220</v>
          </cell>
        </row>
        <row r="29">
          <cell r="D29">
            <v>220</v>
          </cell>
        </row>
        <row r="30">
          <cell r="D30">
            <v>99</v>
          </cell>
        </row>
        <row r="31">
          <cell r="D31">
            <v>297</v>
          </cell>
        </row>
        <row r="32">
          <cell r="D32">
            <v>1036</v>
          </cell>
        </row>
        <row r="33">
          <cell r="D33">
            <v>330</v>
          </cell>
        </row>
        <row r="34">
          <cell r="D34">
            <v>220</v>
          </cell>
        </row>
        <row r="35">
          <cell r="D35">
            <v>1100</v>
          </cell>
        </row>
        <row r="36">
          <cell r="D36">
            <v>418</v>
          </cell>
        </row>
        <row r="37">
          <cell r="D37">
            <v>154</v>
          </cell>
        </row>
        <row r="38">
          <cell r="D38">
            <v>330</v>
          </cell>
        </row>
        <row r="39">
          <cell r="D39">
            <v>7417</v>
          </cell>
        </row>
        <row r="40">
          <cell r="D40">
            <v>440</v>
          </cell>
        </row>
        <row r="41">
          <cell r="D41">
            <v>2949.5</v>
          </cell>
        </row>
        <row r="42">
          <cell r="D42">
            <v>11563.7</v>
          </cell>
        </row>
        <row r="43">
          <cell r="D43">
            <v>12650.9</v>
          </cell>
        </row>
        <row r="44">
          <cell r="D44">
            <v>8023.9</v>
          </cell>
        </row>
        <row r="45">
          <cell r="D45">
            <v>15632.5</v>
          </cell>
        </row>
        <row r="46">
          <cell r="D46">
            <v>5830.5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4">
          <cell r="N14">
            <v>30292.800000000003</v>
          </cell>
        </row>
        <row r="15">
          <cell r="N15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 (Type of Service)"/>
      <sheetName val="Proforma (Total Co)"/>
      <sheetName val="Restating Adj"/>
      <sheetName val="Restating Adj Details"/>
      <sheetName val="Proforma Adj"/>
      <sheetName val="Proforma Adj Details"/>
      <sheetName val=" Lurito (Total Co)"/>
      <sheetName val=" Lurito (Total Garbage w DB)"/>
      <sheetName val=" Lurito (Total Garbage wo DB)"/>
      <sheetName val="Proforma (DropBox)"/>
      <sheetName val="Lurito (DropBox)"/>
      <sheetName val="Exp Matrix (DropBox)"/>
      <sheetName val="COS DB"/>
      <sheetName val="Proforma (Yard Waste)"/>
      <sheetName val="Lurito (Yard Waste)"/>
      <sheetName val="Exp-Matrix (Yard Waste)"/>
      <sheetName val="COS-YW, Recycl"/>
      <sheetName val="Proforma (Curbs Recycling)"/>
      <sheetName val="Lurito (Curbs Recycling)"/>
      <sheetName val="Exp-Matrix (Curbs Recycling)"/>
      <sheetName val="Proforma (Recycle Stations)"/>
      <sheetName val="Lurito (Recycle Stations)"/>
      <sheetName val=" Lurito (MF)"/>
      <sheetName val=" Lurito (MF &amp; R Station)"/>
      <sheetName val="Rate Calculation"/>
      <sheetName val="Rate (Dump Fee)"/>
      <sheetName val="Calculation (Dump Fee)"/>
      <sheetName val="Priceout (Dump Fee)"/>
      <sheetName val="Total Fuel"/>
      <sheetName val="Murrey's Fuel"/>
      <sheetName val="American Fuel"/>
      <sheetName val="Depn-Summary"/>
      <sheetName val="Summary (American)"/>
      <sheetName val="Summary (Murrey's)"/>
      <sheetName val="Trucks (American)"/>
      <sheetName val="Trucks (Murrey's)"/>
      <sheetName val="Containers &amp; DropBox (American)"/>
      <sheetName val="Containers, DropBox (Murrey's)"/>
      <sheetName val="Yard Waste Toters (American)"/>
      <sheetName val="Yard Waste Toters (Murrey's)"/>
      <sheetName val="Other Equipment (American)"/>
      <sheetName val="Other Equipment (Murrey's)"/>
      <sheetName val="WRRA"/>
      <sheetName val="Summary (Supervisors)"/>
      <sheetName val="Summary (Driver Wages)"/>
      <sheetName val="Summary (IS Report)"/>
      <sheetName val="IS-Murrey's"/>
      <sheetName val="IS-Ameri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Out"/>
      <sheetName val="Summary Price Out"/>
      <sheetName val="Fly Sheet"/>
      <sheetName val="Comp Report"/>
      <sheetName val="LURITXPF AVG"/>
      <sheetName val="Operations"/>
      <sheetName val="Assumptions"/>
      <sheetName val="Schedule 2 Restated"/>
      <sheetName val="Schedule 3 Pro forma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WP-2 - Summary Depn"/>
      <sheetName val="WP-2. pg 2 -  Depn"/>
      <sheetName val="WP-3 - Labor Analysis"/>
      <sheetName val="WP-3, pg 2 -  Labor Increase"/>
      <sheetName val="WP-3, pg 3 -  Benefits Analysis"/>
      <sheetName val="Employee List"/>
      <sheetName val="WP-4 - Vehicle License"/>
      <sheetName val="WP-5 - Dues &amp; Sub"/>
      <sheetName val="WP-6 - CapitalStructure"/>
      <sheetName val="FDR 5"/>
      <sheetName val="WP-6 P2"/>
      <sheetName val="WP-7 - Affiliated "/>
      <sheetName val="WP-8 - Cust Counts (x per wk)"/>
      <sheetName val="WP-9 - Fuel"/>
      <sheetName val="WP-10  Misc GL"/>
      <sheetName val="WP-11 Bad Debts"/>
      <sheetName val="3-Factor"/>
      <sheetName val="WP-12 Utilities"/>
      <sheetName val="Wp-13 Rent"/>
      <sheetName val="WP-14 Tires"/>
      <sheetName val="WP-15 p1 2012 Property Taxes"/>
      <sheetName val="WP-15 p22013 Property Taxes "/>
      <sheetName val="WP-16 Disposal"/>
      <sheetName val="WP-17 Study"/>
      <sheetName val="WP-18 Rate Case Cost"/>
      <sheetName val="Sum"/>
      <sheetName val="Acct Summary"/>
      <sheetName val="Acct GL"/>
      <sheetName val="Legal Summary"/>
      <sheetName val="Legal GL"/>
      <sheetName val="WP-19 Truck Rent"/>
      <sheetName val="IS-PBC"/>
      <sheetName val="Schedule 6 Lurito-Gallagher"/>
      <sheetName val="Schedule 1 Results of Operation"/>
      <sheetName val="Schedule 4 R-1A, R-10"/>
      <sheetName val="Schedule 5, P-2 and P-3"/>
    </sheetNames>
    <sheetDataSet>
      <sheetData sheetId="0"/>
      <sheetData sheetId="1">
        <row r="11">
          <cell r="L11">
            <v>343735.38583999872</v>
          </cell>
        </row>
        <row r="13">
          <cell r="L13">
            <v>139651.7677638001</v>
          </cell>
        </row>
        <row r="15">
          <cell r="L15">
            <v>48345.949624664849</v>
          </cell>
        </row>
      </sheetData>
      <sheetData sheetId="2"/>
      <sheetData sheetId="3"/>
      <sheetData sheetId="4"/>
      <sheetData sheetId="5"/>
      <sheetData sheetId="6">
        <row r="1">
          <cell r="A1" t="str">
            <v>Waste Control, Inc.</v>
          </cell>
        </row>
      </sheetData>
      <sheetData sheetId="7"/>
      <sheetData sheetId="8"/>
      <sheetData sheetId="9">
        <row r="55">
          <cell r="A55" t="str">
            <v>R-6D</v>
          </cell>
          <cell r="B55" t="str">
            <v>Utilities</v>
          </cell>
        </row>
        <row r="56">
          <cell r="B56" t="str">
            <v>Total Allowable Costs linked to file "Staff - Utilities Analysis.xlsx"</v>
          </cell>
        </row>
        <row r="57">
          <cell r="D57" t="str">
            <v>Reg</v>
          </cell>
        </row>
        <row r="58">
          <cell r="B58" t="str">
            <v>IS</v>
          </cell>
          <cell r="C58">
            <v>59823.070000000007</v>
          </cell>
          <cell r="D58">
            <v>54410.63513408578</v>
          </cell>
        </row>
        <row r="59">
          <cell r="B59" t="str">
            <v>Total Allowable</v>
          </cell>
          <cell r="C59">
            <v>13036.4142931923</v>
          </cell>
          <cell r="D59">
            <v>11856.957216733726</v>
          </cell>
        </row>
        <row r="60">
          <cell r="B60" t="str">
            <v>Adjust</v>
          </cell>
          <cell r="C60">
            <v>-46786.655706807709</v>
          </cell>
          <cell r="D60">
            <v>-42553.677917352055</v>
          </cell>
        </row>
        <row r="67">
          <cell r="D67">
            <v>-84000.446465474874</v>
          </cell>
        </row>
        <row r="73">
          <cell r="A73" t="str">
            <v>R-6G</v>
          </cell>
          <cell r="B73" t="str">
            <v>Property Tax</v>
          </cell>
        </row>
        <row r="74">
          <cell r="B74" t="str">
            <v xml:space="preserve">Removed Applied Industries Land, property is not used or useful to Wci operations. </v>
          </cell>
        </row>
        <row r="75">
          <cell r="B75" t="str">
            <v>Staff removed an additional portion using staff's allocation</v>
          </cell>
        </row>
        <row r="76">
          <cell r="C76" t="str">
            <v>Remove</v>
          </cell>
          <cell r="D76" t="str">
            <v>Reg</v>
          </cell>
        </row>
        <row r="77">
          <cell r="B77" t="str">
            <v>IS</v>
          </cell>
          <cell r="C77">
            <v>12129.22</v>
          </cell>
          <cell r="D77">
            <v>11031.840456884875</v>
          </cell>
        </row>
        <row r="78">
          <cell r="B78" t="str">
            <v>2012 portion</v>
          </cell>
          <cell r="D78">
            <v>2814.8087131798452</v>
          </cell>
        </row>
        <row r="79">
          <cell r="B79" t="str">
            <v>2013 portion</v>
          </cell>
          <cell r="D79">
            <v>3347.3613117508339</v>
          </cell>
        </row>
        <row r="80">
          <cell r="B80" t="str">
            <v>Adjust</v>
          </cell>
          <cell r="C80">
            <v>-5354.0752540348176</v>
          </cell>
          <cell r="D80">
            <v>-4869.670431954195</v>
          </cell>
        </row>
        <row r="83">
          <cell r="A83" t="str">
            <v>R-6H</v>
          </cell>
          <cell r="B83" t="str">
            <v>Spare Truck Rents</v>
          </cell>
          <cell r="C83" t="str">
            <v xml:space="preserve"> Staff adjustment based on the number of collection days</v>
          </cell>
        </row>
        <row r="84">
          <cell r="C84" t="str">
            <v>Total</v>
          </cell>
          <cell r="D84" t="str">
            <v>Reg</v>
          </cell>
        </row>
        <row r="85">
          <cell r="B85" t="str">
            <v>Operations</v>
          </cell>
          <cell r="C85">
            <v>36000</v>
          </cell>
          <cell r="D85">
            <v>32720.503597122301</v>
          </cell>
        </row>
        <row r="86">
          <cell r="B86" t="str">
            <v>Adjusted</v>
          </cell>
          <cell r="D86">
            <v>8403.9718953264455</v>
          </cell>
        </row>
        <row r="87">
          <cell r="D87">
            <v>-24316.531701795855</v>
          </cell>
        </row>
      </sheetData>
      <sheetData sheetId="10">
        <row r="12">
          <cell r="A12" t="str">
            <v>REVENUES</v>
          </cell>
        </row>
        <row r="13">
          <cell r="D13">
            <v>-5618.63</v>
          </cell>
        </row>
        <row r="14">
          <cell r="D14">
            <v>-1137.4100000000001</v>
          </cell>
        </row>
        <row r="15">
          <cell r="D15">
            <v>-2986.7</v>
          </cell>
        </row>
        <row r="23">
          <cell r="A23" t="str">
            <v>OPERATING EXPENSES</v>
          </cell>
        </row>
        <row r="29">
          <cell r="F29">
            <v>234782.48466226229</v>
          </cell>
        </row>
        <row r="35">
          <cell r="P35">
            <v>-8768.1497050359903</v>
          </cell>
        </row>
        <row r="47">
          <cell r="P47">
            <v>-11798.719999999994</v>
          </cell>
        </row>
        <row r="48">
          <cell r="P48">
            <v>-4963.9939548081265</v>
          </cell>
        </row>
        <row r="54">
          <cell r="P54">
            <v>-2478.4582392776524</v>
          </cell>
        </row>
        <row r="56">
          <cell r="P56">
            <v>-7710.9000000000005</v>
          </cell>
        </row>
        <row r="61">
          <cell r="P61">
            <v>-6366.6817155756207</v>
          </cell>
        </row>
        <row r="62">
          <cell r="P62">
            <v>-3682.0700000000006</v>
          </cell>
        </row>
        <row r="63">
          <cell r="P63">
            <v>909.5259593679458</v>
          </cell>
        </row>
        <row r="64">
          <cell r="P64">
            <v>-4480.779638826185</v>
          </cell>
        </row>
        <row r="65">
          <cell r="P65">
            <v>-118.85704882781037</v>
          </cell>
        </row>
        <row r="67">
          <cell r="P67">
            <v>-730.75791366906469</v>
          </cell>
        </row>
        <row r="68">
          <cell r="P68">
            <v>730.75791366906469</v>
          </cell>
        </row>
        <row r="70">
          <cell r="P70">
            <v>-1045.9548532731376</v>
          </cell>
        </row>
        <row r="73">
          <cell r="P73">
            <v>-846.9505733634312</v>
          </cell>
        </row>
        <row r="74">
          <cell r="P74">
            <v>-32704.007009892084</v>
          </cell>
        </row>
        <row r="75">
          <cell r="P75">
            <v>-61235.608790067716</v>
          </cell>
        </row>
        <row r="76">
          <cell r="P76">
            <v>-18461.748923702031</v>
          </cell>
        </row>
        <row r="77">
          <cell r="P77">
            <v>-406.74000902934529</v>
          </cell>
        </row>
        <row r="78">
          <cell r="P78">
            <v>0</v>
          </cell>
        </row>
        <row r="79">
          <cell r="P79">
            <v>-99155.110325056434</v>
          </cell>
        </row>
        <row r="80">
          <cell r="P80">
            <v>-4869.670431954195</v>
          </cell>
        </row>
        <row r="81">
          <cell r="P81">
            <v>0</v>
          </cell>
        </row>
        <row r="82">
          <cell r="P82">
            <v>-41281.0185282167</v>
          </cell>
        </row>
        <row r="83">
          <cell r="P83">
            <v>-46035.183479909698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-248512.41000000003</v>
          </cell>
        </row>
        <row r="88">
          <cell r="P88">
            <v>108611.42480263657</v>
          </cell>
        </row>
        <row r="89">
          <cell r="P89">
            <v>18226.792510574265</v>
          </cell>
        </row>
        <row r="90">
          <cell r="P90">
            <v>318.334085778781</v>
          </cell>
        </row>
        <row r="91">
          <cell r="P91">
            <v>1911.7565648457478</v>
          </cell>
        </row>
        <row r="92">
          <cell r="P92">
            <v>2489.2211147178327</v>
          </cell>
        </row>
        <row r="93">
          <cell r="P93">
            <v>3631.4226803956858</v>
          </cell>
        </row>
        <row r="94">
          <cell r="P94">
            <v>28367.212546588358</v>
          </cell>
        </row>
        <row r="95">
          <cell r="P95">
            <v>23687.906285714282</v>
          </cell>
        </row>
        <row r="96">
          <cell r="P96">
            <v>6227.8397499999955</v>
          </cell>
        </row>
      </sheetData>
      <sheetData sheetId="11">
        <row r="22">
          <cell r="C22">
            <v>-18395.442528442451</v>
          </cell>
        </row>
      </sheetData>
      <sheetData sheetId="12">
        <row r="18">
          <cell r="L18">
            <v>138598.09962466493</v>
          </cell>
        </row>
        <row r="24">
          <cell r="L24">
            <v>6873.0250755098041</v>
          </cell>
        </row>
        <row r="25">
          <cell r="L25">
            <v>33121.332824000012</v>
          </cell>
        </row>
        <row r="26">
          <cell r="L26">
            <v>13359.365597497677</v>
          </cell>
        </row>
        <row r="27">
          <cell r="L27">
            <v>2443.1945777674446</v>
          </cell>
        </row>
        <row r="28">
          <cell r="L28">
            <v>2483.6026490755758</v>
          </cell>
        </row>
        <row r="41">
          <cell r="L41">
            <v>138598.09962466493</v>
          </cell>
        </row>
        <row r="45">
          <cell r="L45">
            <v>1195.4869907147208</v>
          </cell>
        </row>
        <row r="46">
          <cell r="L46">
            <v>16360.25179856115</v>
          </cell>
        </row>
      </sheetData>
      <sheetData sheetId="13">
        <row r="20">
          <cell r="E20">
            <v>34951.554699999993</v>
          </cell>
        </row>
        <row r="30">
          <cell r="D30">
            <v>51022.93008036117</v>
          </cell>
          <cell r="E30">
            <v>1710.7899196388262</v>
          </cell>
        </row>
      </sheetData>
      <sheetData sheetId="14">
        <row r="18">
          <cell r="F18">
            <v>0</v>
          </cell>
        </row>
        <row r="24">
          <cell r="D24">
            <v>-100385.92333812951</v>
          </cell>
        </row>
        <row r="25">
          <cell r="D25">
            <v>98309.51</v>
          </cell>
        </row>
        <row r="26">
          <cell r="D26">
            <v>19281.911009892094</v>
          </cell>
        </row>
        <row r="27">
          <cell r="D27">
            <v>71235.517532374084</v>
          </cell>
        </row>
        <row r="28">
          <cell r="D28">
            <v>-11850.350153498872</v>
          </cell>
        </row>
        <row r="38">
          <cell r="F38">
            <v>59972.869999999995</v>
          </cell>
        </row>
        <row r="39">
          <cell r="F39">
            <v>-59972.869999999995</v>
          </cell>
        </row>
        <row r="40">
          <cell r="F40">
            <v>-24814.340000000004</v>
          </cell>
        </row>
        <row r="41">
          <cell r="F41">
            <v>24814.340000000004</v>
          </cell>
        </row>
        <row r="45">
          <cell r="D45">
            <v>-67689.786902934517</v>
          </cell>
        </row>
      </sheetData>
      <sheetData sheetId="15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  <cell r="Q40">
            <v>441855.48000000004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6"/>
      <sheetData sheetId="17">
        <row r="5">
          <cell r="A5" t="str">
            <v>In Support of Tariff No. 16, G-101 Effective June 1, 2014</v>
          </cell>
        </row>
      </sheetData>
      <sheetData sheetId="18"/>
      <sheetData sheetId="19">
        <row r="26">
          <cell r="R26">
            <v>1533650.5784442618</v>
          </cell>
        </row>
      </sheetData>
      <sheetData sheetId="20">
        <row r="38">
          <cell r="L38">
            <v>135533.62</v>
          </cell>
          <cell r="N38">
            <v>135533.62</v>
          </cell>
          <cell r="O38">
            <v>1129.4468333333332</v>
          </cell>
          <cell r="P38">
            <v>6227.8397499999955</v>
          </cell>
          <cell r="R38">
            <v>6227.8397499999955</v>
          </cell>
          <cell r="U38">
            <v>97517.283166666661</v>
          </cell>
          <cell r="Y38">
            <v>103745.12291666663</v>
          </cell>
          <cell r="Z38">
            <v>34902.416958333342</v>
          </cell>
        </row>
        <row r="40">
          <cell r="Q40">
            <v>0</v>
          </cell>
        </row>
        <row r="112">
          <cell r="L112">
            <v>76535.11</v>
          </cell>
          <cell r="N112">
            <v>76535.11</v>
          </cell>
          <cell r="O112">
            <v>652.82708333333335</v>
          </cell>
          <cell r="P112">
            <v>3995.3913333333358</v>
          </cell>
          <cell r="Q112">
            <v>0</v>
          </cell>
          <cell r="R112">
            <v>3995.3913333333358</v>
          </cell>
          <cell r="U112">
            <v>57574.498791666658</v>
          </cell>
          <cell r="Y112">
            <v>61569.890125000005</v>
          </cell>
          <cell r="Z112">
            <v>16962.915541666669</v>
          </cell>
        </row>
        <row r="123">
          <cell r="L123">
            <v>338800.19999999995</v>
          </cell>
          <cell r="N123">
            <v>271040.15999999997</v>
          </cell>
          <cell r="O123">
            <v>2850.8656571428569</v>
          </cell>
          <cell r="P123">
            <v>23687.906285714282</v>
          </cell>
          <cell r="R123">
            <v>23687.906285714282</v>
          </cell>
          <cell r="U123">
            <v>111146.79257142858</v>
          </cell>
          <cell r="Y123">
            <v>134834.69885714285</v>
          </cell>
          <cell r="Z123">
            <v>215809.45428571428</v>
          </cell>
        </row>
        <row r="127">
          <cell r="Q127">
            <v>0</v>
          </cell>
        </row>
        <row r="144">
          <cell r="L144">
            <v>1443724.4600000002</v>
          </cell>
          <cell r="N144">
            <v>1154979.5680000002</v>
          </cell>
          <cell r="O144">
            <v>11926.596676190475</v>
          </cell>
          <cell r="P144">
            <v>119415.4204</v>
          </cell>
          <cell r="Q144">
            <v>0</v>
          </cell>
          <cell r="R144">
            <v>119415.4204</v>
          </cell>
          <cell r="U144">
            <v>407468.90104761894</v>
          </cell>
          <cell r="Y144">
            <v>526884.32144761889</v>
          </cell>
          <cell r="Z144">
            <v>976547.84875238093</v>
          </cell>
        </row>
        <row r="166">
          <cell r="L166">
            <v>203978.215</v>
          </cell>
          <cell r="N166">
            <v>137443.10514999999</v>
          </cell>
          <cell r="O166">
            <v>2290.7184191666665</v>
          </cell>
          <cell r="P166">
            <v>20039.881569999998</v>
          </cell>
          <cell r="R166">
            <v>20039.881569999998</v>
          </cell>
          <cell r="U166">
            <v>67923.753283333266</v>
          </cell>
          <cell r="Y166">
            <v>81504.159895333272</v>
          </cell>
          <cell r="Z166">
            <v>109372.35849991672</v>
          </cell>
        </row>
        <row r="169">
          <cell r="Q169">
            <v>0</v>
          </cell>
        </row>
        <row r="181">
          <cell r="L181">
            <v>12803.34</v>
          </cell>
          <cell r="N181">
            <v>12803.34</v>
          </cell>
          <cell r="O181">
            <v>137.76395833333333</v>
          </cell>
          <cell r="P181">
            <v>350</v>
          </cell>
          <cell r="Q181">
            <v>0</v>
          </cell>
          <cell r="R181">
            <v>350</v>
          </cell>
          <cell r="U181">
            <v>10111.673333333334</v>
          </cell>
          <cell r="Y181">
            <v>10461.673333333334</v>
          </cell>
          <cell r="Z181">
            <v>2516.6666666666656</v>
          </cell>
        </row>
        <row r="195">
          <cell r="L195">
            <v>24232.98</v>
          </cell>
          <cell r="N195">
            <v>24232.98</v>
          </cell>
          <cell r="O195">
            <v>403.88299999999998</v>
          </cell>
          <cell r="P195">
            <v>2101.9263333333324</v>
          </cell>
          <cell r="R195">
            <v>2101.9263333333324</v>
          </cell>
          <cell r="U195">
            <v>11787.090833333335</v>
          </cell>
          <cell r="Y195">
            <v>13889.017166666665</v>
          </cell>
          <cell r="Z195">
            <v>11394.925999999999</v>
          </cell>
        </row>
        <row r="197">
          <cell r="Q197">
            <v>0</v>
          </cell>
        </row>
        <row r="322">
          <cell r="L322">
            <v>752647.05999999971</v>
          </cell>
          <cell r="N322">
            <v>752647.05999999971</v>
          </cell>
          <cell r="O322">
            <v>7552.8312083333321</v>
          </cell>
          <cell r="P322">
            <v>31210.389187500004</v>
          </cell>
          <cell r="R322">
            <v>31210.389187500004</v>
          </cell>
          <cell r="U322">
            <v>594821.66995833302</v>
          </cell>
          <cell r="Y322">
            <v>626032.05914583325</v>
          </cell>
          <cell r="Z322">
            <v>142220.19544791669</v>
          </cell>
        </row>
        <row r="324">
          <cell r="Q324">
            <v>0</v>
          </cell>
        </row>
        <row r="358">
          <cell r="L358">
            <v>54736.67</v>
          </cell>
          <cell r="N358">
            <v>54736.67</v>
          </cell>
          <cell r="O358">
            <v>228.06945833333336</v>
          </cell>
          <cell r="P358">
            <v>2736.8334999999997</v>
          </cell>
          <cell r="Q358">
            <v>0</v>
          </cell>
          <cell r="R358">
            <v>2736.8334999999997</v>
          </cell>
          <cell r="U358">
            <v>29444.456958333329</v>
          </cell>
          <cell r="Y358">
            <v>32181.290458333329</v>
          </cell>
          <cell r="Z358">
            <v>23923.796291666658</v>
          </cell>
        </row>
      </sheetData>
      <sheetData sheetId="21">
        <row r="12">
          <cell r="AB12">
            <v>0</v>
          </cell>
        </row>
      </sheetData>
      <sheetData sheetId="22">
        <row r="58">
          <cell r="AE58">
            <v>21068.794155196585</v>
          </cell>
        </row>
        <row r="59">
          <cell r="AD59">
            <v>-15554.717721473076</v>
          </cell>
        </row>
      </sheetData>
      <sheetData sheetId="23"/>
      <sheetData sheetId="24">
        <row r="46">
          <cell r="M46">
            <v>-12351.917339051919</v>
          </cell>
        </row>
      </sheetData>
      <sheetData sheetId="25">
        <row r="31">
          <cell r="E31">
            <v>-804</v>
          </cell>
        </row>
      </sheetData>
      <sheetData sheetId="26">
        <row r="1">
          <cell r="A1" t="str">
            <v>WASTE CONTROL, INC.</v>
          </cell>
        </row>
      </sheetData>
      <sheetData sheetId="27">
        <row r="12">
          <cell r="F12">
            <v>50614.479999999996</v>
          </cell>
        </row>
        <row r="17">
          <cell r="H17">
            <v>0.42754222712238149</v>
          </cell>
        </row>
        <row r="18">
          <cell r="H18">
            <v>0.57245777287761856</v>
          </cell>
        </row>
        <row r="22">
          <cell r="E22">
            <v>458089.0748516568</v>
          </cell>
        </row>
        <row r="35">
          <cell r="H35">
            <v>1.9263392867558474E-2</v>
          </cell>
        </row>
        <row r="36">
          <cell r="C36">
            <v>4.2750000000000002E-3</v>
          </cell>
        </row>
        <row r="37">
          <cell r="C37">
            <v>0.34</v>
          </cell>
        </row>
      </sheetData>
      <sheetData sheetId="28">
        <row r="11">
          <cell r="B11">
            <v>288980</v>
          </cell>
        </row>
      </sheetData>
      <sheetData sheetId="29">
        <row r="23">
          <cell r="D23">
            <v>964081.56165407191</v>
          </cell>
        </row>
        <row r="41">
          <cell r="D41">
            <v>0.6</v>
          </cell>
          <cell r="E41">
            <v>0.4</v>
          </cell>
        </row>
      </sheetData>
      <sheetData sheetId="30">
        <row r="1">
          <cell r="A1" t="str">
            <v>Waste Control Inc.</v>
          </cell>
        </row>
      </sheetData>
      <sheetData sheetId="31">
        <row r="112">
          <cell r="P112">
            <v>0.90952595936794578</v>
          </cell>
          <cell r="V112">
            <v>0.90890287769784173</v>
          </cell>
        </row>
        <row r="114">
          <cell r="I114">
            <v>0.90952595936794578</v>
          </cell>
        </row>
      </sheetData>
      <sheetData sheetId="32">
        <row r="68">
          <cell r="E68">
            <v>-18926.938991007122</v>
          </cell>
        </row>
      </sheetData>
      <sheetData sheetId="33"/>
      <sheetData sheetId="34">
        <row r="1">
          <cell r="A1" t="str">
            <v>WASTE CONTROL, INC.</v>
          </cell>
        </row>
      </sheetData>
      <sheetData sheetId="35">
        <row r="19">
          <cell r="C19">
            <v>0.21791617001923003</v>
          </cell>
        </row>
        <row r="33">
          <cell r="C33">
            <v>0.21791617001923003</v>
          </cell>
        </row>
      </sheetData>
      <sheetData sheetId="36"/>
      <sheetData sheetId="37"/>
      <sheetData sheetId="38">
        <row r="1">
          <cell r="A1" t="str">
            <v>WASTE CONTROL, INC.</v>
          </cell>
        </row>
      </sheetData>
      <sheetData sheetId="39"/>
      <sheetData sheetId="40"/>
      <sheetData sheetId="41">
        <row r="43">
          <cell r="R43">
            <v>-23493.083830120508</v>
          </cell>
        </row>
        <row r="51">
          <cell r="S51">
            <v>162552.43855757624</v>
          </cell>
        </row>
      </sheetData>
      <sheetData sheetId="42">
        <row r="49">
          <cell r="J49">
            <v>0.96784943628238473</v>
          </cell>
        </row>
      </sheetData>
      <sheetData sheetId="43">
        <row r="1">
          <cell r="A1" t="str">
            <v>WASTE CONTROL, INC.</v>
          </cell>
        </row>
      </sheetData>
      <sheetData sheetId="44"/>
      <sheetData sheetId="45">
        <row r="2">
          <cell r="I2" t="str">
            <v>5 Year</v>
          </cell>
        </row>
      </sheetData>
      <sheetData sheetId="46"/>
      <sheetData sheetId="47">
        <row r="4">
          <cell r="C4">
            <v>10121.260000000002</v>
          </cell>
        </row>
      </sheetData>
      <sheetData sheetId="48"/>
      <sheetData sheetId="49"/>
      <sheetData sheetId="50"/>
      <sheetData sheetId="51">
        <row r="32">
          <cell r="C32">
            <v>1.0232097162482485E-2</v>
          </cell>
        </row>
      </sheetData>
      <sheetData sheetId="52">
        <row r="88">
          <cell r="G88" t="str">
            <v>Cust</v>
          </cell>
        </row>
        <row r="89">
          <cell r="G89" t="str">
            <v>Cust</v>
          </cell>
        </row>
        <row r="90">
          <cell r="G90" t="str">
            <v>Cust</v>
          </cell>
        </row>
        <row r="91">
          <cell r="G91" t="str">
            <v>Cust</v>
          </cell>
        </row>
        <row r="92">
          <cell r="G92" t="str">
            <v>Cust</v>
          </cell>
        </row>
        <row r="93">
          <cell r="G93" t="str">
            <v>Pickups</v>
          </cell>
        </row>
        <row r="94">
          <cell r="G94" t="str">
            <v>Pickups</v>
          </cell>
        </row>
        <row r="95">
          <cell r="G95" t="str">
            <v>Actual</v>
          </cell>
        </row>
        <row r="96">
          <cell r="G96" t="str">
            <v>Actual</v>
          </cell>
        </row>
      </sheetData>
      <sheetData sheetId="53">
        <row r="26">
          <cell r="T26">
            <v>1417478.7456419468</v>
          </cell>
        </row>
      </sheetData>
      <sheetData sheetId="54">
        <row r="27">
          <cell r="N27">
            <v>37281.006999999998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ention"/>
      <sheetName val="CostStudy"/>
      <sheetName val="LURITXPF"/>
      <sheetName val="Price Out"/>
      <sheetName val="CPI"/>
    </sheetNames>
    <sheetDataSet>
      <sheetData sheetId="0"/>
      <sheetData sheetId="1"/>
      <sheetData sheetId="2">
        <row r="3">
          <cell r="A3" t="str">
            <v xml:space="preserve"> NEW IMPROVED LURITO - GALLAGHER FORMULA</v>
          </cell>
        </row>
        <row r="8">
          <cell r="B8" t="str">
            <v>!!!</v>
          </cell>
          <cell r="C8" t="str">
            <v>Revenue Requirement</v>
          </cell>
          <cell r="E8">
            <v>4057683.5515002497</v>
          </cell>
          <cell r="F8" t="str">
            <v>!!!&lt;--</v>
          </cell>
        </row>
        <row r="9">
          <cell r="B9" t="str">
            <v>!!!</v>
          </cell>
          <cell r="C9" t="str">
            <v>Revenue Deficiency</v>
          </cell>
          <cell r="E9">
            <v>167473.97150024929</v>
          </cell>
          <cell r="F9" t="str">
            <v>!!!&lt;--</v>
          </cell>
          <cell r="H9">
            <v>211361</v>
          </cell>
        </row>
        <row r="10">
          <cell r="B10" t="str">
            <v>*</v>
          </cell>
          <cell r="C10" t="str">
            <v>Revenue</v>
          </cell>
          <cell r="D10" t="str">
            <v>input&gt;</v>
          </cell>
          <cell r="E10">
            <v>3890209.5800000005</v>
          </cell>
          <cell r="F10" t="str">
            <v>* p/f before rates</v>
          </cell>
          <cell r="H10" t="str">
            <v>final deficiency</v>
          </cell>
        </row>
        <row r="11">
          <cell r="B11" t="str">
            <v>*</v>
          </cell>
          <cell r="C11" t="str">
            <v>Expenses</v>
          </cell>
          <cell r="D11" t="str">
            <v>input&gt;</v>
          </cell>
          <cell r="E11">
            <v>3671972.9527646755</v>
          </cell>
          <cell r="F11" t="str">
            <v>* p/f before rates</v>
          </cell>
        </row>
        <row r="12">
          <cell r="B12" t="str">
            <v>*</v>
          </cell>
          <cell r="C12" t="str">
            <v>Avg. Investment  -</v>
          </cell>
          <cell r="D12" t="str">
            <v>input&gt;</v>
          </cell>
          <cell r="E12">
            <v>1592224.8028140832</v>
          </cell>
          <cell r="F12" t="str">
            <v>* p/f before rates</v>
          </cell>
        </row>
        <row r="13">
          <cell r="C13" t="str">
            <v>curve turnover</v>
          </cell>
          <cell r="E13">
            <v>288.27375272911098</v>
          </cell>
          <cell r="F13" t="str">
            <v>(calculated)</v>
          </cell>
        </row>
        <row r="14">
          <cell r="C14" t="str">
            <v>final turnover</v>
          </cell>
          <cell r="E14">
            <v>254.50859657743786</v>
          </cell>
          <cell r="F14" t="str">
            <v>(calculated)</v>
          </cell>
        </row>
        <row r="15">
          <cell r="C15" t="str">
            <v>curve No. used</v>
          </cell>
          <cell r="E15">
            <v>3</v>
          </cell>
          <cell r="F15" t="str">
            <v>(calculated)</v>
          </cell>
        </row>
        <row r="17">
          <cell r="C17" t="str">
            <v xml:space="preserve">Company actual </v>
          </cell>
        </row>
        <row r="18">
          <cell r="C18" t="str">
            <v>capital structure:</v>
          </cell>
          <cell r="E18" t="str">
            <v>!!!</v>
          </cell>
          <cell r="F18" t="str">
            <v>OPERATING RATIO -&gt;</v>
          </cell>
          <cell r="H18">
            <v>90.613441932170218</v>
          </cell>
          <cell r="I18" t="str">
            <v>!!!&lt;--</v>
          </cell>
        </row>
        <row r="19">
          <cell r="C19" t="str">
            <v>-</v>
          </cell>
          <cell r="D19" t="str">
            <v>-</v>
          </cell>
          <cell r="H19" t="str">
            <v>=</v>
          </cell>
        </row>
        <row r="20">
          <cell r="B20" t="str">
            <v>*</v>
          </cell>
          <cell r="C20" t="str">
            <v xml:space="preserve">Actual Debt Ratio </v>
          </cell>
          <cell r="D20" t="str">
            <v>input&gt;</v>
          </cell>
          <cell r="E20">
            <v>0.43</v>
          </cell>
          <cell r="F20" t="str">
            <v xml:space="preserve"> Conversion factor data:</v>
          </cell>
        </row>
        <row r="21">
          <cell r="B21" t="str">
            <v>*</v>
          </cell>
          <cell r="C21" t="str">
            <v>Actual Equity Ratio</v>
          </cell>
          <cell r="D21" t="str">
            <v>input&gt;</v>
          </cell>
          <cell r="E21">
            <v>0.57000000000000006</v>
          </cell>
          <cell r="F21" t="str">
            <v xml:space="preserve"> B &amp; O Tax</v>
          </cell>
          <cell r="G21" t="str">
            <v>input&gt;</v>
          </cell>
          <cell r="H21">
            <v>1.4999999999999999E-2</v>
          </cell>
          <cell r="I21" t="str">
            <v>*</v>
          </cell>
        </row>
        <row r="22">
          <cell r="B22" t="str">
            <v>*</v>
          </cell>
          <cell r="C22" t="str">
            <v>Actual Cost of Debt</v>
          </cell>
          <cell r="D22" t="str">
            <v>input&gt;</v>
          </cell>
          <cell r="E22">
            <v>6.6750000000000004E-2</v>
          </cell>
          <cell r="F22" t="str">
            <v xml:space="preserve"> WUTC Fee</v>
          </cell>
          <cell r="G22" t="str">
            <v>input&gt;</v>
          </cell>
          <cell r="H22">
            <v>4.0000000000000001E-3</v>
          </cell>
          <cell r="I22" t="str">
            <v>*</v>
          </cell>
        </row>
        <row r="23">
          <cell r="F23" t="str">
            <v xml:space="preserve"> City Tax</v>
          </cell>
          <cell r="G23" t="str">
            <v>input&gt;</v>
          </cell>
          <cell r="H23">
            <v>0</v>
          </cell>
          <cell r="I23" t="str">
            <v>*</v>
          </cell>
        </row>
        <row r="24">
          <cell r="B24" t="str">
            <v>*</v>
          </cell>
          <cell r="C24" t="str">
            <v>Tax Rate</v>
          </cell>
          <cell r="D24" t="str">
            <v>input&gt;</v>
          </cell>
          <cell r="E24">
            <v>0.35</v>
          </cell>
          <cell r="F24" t="str">
            <v xml:space="preserve"> Bad Debts</v>
          </cell>
          <cell r="G24" t="str">
            <v>input&gt;</v>
          </cell>
          <cell r="H24">
            <v>9.8628490858839526E-3</v>
          </cell>
          <cell r="I24" t="str">
            <v>*</v>
          </cell>
        </row>
        <row r="25">
          <cell r="H25" t="str">
            <v>-</v>
          </cell>
        </row>
        <row r="26">
          <cell r="F26" t="str">
            <v>Revenue Sensitive</v>
          </cell>
          <cell r="H26">
            <v>2.8862849085883952E-2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16"/>
  <sheetViews>
    <sheetView tabSelected="1" topLeftCell="A18" workbookViewId="0">
      <selection activeCell="I33" sqref="I33"/>
    </sheetView>
  </sheetViews>
  <sheetFormatPr defaultRowHeight="15" outlineLevelCol="1"/>
  <cols>
    <col min="1" max="1" width="2.21875" style="62" bestFit="1" customWidth="1"/>
    <col min="2" max="2" width="25" bestFit="1" customWidth="1"/>
    <col min="3" max="3" width="16.5546875" customWidth="1"/>
    <col min="4" max="4" width="11" bestFit="1" customWidth="1"/>
    <col min="5" max="5" width="3.77734375" style="62" bestFit="1" customWidth="1"/>
    <col min="6" max="6" width="12.44140625" bestFit="1" customWidth="1"/>
    <col min="7" max="7" width="6.6640625" style="73" customWidth="1"/>
    <col min="8" max="8" width="9.77734375" style="62" customWidth="1"/>
    <col min="9" max="9" width="10" style="74" bestFit="1" customWidth="1"/>
    <col min="10" max="10" width="3.77734375" style="62" bestFit="1" customWidth="1"/>
    <col min="11" max="11" width="10" bestFit="1" customWidth="1"/>
    <col min="12" max="12" width="11" bestFit="1" customWidth="1"/>
    <col min="13" max="13" width="3.77734375" style="62" bestFit="1" customWidth="1"/>
    <col min="14" max="14" width="12.77734375" bestFit="1" customWidth="1"/>
    <col min="15" max="15" width="9.5546875" hidden="1" customWidth="1" outlineLevel="1"/>
    <col min="16" max="16" width="10.88671875" hidden="1" customWidth="1" outlineLevel="1"/>
    <col min="17" max="17" width="12.109375" customWidth="1" collapsed="1"/>
    <col min="18" max="18" width="11.21875" customWidth="1"/>
    <col min="19" max="19" width="9.109375" bestFit="1" customWidth="1"/>
  </cols>
  <sheetData>
    <row r="1" spans="1:18" ht="16.5">
      <c r="B1" s="934" t="s">
        <v>86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</row>
    <row r="2" spans="1:18" ht="16.5">
      <c r="B2" s="63"/>
      <c r="C2" s="64"/>
      <c r="D2" s="65"/>
      <c r="E2" s="66"/>
      <c r="F2" s="64"/>
      <c r="G2" s="67"/>
      <c r="H2" s="66"/>
      <c r="I2" s="64"/>
      <c r="J2" s="66"/>
      <c r="K2" s="64"/>
      <c r="L2" s="65"/>
      <c r="M2" s="68"/>
    </row>
    <row r="3" spans="1:18" ht="16.5">
      <c r="B3" s="934" t="s">
        <v>87</v>
      </c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  <c r="Q3" s="934"/>
      <c r="R3" s="934"/>
    </row>
    <row r="4" spans="1:18" ht="16.5">
      <c r="B4" s="811"/>
      <c r="C4" s="811"/>
      <c r="D4" s="69"/>
      <c r="E4" s="70"/>
      <c r="F4" s="811"/>
      <c r="G4" s="71"/>
      <c r="H4" s="70"/>
      <c r="I4" s="811"/>
      <c r="J4" s="70"/>
      <c r="K4" s="811"/>
      <c r="L4" s="69"/>
      <c r="M4" s="72"/>
      <c r="N4" s="69"/>
      <c r="O4" s="811"/>
    </row>
    <row r="5" spans="1:18" ht="16.5">
      <c r="B5" s="934" t="s">
        <v>88</v>
      </c>
      <c r="C5" s="934"/>
      <c r="D5" s="934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</row>
    <row r="6" spans="1:18" ht="15.75">
      <c r="B6" s="935" t="s">
        <v>89</v>
      </c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</row>
    <row r="7" spans="1:18" ht="15.75">
      <c r="D7" s="909" t="s">
        <v>73</v>
      </c>
      <c r="N7" s="75" t="s">
        <v>90</v>
      </c>
      <c r="Q7" s="76" t="s">
        <v>65</v>
      </c>
    </row>
    <row r="8" spans="1:18" ht="15.75">
      <c r="C8" s="77" t="s">
        <v>91</v>
      </c>
      <c r="D8" s="910" t="s">
        <v>92</v>
      </c>
      <c r="E8" s="78"/>
      <c r="F8" s="77" t="s">
        <v>93</v>
      </c>
      <c r="G8" s="79"/>
      <c r="H8" s="80" t="s">
        <v>94</v>
      </c>
      <c r="I8" s="80" t="s">
        <v>95</v>
      </c>
      <c r="K8" s="77" t="s">
        <v>96</v>
      </c>
      <c r="L8" s="77" t="s">
        <v>97</v>
      </c>
      <c r="N8" s="77" t="s">
        <v>98</v>
      </c>
      <c r="O8" s="77" t="s">
        <v>98</v>
      </c>
      <c r="P8" s="77" t="s">
        <v>98</v>
      </c>
      <c r="Q8" s="77" t="s">
        <v>98</v>
      </c>
    </row>
    <row r="9" spans="1:18" ht="15.75">
      <c r="C9" s="77" t="s">
        <v>99</v>
      </c>
      <c r="D9" s="910" t="s">
        <v>93</v>
      </c>
      <c r="E9" s="78"/>
      <c r="F9" s="77"/>
      <c r="G9" s="79"/>
      <c r="H9" s="80" t="s">
        <v>100</v>
      </c>
      <c r="I9" s="80" t="s">
        <v>100</v>
      </c>
      <c r="K9" s="77" t="s">
        <v>99</v>
      </c>
      <c r="L9" s="77" t="s">
        <v>100</v>
      </c>
      <c r="N9" s="77" t="s">
        <v>101</v>
      </c>
      <c r="O9" s="77" t="s">
        <v>101</v>
      </c>
      <c r="P9" s="77" t="s">
        <v>101</v>
      </c>
      <c r="Q9" s="77" t="s">
        <v>101</v>
      </c>
    </row>
    <row r="10" spans="1:18" ht="15.75">
      <c r="C10" s="77" t="s">
        <v>102</v>
      </c>
      <c r="D10" s="910"/>
      <c r="E10" s="81" t="s">
        <v>103</v>
      </c>
      <c r="F10" s="77"/>
      <c r="G10" s="82" t="s">
        <v>104</v>
      </c>
      <c r="H10" s="83"/>
      <c r="I10" s="80"/>
      <c r="J10" s="81" t="s">
        <v>103</v>
      </c>
      <c r="K10" s="77" t="s">
        <v>102</v>
      </c>
      <c r="L10" s="77"/>
      <c r="M10" s="81" t="s">
        <v>103</v>
      </c>
      <c r="N10" s="77" t="s">
        <v>102</v>
      </c>
      <c r="O10" s="77" t="s">
        <v>102</v>
      </c>
      <c r="P10" s="77" t="s">
        <v>102</v>
      </c>
      <c r="Q10" s="77" t="s">
        <v>102</v>
      </c>
      <c r="R10" s="77" t="s">
        <v>105</v>
      </c>
    </row>
    <row r="11" spans="1:18" ht="15.75">
      <c r="B11" s="84" t="s">
        <v>106</v>
      </c>
      <c r="D11" s="911"/>
      <c r="O11" s="85"/>
      <c r="P11" s="85"/>
    </row>
    <row r="12" spans="1:18" ht="15.75">
      <c r="A12" s="62">
        <v>1</v>
      </c>
      <c r="B12" s="86" t="s">
        <v>107</v>
      </c>
      <c r="C12" s="87">
        <f t="shared" ref="C12:C19" si="0">VLOOKUP(B12,income_statement,14,FALSE)</f>
        <v>2077764.6900000004</v>
      </c>
      <c r="D12" s="912">
        <f>C12*'[8]WP-8 - Cust Counts (x per wk)'!M13</f>
        <v>0</v>
      </c>
      <c r="E12" s="88"/>
      <c r="F12" s="87">
        <f>C12-D12</f>
        <v>2077764.6900000004</v>
      </c>
      <c r="G12" s="89" t="s">
        <v>108</v>
      </c>
      <c r="H12" s="88"/>
      <c r="I12" s="90">
        <f>'[8]Sch 1, pg 2 - Restated'!D13</f>
        <v>-5618.63</v>
      </c>
      <c r="J12" s="88" t="s">
        <v>109</v>
      </c>
      <c r="K12" s="87">
        <f>F12+I12+H12</f>
        <v>2072146.0600000005</v>
      </c>
      <c r="L12" s="87"/>
      <c r="M12" s="88"/>
      <c r="N12" s="87">
        <f t="shared" ref="N12:N19" si="1">K12+L12</f>
        <v>2072146.0600000005</v>
      </c>
      <c r="O12" s="91">
        <f>+'[8]Summary Price Out'!L11</f>
        <v>343735.38583999872</v>
      </c>
      <c r="P12" s="91">
        <f>+O12+N12</f>
        <v>2415881.4458399992</v>
      </c>
      <c r="Q12" s="87">
        <f>[16]Operations!N12</f>
        <v>2072146.0600000005</v>
      </c>
      <c r="R12" s="87">
        <f>N12-Q12</f>
        <v>0</v>
      </c>
    </row>
    <row r="13" spans="1:18" ht="15.75">
      <c r="A13" s="62">
        <v>2</v>
      </c>
      <c r="B13" s="86" t="s">
        <v>110</v>
      </c>
      <c r="C13" s="87">
        <f t="shared" si="0"/>
        <v>599529.29999999993</v>
      </c>
      <c r="D13" s="912">
        <f>C13*'[8]WP-8 - Cust Counts (x per wk)'!K113</f>
        <v>0</v>
      </c>
      <c r="E13" s="88"/>
      <c r="F13" s="87">
        <f>C13-D13</f>
        <v>599529.29999999993</v>
      </c>
      <c r="G13" s="89" t="s">
        <v>108</v>
      </c>
      <c r="H13" s="88"/>
      <c r="I13" s="90">
        <f>'[8]Sch 1, pg 2 - Restated'!D14</f>
        <v>-1137.4100000000001</v>
      </c>
      <c r="J13" s="88" t="s">
        <v>109</v>
      </c>
      <c r="K13" s="87">
        <f t="shared" ref="K13:K19" si="2">F13+I13+H13</f>
        <v>598391.8899999999</v>
      </c>
      <c r="L13" s="87"/>
      <c r="M13" s="88"/>
      <c r="N13" s="87">
        <f t="shared" si="1"/>
        <v>598391.8899999999</v>
      </c>
      <c r="O13" s="92">
        <f>+'[8]Summary Price Out'!L13</f>
        <v>139651.7677638001</v>
      </c>
      <c r="P13" s="92">
        <f>+O13+N13</f>
        <v>738043.6577638</v>
      </c>
      <c r="Q13" s="87">
        <f>[16]Operations!N13</f>
        <v>598391.8899999999</v>
      </c>
      <c r="R13" s="87">
        <f t="shared" ref="R13:R76" si="3">N13-Q13</f>
        <v>0</v>
      </c>
    </row>
    <row r="14" spans="1:18" ht="15.75">
      <c r="A14" s="62">
        <v>3</v>
      </c>
      <c r="B14" s="86" t="s">
        <v>111</v>
      </c>
      <c r="C14" s="87">
        <f t="shared" si="0"/>
        <v>1097758.04</v>
      </c>
      <c r="D14" s="912">
        <f>'[8]Sch 4 - 12months'!O36</f>
        <v>154084.71</v>
      </c>
      <c r="E14" s="88" t="s">
        <v>70</v>
      </c>
      <c r="F14" s="87">
        <f>C14-D14</f>
        <v>943673.33000000007</v>
      </c>
      <c r="G14" s="89" t="s">
        <v>108</v>
      </c>
      <c r="H14" s="88"/>
      <c r="I14" s="90">
        <f>+'[8]Sch 1, pg 2 - Restated'!D15</f>
        <v>-2986.7</v>
      </c>
      <c r="J14" s="88" t="s">
        <v>109</v>
      </c>
      <c r="K14" s="87">
        <f t="shared" si="2"/>
        <v>940686.63000000012</v>
      </c>
      <c r="L14" s="87"/>
      <c r="M14" s="88"/>
      <c r="N14" s="87">
        <f t="shared" si="1"/>
        <v>940686.63000000012</v>
      </c>
      <c r="O14" s="92">
        <f>+'[8]Summary Price Out'!L15</f>
        <v>48345.949624664849</v>
      </c>
      <c r="P14" s="92">
        <f t="shared" ref="P14:P19" si="4">+O14+N14</f>
        <v>989032.57962466497</v>
      </c>
      <c r="Q14" s="87">
        <f>[16]Operations!N14</f>
        <v>940686.63000000012</v>
      </c>
      <c r="R14" s="87">
        <f t="shared" si="3"/>
        <v>0</v>
      </c>
    </row>
    <row r="15" spans="1:18" s="74" customFormat="1" ht="15.75">
      <c r="A15" s="93">
        <v>4</v>
      </c>
      <c r="B15" s="86" t="s">
        <v>112</v>
      </c>
      <c r="C15" s="94">
        <f t="shared" si="0"/>
        <v>45569.850000000006</v>
      </c>
      <c r="D15" s="912">
        <f>C15-F15</f>
        <v>4122.8884604966152</v>
      </c>
      <c r="E15" s="95"/>
      <c r="F15" s="94">
        <f>C15*'[8]WP-8 - Cust Counts (x per wk)'!P112</f>
        <v>41446.961539503391</v>
      </c>
      <c r="G15" s="96" t="s">
        <v>113</v>
      </c>
      <c r="H15" s="95"/>
      <c r="I15" s="94">
        <f>-F15</f>
        <v>-41446.961539503391</v>
      </c>
      <c r="J15" s="95" t="s">
        <v>114</v>
      </c>
      <c r="K15" s="94">
        <f t="shared" si="2"/>
        <v>0</v>
      </c>
      <c r="L15" s="94"/>
      <c r="M15" s="95"/>
      <c r="N15" s="94">
        <f t="shared" si="1"/>
        <v>0</v>
      </c>
      <c r="O15" s="92">
        <v>0</v>
      </c>
      <c r="P15" s="92">
        <f t="shared" si="4"/>
        <v>0</v>
      </c>
      <c r="Q15" s="87">
        <f>[16]Operations!N15</f>
        <v>0</v>
      </c>
      <c r="R15" s="87">
        <f t="shared" si="3"/>
        <v>0</v>
      </c>
    </row>
    <row r="16" spans="1:18" ht="15.75">
      <c r="A16" s="62">
        <v>5</v>
      </c>
      <c r="B16" s="86" t="s">
        <v>115</v>
      </c>
      <c r="C16" s="87">
        <f t="shared" si="0"/>
        <v>0</v>
      </c>
      <c r="D16" s="912">
        <f>C16-F16</f>
        <v>0</v>
      </c>
      <c r="E16" s="88"/>
      <c r="F16" s="87">
        <v>0</v>
      </c>
      <c r="G16" s="89" t="s">
        <v>108</v>
      </c>
      <c r="H16" s="88"/>
      <c r="I16" s="90"/>
      <c r="J16" s="88"/>
      <c r="K16" s="87">
        <f t="shared" si="2"/>
        <v>0</v>
      </c>
      <c r="L16" s="87"/>
      <c r="M16" s="88"/>
      <c r="N16" s="87">
        <f t="shared" si="1"/>
        <v>0</v>
      </c>
      <c r="O16" s="92">
        <v>0</v>
      </c>
      <c r="P16" s="92">
        <f t="shared" si="4"/>
        <v>0</v>
      </c>
      <c r="Q16" s="87">
        <f>[16]Operations!N16</f>
        <v>0</v>
      </c>
      <c r="R16" s="87">
        <f t="shared" si="3"/>
        <v>0</v>
      </c>
    </row>
    <row r="17" spans="1:18" ht="15.75">
      <c r="A17" s="62">
        <v>6</v>
      </c>
      <c r="B17" s="86" t="s">
        <v>116</v>
      </c>
      <c r="C17" s="87">
        <f t="shared" si="0"/>
        <v>0</v>
      </c>
      <c r="D17" s="912">
        <f>C17-F17</f>
        <v>0</v>
      </c>
      <c r="E17" s="88"/>
      <c r="F17" s="87">
        <v>0</v>
      </c>
      <c r="G17" s="89" t="s">
        <v>108</v>
      </c>
      <c r="H17" s="88"/>
      <c r="I17" s="90">
        <f>'[8]Sch 3, pg 2 - Reclass'!F18</f>
        <v>0</v>
      </c>
      <c r="J17" s="88"/>
      <c r="K17" s="87">
        <f t="shared" si="2"/>
        <v>0</v>
      </c>
      <c r="L17" s="94">
        <f>+'[8]Sch 2, pg 2 - Forecast'!L18</f>
        <v>138598.09962466493</v>
      </c>
      <c r="M17" s="88" t="s">
        <v>709</v>
      </c>
      <c r="N17" s="87">
        <f t="shared" si="1"/>
        <v>138598.09962466493</v>
      </c>
      <c r="O17" s="92">
        <v>0</v>
      </c>
      <c r="P17" s="92">
        <f t="shared" si="4"/>
        <v>138598.09962466493</v>
      </c>
      <c r="Q17" s="87">
        <f>[16]Operations!N17</f>
        <v>138598.09962466493</v>
      </c>
      <c r="R17" s="87">
        <f t="shared" si="3"/>
        <v>0</v>
      </c>
    </row>
    <row r="18" spans="1:18" ht="15.75">
      <c r="A18" s="62">
        <v>7</v>
      </c>
      <c r="B18" s="86" t="s">
        <v>118</v>
      </c>
      <c r="C18" s="87">
        <f t="shared" si="0"/>
        <v>222136.40999999997</v>
      </c>
      <c r="D18" s="912">
        <f>C18+'[8]Sch 2, pg 2 - Forecast'!H19</f>
        <v>222136.40999999997</v>
      </c>
      <c r="E18" s="88" t="s">
        <v>81</v>
      </c>
      <c r="F18" s="87">
        <v>0</v>
      </c>
      <c r="G18" s="89" t="s">
        <v>108</v>
      </c>
      <c r="H18" s="88"/>
      <c r="I18" s="90"/>
      <c r="J18" s="88"/>
      <c r="K18" s="87">
        <f t="shared" si="2"/>
        <v>0</v>
      </c>
      <c r="L18" s="87"/>
      <c r="M18" s="88"/>
      <c r="N18" s="87">
        <f t="shared" si="1"/>
        <v>0</v>
      </c>
      <c r="O18" s="92">
        <v>0</v>
      </c>
      <c r="P18" s="92">
        <f t="shared" si="4"/>
        <v>0</v>
      </c>
      <c r="Q18" s="87">
        <f>[16]Operations!N18</f>
        <v>0</v>
      </c>
      <c r="R18" s="87">
        <f t="shared" si="3"/>
        <v>0</v>
      </c>
    </row>
    <row r="19" spans="1:18" ht="15.75">
      <c r="A19" s="62">
        <v>8</v>
      </c>
      <c r="B19" s="86" t="s">
        <v>119</v>
      </c>
      <c r="C19" s="87">
        <f t="shared" si="0"/>
        <v>-9742.74</v>
      </c>
      <c r="D19" s="912">
        <f>C19-F19</f>
        <v>0</v>
      </c>
      <c r="E19" s="88"/>
      <c r="F19" s="87">
        <f>C19</f>
        <v>-9742.74</v>
      </c>
      <c r="G19" s="89" t="s">
        <v>108</v>
      </c>
      <c r="H19" s="88"/>
      <c r="I19" s="90">
        <f>-F19</f>
        <v>9742.74</v>
      </c>
      <c r="J19" s="88" t="s">
        <v>109</v>
      </c>
      <c r="K19" s="87">
        <f t="shared" si="2"/>
        <v>0</v>
      </c>
      <c r="L19" s="87"/>
      <c r="M19" s="88"/>
      <c r="N19" s="87">
        <f t="shared" si="1"/>
        <v>0</v>
      </c>
      <c r="O19" s="97">
        <v>0</v>
      </c>
      <c r="P19" s="97">
        <f t="shared" si="4"/>
        <v>0</v>
      </c>
      <c r="Q19" s="87">
        <f>[16]Operations!N19</f>
        <v>0</v>
      </c>
      <c r="R19" s="87">
        <f t="shared" si="3"/>
        <v>0</v>
      </c>
    </row>
    <row r="20" spans="1:18" ht="15.75">
      <c r="B20" s="98" t="s">
        <v>120</v>
      </c>
      <c r="C20" s="99">
        <f>SUM(C12:C19)</f>
        <v>4033015.5500000003</v>
      </c>
      <c r="D20" s="913">
        <f t="shared" ref="D20:L20" si="5">SUM(D12:D19)</f>
        <v>380344.00846049655</v>
      </c>
      <c r="E20" s="100"/>
      <c r="F20" s="99">
        <f t="shared" si="5"/>
        <v>3652671.5415395033</v>
      </c>
      <c r="G20" s="101"/>
      <c r="H20" s="102">
        <f>SUM(H12:H19)</f>
        <v>0</v>
      </c>
      <c r="I20" s="102">
        <f>SUM(I12:I19)</f>
        <v>-41446.961539503391</v>
      </c>
      <c r="J20" s="100"/>
      <c r="K20" s="99">
        <f t="shared" si="5"/>
        <v>3611224.58</v>
      </c>
      <c r="L20" s="99">
        <f t="shared" si="5"/>
        <v>138598.09962466493</v>
      </c>
      <c r="M20" s="100"/>
      <c r="N20" s="99">
        <f>SUM(N12:N19)</f>
        <v>3749822.6796246651</v>
      </c>
      <c r="O20" s="103">
        <f>SUM(O12:O19)</f>
        <v>531733.10322846367</v>
      </c>
      <c r="P20" s="103">
        <f>SUM(P12:P19)</f>
        <v>4281555.7828531293</v>
      </c>
      <c r="Q20" s="99">
        <f>[16]Operations!N20</f>
        <v>3749822.6796246651</v>
      </c>
      <c r="R20" s="87">
        <f t="shared" si="3"/>
        <v>0</v>
      </c>
    </row>
    <row r="21" spans="1:18">
      <c r="B21" s="104" t="s">
        <v>121</v>
      </c>
      <c r="C21" s="87"/>
      <c r="D21" s="914">
        <f>D14+D18</f>
        <v>376221.12</v>
      </c>
      <c r="E21" s="88"/>
      <c r="F21" s="105">
        <f>SUM(F12:F14)</f>
        <v>3620967.3200000003</v>
      </c>
      <c r="G21" s="89"/>
      <c r="H21" s="88"/>
      <c r="J21" s="88"/>
      <c r="K21" s="87"/>
      <c r="L21" s="87"/>
      <c r="M21" s="88"/>
      <c r="N21" s="87"/>
      <c r="O21" s="92"/>
      <c r="P21" s="92"/>
      <c r="Q21" s="87"/>
      <c r="R21" s="87"/>
    </row>
    <row r="22" spans="1:18" ht="15.75">
      <c r="B22" s="85"/>
      <c r="C22" s="87"/>
      <c r="D22" s="915">
        <f>D21/(D21+F21)</f>
        <v>9.4121437016864776E-2</v>
      </c>
      <c r="E22" s="106"/>
      <c r="F22" s="106">
        <f>F21/(D21+F21)</f>
        <v>0.90587856298313518</v>
      </c>
      <c r="G22" s="89"/>
      <c r="H22" s="88"/>
      <c r="J22" s="88"/>
      <c r="K22" s="87"/>
      <c r="L22" s="87"/>
      <c r="M22" s="88"/>
      <c r="N22" s="87"/>
      <c r="O22" s="107"/>
      <c r="P22" s="107"/>
      <c r="Q22" s="87"/>
      <c r="R22" s="87"/>
    </row>
    <row r="23" spans="1:18">
      <c r="B23" s="84" t="s">
        <v>122</v>
      </c>
      <c r="C23" s="87"/>
      <c r="D23" s="912"/>
      <c r="E23" s="88"/>
      <c r="F23" s="87"/>
      <c r="G23" s="89"/>
      <c r="H23" s="95"/>
      <c r="I23" s="90"/>
      <c r="J23" s="88"/>
      <c r="K23" s="87"/>
      <c r="L23" s="87"/>
      <c r="M23" s="88"/>
      <c r="N23" s="87"/>
      <c r="O23" s="108"/>
      <c r="P23" s="92"/>
      <c r="Q23" s="87"/>
      <c r="R23" s="87"/>
    </row>
    <row r="24" spans="1:18" s="74" customFormat="1" ht="15.75">
      <c r="A24" s="93">
        <v>9</v>
      </c>
      <c r="B24" s="86" t="s">
        <v>123</v>
      </c>
      <c r="C24" s="94">
        <f t="shared" ref="C24:C36" si="6">VLOOKUP(B24,income_statement,14,FALSE)</f>
        <v>339418.37</v>
      </c>
      <c r="D24" s="912">
        <f>C24-F24</f>
        <v>30920.036763489188</v>
      </c>
      <c r="E24" s="95"/>
      <c r="F24" s="94">
        <f>C24*'[8]WP-8 - Cust Counts (x per wk)'!V112</f>
        <v>308498.33323651081</v>
      </c>
      <c r="G24" s="96" t="s">
        <v>124</v>
      </c>
      <c r="H24" s="94">
        <f>'[8]Sch 3, pg 2 - Reclass'!D24</f>
        <v>-100385.92333812951</v>
      </c>
      <c r="J24" s="95" t="s">
        <v>125</v>
      </c>
      <c r="K24" s="94">
        <f t="shared" ref="K24:K87" si="7">F24+I24+H24</f>
        <v>208112.4098983813</v>
      </c>
      <c r="L24" s="94">
        <f>+'[8]Sch 2, pg 2 - Forecast'!L24</f>
        <v>6873.0250755098041</v>
      </c>
      <c r="M24" s="95" t="s">
        <v>83</v>
      </c>
      <c r="N24" s="94">
        <f>K24+L24</f>
        <v>214985.4349738911</v>
      </c>
      <c r="O24" s="92">
        <v>0</v>
      </c>
      <c r="P24" s="92">
        <f>+O24+N24</f>
        <v>214985.4349738911</v>
      </c>
      <c r="Q24" s="90">
        <f>[16]Operations!P24</f>
        <v>228928.23551778469</v>
      </c>
      <c r="R24" s="87">
        <f t="shared" si="3"/>
        <v>-13942.800543893594</v>
      </c>
    </row>
    <row r="25" spans="1:18" ht="15.75">
      <c r="A25" s="62">
        <v>10</v>
      </c>
      <c r="B25" s="86" t="s">
        <v>127</v>
      </c>
      <c r="C25" s="87">
        <f t="shared" si="6"/>
        <v>0</v>
      </c>
      <c r="D25" s="912">
        <v>0</v>
      </c>
      <c r="E25" s="88"/>
      <c r="F25" s="87">
        <f>C25</f>
        <v>0</v>
      </c>
      <c r="G25" s="89" t="s">
        <v>108</v>
      </c>
      <c r="H25" s="94">
        <f>+'[8]Sch 3, pg 2 - Reclass'!D25</f>
        <v>98309.51</v>
      </c>
      <c r="I25" s="94"/>
      <c r="J25" s="88" t="s">
        <v>125</v>
      </c>
      <c r="K25" s="87">
        <f t="shared" si="7"/>
        <v>98309.51</v>
      </c>
      <c r="L25" s="94">
        <f>+'[8]Sch 2, pg 2 - Forecast'!L25</f>
        <v>33121.332824000012</v>
      </c>
      <c r="M25" s="95" t="s">
        <v>83</v>
      </c>
      <c r="N25" s="87">
        <f t="shared" ref="N25:N88" si="8">K25+L25</f>
        <v>131430.84282399999</v>
      </c>
      <c r="O25" s="92">
        <v>0</v>
      </c>
      <c r="P25" s="92">
        <f t="shared" ref="P25:P88" si="9">+O25+N25</f>
        <v>131430.84282399999</v>
      </c>
      <c r="Q25" s="90">
        <f>[16]Operations!P25</f>
        <v>127205.2671373271</v>
      </c>
      <c r="R25" s="87">
        <f t="shared" si="3"/>
        <v>4225.5756866728916</v>
      </c>
    </row>
    <row r="26" spans="1:18" s="74" customFormat="1" ht="15.75">
      <c r="A26" s="93">
        <v>11</v>
      </c>
      <c r="B26" s="86" t="s">
        <v>128</v>
      </c>
      <c r="C26" s="94">
        <f t="shared" si="6"/>
        <v>223687.43</v>
      </c>
      <c r="D26" s="912">
        <f t="shared" ref="D26:D36" si="10">C26-F26</f>
        <v>20377.281168165471</v>
      </c>
      <c r="E26" s="95"/>
      <c r="F26" s="94">
        <f>C26*'[8]WP-8 - Cust Counts (x per wk)'!V112</f>
        <v>203310.14883183452</v>
      </c>
      <c r="G26" s="96" t="s">
        <v>124</v>
      </c>
      <c r="H26" s="94">
        <f>'[8]Sch 3, pg 2 - Reclass'!D26</f>
        <v>19281.911009892094</v>
      </c>
      <c r="J26" s="95" t="s">
        <v>125</v>
      </c>
      <c r="K26" s="94">
        <f t="shared" si="7"/>
        <v>222592.05984172662</v>
      </c>
      <c r="L26" s="94">
        <f>+'[8]Sch 2, pg 2 - Forecast'!L26</f>
        <v>13359.365597497677</v>
      </c>
      <c r="M26" s="95" t="s">
        <v>83</v>
      </c>
      <c r="N26" s="94">
        <f t="shared" si="8"/>
        <v>235951.42543922429</v>
      </c>
      <c r="O26" s="92">
        <v>0</v>
      </c>
      <c r="P26" s="92">
        <f t="shared" si="9"/>
        <v>235951.42543922429</v>
      </c>
      <c r="Q26" s="90">
        <f>[16]Operations!P26</f>
        <v>251253.96750839296</v>
      </c>
      <c r="R26" s="87">
        <f t="shared" si="3"/>
        <v>-15302.542069168674</v>
      </c>
    </row>
    <row r="27" spans="1:18" s="74" customFormat="1" ht="15.75">
      <c r="A27" s="93">
        <v>12</v>
      </c>
      <c r="B27" s="86" t="s">
        <v>129</v>
      </c>
      <c r="C27" s="94">
        <f t="shared" si="6"/>
        <v>0</v>
      </c>
      <c r="D27" s="912">
        <f t="shared" si="10"/>
        <v>0</v>
      </c>
      <c r="E27" s="95"/>
      <c r="F27" s="94">
        <f>C27*'[8]WP-8 - Cust Counts (x per wk)'!V112</f>
        <v>0</v>
      </c>
      <c r="G27" s="96" t="s">
        <v>124</v>
      </c>
      <c r="H27" s="94">
        <f>'[8]Sch 3, pg 2 - Reclass'!D27</f>
        <v>71235.517532374084</v>
      </c>
      <c r="J27" s="95" t="s">
        <v>125</v>
      </c>
      <c r="K27" s="94">
        <f t="shared" si="7"/>
        <v>71235.517532374084</v>
      </c>
      <c r="L27" s="94">
        <f>+'[8]Sch 2, pg 2 - Forecast'!L27</f>
        <v>2443.1945777674446</v>
      </c>
      <c r="M27" s="95" t="s">
        <v>83</v>
      </c>
      <c r="N27" s="94">
        <f t="shared" si="8"/>
        <v>73678.712110141525</v>
      </c>
      <c r="O27" s="92">
        <v>0</v>
      </c>
      <c r="P27" s="92">
        <f t="shared" si="9"/>
        <v>73678.712110141525</v>
      </c>
      <c r="Q27" s="90">
        <f>[16]Operations!P27</f>
        <v>78457.117621228463</v>
      </c>
      <c r="R27" s="87">
        <f t="shared" si="3"/>
        <v>-4778.4055110869376</v>
      </c>
    </row>
    <row r="28" spans="1:18" s="74" customFormat="1" ht="15.75">
      <c r="A28" s="93">
        <v>13</v>
      </c>
      <c r="B28" s="86" t="s">
        <v>130</v>
      </c>
      <c r="C28" s="94">
        <f t="shared" si="6"/>
        <v>28068.37</v>
      </c>
      <c r="D28" s="912">
        <f t="shared" si="10"/>
        <v>2539.4588478555306</v>
      </c>
      <c r="E28" s="95"/>
      <c r="F28" s="94">
        <f>C28*'[8]WP-8 - Cust Counts (x per wk)'!P112</f>
        <v>25528.911152144468</v>
      </c>
      <c r="G28" s="96" t="s">
        <v>113</v>
      </c>
      <c r="H28" s="94">
        <f>'[8]Sch 3, pg 2 - Reclass'!D28</f>
        <v>-11850.350153498872</v>
      </c>
      <c r="J28" s="95" t="s">
        <v>125</v>
      </c>
      <c r="K28" s="94">
        <f t="shared" si="7"/>
        <v>13678.560998645597</v>
      </c>
      <c r="L28" s="94">
        <f>+'[8]Sch 2, pg 2 - Forecast'!L28</f>
        <v>2483.6026490755758</v>
      </c>
      <c r="M28" s="95" t="s">
        <v>83</v>
      </c>
      <c r="N28" s="94">
        <f t="shared" si="8"/>
        <v>16162.163647721172</v>
      </c>
      <c r="O28" s="92">
        <v>0</v>
      </c>
      <c r="P28" s="92">
        <f t="shared" si="9"/>
        <v>16162.163647721172</v>
      </c>
      <c r="Q28" s="90">
        <f>[16]Operations!P28</f>
        <v>17198.564608778197</v>
      </c>
      <c r="R28" s="87">
        <f t="shared" si="3"/>
        <v>-1036.4009610570247</v>
      </c>
    </row>
    <row r="29" spans="1:18" s="74" customFormat="1" ht="15.75">
      <c r="A29" s="93">
        <v>14</v>
      </c>
      <c r="B29" s="86" t="s">
        <v>131</v>
      </c>
      <c r="C29" s="94">
        <f t="shared" si="6"/>
        <v>0</v>
      </c>
      <c r="D29" s="912">
        <f t="shared" si="10"/>
        <v>0</v>
      </c>
      <c r="E29" s="95"/>
      <c r="F29" s="94">
        <f>C29*'[8]WP-8 - Cust Counts (x per wk)'!P112</f>
        <v>0</v>
      </c>
      <c r="G29" s="109"/>
      <c r="H29" s="95"/>
      <c r="I29" s="94">
        <f>'[8]Sch 1, pg 2 - Restated'!F29</f>
        <v>234782.48466226229</v>
      </c>
      <c r="J29" s="95" t="s">
        <v>132</v>
      </c>
      <c r="K29" s="94">
        <f t="shared" si="7"/>
        <v>234782.48466226229</v>
      </c>
      <c r="L29" s="94">
        <f>'[8]WP-3, pg 2 -  Labor Increase'!AE58+'[8]Employee List'!M46</f>
        <v>8716.876816144666</v>
      </c>
      <c r="M29" s="95" t="s">
        <v>83</v>
      </c>
      <c r="N29" s="94">
        <f t="shared" si="8"/>
        <v>243499.36147840697</v>
      </c>
      <c r="O29" s="92">
        <v>0</v>
      </c>
      <c r="P29" s="92">
        <f t="shared" si="9"/>
        <v>243499.36147840697</v>
      </c>
      <c r="Q29" s="90">
        <f>[16]Operations!P29</f>
        <v>288833.80059194035</v>
      </c>
      <c r="R29" s="87">
        <f t="shared" si="3"/>
        <v>-45334.439113533386</v>
      </c>
    </row>
    <row r="30" spans="1:18" s="74" customFormat="1" ht="15.75">
      <c r="A30" s="93">
        <v>15</v>
      </c>
      <c r="B30" s="86" t="s">
        <v>133</v>
      </c>
      <c r="C30" s="94">
        <f t="shared" si="6"/>
        <v>1172.1600000000001</v>
      </c>
      <c r="D30" s="912">
        <f t="shared" si="10"/>
        <v>106.05005146726876</v>
      </c>
      <c r="E30" s="95"/>
      <c r="F30" s="94">
        <f>C30*'[8]WP-8 - Cust Counts (x per wk)'!P112</f>
        <v>1066.1099485327313</v>
      </c>
      <c r="G30" s="96" t="s">
        <v>113</v>
      </c>
      <c r="H30" s="95"/>
      <c r="I30" s="94"/>
      <c r="J30" s="95"/>
      <c r="K30" s="94">
        <f t="shared" si="7"/>
        <v>1066.1099485327313</v>
      </c>
      <c r="L30" s="94"/>
      <c r="M30" s="95"/>
      <c r="N30" s="94">
        <f t="shared" si="8"/>
        <v>1066.1099485327313</v>
      </c>
      <c r="O30" s="92">
        <v>0</v>
      </c>
      <c r="P30" s="92">
        <f t="shared" si="9"/>
        <v>1066.1099485327313</v>
      </c>
      <c r="Q30" s="90">
        <f>[16]Operations!P30</f>
        <v>1134.4743952327601</v>
      </c>
      <c r="R30" s="87">
        <f t="shared" si="3"/>
        <v>-68.364446700028793</v>
      </c>
    </row>
    <row r="31" spans="1:18" s="74" customFormat="1" ht="15.75">
      <c r="A31" s="93">
        <v>16</v>
      </c>
      <c r="B31" s="86" t="s">
        <v>134</v>
      </c>
      <c r="C31" s="94">
        <f t="shared" si="6"/>
        <v>119887.62999999999</v>
      </c>
      <c r="D31" s="912">
        <f t="shared" si="10"/>
        <v>10921.4180926259</v>
      </c>
      <c r="E31" s="95"/>
      <c r="F31" s="94">
        <f>C31*'[8]WP-8 - Cust Counts (x per wk)'!V112</f>
        <v>108966.21190737409</v>
      </c>
      <c r="G31" s="96" t="s">
        <v>124</v>
      </c>
      <c r="H31" s="95"/>
      <c r="I31" s="94"/>
      <c r="J31" s="95"/>
      <c r="K31" s="94">
        <f t="shared" si="7"/>
        <v>108966.21190737409</v>
      </c>
      <c r="L31" s="94"/>
      <c r="M31" s="95"/>
      <c r="N31" s="94">
        <f t="shared" si="8"/>
        <v>108966.21190737409</v>
      </c>
      <c r="O31" s="92">
        <v>0</v>
      </c>
      <c r="P31" s="92">
        <f t="shared" si="9"/>
        <v>108966.21190737409</v>
      </c>
      <c r="Q31" s="90">
        <f>[16]Operations!P31</f>
        <v>116033.1751127311</v>
      </c>
      <c r="R31" s="87">
        <f t="shared" si="3"/>
        <v>-7066.9632053570094</v>
      </c>
    </row>
    <row r="32" spans="1:18" s="74" customFormat="1" ht="15.75">
      <c r="A32" s="93">
        <v>17</v>
      </c>
      <c r="B32" s="86" t="s">
        <v>135</v>
      </c>
      <c r="C32" s="94">
        <f t="shared" si="6"/>
        <v>9092.69</v>
      </c>
      <c r="D32" s="912">
        <f t="shared" si="10"/>
        <v>822.65240451467253</v>
      </c>
      <c r="E32" s="95"/>
      <c r="F32" s="94">
        <f>C32*'[8]WP-8 - Cust Counts (x per wk)'!P112</f>
        <v>8270.037595485328</v>
      </c>
      <c r="G32" s="96" t="s">
        <v>113</v>
      </c>
      <c r="H32" s="95"/>
      <c r="I32" s="94"/>
      <c r="J32" s="95"/>
      <c r="K32" s="94">
        <f t="shared" si="7"/>
        <v>8270.037595485328</v>
      </c>
      <c r="L32" s="94"/>
      <c r="M32" s="95"/>
      <c r="N32" s="94">
        <f t="shared" si="8"/>
        <v>8270.037595485328</v>
      </c>
      <c r="O32" s="92">
        <v>0</v>
      </c>
      <c r="P32" s="92">
        <f t="shared" si="9"/>
        <v>8270.037595485328</v>
      </c>
      <c r="Q32" s="90">
        <f>[16]Operations!P32</f>
        <v>8800.3548907904769</v>
      </c>
      <c r="R32" s="87">
        <f t="shared" si="3"/>
        <v>-530.31729530514895</v>
      </c>
    </row>
    <row r="33" spans="1:19" s="74" customFormat="1" ht="15.75">
      <c r="A33" s="93">
        <v>18</v>
      </c>
      <c r="B33" s="86" t="s">
        <v>136</v>
      </c>
      <c r="C33" s="94">
        <f t="shared" si="6"/>
        <v>36000</v>
      </c>
      <c r="D33" s="912">
        <f t="shared" si="10"/>
        <v>3279.4964028776994</v>
      </c>
      <c r="E33" s="95"/>
      <c r="F33" s="94">
        <f>C33*'[8]WP-8 - Cust Counts (x per wk)'!V112</f>
        <v>32720.503597122301</v>
      </c>
      <c r="G33" s="96" t="s">
        <v>124</v>
      </c>
      <c r="H33" s="95"/>
      <c r="I33" s="94">
        <f>'[8]Sch 1 - Restate Exp'!D87</f>
        <v>-24316.531701795855</v>
      </c>
      <c r="J33" s="109" t="s">
        <v>77</v>
      </c>
      <c r="K33" s="94">
        <f t="shared" si="7"/>
        <v>8403.9718953264455</v>
      </c>
      <c r="L33" s="94"/>
      <c r="M33" s="95"/>
      <c r="N33" s="94">
        <f t="shared" si="8"/>
        <v>8403.9718953264455</v>
      </c>
      <c r="O33" s="92">
        <v>0</v>
      </c>
      <c r="P33" s="92">
        <f t="shared" si="9"/>
        <v>8403.9718953264455</v>
      </c>
      <c r="Q33" s="90">
        <f>[16]Operations!P33</f>
        <v>34842.579706165852</v>
      </c>
      <c r="R33" s="87">
        <f t="shared" si="3"/>
        <v>-26438.607810839407</v>
      </c>
    </row>
    <row r="34" spans="1:19" s="74" customFormat="1" ht="15.75">
      <c r="A34" s="93">
        <v>19</v>
      </c>
      <c r="B34" s="86" t="s">
        <v>137</v>
      </c>
      <c r="C34" s="94">
        <f t="shared" si="6"/>
        <v>0</v>
      </c>
      <c r="D34" s="912">
        <f t="shared" si="10"/>
        <v>0</v>
      </c>
      <c r="E34" s="95"/>
      <c r="F34" s="94">
        <f>C34*'[8]WP-8 - Cust Counts (x per wk)'!P112</f>
        <v>0</v>
      </c>
      <c r="G34" s="96" t="s">
        <v>113</v>
      </c>
      <c r="H34" s="95"/>
      <c r="I34" s="94"/>
      <c r="J34" s="95"/>
      <c r="K34" s="94">
        <f t="shared" si="7"/>
        <v>0</v>
      </c>
      <c r="L34" s="94"/>
      <c r="M34" s="95"/>
      <c r="N34" s="94">
        <f t="shared" si="8"/>
        <v>0</v>
      </c>
      <c r="O34" s="92">
        <v>0</v>
      </c>
      <c r="P34" s="92">
        <f t="shared" si="9"/>
        <v>0</v>
      </c>
      <c r="Q34" s="90">
        <f>[16]Operations!P34</f>
        <v>0</v>
      </c>
      <c r="R34" s="87">
        <f t="shared" si="3"/>
        <v>0</v>
      </c>
    </row>
    <row r="35" spans="1:19" s="74" customFormat="1" ht="15.75">
      <c r="A35" s="93">
        <v>20</v>
      </c>
      <c r="B35" s="86" t="s">
        <v>138</v>
      </c>
      <c r="C35" s="94">
        <f t="shared" si="6"/>
        <v>90730.38</v>
      </c>
      <c r="D35" s="912">
        <f t="shared" si="10"/>
        <v>8265.276523381297</v>
      </c>
      <c r="E35" s="95"/>
      <c r="F35" s="94">
        <f>C35*'[8]WP-8 - Cust Counts (x per wk)'!V112</f>
        <v>82465.103476618708</v>
      </c>
      <c r="G35" s="96" t="s">
        <v>124</v>
      </c>
      <c r="H35" s="95"/>
      <c r="I35" s="94">
        <f>+'[8]Sch 1, pg 2 - Restated'!P35</f>
        <v>-8768.1497050359903</v>
      </c>
      <c r="J35" s="95" t="s">
        <v>710</v>
      </c>
      <c r="K35" s="94">
        <f t="shared" si="7"/>
        <v>73696.953771582717</v>
      </c>
      <c r="L35" s="94"/>
      <c r="M35" s="95"/>
      <c r="N35" s="94">
        <f t="shared" si="8"/>
        <v>73696.953771582717</v>
      </c>
      <c r="O35" s="92">
        <v>0</v>
      </c>
      <c r="P35" s="92">
        <f t="shared" si="9"/>
        <v>73696.953771582717</v>
      </c>
      <c r="Q35" s="90">
        <f>[16]Operations!P35</f>
        <v>78476.542338847823</v>
      </c>
      <c r="R35" s="87">
        <f t="shared" si="3"/>
        <v>-4779.5885672651057</v>
      </c>
    </row>
    <row r="36" spans="1:19" s="74" customFormat="1" ht="15.75">
      <c r="A36" s="93">
        <v>21</v>
      </c>
      <c r="B36" s="86" t="s">
        <v>80</v>
      </c>
      <c r="C36" s="110">
        <f t="shared" si="6"/>
        <v>311517.43</v>
      </c>
      <c r="D36" s="912">
        <f t="shared" si="10"/>
        <v>28378.341419964039</v>
      </c>
      <c r="E36" s="95"/>
      <c r="F36" s="94">
        <f>C36*'[8]WP-8 - Cust Counts (x per wk)'!V112</f>
        <v>283139.08858003595</v>
      </c>
      <c r="G36" s="96" t="s">
        <v>124</v>
      </c>
      <c r="H36" s="95"/>
      <c r="I36" s="90"/>
      <c r="J36" s="95"/>
      <c r="K36" s="94">
        <f>F36+I36+H36</f>
        <v>283139.08858003595</v>
      </c>
      <c r="L36" s="94">
        <f>'[8]WP-9 - Fuel'!E68</f>
        <v>-18926.938991007122</v>
      </c>
      <c r="M36" s="95" t="s">
        <v>81</v>
      </c>
      <c r="N36" s="94">
        <f>K36+L36</f>
        <v>264212.14958902885</v>
      </c>
      <c r="O36" s="92">
        <v>0</v>
      </c>
      <c r="P36" s="92">
        <f t="shared" si="9"/>
        <v>264212.14958902885</v>
      </c>
      <c r="Q36" s="90">
        <f>[16]Operations!P36</f>
        <v>287953.89646662417</v>
      </c>
      <c r="R36" s="87">
        <f t="shared" si="3"/>
        <v>-23741.746877595317</v>
      </c>
    </row>
    <row r="37" spans="1:19" ht="15.75">
      <c r="A37" s="62">
        <v>22</v>
      </c>
      <c r="B37" s="86" t="s">
        <v>115</v>
      </c>
      <c r="C37" s="87">
        <f>'[8]Sch 4 - 12months'!O36</f>
        <v>154084.71</v>
      </c>
      <c r="D37" s="912">
        <f>+'[8]Sch 2, pg 2 - Forecast'!H19+'[8]Sch 4 - 12months'!O36</f>
        <v>154084.71</v>
      </c>
      <c r="E37" s="111"/>
      <c r="F37" s="87">
        <v>0</v>
      </c>
      <c r="G37" s="89" t="s">
        <v>108</v>
      </c>
      <c r="H37" s="88"/>
      <c r="I37" s="90"/>
      <c r="J37" s="88"/>
      <c r="K37" s="87">
        <f t="shared" si="7"/>
        <v>0</v>
      </c>
      <c r="L37" s="87"/>
      <c r="M37" s="88"/>
      <c r="N37" s="87">
        <f t="shared" si="8"/>
        <v>0</v>
      </c>
      <c r="O37" s="92">
        <v>0</v>
      </c>
      <c r="P37" s="92">
        <f t="shared" si="9"/>
        <v>0</v>
      </c>
      <c r="Q37" s="90">
        <f>[16]Operations!P37</f>
        <v>0</v>
      </c>
      <c r="R37" s="87">
        <f t="shared" si="3"/>
        <v>0</v>
      </c>
      <c r="S37" s="74"/>
    </row>
    <row r="38" spans="1:19" ht="15.75">
      <c r="A38" s="62">
        <v>23</v>
      </c>
      <c r="B38" s="86" t="s">
        <v>140</v>
      </c>
      <c r="C38" s="87">
        <f>VLOOKUP(B38,income_statement,14,FALSE)</f>
        <v>516694.50000000006</v>
      </c>
      <c r="D38" s="912">
        <f>'[8]Sch 3 - Reclass Exp'!E20</f>
        <v>34951.554699999993</v>
      </c>
      <c r="E38" s="88"/>
      <c r="F38" s="87">
        <f>C38-D38</f>
        <v>481742.94530000008</v>
      </c>
      <c r="G38" s="89" t="s">
        <v>108</v>
      </c>
      <c r="H38" s="94">
        <f>+'[8]Sch 3, pg 2 - Reclass'!F38</f>
        <v>59972.869999999995</v>
      </c>
      <c r="I38" s="94">
        <f>'[8]WP-16 Disposal'!R43</f>
        <v>-23493.083830120508</v>
      </c>
      <c r="J38" s="88" t="s">
        <v>711</v>
      </c>
      <c r="K38" s="87">
        <f>F38+I38+H38</f>
        <v>518222.73146987957</v>
      </c>
      <c r="L38" s="94">
        <f>'[8]WP-16 Disposal'!S51</f>
        <v>162552.43855757624</v>
      </c>
      <c r="M38" s="88" t="s">
        <v>82</v>
      </c>
      <c r="N38" s="87">
        <f t="shared" si="8"/>
        <v>680775.17002745578</v>
      </c>
      <c r="O38" s="92">
        <v>0</v>
      </c>
      <c r="P38" s="92">
        <f t="shared" si="9"/>
        <v>680775.17002745578</v>
      </c>
      <c r="Q38" s="90">
        <f>[16]Operations!P38</f>
        <v>710942.63800000027</v>
      </c>
      <c r="R38" s="87">
        <f t="shared" si="3"/>
        <v>-30167.467972544488</v>
      </c>
      <c r="S38" s="74"/>
    </row>
    <row r="39" spans="1:19" ht="15.75">
      <c r="A39" s="62">
        <v>24</v>
      </c>
      <c r="B39" s="86" t="s">
        <v>142</v>
      </c>
      <c r="C39" s="87">
        <f>VLOOKUP(B39,income_statement,14,FALSE)</f>
        <v>59972.869999999995</v>
      </c>
      <c r="D39" s="912">
        <f>C39-F39</f>
        <v>0</v>
      </c>
      <c r="E39" s="88"/>
      <c r="F39" s="87">
        <f>C39</f>
        <v>59972.869999999995</v>
      </c>
      <c r="G39" s="89" t="s">
        <v>108</v>
      </c>
      <c r="H39" s="94">
        <f>+'[8]Sch 3, pg 2 - Reclass'!F39</f>
        <v>-59972.869999999995</v>
      </c>
      <c r="J39" s="88" t="s">
        <v>141</v>
      </c>
      <c r="K39" s="87">
        <f t="shared" si="7"/>
        <v>0</v>
      </c>
      <c r="L39" s="87"/>
      <c r="M39" s="88"/>
      <c r="N39" s="87">
        <f t="shared" si="8"/>
        <v>0</v>
      </c>
      <c r="O39" s="92">
        <v>0</v>
      </c>
      <c r="P39" s="92">
        <f t="shared" si="9"/>
        <v>0</v>
      </c>
      <c r="Q39" s="90">
        <f>[16]Operations!P39</f>
        <v>0</v>
      </c>
      <c r="R39" s="87">
        <f t="shared" si="3"/>
        <v>0</v>
      </c>
      <c r="S39" s="74"/>
    </row>
    <row r="40" spans="1:19" ht="15.75">
      <c r="A40" s="62">
        <v>25</v>
      </c>
      <c r="B40" s="86" t="s">
        <v>143</v>
      </c>
      <c r="C40" s="87">
        <f>'[8]Sch 4 - 12months'!O39</f>
        <v>24814.340000000004</v>
      </c>
      <c r="D40" s="912">
        <f t="shared" ref="D40:D87" si="11">C40-F40</f>
        <v>0</v>
      </c>
      <c r="E40" s="88"/>
      <c r="F40" s="87">
        <f>C40</f>
        <v>24814.340000000004</v>
      </c>
      <c r="G40" s="89" t="s">
        <v>113</v>
      </c>
      <c r="H40" s="94">
        <f>+'[8]Sch 3, pg 2 - Reclass'!F40</f>
        <v>-24814.340000000004</v>
      </c>
      <c r="J40" s="88" t="s">
        <v>141</v>
      </c>
      <c r="K40" s="87">
        <f t="shared" si="7"/>
        <v>0</v>
      </c>
      <c r="L40" s="87"/>
      <c r="M40" s="88"/>
      <c r="N40" s="87">
        <f t="shared" si="8"/>
        <v>0</v>
      </c>
      <c r="O40" s="92">
        <v>0</v>
      </c>
      <c r="P40" s="92">
        <f t="shared" si="9"/>
        <v>0</v>
      </c>
      <c r="Q40" s="90">
        <f>[16]Operations!P40</f>
        <v>0</v>
      </c>
      <c r="R40" s="87">
        <f t="shared" si="3"/>
        <v>0</v>
      </c>
    </row>
    <row r="41" spans="1:19" ht="15.75">
      <c r="A41" s="62">
        <v>26</v>
      </c>
      <c r="B41" s="86" t="s">
        <v>144</v>
      </c>
      <c r="C41" s="87">
        <f>VLOOKUP(B41,income_statement,14,FALSE)</f>
        <v>417041.14</v>
      </c>
      <c r="D41" s="912">
        <f t="shared" si="11"/>
        <v>0</v>
      </c>
      <c r="E41" s="88"/>
      <c r="F41" s="87">
        <f>C41</f>
        <v>417041.14</v>
      </c>
      <c r="G41" s="89" t="s">
        <v>113</v>
      </c>
      <c r="H41" s="94">
        <f>+'[8]Sch 3, pg 2 - Reclass'!F41</f>
        <v>24814.340000000004</v>
      </c>
      <c r="J41" s="88" t="s">
        <v>141</v>
      </c>
      <c r="K41" s="87">
        <f t="shared" si="7"/>
        <v>441855.48000000004</v>
      </c>
      <c r="L41" s="94">
        <f>+'[8]Sch 2, pg 2 - Forecast'!L41</f>
        <v>138598.09962466493</v>
      </c>
      <c r="M41" s="88" t="s">
        <v>709</v>
      </c>
      <c r="N41" s="87">
        <f t="shared" si="8"/>
        <v>580453.57962466497</v>
      </c>
      <c r="O41" s="92">
        <v>0</v>
      </c>
      <c r="P41" s="92">
        <f t="shared" si="9"/>
        <v>580453.57962466497</v>
      </c>
      <c r="Q41" s="90">
        <f>[16]Operations!P41</f>
        <v>580453.57962466497</v>
      </c>
      <c r="R41" s="87">
        <f t="shared" si="3"/>
        <v>0</v>
      </c>
    </row>
    <row r="42" spans="1:19" s="74" customFormat="1" ht="15.75">
      <c r="A42" s="93">
        <v>27</v>
      </c>
      <c r="B42" s="86" t="s">
        <v>145</v>
      </c>
      <c r="C42" s="94">
        <f>'[8]Sch 4 - 12months'!O41</f>
        <v>12000</v>
      </c>
      <c r="D42" s="912">
        <f t="shared" si="11"/>
        <v>1085.6884875846499</v>
      </c>
      <c r="E42" s="95"/>
      <c r="F42" s="94">
        <f>C42*'[8]WP-8 - Cust Counts (x per wk)'!P112</f>
        <v>10914.31151241535</v>
      </c>
      <c r="G42" s="96" t="s">
        <v>113</v>
      </c>
      <c r="H42" s="95"/>
      <c r="I42" s="94"/>
      <c r="J42" s="95"/>
      <c r="K42" s="94">
        <f t="shared" si="7"/>
        <v>10914.31151241535</v>
      </c>
      <c r="L42" s="94"/>
      <c r="M42" s="95"/>
      <c r="N42" s="94">
        <f t="shared" si="8"/>
        <v>10914.31151241535</v>
      </c>
      <c r="O42" s="92">
        <v>0</v>
      </c>
      <c r="P42" s="92">
        <f t="shared" si="9"/>
        <v>10914.31151241535</v>
      </c>
      <c r="Q42" s="90">
        <f>[16]Operations!P42</f>
        <v>11614.193235388617</v>
      </c>
      <c r="R42" s="87">
        <f t="shared" si="3"/>
        <v>-699.88172297326673</v>
      </c>
    </row>
    <row r="43" spans="1:19" s="74" customFormat="1" ht="15.75">
      <c r="A43" s="93">
        <v>28</v>
      </c>
      <c r="B43" s="86" t="s">
        <v>146</v>
      </c>
      <c r="C43" s="94">
        <f t="shared" ref="C43:C50" si="12">VLOOKUP(B43,income_statement,14,FALSE)</f>
        <v>28169.47</v>
      </c>
      <c r="D43" s="912">
        <f t="shared" si="11"/>
        <v>2548.6057733634334</v>
      </c>
      <c r="E43" s="95"/>
      <c r="F43" s="94">
        <f>C43*'[8]WP-8 - Cust Counts (x per wk)'!P112</f>
        <v>25620.864226636568</v>
      </c>
      <c r="G43" s="96" t="s">
        <v>113</v>
      </c>
      <c r="H43" s="95"/>
      <c r="I43" s="94"/>
      <c r="J43" s="95"/>
      <c r="K43" s="94">
        <f t="shared" si="7"/>
        <v>25620.864226636568</v>
      </c>
      <c r="L43" s="94"/>
      <c r="M43" s="95"/>
      <c r="N43" s="94">
        <f t="shared" si="8"/>
        <v>25620.864226636568</v>
      </c>
      <c r="O43" s="92">
        <v>0</v>
      </c>
      <c r="P43" s="92">
        <f t="shared" si="9"/>
        <v>25620.864226636568</v>
      </c>
      <c r="Q43" s="90">
        <f>[16]Operations!P43</f>
        <v>27263.805659873549</v>
      </c>
      <c r="R43" s="87">
        <f t="shared" si="3"/>
        <v>-1642.9414332369815</v>
      </c>
    </row>
    <row r="44" spans="1:19" ht="15.75">
      <c r="A44" s="62">
        <v>29</v>
      </c>
      <c r="B44" s="86" t="s">
        <v>147</v>
      </c>
      <c r="C44" s="87">
        <f t="shared" si="12"/>
        <v>0</v>
      </c>
      <c r="D44" s="912">
        <f t="shared" si="11"/>
        <v>0</v>
      </c>
      <c r="E44" s="88"/>
      <c r="F44" s="87">
        <f>C44*'[8]WP-8 - Cust Counts (x per wk)'!I115</f>
        <v>0</v>
      </c>
      <c r="G44" s="89" t="s">
        <v>113</v>
      </c>
      <c r="H44" s="88"/>
      <c r="I44" s="90"/>
      <c r="J44" s="88"/>
      <c r="K44" s="87">
        <f t="shared" si="7"/>
        <v>0</v>
      </c>
      <c r="L44" s="87"/>
      <c r="M44" s="88"/>
      <c r="N44" s="87">
        <f t="shared" si="8"/>
        <v>0</v>
      </c>
      <c r="O44" s="92">
        <v>0</v>
      </c>
      <c r="P44" s="92">
        <f t="shared" si="9"/>
        <v>0</v>
      </c>
      <c r="Q44" s="90">
        <f>[16]Operations!P44</f>
        <v>0</v>
      </c>
      <c r="R44" s="87">
        <f t="shared" si="3"/>
        <v>0</v>
      </c>
    </row>
    <row r="45" spans="1:19" ht="15.75">
      <c r="A45" s="62">
        <v>30</v>
      </c>
      <c r="B45" s="86" t="s">
        <v>148</v>
      </c>
      <c r="C45" s="87">
        <f t="shared" si="12"/>
        <v>200830.06</v>
      </c>
      <c r="D45" s="912">
        <f t="shared" si="11"/>
        <v>18169.907008577895</v>
      </c>
      <c r="E45" s="88"/>
      <c r="F45" s="87">
        <f>C45*'[8]WP-8 - Cust Counts (x per wk)'!I114</f>
        <v>182660.1529914221</v>
      </c>
      <c r="G45" s="89" t="s">
        <v>113</v>
      </c>
      <c r="H45" s="94">
        <f>'[8]Sch 3, pg 2 - Reclass'!D45</f>
        <v>-67689.786902934517</v>
      </c>
      <c r="J45" s="88" t="s">
        <v>125</v>
      </c>
      <c r="K45" s="87">
        <f t="shared" si="7"/>
        <v>114970.36608848759</v>
      </c>
      <c r="L45" s="94">
        <f>+'[8]Sch 2, pg 2 - Forecast'!L45</f>
        <v>1195.4869907147208</v>
      </c>
      <c r="M45" s="88" t="s">
        <v>83</v>
      </c>
      <c r="N45" s="87">
        <f t="shared" si="8"/>
        <v>116165.85307920231</v>
      </c>
      <c r="O45" s="92">
        <v>0</v>
      </c>
      <c r="P45" s="92">
        <f t="shared" si="9"/>
        <v>116165.85307920231</v>
      </c>
      <c r="Q45" s="90">
        <f>[16]Operations!P45</f>
        <v>124738.67753921478</v>
      </c>
      <c r="R45" s="87">
        <f t="shared" si="3"/>
        <v>-8572.8244600124744</v>
      </c>
    </row>
    <row r="46" spans="1:19" ht="15.75">
      <c r="A46" s="62">
        <v>31</v>
      </c>
      <c r="B46" s="86" t="s">
        <v>149</v>
      </c>
      <c r="C46" s="87">
        <f t="shared" si="12"/>
        <v>180000</v>
      </c>
      <c r="D46" s="912">
        <f t="shared" si="11"/>
        <v>16397.482014388486</v>
      </c>
      <c r="E46" s="88"/>
      <c r="F46" s="87">
        <f>C46*'[8]WP-8 - Cust Counts (x per wk)'!V112</f>
        <v>163602.51798561151</v>
      </c>
      <c r="G46" s="112" t="s">
        <v>124</v>
      </c>
      <c r="H46" s="88"/>
      <c r="I46" s="94"/>
      <c r="J46" s="88"/>
      <c r="K46" s="87">
        <f t="shared" si="7"/>
        <v>163602.51798561151</v>
      </c>
      <c r="L46" s="94">
        <f>+'[8]Sch 2, pg 2 - Forecast'!L46</f>
        <v>16360.25179856115</v>
      </c>
      <c r="M46" s="88" t="s">
        <v>712</v>
      </c>
      <c r="N46" s="87">
        <f t="shared" si="8"/>
        <v>179962.76978417268</v>
      </c>
      <c r="O46" s="92">
        <v>0</v>
      </c>
      <c r="P46" s="92">
        <f t="shared" si="9"/>
        <v>179962.76978417268</v>
      </c>
      <c r="Q46" s="90">
        <f>[16]Operations!P46</f>
        <v>183516.06300614041</v>
      </c>
      <c r="R46" s="87">
        <f t="shared" si="3"/>
        <v>-3553.2932219677314</v>
      </c>
    </row>
    <row r="47" spans="1:19" ht="15.75">
      <c r="A47" s="62">
        <v>32</v>
      </c>
      <c r="B47" s="86" t="s">
        <v>150</v>
      </c>
      <c r="C47" s="87">
        <f t="shared" si="12"/>
        <v>50167.27</v>
      </c>
      <c r="D47" s="912">
        <f t="shared" si="11"/>
        <v>0</v>
      </c>
      <c r="E47" s="88"/>
      <c r="F47" s="87">
        <f>C47</f>
        <v>50167.27</v>
      </c>
      <c r="G47" s="89" t="s">
        <v>108</v>
      </c>
      <c r="H47" s="88"/>
      <c r="I47" s="94">
        <f>'[8]Sch 1, pg 2 - Restated'!P47</f>
        <v>-11798.719999999994</v>
      </c>
      <c r="J47" s="88" t="s">
        <v>713</v>
      </c>
      <c r="K47" s="87">
        <f t="shared" si="7"/>
        <v>38368.550000000003</v>
      </c>
      <c r="L47" s="87"/>
      <c r="M47" s="88"/>
      <c r="N47" s="87">
        <f t="shared" si="8"/>
        <v>38368.550000000003</v>
      </c>
      <c r="O47" s="92">
        <v>0</v>
      </c>
      <c r="P47" s="92">
        <f t="shared" si="9"/>
        <v>38368.550000000003</v>
      </c>
      <c r="Q47" s="90">
        <f>[16]Operations!P47</f>
        <v>38368.550000000003</v>
      </c>
      <c r="R47" s="87">
        <f t="shared" si="3"/>
        <v>0</v>
      </c>
    </row>
    <row r="48" spans="1:19" ht="15.75">
      <c r="A48" s="62">
        <v>33</v>
      </c>
      <c r="B48" s="86" t="s">
        <v>151</v>
      </c>
      <c r="C48" s="87">
        <f t="shared" si="12"/>
        <v>52733.72</v>
      </c>
      <c r="D48" s="912">
        <f>+'[8]Sch 3 - Reclass Exp'!E30</f>
        <v>1710.7899196388262</v>
      </c>
      <c r="E48" s="88"/>
      <c r="F48" s="87">
        <f>'[8]Sch 3 - Reclass Exp'!D30</f>
        <v>51022.93008036117</v>
      </c>
      <c r="G48" s="89" t="s">
        <v>113</v>
      </c>
      <c r="H48" s="88"/>
      <c r="I48" s="94">
        <f>+'[8]Sch 1, pg 2 - Restated'!P48</f>
        <v>-4963.9939548081265</v>
      </c>
      <c r="J48" s="88" t="s">
        <v>714</v>
      </c>
      <c r="K48" s="87">
        <f t="shared" si="7"/>
        <v>46058.936125553046</v>
      </c>
      <c r="L48" s="87"/>
      <c r="M48" s="88"/>
      <c r="N48" s="87">
        <f t="shared" si="8"/>
        <v>46058.936125553046</v>
      </c>
      <c r="O48" s="92">
        <v>0</v>
      </c>
      <c r="P48" s="92">
        <f t="shared" si="9"/>
        <v>46058.936125553046</v>
      </c>
      <c r="Q48" s="90">
        <f>[16]Operations!P48</f>
        <v>46258.533473522955</v>
      </c>
      <c r="R48" s="87">
        <f t="shared" si="3"/>
        <v>-199.59734796990961</v>
      </c>
    </row>
    <row r="49" spans="1:18" ht="15.75">
      <c r="A49" s="62">
        <v>34</v>
      </c>
      <c r="B49" s="86" t="s">
        <v>152</v>
      </c>
      <c r="C49" s="87">
        <f t="shared" si="12"/>
        <v>1684.66</v>
      </c>
      <c r="D49" s="912">
        <f t="shared" si="11"/>
        <v>152.41799729119657</v>
      </c>
      <c r="E49" s="88"/>
      <c r="F49" s="87">
        <f>C49*'[8]WP-8 - Cust Counts (x per wk)'!I114</f>
        <v>1532.2420027088035</v>
      </c>
      <c r="G49" s="89" t="s">
        <v>113</v>
      </c>
      <c r="H49" s="88"/>
      <c r="I49" s="90"/>
      <c r="J49" s="88"/>
      <c r="K49" s="87">
        <f t="shared" si="7"/>
        <v>1532.2420027088035</v>
      </c>
      <c r="L49" s="87"/>
      <c r="M49" s="88"/>
      <c r="N49" s="87">
        <f t="shared" si="8"/>
        <v>1532.2420027088035</v>
      </c>
      <c r="O49" s="92">
        <v>0</v>
      </c>
      <c r="P49" s="92">
        <f t="shared" si="9"/>
        <v>1532.2420027088035</v>
      </c>
      <c r="Q49" s="90">
        <f>[16]Operations!P49</f>
        <v>1557.2396762392536</v>
      </c>
      <c r="R49" s="87">
        <f t="shared" si="3"/>
        <v>-24.997673530450129</v>
      </c>
    </row>
    <row r="50" spans="1:18" ht="15.75">
      <c r="A50" s="62">
        <v>35</v>
      </c>
      <c r="B50" s="86" t="s">
        <v>153</v>
      </c>
      <c r="C50" s="87">
        <f t="shared" si="12"/>
        <v>4629.4399999999996</v>
      </c>
      <c r="D50" s="912">
        <f t="shared" si="11"/>
        <v>418.84414266365729</v>
      </c>
      <c r="E50" s="88"/>
      <c r="F50" s="87">
        <f>C50*'[8]WP-8 - Cust Counts (x per wk)'!I114</f>
        <v>4210.5958573363423</v>
      </c>
      <c r="G50" s="89" t="s">
        <v>113</v>
      </c>
      <c r="H50" s="88"/>
      <c r="I50" s="90"/>
      <c r="J50" s="88"/>
      <c r="K50" s="87">
        <f t="shared" si="7"/>
        <v>4210.5958573363423</v>
      </c>
      <c r="L50" s="87"/>
      <c r="M50" s="88"/>
      <c r="N50" s="87">
        <f t="shared" si="8"/>
        <v>4210.5958573363423</v>
      </c>
      <c r="O50" s="92">
        <v>0</v>
      </c>
      <c r="P50" s="92">
        <f t="shared" si="9"/>
        <v>4210.5958573363423</v>
      </c>
      <c r="Q50" s="90">
        <f>[16]Operations!P50</f>
        <v>4279.2893799158583</v>
      </c>
      <c r="R50" s="87">
        <f t="shared" si="3"/>
        <v>-68.693522579515957</v>
      </c>
    </row>
    <row r="51" spans="1:18" ht="15.75">
      <c r="A51" s="62">
        <v>36</v>
      </c>
      <c r="B51" s="86" t="s">
        <v>134</v>
      </c>
      <c r="C51" s="87">
        <f>'[8]Sch 4 - 12months'!O50</f>
        <v>9098.25</v>
      </c>
      <c r="D51" s="912">
        <f t="shared" si="11"/>
        <v>292.51386634379378</v>
      </c>
      <c r="E51" s="88"/>
      <c r="F51" s="87">
        <f>C51*'[8]WP-17 Study'!J49</f>
        <v>8805.7361336562062</v>
      </c>
      <c r="G51" s="89" t="s">
        <v>113</v>
      </c>
      <c r="H51" s="88"/>
      <c r="I51" s="90"/>
      <c r="J51" s="88"/>
      <c r="K51" s="87">
        <f t="shared" si="7"/>
        <v>8805.7361336562062</v>
      </c>
      <c r="L51" s="87"/>
      <c r="M51" s="88"/>
      <c r="N51" s="87">
        <f t="shared" si="8"/>
        <v>8805.7361336562062</v>
      </c>
      <c r="O51" s="92">
        <v>0</v>
      </c>
      <c r="P51" s="92">
        <f t="shared" si="9"/>
        <v>8805.7361336562062</v>
      </c>
      <c r="Q51" s="90">
        <f>[16]Operations!P51</f>
        <v>8805.7361336562062</v>
      </c>
      <c r="R51" s="87">
        <f t="shared" si="3"/>
        <v>0</v>
      </c>
    </row>
    <row r="52" spans="1:18" s="74" customFormat="1" ht="15.75">
      <c r="A52" s="93">
        <v>37</v>
      </c>
      <c r="B52" s="86" t="s">
        <v>84</v>
      </c>
      <c r="C52" s="94">
        <f t="shared" ref="C52:C86" si="13">VLOOKUP(B52,income_statement,14,FALSE)</f>
        <v>0</v>
      </c>
      <c r="D52" s="912">
        <f t="shared" si="11"/>
        <v>0</v>
      </c>
      <c r="E52" s="95"/>
      <c r="F52" s="94">
        <f>C52</f>
        <v>0</v>
      </c>
      <c r="G52" s="109" t="s">
        <v>113</v>
      </c>
      <c r="H52" s="95"/>
      <c r="I52" s="94"/>
      <c r="J52" s="95"/>
      <c r="K52" s="94">
        <f t="shared" si="7"/>
        <v>0</v>
      </c>
      <c r="L52" s="87">
        <f>'[8]Schedule 5, P-2 and P-3'!N27</f>
        <v>37281.006999999998</v>
      </c>
      <c r="M52" s="95" t="s">
        <v>154</v>
      </c>
      <c r="N52" s="94">
        <f t="shared" si="8"/>
        <v>37281.006999999998</v>
      </c>
      <c r="O52" s="92">
        <v>0</v>
      </c>
      <c r="P52" s="92">
        <f t="shared" si="9"/>
        <v>37281.006999999998</v>
      </c>
      <c r="Q52" s="90">
        <f>[16]Operations!P52</f>
        <v>50519.897499999992</v>
      </c>
      <c r="R52" s="87">
        <f t="shared" si="3"/>
        <v>-13238.890499999994</v>
      </c>
    </row>
    <row r="53" spans="1:18" ht="15.75">
      <c r="A53" s="62">
        <v>38</v>
      </c>
      <c r="B53" s="86" t="s">
        <v>155</v>
      </c>
      <c r="C53" s="87">
        <f t="shared" si="13"/>
        <v>17658.150000000001</v>
      </c>
      <c r="D53" s="912">
        <f t="shared" si="11"/>
        <v>1597.6041805869081</v>
      </c>
      <c r="E53" s="88"/>
      <c r="F53" s="87">
        <f>C53*'[8]WP-8 - Cust Counts (x per wk)'!I114</f>
        <v>16060.545819413093</v>
      </c>
      <c r="G53" s="89" t="s">
        <v>113</v>
      </c>
      <c r="H53" s="88"/>
      <c r="I53" s="90"/>
      <c r="J53" s="88"/>
      <c r="K53" s="87">
        <f t="shared" si="7"/>
        <v>16060.545819413093</v>
      </c>
      <c r="L53" s="87"/>
      <c r="M53" s="88"/>
      <c r="N53" s="87">
        <f t="shared" si="8"/>
        <v>16060.545819413093</v>
      </c>
      <c r="O53" s="92">
        <v>0</v>
      </c>
      <c r="P53" s="92">
        <f t="shared" si="9"/>
        <v>16060.545819413093</v>
      </c>
      <c r="Q53" s="90">
        <f>[16]Operations!P53</f>
        <v>16322.564665264314</v>
      </c>
      <c r="R53" s="87">
        <f t="shared" si="3"/>
        <v>-262.01884585122025</v>
      </c>
    </row>
    <row r="54" spans="1:18" s="74" customFormat="1" ht="15.75">
      <c r="A54" s="93">
        <v>39</v>
      </c>
      <c r="B54" s="86" t="s">
        <v>156</v>
      </c>
      <c r="C54" s="94">
        <f t="shared" si="13"/>
        <v>6764.93</v>
      </c>
      <c r="D54" s="912">
        <f t="shared" si="11"/>
        <v>612.05055169300249</v>
      </c>
      <c r="E54" s="95"/>
      <c r="F54" s="94">
        <f>C54*'[8]WP-8 - Cust Counts (x per wk)'!P112</f>
        <v>6152.8794483069978</v>
      </c>
      <c r="G54" s="96" t="s">
        <v>113</v>
      </c>
      <c r="H54" s="95"/>
      <c r="I54" s="94">
        <f>+'[8]Sch 1, pg 2 - Restated'!P54</f>
        <v>-2478.4582392776524</v>
      </c>
      <c r="J54" s="95" t="s">
        <v>715</v>
      </c>
      <c r="K54" s="94">
        <f t="shared" si="7"/>
        <v>3674.4212090293454</v>
      </c>
      <c r="L54" s="94"/>
      <c r="M54" s="95"/>
      <c r="N54" s="94">
        <f t="shared" si="8"/>
        <v>3674.4212090293454</v>
      </c>
      <c r="O54" s="92">
        <v>0</v>
      </c>
      <c r="P54" s="92">
        <f t="shared" si="9"/>
        <v>3674.4212090293454</v>
      </c>
      <c r="Q54" s="90">
        <f>[16]Operations!P54</f>
        <v>3910.043973120295</v>
      </c>
      <c r="R54" s="87">
        <f t="shared" si="3"/>
        <v>-235.62276409094966</v>
      </c>
    </row>
    <row r="55" spans="1:18" ht="15.75">
      <c r="A55" s="62">
        <v>40</v>
      </c>
      <c r="B55" s="86" t="s">
        <v>157</v>
      </c>
      <c r="C55" s="87">
        <f t="shared" si="13"/>
        <v>16809.210000000003</v>
      </c>
      <c r="D55" s="912">
        <f>C55-F55</f>
        <v>1582.107000318254</v>
      </c>
      <c r="E55" s="88"/>
      <c r="F55" s="87">
        <f>C55*F22</f>
        <v>15227.102999681749</v>
      </c>
      <c r="G55" s="89" t="s">
        <v>29</v>
      </c>
      <c r="H55" s="88"/>
      <c r="I55" s="90"/>
      <c r="J55" s="88"/>
      <c r="K55" s="87">
        <f t="shared" si="7"/>
        <v>15227.102999681749</v>
      </c>
      <c r="L55" s="87">
        <v>0</v>
      </c>
      <c r="M55" s="88"/>
      <c r="N55" s="87">
        <f t="shared" si="8"/>
        <v>15227.102999681749</v>
      </c>
      <c r="O55" s="92">
        <f>+O20*0.004</f>
        <v>2126.9324129138549</v>
      </c>
      <c r="P55" s="92">
        <f t="shared" si="9"/>
        <v>17354.035412595604</v>
      </c>
      <c r="Q55" s="90">
        <f>[16]Operations!P55</f>
        <v>17354.035412595604</v>
      </c>
      <c r="R55" s="87">
        <f t="shared" si="3"/>
        <v>-2126.9324129138549</v>
      </c>
    </row>
    <row r="56" spans="1:18" ht="15.75">
      <c r="A56" s="62">
        <v>41</v>
      </c>
      <c r="B56" s="86" t="s">
        <v>158</v>
      </c>
      <c r="C56" s="87">
        <f t="shared" si="13"/>
        <v>7710.9000000000005</v>
      </c>
      <c r="D56" s="912">
        <f t="shared" si="11"/>
        <v>0</v>
      </c>
      <c r="E56" s="88"/>
      <c r="F56" s="87">
        <f>C56</f>
        <v>7710.9000000000005</v>
      </c>
      <c r="G56" s="89" t="s">
        <v>108</v>
      </c>
      <c r="H56" s="88"/>
      <c r="I56" s="90">
        <f>+'[8]Sch 1, pg 2 - Restated'!P56</f>
        <v>-7710.9000000000005</v>
      </c>
      <c r="J56" s="88" t="s">
        <v>139</v>
      </c>
      <c r="K56" s="87">
        <f t="shared" si="7"/>
        <v>0</v>
      </c>
      <c r="L56" s="87"/>
      <c r="M56" s="88"/>
      <c r="N56" s="87">
        <f t="shared" si="8"/>
        <v>0</v>
      </c>
      <c r="O56" s="92">
        <v>0</v>
      </c>
      <c r="P56" s="92">
        <f t="shared" si="9"/>
        <v>0</v>
      </c>
      <c r="Q56" s="90">
        <f>[16]Operations!P56</f>
        <v>0</v>
      </c>
      <c r="R56" s="87">
        <f t="shared" si="3"/>
        <v>0</v>
      </c>
    </row>
    <row r="57" spans="1:18" ht="15.75">
      <c r="A57" s="62">
        <v>42</v>
      </c>
      <c r="B57" s="86" t="s">
        <v>159</v>
      </c>
      <c r="C57" s="87">
        <f t="shared" si="13"/>
        <v>19157.62</v>
      </c>
      <c r="D57" s="912">
        <f t="shared" si="11"/>
        <v>1733.2672902934537</v>
      </c>
      <c r="E57" s="88"/>
      <c r="F57" s="87">
        <f>C57*'[8]WP-8 - Cust Counts (x per wk)'!I114</f>
        <v>17424.352709706545</v>
      </c>
      <c r="G57" s="89" t="s">
        <v>113</v>
      </c>
      <c r="H57" s="88"/>
      <c r="I57" s="90"/>
      <c r="J57" s="88"/>
      <c r="K57" s="87">
        <f t="shared" si="7"/>
        <v>17424.352709706545</v>
      </c>
      <c r="L57" s="87"/>
      <c r="M57" s="88"/>
      <c r="N57" s="87">
        <f t="shared" si="8"/>
        <v>17424.352709706545</v>
      </c>
      <c r="O57" s="92">
        <v>0</v>
      </c>
      <c r="P57" s="92">
        <f t="shared" si="9"/>
        <v>17424.352709706545</v>
      </c>
      <c r="Q57" s="90">
        <f>[16]Operations!P57</f>
        <v>17708.621304188768</v>
      </c>
      <c r="R57" s="87">
        <f t="shared" si="3"/>
        <v>-284.2685944822224</v>
      </c>
    </row>
    <row r="58" spans="1:18" s="74" customFormat="1" ht="15.75">
      <c r="A58" s="93">
        <v>43</v>
      </c>
      <c r="B58" s="86" t="s">
        <v>74</v>
      </c>
      <c r="C58" s="87">
        <f t="shared" si="13"/>
        <v>59823.070000000007</v>
      </c>
      <c r="D58" s="912">
        <f t="shared" si="11"/>
        <v>5412.434865914227</v>
      </c>
      <c r="E58" s="95"/>
      <c r="F58" s="94">
        <f>C58*'[8]WP-8 - Cust Counts (x per wk)'!P112</f>
        <v>54410.63513408578</v>
      </c>
      <c r="G58" s="96" t="s">
        <v>113</v>
      </c>
      <c r="H58" s="95"/>
      <c r="I58" s="90">
        <f>'[8]Sch 1 - Restate Exp'!D60</f>
        <v>-42553.677917352055</v>
      </c>
      <c r="J58" s="109" t="s">
        <v>75</v>
      </c>
      <c r="K58" s="94">
        <f t="shared" si="7"/>
        <v>11856.957216733725</v>
      </c>
      <c r="L58" s="94"/>
      <c r="M58" s="95"/>
      <c r="N58" s="94">
        <f t="shared" si="8"/>
        <v>11856.957216733725</v>
      </c>
      <c r="O58" s="92">
        <v>0</v>
      </c>
      <c r="P58" s="92">
        <f t="shared" si="9"/>
        <v>11856.957216733725</v>
      </c>
      <c r="Q58" s="90">
        <f>[16]Operations!P58</f>
        <v>37306.166244432548</v>
      </c>
      <c r="R58" s="87">
        <f t="shared" si="3"/>
        <v>-25449.209027698824</v>
      </c>
    </row>
    <row r="59" spans="1:18" s="74" customFormat="1" ht="15.75">
      <c r="A59" s="93">
        <v>44</v>
      </c>
      <c r="B59" s="86" t="s">
        <v>160</v>
      </c>
      <c r="C59" s="94">
        <f t="shared" si="13"/>
        <v>19183.43</v>
      </c>
      <c r="D59" s="912">
        <f t="shared" si="11"/>
        <v>1735.6024252821662</v>
      </c>
      <c r="E59" s="95"/>
      <c r="F59" s="94">
        <f>C59*'[8]WP-8 - Cust Counts (x per wk)'!P112</f>
        <v>17447.827574717834</v>
      </c>
      <c r="G59" s="96" t="s">
        <v>113</v>
      </c>
      <c r="H59" s="95"/>
      <c r="I59" s="94"/>
      <c r="J59" s="95"/>
      <c r="K59" s="94">
        <f t="shared" si="7"/>
        <v>17447.827574717834</v>
      </c>
      <c r="L59" s="94"/>
      <c r="M59" s="95"/>
      <c r="N59" s="94">
        <f t="shared" si="8"/>
        <v>17447.827574717834</v>
      </c>
      <c r="O59" s="92">
        <v>0</v>
      </c>
      <c r="P59" s="92">
        <f t="shared" si="9"/>
        <v>17447.827574717834</v>
      </c>
      <c r="Q59" s="90">
        <f>[16]Operations!P59</f>
        <v>18566.671911462588</v>
      </c>
      <c r="R59" s="87">
        <f t="shared" si="3"/>
        <v>-1118.8443367447544</v>
      </c>
    </row>
    <row r="60" spans="1:18" ht="15.75">
      <c r="A60" s="62">
        <v>45</v>
      </c>
      <c r="B60" s="86" t="s">
        <v>161</v>
      </c>
      <c r="C60" s="87">
        <f t="shared" si="13"/>
        <v>0</v>
      </c>
      <c r="D60" s="912">
        <f t="shared" si="11"/>
        <v>0</v>
      </c>
      <c r="E60" s="88"/>
      <c r="F60" s="87">
        <f>C60*'[8]WP-8 - Cust Counts (x per wk)'!I115</f>
        <v>0</v>
      </c>
      <c r="G60" s="89" t="s">
        <v>113</v>
      </c>
      <c r="H60" s="88"/>
      <c r="I60" s="90"/>
      <c r="J60" s="88"/>
      <c r="K60" s="87">
        <f t="shared" si="7"/>
        <v>0</v>
      </c>
      <c r="L60" s="87"/>
      <c r="M60" s="88"/>
      <c r="N60" s="87">
        <f t="shared" si="8"/>
        <v>0</v>
      </c>
      <c r="O60" s="92">
        <v>0</v>
      </c>
      <c r="P60" s="92">
        <f t="shared" si="9"/>
        <v>0</v>
      </c>
      <c r="Q60" s="90">
        <f>[16]Operations!P60</f>
        <v>0</v>
      </c>
      <c r="R60" s="87">
        <f t="shared" si="3"/>
        <v>0</v>
      </c>
    </row>
    <row r="61" spans="1:18" ht="15.75">
      <c r="A61" s="62">
        <v>46</v>
      </c>
      <c r="B61" s="86" t="s">
        <v>162</v>
      </c>
      <c r="C61" s="87">
        <f t="shared" si="13"/>
        <v>16600</v>
      </c>
      <c r="D61" s="912">
        <f t="shared" si="11"/>
        <v>1501.8690744921005</v>
      </c>
      <c r="E61" s="88"/>
      <c r="F61" s="87">
        <f>C61*'[8]WP-8 - Cust Counts (x per wk)'!I114</f>
        <v>15098.1309255079</v>
      </c>
      <c r="G61" s="89" t="s">
        <v>113</v>
      </c>
      <c r="H61" s="88"/>
      <c r="I61" s="90">
        <f>'[8]Sch 1, pg 2 - Restated'!P61</f>
        <v>-6366.6817155756207</v>
      </c>
      <c r="J61" s="88" t="s">
        <v>139</v>
      </c>
      <c r="K61" s="87">
        <f t="shared" si="7"/>
        <v>8731.4492099322779</v>
      </c>
      <c r="L61" s="87"/>
      <c r="M61" s="88"/>
      <c r="N61" s="87">
        <f t="shared" si="8"/>
        <v>8731.4492099322779</v>
      </c>
      <c r="O61" s="92">
        <v>0</v>
      </c>
      <c r="P61" s="92">
        <f t="shared" si="9"/>
        <v>8731.4492099322779</v>
      </c>
      <c r="Q61" s="90">
        <f>[16]Operations!P61</f>
        <v>8873.8979330528637</v>
      </c>
      <c r="R61" s="87">
        <f t="shared" si="3"/>
        <v>-142.44872312058578</v>
      </c>
    </row>
    <row r="62" spans="1:18" ht="15.75">
      <c r="A62" s="62">
        <v>47</v>
      </c>
      <c r="B62" s="86" t="s">
        <v>163</v>
      </c>
      <c r="C62" s="87">
        <f t="shared" si="13"/>
        <v>3682.0700000000006</v>
      </c>
      <c r="D62" s="912">
        <f>C62-F62</f>
        <v>0</v>
      </c>
      <c r="E62" s="88"/>
      <c r="F62" s="87">
        <f>C62</f>
        <v>3682.0700000000006</v>
      </c>
      <c r="G62" s="89" t="s">
        <v>108</v>
      </c>
      <c r="H62" s="88"/>
      <c r="I62" s="90">
        <f>'[8]Sch 1, pg 2 - Restated'!P62</f>
        <v>-3682.0700000000006</v>
      </c>
      <c r="J62" s="88" t="s">
        <v>139</v>
      </c>
      <c r="K62" s="87">
        <f t="shared" si="7"/>
        <v>0</v>
      </c>
      <c r="L62" s="87"/>
      <c r="M62" s="88"/>
      <c r="N62" s="87">
        <f t="shared" si="8"/>
        <v>0</v>
      </c>
      <c r="O62" s="92">
        <v>0</v>
      </c>
      <c r="P62" s="92">
        <f t="shared" si="9"/>
        <v>0</v>
      </c>
      <c r="Q62" s="90">
        <f>[16]Operations!P62</f>
        <v>0</v>
      </c>
      <c r="R62" s="87">
        <f t="shared" si="3"/>
        <v>0</v>
      </c>
    </row>
    <row r="63" spans="1:18" ht="15.75">
      <c r="A63" s="62">
        <v>48</v>
      </c>
      <c r="B63" s="86" t="s">
        <v>164</v>
      </c>
      <c r="C63" s="87">
        <f t="shared" si="13"/>
        <v>717.44</v>
      </c>
      <c r="D63" s="912">
        <f t="shared" si="11"/>
        <v>64.909695711060976</v>
      </c>
      <c r="E63" s="88"/>
      <c r="F63" s="87">
        <f>C63*'[8]WP-8 - Cust Counts (x per wk)'!$I$114</f>
        <v>652.53030428893908</v>
      </c>
      <c r="G63" s="89" t="s">
        <v>113</v>
      </c>
      <c r="H63" s="88"/>
      <c r="I63" s="90">
        <f>'[8]Sch 1, pg 2 - Restated'!P63</f>
        <v>909.5259593679458</v>
      </c>
      <c r="J63" s="88" t="s">
        <v>715</v>
      </c>
      <c r="K63" s="87">
        <f t="shared" si="7"/>
        <v>1562.0562636568848</v>
      </c>
      <c r="L63" s="87"/>
      <c r="M63" s="88"/>
      <c r="N63" s="87">
        <f t="shared" si="8"/>
        <v>1562.0562636568848</v>
      </c>
      <c r="O63" s="92">
        <v>0</v>
      </c>
      <c r="P63" s="92">
        <f t="shared" si="9"/>
        <v>1562.0562636568848</v>
      </c>
      <c r="Q63" s="90">
        <f>[16]Operations!P63</f>
        <v>1587.540340223157</v>
      </c>
      <c r="R63" s="87">
        <f t="shared" si="3"/>
        <v>-25.484076566272279</v>
      </c>
    </row>
    <row r="64" spans="1:18" s="74" customFormat="1" ht="15.75">
      <c r="A64" s="93">
        <v>49</v>
      </c>
      <c r="B64" s="86" t="s">
        <v>165</v>
      </c>
      <c r="C64" s="94">
        <f t="shared" si="13"/>
        <v>5970</v>
      </c>
      <c r="D64" s="912">
        <f t="shared" si="11"/>
        <v>540.13002257336393</v>
      </c>
      <c r="E64" s="95"/>
      <c r="F64" s="94">
        <f>C64*'[8]WP-8 - Cust Counts (x per wk)'!P112</f>
        <v>5429.8699774266361</v>
      </c>
      <c r="G64" s="96" t="s">
        <v>113</v>
      </c>
      <c r="H64" s="95"/>
      <c r="I64" s="94">
        <f>+'[8]Sch 1, pg 2 - Restated'!P64</f>
        <v>-4480.779638826185</v>
      </c>
      <c r="J64" s="95" t="s">
        <v>715</v>
      </c>
      <c r="K64" s="94">
        <f t="shared" si="7"/>
        <v>949.0903386004511</v>
      </c>
      <c r="L64" s="94"/>
      <c r="M64" s="95"/>
      <c r="N64" s="94">
        <f t="shared" si="8"/>
        <v>949.0903386004511</v>
      </c>
      <c r="O64" s="92">
        <v>0</v>
      </c>
      <c r="P64" s="92">
        <f t="shared" si="9"/>
        <v>949.0903386004511</v>
      </c>
      <c r="Q64" s="90">
        <f>[16]Operations!P64</f>
        <v>1009.9508867606683</v>
      </c>
      <c r="R64" s="87">
        <f t="shared" si="3"/>
        <v>-60.860548160217149</v>
      </c>
    </row>
    <row r="65" spans="1:18" s="74" customFormat="1" ht="15.75">
      <c r="A65" s="93">
        <v>50</v>
      </c>
      <c r="B65" s="86" t="s">
        <v>166</v>
      </c>
      <c r="C65" s="94">
        <f t="shared" si="13"/>
        <v>148.47999999999999</v>
      </c>
      <c r="D65" s="912">
        <f t="shared" si="11"/>
        <v>13.433585553047408</v>
      </c>
      <c r="E65" s="95"/>
      <c r="F65" s="94">
        <f>C65*'[8]WP-8 - Cust Counts (x per wk)'!P112</f>
        <v>135.04641444695258</v>
      </c>
      <c r="G65" s="96" t="s">
        <v>113</v>
      </c>
      <c r="H65" s="95"/>
      <c r="I65" s="94">
        <f>+'[8]Sch 1, pg 2 - Restated'!P65</f>
        <v>-118.85704882781037</v>
      </c>
      <c r="J65" s="95" t="s">
        <v>139</v>
      </c>
      <c r="K65" s="94">
        <f t="shared" si="7"/>
        <v>16.189365619142208</v>
      </c>
      <c r="L65" s="94"/>
      <c r="M65" s="95"/>
      <c r="N65" s="94">
        <f t="shared" si="8"/>
        <v>16.189365619142208</v>
      </c>
      <c r="O65" s="92">
        <v>0</v>
      </c>
      <c r="P65" s="92">
        <f t="shared" si="9"/>
        <v>16.189365619142208</v>
      </c>
      <c r="Q65" s="90">
        <f>[16]Operations!P65</f>
        <v>17.227510910348201</v>
      </c>
      <c r="R65" s="87">
        <f t="shared" si="3"/>
        <v>-1.0381452912059927</v>
      </c>
    </row>
    <row r="66" spans="1:18" s="74" customFormat="1" ht="15.75">
      <c r="A66" s="93">
        <v>51</v>
      </c>
      <c r="B66" s="86" t="s">
        <v>167</v>
      </c>
      <c r="C66" s="94">
        <f t="shared" si="13"/>
        <v>1982.1499999999996</v>
      </c>
      <c r="D66" s="912">
        <f t="shared" si="11"/>
        <v>179.33311963882625</v>
      </c>
      <c r="E66" s="95"/>
      <c r="F66" s="94">
        <f>C66*'[8]WP-8 - Cust Counts (x per wk)'!P112</f>
        <v>1802.8168803611734</v>
      </c>
      <c r="G66" s="96" t="s">
        <v>113</v>
      </c>
      <c r="H66" s="95"/>
      <c r="I66" s="94"/>
      <c r="J66" s="95"/>
      <c r="K66" s="94">
        <f t="shared" si="7"/>
        <v>1802.8168803611734</v>
      </c>
      <c r="L66" s="94"/>
      <c r="M66" s="95"/>
      <c r="N66" s="94">
        <f t="shared" si="8"/>
        <v>1802.8168803611734</v>
      </c>
      <c r="O66" s="92">
        <v>0</v>
      </c>
      <c r="P66" s="92">
        <f t="shared" si="9"/>
        <v>1802.8168803611734</v>
      </c>
      <c r="Q66" s="90">
        <f>[16]Operations!P66</f>
        <v>1918.4227601271286</v>
      </c>
      <c r="R66" s="87">
        <f t="shared" si="3"/>
        <v>-115.60587976595525</v>
      </c>
    </row>
    <row r="67" spans="1:18" s="74" customFormat="1" ht="15.75">
      <c r="A67" s="93">
        <v>52</v>
      </c>
      <c r="B67" s="86" t="s">
        <v>168</v>
      </c>
      <c r="C67" s="94">
        <f t="shared" si="13"/>
        <v>7113.5</v>
      </c>
      <c r="D67" s="912">
        <f t="shared" si="11"/>
        <v>648.01937949640251</v>
      </c>
      <c r="E67" s="95"/>
      <c r="F67" s="94">
        <f>C67*'[8]WP-8 - Cust Counts (x per wk)'!V112</f>
        <v>6465.4806205035975</v>
      </c>
      <c r="G67" s="96" t="s">
        <v>124</v>
      </c>
      <c r="H67" s="95"/>
      <c r="I67" s="94">
        <f>'[8]Sch 1, pg 2 - Restated'!P67</f>
        <v>-730.75791366906469</v>
      </c>
      <c r="J67" s="95" t="s">
        <v>169</v>
      </c>
      <c r="K67" s="94">
        <f t="shared" si="7"/>
        <v>5734.7227068345328</v>
      </c>
      <c r="L67" s="94"/>
      <c r="M67" s="95"/>
      <c r="N67" s="94">
        <f t="shared" si="8"/>
        <v>5734.7227068345328</v>
      </c>
      <c r="O67" s="92">
        <v>0</v>
      </c>
      <c r="P67" s="92">
        <f t="shared" si="9"/>
        <v>5734.7227068345328</v>
      </c>
      <c r="Q67" s="90">
        <f>[16]Operations!P67</f>
        <v>6106.6460182237061</v>
      </c>
      <c r="R67" s="87">
        <f t="shared" si="3"/>
        <v>-371.92331138917325</v>
      </c>
    </row>
    <row r="68" spans="1:18" s="74" customFormat="1" ht="15.75">
      <c r="A68" s="93">
        <v>53</v>
      </c>
      <c r="B68" s="86" t="s">
        <v>170</v>
      </c>
      <c r="C68" s="94">
        <f t="shared" si="13"/>
        <v>0</v>
      </c>
      <c r="D68" s="912">
        <f t="shared" si="11"/>
        <v>0</v>
      </c>
      <c r="E68" s="95"/>
      <c r="F68" s="94">
        <f>C68*'[8]WP-8 - Cust Counts (x per wk)'!V112</f>
        <v>0</v>
      </c>
      <c r="G68" s="96" t="s">
        <v>124</v>
      </c>
      <c r="H68" s="95"/>
      <c r="I68" s="94">
        <f>'[8]Sch 1, pg 2 - Restated'!P68</f>
        <v>730.75791366906469</v>
      </c>
      <c r="J68" s="95" t="s">
        <v>169</v>
      </c>
      <c r="K68" s="94">
        <f t="shared" si="7"/>
        <v>730.75791366906469</v>
      </c>
      <c r="L68" s="94"/>
      <c r="M68" s="95"/>
      <c r="N68" s="94">
        <f t="shared" si="8"/>
        <v>730.75791366906469</v>
      </c>
      <c r="O68" s="92">
        <v>0</v>
      </c>
      <c r="P68" s="92">
        <f t="shared" si="9"/>
        <v>730.75791366906469</v>
      </c>
      <c r="Q68" s="90">
        <f>[16]Operations!P68</f>
        <v>778.1509467710373</v>
      </c>
      <c r="R68" s="87">
        <f t="shared" si="3"/>
        <v>-47.393033101972605</v>
      </c>
    </row>
    <row r="69" spans="1:18" s="74" customFormat="1" ht="15.75">
      <c r="A69" s="93">
        <v>54</v>
      </c>
      <c r="B69" s="86" t="s">
        <v>171</v>
      </c>
      <c r="C69" s="94">
        <f t="shared" si="13"/>
        <v>275.92</v>
      </c>
      <c r="D69" s="912">
        <f t="shared" si="11"/>
        <v>25.1355179856115</v>
      </c>
      <c r="E69" s="95"/>
      <c r="F69" s="94">
        <f>C69*'[8]WP-8 - Cust Counts (x per wk)'!V112</f>
        <v>250.78448201438852</v>
      </c>
      <c r="G69" s="96" t="s">
        <v>124</v>
      </c>
      <c r="H69" s="95"/>
      <c r="I69" s="94"/>
      <c r="J69" s="95"/>
      <c r="K69" s="94">
        <f t="shared" si="7"/>
        <v>250.78448201438852</v>
      </c>
      <c r="L69" s="94"/>
      <c r="M69" s="95"/>
      <c r="N69" s="94">
        <f t="shared" si="8"/>
        <v>250.78448201438852</v>
      </c>
      <c r="O69" s="92">
        <v>0</v>
      </c>
      <c r="P69" s="92">
        <f t="shared" si="9"/>
        <v>250.78448201438852</v>
      </c>
      <c r="Q69" s="90">
        <f>[16]Operations!P69</f>
        <v>267.04901645903561</v>
      </c>
      <c r="R69" s="87">
        <f t="shared" si="3"/>
        <v>-16.264534444647097</v>
      </c>
    </row>
    <row r="70" spans="1:18" s="74" customFormat="1" ht="15.75">
      <c r="A70" s="93">
        <v>55</v>
      </c>
      <c r="B70" s="86" t="s">
        <v>172</v>
      </c>
      <c r="C70" s="94">
        <f t="shared" si="13"/>
        <v>1150</v>
      </c>
      <c r="D70" s="912">
        <f t="shared" si="11"/>
        <v>104.04514672686241</v>
      </c>
      <c r="E70" s="95"/>
      <c r="F70" s="94">
        <f>C70*'[8]WP-8 - Cust Counts (x per wk)'!P112</f>
        <v>1045.9548532731376</v>
      </c>
      <c r="G70" s="96" t="s">
        <v>113</v>
      </c>
      <c r="H70" s="95"/>
      <c r="I70" s="94">
        <f>'[8]Sch 1, pg 2 - Restated'!P70</f>
        <v>-1045.9548532731376</v>
      </c>
      <c r="J70" s="95" t="s">
        <v>139</v>
      </c>
      <c r="K70" s="94">
        <f t="shared" si="7"/>
        <v>0</v>
      </c>
      <c r="L70" s="94"/>
      <c r="M70" s="95"/>
      <c r="N70" s="94">
        <f t="shared" si="8"/>
        <v>0</v>
      </c>
      <c r="O70" s="92">
        <v>0</v>
      </c>
      <c r="P70" s="92">
        <f t="shared" si="9"/>
        <v>0</v>
      </c>
      <c r="Q70" s="90">
        <f>[16]Operations!P70</f>
        <v>0</v>
      </c>
      <c r="R70" s="87">
        <f t="shared" si="3"/>
        <v>0</v>
      </c>
    </row>
    <row r="71" spans="1:18" ht="15.75">
      <c r="A71" s="62">
        <v>56</v>
      </c>
      <c r="B71" s="86" t="s">
        <v>173</v>
      </c>
      <c r="C71" s="87">
        <f t="shared" si="13"/>
        <v>71263.47</v>
      </c>
      <c r="D71" s="912">
        <f>C71-F71</f>
        <v>6707.4202032082321</v>
      </c>
      <c r="E71" s="88"/>
      <c r="F71" s="87">
        <f>C71*F22</f>
        <v>64556.049796791769</v>
      </c>
      <c r="G71" s="89" t="s">
        <v>29</v>
      </c>
      <c r="H71" s="88"/>
      <c r="I71" s="90"/>
      <c r="J71" s="88"/>
      <c r="K71" s="87">
        <f t="shared" si="7"/>
        <v>64556.049796791769</v>
      </c>
      <c r="L71" s="87"/>
      <c r="M71" s="88"/>
      <c r="N71" s="87">
        <f t="shared" si="8"/>
        <v>64556.049796791769</v>
      </c>
      <c r="O71" s="92">
        <f>+O20*0.015</f>
        <v>7975.9965484269551</v>
      </c>
      <c r="P71" s="92">
        <f t="shared" si="9"/>
        <v>72532.046345218725</v>
      </c>
      <c r="Q71" s="90">
        <f>[16]Operations!P71</f>
        <v>72532.046345218725</v>
      </c>
      <c r="R71" s="87">
        <f t="shared" si="3"/>
        <v>-7975.996548426956</v>
      </c>
    </row>
    <row r="72" spans="1:18" s="74" customFormat="1" ht="15.75">
      <c r="A72" s="93">
        <v>57</v>
      </c>
      <c r="B72" s="86" t="s">
        <v>174</v>
      </c>
      <c r="C72" s="87">
        <f t="shared" si="13"/>
        <v>138000</v>
      </c>
      <c r="D72" s="912">
        <f t="shared" si="11"/>
        <v>12485.417607223484</v>
      </c>
      <c r="E72" s="95"/>
      <c r="F72" s="94">
        <f>C72*'[8]WP-8 - Cust Counts (x per wk)'!P112</f>
        <v>125514.58239277652</v>
      </c>
      <c r="G72" s="96" t="s">
        <v>113</v>
      </c>
      <c r="H72" s="95"/>
      <c r="I72" s="90">
        <f>'[8]Sch 1 - Restate Exp'!D67</f>
        <v>-84000.446465474874</v>
      </c>
      <c r="J72" s="109" t="s">
        <v>76</v>
      </c>
      <c r="K72" s="94">
        <f t="shared" si="7"/>
        <v>41514.135927301642</v>
      </c>
      <c r="L72" s="94"/>
      <c r="M72" s="95"/>
      <c r="N72" s="94">
        <f t="shared" si="8"/>
        <v>41514.135927301642</v>
      </c>
      <c r="O72" s="92">
        <v>0</v>
      </c>
      <c r="P72" s="92">
        <f t="shared" si="9"/>
        <v>41514.135927301642</v>
      </c>
      <c r="Q72" s="90">
        <f>[16]Operations!P72</f>
        <v>125136.15716525837</v>
      </c>
      <c r="R72" s="87">
        <f t="shared" si="3"/>
        <v>-83622.021237956724</v>
      </c>
    </row>
    <row r="73" spans="1:18" s="74" customFormat="1" ht="15.75">
      <c r="A73" s="93">
        <v>58</v>
      </c>
      <c r="B73" s="86" t="s">
        <v>175</v>
      </c>
      <c r="C73" s="94">
        <f t="shared" si="13"/>
        <v>5182.1100000000006</v>
      </c>
      <c r="D73" s="912">
        <f t="shared" si="11"/>
        <v>468.84643069977483</v>
      </c>
      <c r="E73" s="95"/>
      <c r="F73" s="94">
        <f>C73*'[8]WP-8 - Cust Counts (x per wk)'!P112</f>
        <v>4713.2635693002258</v>
      </c>
      <c r="G73" s="96" t="s">
        <v>113</v>
      </c>
      <c r="H73" s="95"/>
      <c r="I73" s="94">
        <f>+'[8]Sch 1, pg 2 - Restated'!P73</f>
        <v>-846.9505733634312</v>
      </c>
      <c r="J73" s="95" t="s">
        <v>139</v>
      </c>
      <c r="K73" s="94">
        <f t="shared" si="7"/>
        <v>3866.3129959367943</v>
      </c>
      <c r="L73" s="94"/>
      <c r="M73" s="95"/>
      <c r="N73" s="94">
        <f t="shared" si="8"/>
        <v>3866.3129959367943</v>
      </c>
      <c r="O73" s="92">
        <v>0</v>
      </c>
      <c r="P73" s="92">
        <f t="shared" si="9"/>
        <v>3866.3129959367943</v>
      </c>
      <c r="Q73" s="90">
        <f>[16]Operations!P73</f>
        <v>4114.2408471871522</v>
      </c>
      <c r="R73" s="87">
        <f t="shared" si="3"/>
        <v>-247.92785125035789</v>
      </c>
    </row>
    <row r="74" spans="1:18" s="74" customFormat="1" ht="15.75">
      <c r="A74" s="93">
        <v>59</v>
      </c>
      <c r="B74" s="86" t="s">
        <v>176</v>
      </c>
      <c r="C74" s="94">
        <f t="shared" si="13"/>
        <v>35981.85</v>
      </c>
      <c r="D74" s="912">
        <f t="shared" si="11"/>
        <v>3277.8429901079144</v>
      </c>
      <c r="E74" s="95"/>
      <c r="F74" s="94">
        <f>C74*'[8]WP-8 - Cust Counts (x per wk)'!V112</f>
        <v>32704.007009892084</v>
      </c>
      <c r="G74" s="96" t="s">
        <v>124</v>
      </c>
      <c r="H74" s="95"/>
      <c r="I74" s="94">
        <f>'[8]Sch 1, pg 2 - Restated'!P74</f>
        <v>-32704.007009892084</v>
      </c>
      <c r="J74" s="95" t="s">
        <v>132</v>
      </c>
      <c r="K74" s="94">
        <f t="shared" si="7"/>
        <v>0</v>
      </c>
      <c r="L74" s="94"/>
      <c r="M74" s="95"/>
      <c r="N74" s="94">
        <f t="shared" si="8"/>
        <v>0</v>
      </c>
      <c r="O74" s="92">
        <v>0</v>
      </c>
      <c r="P74" s="92">
        <f t="shared" si="9"/>
        <v>0</v>
      </c>
      <c r="Q74" s="90">
        <f>[16]Operations!P74</f>
        <v>0</v>
      </c>
      <c r="R74" s="87">
        <f t="shared" si="3"/>
        <v>0</v>
      </c>
    </row>
    <row r="75" spans="1:18" s="74" customFormat="1" ht="15.75">
      <c r="A75" s="93">
        <v>60</v>
      </c>
      <c r="B75" s="86" t="s">
        <v>177</v>
      </c>
      <c r="C75" s="94">
        <f t="shared" si="13"/>
        <v>67326.95</v>
      </c>
      <c r="D75" s="912">
        <f t="shared" si="11"/>
        <v>6091.3412099322813</v>
      </c>
      <c r="E75" s="95"/>
      <c r="F75" s="94">
        <f>C75*'[8]WP-8 - Cust Counts (x per wk)'!P112</f>
        <v>61235.608790067716</v>
      </c>
      <c r="G75" s="96" t="s">
        <v>113</v>
      </c>
      <c r="H75" s="95"/>
      <c r="I75" s="94">
        <f>'[8]Sch 1, pg 2 - Restated'!P75</f>
        <v>-61235.608790067716</v>
      </c>
      <c r="J75" s="95" t="s">
        <v>132</v>
      </c>
      <c r="K75" s="94">
        <f t="shared" si="7"/>
        <v>0</v>
      </c>
      <c r="L75" s="94"/>
      <c r="M75" s="95"/>
      <c r="N75" s="94">
        <f t="shared" si="8"/>
        <v>0</v>
      </c>
      <c r="O75" s="92">
        <v>0</v>
      </c>
      <c r="P75" s="92">
        <f t="shared" si="9"/>
        <v>0</v>
      </c>
      <c r="Q75" s="90">
        <f>[16]Operations!P75</f>
        <v>0</v>
      </c>
      <c r="R75" s="87">
        <f t="shared" si="3"/>
        <v>0</v>
      </c>
    </row>
    <row r="76" spans="1:18" s="74" customFormat="1" ht="15.75">
      <c r="A76" s="93">
        <v>61</v>
      </c>
      <c r="B76" s="86" t="s">
        <v>178</v>
      </c>
      <c r="C76" s="94">
        <f t="shared" si="13"/>
        <v>23939.62</v>
      </c>
      <c r="D76" s="912">
        <f>C76-F76</f>
        <v>2165.9141525959385</v>
      </c>
      <c r="E76" s="95"/>
      <c r="F76" s="94">
        <f>C76*'[8]WP-8 - Cust Counts (x per wk)'!P112</f>
        <v>21773.70584740406</v>
      </c>
      <c r="G76" s="96" t="s">
        <v>113</v>
      </c>
      <c r="H76" s="95"/>
      <c r="I76" s="94">
        <f>'[8]Sch 1, pg 2 - Restated'!P76</f>
        <v>-18461.748923702031</v>
      </c>
      <c r="J76" s="95" t="s">
        <v>716</v>
      </c>
      <c r="K76" s="94">
        <f t="shared" si="7"/>
        <v>3311.9569237020296</v>
      </c>
      <c r="L76" s="94"/>
      <c r="M76" s="95"/>
      <c r="N76" s="94">
        <f t="shared" si="8"/>
        <v>3311.9569237020296</v>
      </c>
      <c r="O76" s="92">
        <v>0</v>
      </c>
      <c r="P76" s="92">
        <f t="shared" si="9"/>
        <v>3311.9569237020296</v>
      </c>
      <c r="Q76" s="90">
        <f>[16]Operations!P76</f>
        <v>3524.3366157730379</v>
      </c>
      <c r="R76" s="87">
        <f t="shared" si="3"/>
        <v>-212.37969207100832</v>
      </c>
    </row>
    <row r="77" spans="1:18" s="74" customFormat="1" ht="15.75">
      <c r="A77" s="93">
        <v>62</v>
      </c>
      <c r="B77" s="86" t="s">
        <v>179</v>
      </c>
      <c r="C77" s="94">
        <f t="shared" si="13"/>
        <v>447.19999999999993</v>
      </c>
      <c r="D77" s="912">
        <f t="shared" si="11"/>
        <v>40.459990970654644</v>
      </c>
      <c r="E77" s="95"/>
      <c r="F77" s="94">
        <f>C77*'[8]WP-8 - Cust Counts (x per wk)'!P112</f>
        <v>406.74000902934529</v>
      </c>
      <c r="G77" s="96" t="s">
        <v>113</v>
      </c>
      <c r="H77" s="95"/>
      <c r="I77" s="94">
        <f>'[8]Sch 1, pg 2 - Restated'!P77</f>
        <v>-406.74000902934529</v>
      </c>
      <c r="J77" s="95" t="s">
        <v>132</v>
      </c>
      <c r="K77" s="94">
        <f t="shared" si="7"/>
        <v>0</v>
      </c>
      <c r="L77" s="94"/>
      <c r="M77" s="95"/>
      <c r="N77" s="94">
        <f t="shared" si="8"/>
        <v>0</v>
      </c>
      <c r="O77" s="92">
        <v>0</v>
      </c>
      <c r="P77" s="92">
        <f t="shared" si="9"/>
        <v>0</v>
      </c>
      <c r="Q77" s="90">
        <f>[16]Operations!P77</f>
        <v>0</v>
      </c>
      <c r="R77" s="87">
        <f t="shared" ref="R77:R98" si="14">N77-Q77</f>
        <v>0</v>
      </c>
    </row>
    <row r="78" spans="1:18" s="74" customFormat="1" ht="15.75">
      <c r="A78" s="93">
        <v>63</v>
      </c>
      <c r="B78" s="86" t="s">
        <v>180</v>
      </c>
      <c r="C78" s="94">
        <f t="shared" si="13"/>
        <v>1852.5600000000004</v>
      </c>
      <c r="D78" s="912">
        <f t="shared" si="11"/>
        <v>167.60858871331834</v>
      </c>
      <c r="E78" s="95"/>
      <c r="F78" s="94">
        <f>C78*'[8]WP-8 - Cust Counts (x per wk)'!P112</f>
        <v>1684.9514112866821</v>
      </c>
      <c r="G78" s="96" t="s">
        <v>113</v>
      </c>
      <c r="H78" s="95"/>
      <c r="I78" s="94">
        <f>'[8]Sch 1, pg 2 - Restated'!P78</f>
        <v>0</v>
      </c>
      <c r="J78" s="95"/>
      <c r="K78" s="94">
        <f t="shared" si="7"/>
        <v>1684.9514112866821</v>
      </c>
      <c r="L78" s="94"/>
      <c r="M78" s="95"/>
      <c r="N78" s="94">
        <f t="shared" si="8"/>
        <v>1684.9514112866821</v>
      </c>
      <c r="O78" s="92">
        <v>0</v>
      </c>
      <c r="P78" s="92">
        <f t="shared" si="9"/>
        <v>1684.9514112866821</v>
      </c>
      <c r="Q78" s="90">
        <f>[16]Operations!P78</f>
        <v>1792.999151679295</v>
      </c>
      <c r="R78" s="87">
        <f t="shared" si="14"/>
        <v>-108.04774039261292</v>
      </c>
    </row>
    <row r="79" spans="1:18" s="74" customFormat="1" ht="15.75">
      <c r="A79" s="93">
        <v>64</v>
      </c>
      <c r="B79" s="86" t="s">
        <v>181</v>
      </c>
      <c r="C79" s="94">
        <f t="shared" si="13"/>
        <v>109018.45000000001</v>
      </c>
      <c r="D79" s="912">
        <f t="shared" si="11"/>
        <v>9863.3396749435778</v>
      </c>
      <c r="E79" s="95"/>
      <c r="F79" s="94">
        <f>C79*'[8]WP-8 - Cust Counts (x per wk)'!P112</f>
        <v>99155.110325056434</v>
      </c>
      <c r="G79" s="96" t="s">
        <v>113</v>
      </c>
      <c r="H79" s="95"/>
      <c r="I79" s="94">
        <f>'[8]Sch 1, pg 2 - Restated'!P79</f>
        <v>-99155.110325056434</v>
      </c>
      <c r="J79" s="95" t="s">
        <v>132</v>
      </c>
      <c r="K79" s="94">
        <f t="shared" si="7"/>
        <v>0</v>
      </c>
      <c r="L79" s="94"/>
      <c r="M79" s="95"/>
      <c r="N79" s="94">
        <f t="shared" si="8"/>
        <v>0</v>
      </c>
      <c r="O79" s="92">
        <v>0</v>
      </c>
      <c r="P79" s="92">
        <f t="shared" si="9"/>
        <v>0</v>
      </c>
      <c r="Q79" s="90">
        <f>[16]Operations!P79</f>
        <v>0</v>
      </c>
      <c r="R79" s="87">
        <f t="shared" si="14"/>
        <v>0</v>
      </c>
    </row>
    <row r="80" spans="1:18" s="74" customFormat="1" ht="15.75">
      <c r="A80" s="93">
        <v>65</v>
      </c>
      <c r="B80" s="86" t="s">
        <v>78</v>
      </c>
      <c r="C80" s="94">
        <f t="shared" si="13"/>
        <v>12129.22</v>
      </c>
      <c r="D80" s="912">
        <f t="shared" si="11"/>
        <v>1097.3795431151248</v>
      </c>
      <c r="E80" s="95"/>
      <c r="F80" s="94">
        <f>C80*'[8]WP-8 - Cust Counts (x per wk)'!P112</f>
        <v>11031.840456884875</v>
      </c>
      <c r="G80" s="96" t="s">
        <v>113</v>
      </c>
      <c r="H80" s="95"/>
      <c r="I80" s="94">
        <f>'[8]Sch 1, pg 2 - Restated'!P80</f>
        <v>-4869.670431954195</v>
      </c>
      <c r="J80" s="95" t="s">
        <v>79</v>
      </c>
      <c r="K80" s="94">
        <f t="shared" si="7"/>
        <v>6162.1700249306796</v>
      </c>
      <c r="L80" s="94"/>
      <c r="M80" s="95"/>
      <c r="N80" s="94">
        <f t="shared" si="8"/>
        <v>6162.1700249306796</v>
      </c>
      <c r="O80" s="92">
        <v>0</v>
      </c>
      <c r="P80" s="92">
        <f t="shared" si="9"/>
        <v>6162.1700249306796</v>
      </c>
      <c r="Q80" s="90">
        <f>[16]Operations!P80</f>
        <v>8497.1147577440552</v>
      </c>
      <c r="R80" s="87">
        <f t="shared" si="14"/>
        <v>-2334.9447328133756</v>
      </c>
    </row>
    <row r="81" spans="1:18" s="74" customFormat="1" ht="15.75">
      <c r="A81" s="93">
        <v>66</v>
      </c>
      <c r="B81" s="86" t="s">
        <v>182</v>
      </c>
      <c r="C81" s="94">
        <f t="shared" si="13"/>
        <v>1315.5</v>
      </c>
      <c r="D81" s="912">
        <f t="shared" si="11"/>
        <v>119.01860045146736</v>
      </c>
      <c r="E81" s="95"/>
      <c r="F81" s="94">
        <f>C81*'[8]WP-8 - Cust Counts (x per wk)'!P112</f>
        <v>1196.4813995485326</v>
      </c>
      <c r="G81" s="96" t="s">
        <v>113</v>
      </c>
      <c r="H81" s="95"/>
      <c r="I81" s="94">
        <f>'[8]Sch 1, pg 2 - Restated'!P81</f>
        <v>0</v>
      </c>
      <c r="J81" s="95"/>
      <c r="K81" s="94">
        <f t="shared" si="7"/>
        <v>1196.4813995485326</v>
      </c>
      <c r="L81" s="94"/>
      <c r="M81" s="95"/>
      <c r="N81" s="94">
        <f t="shared" si="8"/>
        <v>1196.4813995485326</v>
      </c>
      <c r="O81" s="92">
        <v>0</v>
      </c>
      <c r="P81" s="92">
        <f t="shared" si="9"/>
        <v>1196.4813995485326</v>
      </c>
      <c r="Q81" s="90">
        <f>[16]Operations!P81</f>
        <v>1273.2059334294772</v>
      </c>
      <c r="R81" s="87">
        <f t="shared" si="14"/>
        <v>-76.724533880944591</v>
      </c>
    </row>
    <row r="82" spans="1:18" s="74" customFormat="1" ht="15.75">
      <c r="A82" s="93">
        <v>67</v>
      </c>
      <c r="B82" s="86" t="s">
        <v>183</v>
      </c>
      <c r="C82" s="94">
        <f t="shared" si="13"/>
        <v>45387.4</v>
      </c>
      <c r="D82" s="912">
        <f t="shared" si="11"/>
        <v>4106.3814717833011</v>
      </c>
      <c r="E82" s="95"/>
      <c r="F82" s="94">
        <f>C82*'[8]WP-8 - Cust Counts (x per wk)'!P112</f>
        <v>41281.0185282167</v>
      </c>
      <c r="G82" s="96" t="s">
        <v>113</v>
      </c>
      <c r="H82" s="95"/>
      <c r="I82" s="94">
        <f>'[8]Sch 1, pg 2 - Restated'!P82</f>
        <v>-41281.0185282167</v>
      </c>
      <c r="J82" s="95" t="s">
        <v>132</v>
      </c>
      <c r="K82" s="94">
        <f t="shared" si="7"/>
        <v>0</v>
      </c>
      <c r="L82" s="94"/>
      <c r="M82" s="95"/>
      <c r="N82" s="94">
        <f t="shared" si="8"/>
        <v>0</v>
      </c>
      <c r="O82" s="92">
        <v>0</v>
      </c>
      <c r="P82" s="92">
        <f t="shared" si="9"/>
        <v>0</v>
      </c>
      <c r="Q82" s="90">
        <f>[16]Operations!P82</f>
        <v>0</v>
      </c>
      <c r="R82" s="87">
        <f t="shared" si="14"/>
        <v>0</v>
      </c>
    </row>
    <row r="83" spans="1:18" s="74" customFormat="1" ht="15.75">
      <c r="A83" s="93">
        <v>68</v>
      </c>
      <c r="B83" s="86" t="s">
        <v>184</v>
      </c>
      <c r="C83" s="94">
        <f t="shared" si="13"/>
        <v>50614.479999999996</v>
      </c>
      <c r="D83" s="912">
        <f t="shared" si="11"/>
        <v>4579.2965200902981</v>
      </c>
      <c r="E83" s="95"/>
      <c r="F83" s="94">
        <f>C83*'[8]WP-8 - Cust Counts (x per wk)'!P112</f>
        <v>46035.183479909698</v>
      </c>
      <c r="G83" s="96" t="s">
        <v>113</v>
      </c>
      <c r="H83" s="95"/>
      <c r="I83" s="94">
        <f>'[8]Sch 1, pg 2 - Restated'!P83</f>
        <v>-46035.183479909698</v>
      </c>
      <c r="J83" s="95" t="s">
        <v>185</v>
      </c>
      <c r="K83" s="94">
        <f t="shared" si="7"/>
        <v>0</v>
      </c>
      <c r="L83" s="94"/>
      <c r="M83" s="95"/>
      <c r="N83" s="94">
        <f t="shared" si="8"/>
        <v>0</v>
      </c>
      <c r="O83" s="92">
        <v>0</v>
      </c>
      <c r="P83" s="92">
        <f t="shared" si="9"/>
        <v>0</v>
      </c>
      <c r="Q83" s="90">
        <f>[16]Operations!P83</f>
        <v>0</v>
      </c>
      <c r="R83" s="87">
        <f t="shared" si="14"/>
        <v>0</v>
      </c>
    </row>
    <row r="84" spans="1:18" s="74" customFormat="1" ht="15.75">
      <c r="A84" s="93">
        <v>69</v>
      </c>
      <c r="B84" s="86" t="s">
        <v>186</v>
      </c>
      <c r="C84" s="94">
        <f t="shared" si="13"/>
        <v>505.51</v>
      </c>
      <c r="D84" s="912">
        <f t="shared" si="11"/>
        <v>45.735532279909705</v>
      </c>
      <c r="E84" s="95"/>
      <c r="F84" s="94">
        <f>C84*'[8]WP-8 - Cust Counts (x per wk)'!P112</f>
        <v>459.77446772009029</v>
      </c>
      <c r="G84" s="96" t="s">
        <v>113</v>
      </c>
      <c r="H84" s="95"/>
      <c r="I84" s="94">
        <f>'[8]Sch 1, pg 2 - Restated'!P84</f>
        <v>0</v>
      </c>
      <c r="J84" s="95"/>
      <c r="K84" s="94">
        <f t="shared" si="7"/>
        <v>459.77446772009029</v>
      </c>
      <c r="L84" s="94"/>
      <c r="M84" s="95"/>
      <c r="N84" s="94">
        <f t="shared" si="8"/>
        <v>459.77446772009029</v>
      </c>
      <c r="O84" s="92">
        <v>0</v>
      </c>
      <c r="P84" s="92">
        <f t="shared" si="9"/>
        <v>459.77446772009029</v>
      </c>
      <c r="Q84" s="90">
        <f>[16]Operations!P84</f>
        <v>489.25756853510831</v>
      </c>
      <c r="R84" s="87">
        <f t="shared" si="14"/>
        <v>-29.48310081501802</v>
      </c>
    </row>
    <row r="85" spans="1:18" ht="15.75">
      <c r="A85" s="62">
        <v>70</v>
      </c>
      <c r="B85" s="86" t="s">
        <v>187</v>
      </c>
      <c r="C85" s="87">
        <f t="shared" si="13"/>
        <v>23973</v>
      </c>
      <c r="D85" s="912">
        <f t="shared" si="11"/>
        <v>2168.9341760722345</v>
      </c>
      <c r="E85" s="88"/>
      <c r="F85" s="87">
        <f>C85*'[8]WP-8 - Cust Counts (x per wk)'!I114</f>
        <v>21804.065823927765</v>
      </c>
      <c r="G85" s="89" t="s">
        <v>113</v>
      </c>
      <c r="H85" s="88"/>
      <c r="I85" s="90">
        <f>'[8]Sch 1, pg 2 - Restated'!P85</f>
        <v>0</v>
      </c>
      <c r="J85" s="88"/>
      <c r="K85" s="87">
        <f t="shared" si="7"/>
        <v>21804.065823927765</v>
      </c>
      <c r="L85" s="87"/>
      <c r="M85" s="88"/>
      <c r="N85" s="87">
        <f t="shared" si="8"/>
        <v>21804.065823927765</v>
      </c>
      <c r="O85" s="92">
        <v>0</v>
      </c>
      <c r="P85" s="92">
        <f t="shared" si="9"/>
        <v>21804.065823927765</v>
      </c>
      <c r="Q85" s="90">
        <f>[16]Operations!P85</f>
        <v>22159.786994695445</v>
      </c>
      <c r="R85" s="87">
        <f t="shared" si="14"/>
        <v>-355.72117076767972</v>
      </c>
    </row>
    <row r="86" spans="1:18" s="74" customFormat="1" ht="15.75">
      <c r="A86" s="93">
        <v>71</v>
      </c>
      <c r="B86" s="86" t="s">
        <v>188</v>
      </c>
      <c r="C86" s="94">
        <f t="shared" si="13"/>
        <v>7941.9100000000008</v>
      </c>
      <c r="D86" s="912">
        <f t="shared" si="11"/>
        <v>718.53668803611799</v>
      </c>
      <c r="E86" s="95"/>
      <c r="F86" s="94">
        <f>C86*'[8]WP-8 - Cust Counts (x per wk)'!P112</f>
        <v>7223.3733119638828</v>
      </c>
      <c r="G86" s="96" t="s">
        <v>113</v>
      </c>
      <c r="H86" s="95"/>
      <c r="I86" s="94">
        <f>'[8]Sch 1, pg 2 - Restated'!P86</f>
        <v>0</v>
      </c>
      <c r="J86" s="95"/>
      <c r="K86" s="94">
        <f t="shared" si="7"/>
        <v>7223.3733119638828</v>
      </c>
      <c r="L86" s="94"/>
      <c r="M86" s="95"/>
      <c r="N86" s="94">
        <f t="shared" si="8"/>
        <v>7223.3733119638828</v>
      </c>
      <c r="O86" s="92">
        <v>0</v>
      </c>
      <c r="P86" s="92">
        <f t="shared" si="9"/>
        <v>7223.3733119638828</v>
      </c>
      <c r="Q86" s="90">
        <f>[16]Operations!P86</f>
        <v>7686.5731165054349</v>
      </c>
      <c r="R86" s="87">
        <f t="shared" si="14"/>
        <v>-463.19980454155211</v>
      </c>
    </row>
    <row r="87" spans="1:18" ht="15.75">
      <c r="A87" s="62">
        <v>72</v>
      </c>
      <c r="B87" s="86" t="s">
        <v>189</v>
      </c>
      <c r="C87" s="87">
        <f>'[8]Sch 4 - 12months'!O86</f>
        <v>248512.41000000003</v>
      </c>
      <c r="D87" s="912">
        <f t="shared" si="11"/>
        <v>0</v>
      </c>
      <c r="E87" s="88"/>
      <c r="F87" s="87">
        <f>C87</f>
        <v>248512.41000000003</v>
      </c>
      <c r="G87" s="89" t="s">
        <v>108</v>
      </c>
      <c r="H87" s="88"/>
      <c r="I87" s="90">
        <f>'[8]Sch 1, pg 2 - Restated'!P87</f>
        <v>-248512.41000000003</v>
      </c>
      <c r="J87" s="88" t="s">
        <v>190</v>
      </c>
      <c r="K87" s="87">
        <f t="shared" si="7"/>
        <v>0</v>
      </c>
      <c r="L87" s="87"/>
      <c r="M87" s="88"/>
      <c r="N87" s="87">
        <f t="shared" si="8"/>
        <v>0</v>
      </c>
      <c r="O87" s="92">
        <v>0</v>
      </c>
      <c r="P87" s="92">
        <f t="shared" si="9"/>
        <v>0</v>
      </c>
      <c r="Q87" s="90">
        <f>[16]Operations!P87</f>
        <v>0</v>
      </c>
      <c r="R87" s="87">
        <f t="shared" si="14"/>
        <v>0</v>
      </c>
    </row>
    <row r="88" spans="1:18" ht="15.75">
      <c r="B88" s="86" t="s">
        <v>191</v>
      </c>
      <c r="C88" s="87"/>
      <c r="D88" s="912"/>
      <c r="E88" s="88"/>
      <c r="F88" s="87"/>
      <c r="G88" s="112" t="s">
        <v>113</v>
      </c>
      <c r="H88" s="88"/>
      <c r="I88" s="90">
        <f>'[8]Sch 1, pg 2 - Restated'!P88</f>
        <v>108611.42480263657</v>
      </c>
      <c r="J88" s="88" t="s">
        <v>717</v>
      </c>
      <c r="K88" s="87">
        <f t="shared" ref="K88:K97" si="15">F88+I88+H88</f>
        <v>108611.42480263657</v>
      </c>
      <c r="L88" s="87"/>
      <c r="M88" s="88"/>
      <c r="N88" s="87">
        <f t="shared" si="8"/>
        <v>108611.42480263657</v>
      </c>
      <c r="O88" s="92">
        <v>0</v>
      </c>
      <c r="P88" s="92">
        <f t="shared" si="9"/>
        <v>108611.42480263657</v>
      </c>
      <c r="Q88" s="90">
        <f>[16]Operations!P88</f>
        <v>95725.476596468172</v>
      </c>
      <c r="R88" s="87">
        <f t="shared" si="14"/>
        <v>12885.948206168396</v>
      </c>
    </row>
    <row r="89" spans="1:18" ht="15.75">
      <c r="B89" s="86" t="s">
        <v>192</v>
      </c>
      <c r="C89" s="87"/>
      <c r="D89" s="912"/>
      <c r="E89" s="88"/>
      <c r="F89" s="87"/>
      <c r="G89" s="112" t="s">
        <v>113</v>
      </c>
      <c r="H89" s="88"/>
      <c r="I89" s="90">
        <f>'[8]Sch 1, pg 2 - Restated'!P89</f>
        <v>18226.792510574265</v>
      </c>
      <c r="J89" s="88" t="s">
        <v>190</v>
      </c>
      <c r="K89" s="87">
        <f t="shared" si="15"/>
        <v>18226.792510574265</v>
      </c>
      <c r="L89" s="87"/>
      <c r="M89" s="88"/>
      <c r="N89" s="87">
        <f t="shared" ref="N89:N97" si="16">K89+L89</f>
        <v>18226.792510574265</v>
      </c>
      <c r="O89" s="92">
        <v>0</v>
      </c>
      <c r="P89" s="92">
        <f t="shared" ref="P89:P97" si="17">+O89+N89</f>
        <v>18226.792510574265</v>
      </c>
      <c r="Q89" s="90">
        <f>[16]Operations!P89</f>
        <v>19395.58808069025</v>
      </c>
      <c r="R89" s="87">
        <f t="shared" si="14"/>
        <v>-1168.7955701159844</v>
      </c>
    </row>
    <row r="90" spans="1:18" ht="15.75">
      <c r="B90" s="86" t="s">
        <v>193</v>
      </c>
      <c r="C90" s="87"/>
      <c r="D90" s="912"/>
      <c r="E90" s="88"/>
      <c r="F90" s="87"/>
      <c r="G90" s="112" t="s">
        <v>113</v>
      </c>
      <c r="H90" s="88"/>
      <c r="I90" s="90">
        <f>'[8]Sch 1, pg 2 - Restated'!P90</f>
        <v>318.334085778781</v>
      </c>
      <c r="J90" s="88" t="s">
        <v>190</v>
      </c>
      <c r="K90" s="87">
        <f t="shared" si="15"/>
        <v>318.334085778781</v>
      </c>
      <c r="L90" s="87"/>
      <c r="M90" s="88"/>
      <c r="N90" s="87">
        <f t="shared" si="16"/>
        <v>318.334085778781</v>
      </c>
      <c r="O90" s="92">
        <v>0</v>
      </c>
      <c r="P90" s="92">
        <f t="shared" si="17"/>
        <v>318.334085778781</v>
      </c>
      <c r="Q90" s="90">
        <f>[16]Operations!P90</f>
        <v>338.74730269883463</v>
      </c>
      <c r="R90" s="87">
        <f t="shared" si="14"/>
        <v>-20.413216920053628</v>
      </c>
    </row>
    <row r="91" spans="1:18" ht="15.75">
      <c r="B91" s="86" t="s">
        <v>194</v>
      </c>
      <c r="C91" s="87"/>
      <c r="D91" s="912"/>
      <c r="E91" s="88"/>
      <c r="F91" s="87"/>
      <c r="G91" s="89" t="s">
        <v>113</v>
      </c>
      <c r="H91" s="88"/>
      <c r="I91" s="90">
        <f>'[8]Sch 1, pg 2 - Restated'!P91</f>
        <v>1911.7565648457478</v>
      </c>
      <c r="J91" s="88" t="s">
        <v>190</v>
      </c>
      <c r="K91" s="87">
        <f t="shared" si="15"/>
        <v>1911.7565648457478</v>
      </c>
      <c r="L91" s="87"/>
      <c r="M91" s="88"/>
      <c r="N91" s="87">
        <f t="shared" si="16"/>
        <v>1911.7565648457478</v>
      </c>
      <c r="O91" s="92">
        <v>0</v>
      </c>
      <c r="P91" s="92">
        <f t="shared" si="17"/>
        <v>1911.7565648457478</v>
      </c>
      <c r="Q91" s="90">
        <f>[16]Operations!P91</f>
        <v>1942.9458067495875</v>
      </c>
      <c r="R91" s="87">
        <f t="shared" si="14"/>
        <v>-31.189241903839729</v>
      </c>
    </row>
    <row r="92" spans="1:18" ht="15.75">
      <c r="B92" s="86" t="s">
        <v>195</v>
      </c>
      <c r="C92" s="87"/>
      <c r="D92" s="912"/>
      <c r="E92" s="88"/>
      <c r="F92" s="87"/>
      <c r="G92" s="89" t="s">
        <v>113</v>
      </c>
      <c r="H92" s="88"/>
      <c r="I92" s="90">
        <f>'[8]Sch 1, pg 2 - Restated'!P92</f>
        <v>2489.2211147178327</v>
      </c>
      <c r="J92" s="88" t="s">
        <v>190</v>
      </c>
      <c r="K92" s="87">
        <f t="shared" si="15"/>
        <v>2489.2211147178327</v>
      </c>
      <c r="L92" s="87"/>
      <c r="M92" s="88"/>
      <c r="N92" s="87">
        <f t="shared" si="16"/>
        <v>2489.2211147178327</v>
      </c>
      <c r="O92" s="92">
        <v>0</v>
      </c>
      <c r="P92" s="92">
        <f t="shared" si="17"/>
        <v>2489.2211147178327</v>
      </c>
      <c r="Q92" s="90">
        <f>[16]Operations!P92</f>
        <v>2529.8313686208153</v>
      </c>
      <c r="R92" s="87">
        <f t="shared" si="14"/>
        <v>-40.610253902982549</v>
      </c>
    </row>
    <row r="93" spans="1:18" ht="15.75">
      <c r="B93" s="86" t="s">
        <v>196</v>
      </c>
      <c r="C93" s="87"/>
      <c r="D93" s="912"/>
      <c r="E93" s="88"/>
      <c r="F93" s="87"/>
      <c r="G93" s="112" t="s">
        <v>124</v>
      </c>
      <c r="H93" s="88"/>
      <c r="I93" s="90">
        <f>'[8]Sch 1, pg 2 - Restated'!P93</f>
        <v>3631.4226803956858</v>
      </c>
      <c r="J93" s="88" t="s">
        <v>190</v>
      </c>
      <c r="K93" s="87">
        <f t="shared" si="15"/>
        <v>3631.4226803956858</v>
      </c>
      <c r="L93" s="87"/>
      <c r="M93" s="88"/>
      <c r="N93" s="87">
        <f t="shared" si="16"/>
        <v>3631.4226803956858</v>
      </c>
      <c r="O93" s="92">
        <v>0</v>
      </c>
      <c r="P93" s="92">
        <f t="shared" si="17"/>
        <v>3631.4226803956858</v>
      </c>
      <c r="Q93" s="90">
        <f>[16]Operations!P93</f>
        <v>3995.3913333333358</v>
      </c>
      <c r="R93" s="87">
        <f t="shared" si="14"/>
        <v>-363.96865293764995</v>
      </c>
    </row>
    <row r="94" spans="1:18" ht="15.75">
      <c r="B94" s="86" t="s">
        <v>197</v>
      </c>
      <c r="C94" s="87"/>
      <c r="D94" s="912"/>
      <c r="E94" s="88"/>
      <c r="F94" s="87"/>
      <c r="G94" s="112" t="s">
        <v>124</v>
      </c>
      <c r="H94" s="88"/>
      <c r="I94" s="90">
        <f>'[8]Sch 1, pg 2 - Restated'!P94</f>
        <v>28367.212546588358</v>
      </c>
      <c r="J94" s="88" t="s">
        <v>190</v>
      </c>
      <c r="K94" s="87">
        <f t="shared" si="15"/>
        <v>28367.212546588358</v>
      </c>
      <c r="L94" s="87"/>
      <c r="M94" s="88"/>
      <c r="N94" s="87">
        <f t="shared" si="16"/>
        <v>28367.212546588358</v>
      </c>
      <c r="O94" s="92">
        <v>0</v>
      </c>
      <c r="P94" s="92">
        <f t="shared" si="17"/>
        <v>28367.212546588358</v>
      </c>
      <c r="Q94" s="90">
        <f>[16]Operations!P94</f>
        <v>28849.771677159551</v>
      </c>
      <c r="R94" s="87">
        <f t="shared" si="14"/>
        <v>-482.55913057119324</v>
      </c>
    </row>
    <row r="95" spans="1:18" ht="15.75">
      <c r="B95" s="86" t="s">
        <v>198</v>
      </c>
      <c r="C95" s="87"/>
      <c r="D95" s="912"/>
      <c r="E95" s="88"/>
      <c r="F95" s="87"/>
      <c r="G95" s="112" t="s">
        <v>108</v>
      </c>
      <c r="H95" s="88"/>
      <c r="I95" s="90">
        <f>'[8]Sch 1, pg 2 - Restated'!P95</f>
        <v>23687.906285714282</v>
      </c>
      <c r="J95" s="88" t="s">
        <v>718</v>
      </c>
      <c r="K95" s="87">
        <f t="shared" si="15"/>
        <v>23687.906285714282</v>
      </c>
      <c r="L95" s="87"/>
      <c r="M95" s="88"/>
      <c r="N95" s="87">
        <f t="shared" si="16"/>
        <v>23687.906285714282</v>
      </c>
      <c r="O95" s="92">
        <v>0</v>
      </c>
      <c r="P95" s="92">
        <f t="shared" si="17"/>
        <v>23687.906285714282</v>
      </c>
      <c r="Q95" s="90">
        <f>[16]Operations!P95</f>
        <v>16581.534399999997</v>
      </c>
      <c r="R95" s="87">
        <f t="shared" si="14"/>
        <v>7106.3718857142849</v>
      </c>
    </row>
    <row r="96" spans="1:18" ht="15.75">
      <c r="B96" s="86" t="s">
        <v>199</v>
      </c>
      <c r="C96" s="87"/>
      <c r="D96" s="912"/>
      <c r="E96" s="88"/>
      <c r="F96" s="87"/>
      <c r="G96" s="112" t="s">
        <v>108</v>
      </c>
      <c r="H96" s="88"/>
      <c r="I96" s="90">
        <f>'[8]Sch 1, pg 2 - Restated'!P96</f>
        <v>6227.8397499999955</v>
      </c>
      <c r="J96" s="88" t="s">
        <v>190</v>
      </c>
      <c r="K96" s="87">
        <f t="shared" si="15"/>
        <v>6227.8397499999955</v>
      </c>
      <c r="L96" s="87"/>
      <c r="M96" s="88"/>
      <c r="N96" s="87">
        <f t="shared" si="16"/>
        <v>6227.8397499999955</v>
      </c>
      <c r="O96" s="113">
        <v>0</v>
      </c>
      <c r="P96" s="92">
        <f t="shared" si="17"/>
        <v>6227.8397499999955</v>
      </c>
      <c r="Q96" s="90">
        <f>[16]Operations!P96</f>
        <v>6227.8397499999955</v>
      </c>
      <c r="R96" s="87">
        <f t="shared" si="14"/>
        <v>0</v>
      </c>
    </row>
    <row r="97" spans="2:19" ht="15.75">
      <c r="B97" s="86" t="s">
        <v>200</v>
      </c>
      <c r="C97" s="87"/>
      <c r="D97" s="912"/>
      <c r="E97" s="88"/>
      <c r="F97" s="87"/>
      <c r="G97" s="89"/>
      <c r="H97" s="88"/>
      <c r="I97" s="90"/>
      <c r="J97" s="88"/>
      <c r="K97" s="87">
        <f t="shared" si="15"/>
        <v>0</v>
      </c>
      <c r="L97" s="87"/>
      <c r="M97" s="88"/>
      <c r="N97" s="87">
        <f t="shared" si="16"/>
        <v>0</v>
      </c>
      <c r="O97" s="114"/>
      <c r="P97" s="92">
        <f t="shared" si="17"/>
        <v>0</v>
      </c>
      <c r="Q97" s="90">
        <f>[16]Operations!P97</f>
        <v>0</v>
      </c>
      <c r="R97" s="87">
        <f t="shared" si="14"/>
        <v>0</v>
      </c>
    </row>
    <row r="98" spans="2:19" ht="15.75">
      <c r="B98" s="115" t="s">
        <v>201</v>
      </c>
      <c r="C98" s="99">
        <f>SUM(C24:C97)</f>
        <v>3899633.4000000013</v>
      </c>
      <c r="D98" s="913">
        <f>SUM(D24:D97)</f>
        <v>405275.94082068186</v>
      </c>
      <c r="E98" s="99"/>
      <c r="F98" s="99">
        <f t="shared" ref="F98:L98" si="18">SUM(F24:F97)</f>
        <v>3494357.4591793171</v>
      </c>
      <c r="G98" s="116"/>
      <c r="H98" s="102">
        <f t="shared" si="18"/>
        <v>8900.8781477032753</v>
      </c>
      <c r="I98" s="102">
        <f t="shared" si="18"/>
        <v>-350122.83217867778</v>
      </c>
      <c r="J98" s="99"/>
      <c r="K98" s="99">
        <f t="shared" si="18"/>
        <v>3153135.5051483433</v>
      </c>
      <c r="L98" s="99">
        <f t="shared" si="18"/>
        <v>404057.7425205051</v>
      </c>
      <c r="M98" s="99"/>
      <c r="N98" s="99">
        <f>SUM(N24:N97)</f>
        <v>3557193.2476688479</v>
      </c>
      <c r="O98" s="99">
        <f>SUM(O24:O97)</f>
        <v>10102.928961340811</v>
      </c>
      <c r="P98" s="99">
        <f>SUM(P24:P97)</f>
        <v>3567296.1766301887</v>
      </c>
      <c r="Q98" s="102">
        <f>[16]Operations!P98</f>
        <v>3861956.0128597994</v>
      </c>
      <c r="R98" s="99">
        <f t="shared" si="14"/>
        <v>-304762.76519095153</v>
      </c>
      <c r="S98" s="117"/>
    </row>
    <row r="99" spans="2:19" ht="15.75">
      <c r="B99" s="85"/>
      <c r="C99" s="87"/>
      <c r="D99" s="87"/>
      <c r="E99" s="88"/>
      <c r="G99" s="89"/>
      <c r="H99" s="88"/>
      <c r="I99" s="90"/>
      <c r="J99" s="88"/>
      <c r="K99" s="87"/>
      <c r="L99" s="87"/>
      <c r="M99" s="88"/>
      <c r="N99" s="87"/>
      <c r="O99" s="118"/>
      <c r="P99" s="118"/>
    </row>
    <row r="100" spans="2:19" ht="15.75">
      <c r="B100" s="85"/>
      <c r="C100" s="87"/>
      <c r="D100" s="87"/>
      <c r="E100" s="88"/>
      <c r="G100" s="89"/>
      <c r="H100" s="88"/>
      <c r="I100" s="90"/>
      <c r="J100" s="88"/>
      <c r="K100" s="87"/>
      <c r="L100" s="87"/>
      <c r="M100" s="88"/>
      <c r="N100" s="87"/>
    </row>
    <row r="101" spans="2:19">
      <c r="B101" s="84" t="s">
        <v>202</v>
      </c>
      <c r="C101" s="87">
        <f>C20-C98</f>
        <v>133382.14999999898</v>
      </c>
      <c r="D101" s="87">
        <f>D20-D98</f>
        <v>-24931.93236018531</v>
      </c>
      <c r="E101" s="88"/>
      <c r="F101" s="87">
        <f>F20-F98</f>
        <v>158314.08236018615</v>
      </c>
      <c r="G101" s="89"/>
      <c r="H101" s="90">
        <f>H20-H98</f>
        <v>-8900.8781477032753</v>
      </c>
      <c r="I101" s="90">
        <f>I20-I98</f>
        <v>308675.87063917436</v>
      </c>
      <c r="J101" s="88"/>
      <c r="K101" s="87">
        <f>K20-K98</f>
        <v>458089.0748516568</v>
      </c>
      <c r="L101" s="87">
        <f>L20-L98</f>
        <v>-265459.64289584017</v>
      </c>
      <c r="M101" s="88"/>
      <c r="N101" s="87">
        <f>N20-N98</f>
        <v>192629.43195581716</v>
      </c>
      <c r="O101" s="87">
        <f>O20-O98</f>
        <v>521630.17426712287</v>
      </c>
      <c r="P101" s="87">
        <f>P20-P98</f>
        <v>714259.60622294061</v>
      </c>
    </row>
    <row r="102" spans="2:19">
      <c r="B102" s="84" t="s">
        <v>203</v>
      </c>
      <c r="C102" s="87"/>
      <c r="D102" s="87"/>
      <c r="E102" s="88"/>
      <c r="F102" s="119"/>
      <c r="G102" s="89"/>
      <c r="H102" s="88"/>
      <c r="I102" s="90"/>
      <c r="J102" s="88"/>
      <c r="K102" s="87"/>
      <c r="L102" s="87"/>
      <c r="M102" s="88"/>
      <c r="N102" s="87"/>
      <c r="P102" s="87"/>
    </row>
    <row r="103" spans="2:19">
      <c r="B103" s="84"/>
      <c r="C103" s="87"/>
      <c r="D103" s="87"/>
      <c r="E103" s="88"/>
      <c r="F103" s="87"/>
      <c r="G103" s="89"/>
      <c r="H103" s="88"/>
      <c r="I103" s="90"/>
      <c r="J103" s="88"/>
      <c r="K103" s="87"/>
      <c r="L103" s="87"/>
      <c r="M103" s="88"/>
      <c r="N103" s="87"/>
      <c r="P103" s="87"/>
    </row>
    <row r="104" spans="2:19">
      <c r="B104" s="84"/>
      <c r="C104" s="87"/>
      <c r="D104" s="87"/>
      <c r="E104" s="88"/>
      <c r="F104" s="87"/>
      <c r="G104" s="89"/>
      <c r="H104" s="88"/>
      <c r="I104" s="90"/>
      <c r="J104" s="88"/>
      <c r="K104" s="87"/>
      <c r="L104" s="87"/>
      <c r="M104" s="88"/>
      <c r="N104" s="87"/>
      <c r="P104" s="87"/>
    </row>
    <row r="105" spans="2:19">
      <c r="B105" s="84"/>
      <c r="C105" s="87"/>
      <c r="D105" s="87"/>
      <c r="E105" s="88"/>
      <c r="F105" s="87"/>
      <c r="G105" s="89"/>
      <c r="H105" s="88"/>
      <c r="I105" s="90"/>
      <c r="J105" s="88"/>
      <c r="K105" s="87"/>
      <c r="L105" s="87"/>
      <c r="M105" s="88"/>
      <c r="N105" s="87"/>
      <c r="P105" s="87"/>
    </row>
    <row r="106" spans="2:19">
      <c r="B106" s="84" t="s">
        <v>204</v>
      </c>
      <c r="C106" s="120">
        <f>C98/C20</f>
        <v>0.96692743969211847</v>
      </c>
      <c r="D106" s="120">
        <f>D98/D20</f>
        <v>1.065551005946173</v>
      </c>
      <c r="E106" s="121"/>
      <c r="F106" s="120">
        <f>F98/F20</f>
        <v>0.95665800207881246</v>
      </c>
      <c r="G106" s="122"/>
      <c r="H106" s="121"/>
      <c r="I106" s="123"/>
      <c r="J106" s="121"/>
      <c r="K106" s="120">
        <f>K98/K20</f>
        <v>0.87314854983301626</v>
      </c>
      <c r="L106" s="120"/>
      <c r="M106" s="121"/>
      <c r="N106" s="120">
        <f>N98/N20</f>
        <v>0.94862972241260801</v>
      </c>
      <c r="P106" s="120">
        <f>P98/P20</f>
        <v>0.83317755450403719</v>
      </c>
    </row>
    <row r="107" spans="2:19">
      <c r="B107" s="84"/>
      <c r="C107" s="87"/>
      <c r="D107" s="87"/>
      <c r="E107" s="88"/>
      <c r="F107" s="87"/>
      <c r="G107" s="89"/>
      <c r="H107" s="88"/>
      <c r="I107" s="90"/>
      <c r="J107" s="88"/>
      <c r="K107" s="87"/>
      <c r="L107" s="87"/>
      <c r="M107" s="88"/>
      <c r="N107" s="87"/>
    </row>
    <row r="108" spans="2:19">
      <c r="B108" s="84" t="s">
        <v>205</v>
      </c>
      <c r="C108" s="87"/>
      <c r="D108" s="87"/>
      <c r="E108" s="88"/>
      <c r="F108" s="87"/>
      <c r="G108" s="89"/>
      <c r="H108" s="88"/>
      <c r="I108" s="90"/>
      <c r="J108" s="88"/>
      <c r="K108" s="87"/>
      <c r="L108" s="87"/>
      <c r="M108" s="88"/>
      <c r="N108" s="87"/>
    </row>
    <row r="109" spans="2:19" ht="16.5">
      <c r="B109" s="84"/>
      <c r="C109" s="87"/>
      <c r="D109" s="87"/>
      <c r="E109" s="88"/>
      <c r="F109" s="87"/>
      <c r="G109" s="89"/>
      <c r="H109" s="88"/>
      <c r="I109" s="90"/>
      <c r="J109" s="88"/>
      <c r="K109" s="87"/>
      <c r="L109" s="87"/>
      <c r="M109" s="88"/>
      <c r="N109" s="87"/>
      <c r="O109" s="124"/>
    </row>
    <row r="110" spans="2:19" ht="16.5">
      <c r="B110" s="84"/>
      <c r="C110" s="87"/>
      <c r="D110" s="87"/>
      <c r="E110" s="88"/>
      <c r="F110" s="87"/>
      <c r="G110" s="89"/>
      <c r="H110" s="88"/>
      <c r="I110" s="90"/>
      <c r="J110" s="88"/>
      <c r="K110" s="87"/>
      <c r="L110" s="87"/>
      <c r="M110" s="88"/>
      <c r="N110" s="125"/>
    </row>
    <row r="111" spans="2:19">
      <c r="B111" s="84"/>
      <c r="C111" s="87"/>
      <c r="D111" s="87"/>
      <c r="E111" s="88"/>
      <c r="F111" s="87"/>
      <c r="G111" s="89"/>
      <c r="H111" s="88"/>
      <c r="I111" s="90"/>
      <c r="J111" s="88"/>
      <c r="K111" s="87"/>
      <c r="L111" s="87"/>
      <c r="M111" s="88"/>
      <c r="N111" s="87"/>
    </row>
    <row r="112" spans="2:19">
      <c r="B112" s="84"/>
      <c r="C112" s="87"/>
      <c r="D112" s="87"/>
      <c r="E112" s="88"/>
      <c r="F112" s="87"/>
      <c r="G112" s="89"/>
      <c r="H112" s="88"/>
      <c r="I112" s="90"/>
      <c r="J112" s="88"/>
      <c r="K112" s="87"/>
      <c r="L112" s="87"/>
      <c r="M112" s="88"/>
      <c r="N112" s="87"/>
    </row>
    <row r="113" spans="2:14">
      <c r="B113" s="84"/>
      <c r="C113" s="87"/>
      <c r="D113" s="87"/>
      <c r="E113" s="88"/>
      <c r="F113" s="87"/>
      <c r="G113" s="89"/>
      <c r="H113" s="88"/>
      <c r="I113" s="90"/>
      <c r="J113" s="88"/>
      <c r="K113" s="87"/>
      <c r="L113" s="87"/>
      <c r="M113" s="88"/>
      <c r="N113" s="87"/>
    </row>
    <row r="114" spans="2:14">
      <c r="B114" s="84"/>
      <c r="C114" s="87"/>
      <c r="D114" s="87"/>
      <c r="E114" s="88"/>
      <c r="F114" s="87"/>
      <c r="G114" s="89"/>
      <c r="H114" s="88"/>
      <c r="I114" s="90"/>
      <c r="J114" s="88"/>
      <c r="K114" s="87"/>
      <c r="L114" s="87"/>
      <c r="M114" s="88"/>
      <c r="N114" s="87"/>
    </row>
    <row r="115" spans="2:14" ht="15.75">
      <c r="B115" s="85"/>
      <c r="C115" s="87"/>
      <c r="D115" s="87"/>
      <c r="E115" s="88"/>
      <c r="F115" s="87"/>
      <c r="G115" s="89"/>
      <c r="H115" s="88"/>
      <c r="I115" s="90"/>
      <c r="J115" s="88"/>
      <c r="K115" s="87"/>
      <c r="L115" s="87"/>
      <c r="M115" s="88"/>
      <c r="N115" s="87"/>
    </row>
    <row r="116" spans="2:14">
      <c r="C116" s="87"/>
      <c r="D116" s="87"/>
      <c r="E116" s="88"/>
      <c r="F116" s="87"/>
      <c r="G116" s="89"/>
      <c r="H116" s="88"/>
      <c r="I116" s="90"/>
      <c r="J116" s="88"/>
      <c r="K116" s="87"/>
      <c r="L116" s="87"/>
      <c r="M116" s="88"/>
      <c r="N116" s="87"/>
    </row>
  </sheetData>
  <mergeCells count="4">
    <mergeCell ref="B1:R1"/>
    <mergeCell ref="B3:R3"/>
    <mergeCell ref="B5:R5"/>
    <mergeCell ref="B6:R6"/>
  </mergeCells>
  <pageMargins left="0.7" right="0.7" top="0.75" bottom="0.75" header="0.3" footer="0.3"/>
  <pageSetup scale="63" fitToHeight="10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workbookViewId="0">
      <selection activeCell="G38" sqref="G38"/>
    </sheetView>
  </sheetViews>
  <sheetFormatPr defaultColWidth="9.77734375" defaultRowHeight="15.75"/>
  <cols>
    <col min="1" max="1" width="5.44140625" style="242" customWidth="1"/>
    <col min="2" max="2" width="10.77734375" style="242" customWidth="1"/>
    <col min="3" max="3" width="9.77734375" style="242" customWidth="1"/>
    <col min="4" max="5" width="11.33203125" style="242" customWidth="1"/>
    <col min="6" max="7" width="10.33203125" style="242" customWidth="1"/>
    <col min="8" max="8" width="11.33203125" style="242" customWidth="1"/>
    <col min="9" max="9" width="9.77734375" style="798"/>
    <col min="10" max="16384" width="9.77734375" style="242"/>
  </cols>
  <sheetData>
    <row r="1" spans="1:9" ht="16.5" customHeight="1">
      <c r="A1" s="966" t="str">
        <f>+'[8]WP-5 - Dues &amp; Sub'!A1:I1</f>
        <v>WASTE CONTROL, INC.</v>
      </c>
      <c r="B1" s="966"/>
      <c r="C1" s="966"/>
      <c r="D1" s="966"/>
      <c r="E1" s="966"/>
      <c r="F1" s="966"/>
      <c r="G1" s="966"/>
      <c r="H1" s="966"/>
    </row>
    <row r="2" spans="1:9" ht="13.5" customHeight="1">
      <c r="A2" s="243"/>
    </row>
    <row r="3" spans="1:9" ht="16.5" customHeight="1">
      <c r="A3" s="967" t="s">
        <v>266</v>
      </c>
      <c r="B3" s="967"/>
      <c r="C3" s="967"/>
      <c r="D3" s="967"/>
      <c r="E3" s="967"/>
      <c r="F3" s="967"/>
      <c r="G3" s="967"/>
      <c r="H3" s="967"/>
    </row>
    <row r="4" spans="1:9">
      <c r="A4" s="10"/>
      <c r="B4" s="10"/>
      <c r="C4" s="10"/>
      <c r="D4" s="10"/>
      <c r="E4" s="10"/>
      <c r="F4" s="10"/>
      <c r="G4" s="10"/>
      <c r="H4" s="10"/>
    </row>
    <row r="5" spans="1:9">
      <c r="A5" s="966" t="str">
        <f>+'[8]WP-1 Exp Summary'!A5:D5</f>
        <v>In Support of Tariff No. 16, G-101 Effective June 1, 2014</v>
      </c>
      <c r="B5" s="966"/>
      <c r="C5" s="966"/>
      <c r="D5" s="966"/>
      <c r="E5" s="966"/>
      <c r="F5" s="966"/>
      <c r="G5" s="966"/>
      <c r="H5" s="966"/>
    </row>
    <row r="6" spans="1:9">
      <c r="A6" s="16"/>
    </row>
    <row r="8" spans="1:9" ht="15" customHeight="1">
      <c r="A8" s="244"/>
      <c r="B8" s="244"/>
      <c r="C8" s="244"/>
      <c r="D8" s="244"/>
      <c r="E8" s="244"/>
      <c r="F8" s="244"/>
      <c r="G8" s="245" t="s">
        <v>267</v>
      </c>
      <c r="H8" s="244"/>
    </row>
    <row r="9" spans="1:9" ht="15" customHeight="1">
      <c r="A9" s="244"/>
      <c r="B9" s="244"/>
      <c r="C9" s="244"/>
      <c r="D9" s="246">
        <v>41090</v>
      </c>
      <c r="E9" s="246">
        <v>41455</v>
      </c>
      <c r="F9" s="247" t="s">
        <v>268</v>
      </c>
      <c r="G9" s="247" t="s">
        <v>269</v>
      </c>
      <c r="H9" s="248" t="s">
        <v>270</v>
      </c>
    </row>
    <row r="10" spans="1:9" ht="15" customHeight="1">
      <c r="B10" s="242" t="s">
        <v>271</v>
      </c>
      <c r="D10" s="249">
        <v>723224</v>
      </c>
      <c r="E10" s="249">
        <f>405697.12+161400</f>
        <v>567097.12</v>
      </c>
      <c r="F10" s="250">
        <f>(+D10+E10)/2</f>
        <v>645160.56000000006</v>
      </c>
      <c r="G10" s="250">
        <f>E10</f>
        <v>567097.12</v>
      </c>
      <c r="H10" s="242">
        <f>G10/(+$G$10+$G$11)</f>
        <v>0.37036638949765638</v>
      </c>
    </row>
    <row r="11" spans="1:9" ht="15" customHeight="1">
      <c r="B11" s="242" t="s">
        <v>272</v>
      </c>
      <c r="D11" s="251"/>
      <c r="E11" s="251"/>
      <c r="F11" s="251"/>
      <c r="G11" s="252">
        <f>+'[8]WP-6 P2'!D23</f>
        <v>964081.56165407191</v>
      </c>
      <c r="H11" s="242">
        <f>G11/(+$G$10+$G$11)</f>
        <v>0.62963361050234357</v>
      </c>
    </row>
    <row r="12" spans="1:9" ht="15" customHeight="1">
      <c r="B12" s="242" t="s">
        <v>273</v>
      </c>
      <c r="D12" s="251" t="s">
        <v>274</v>
      </c>
      <c r="E12" s="251"/>
      <c r="F12" s="252">
        <f>'[8]WP-6 - CapitalStructure'!$F$12</f>
        <v>50614.479999999996</v>
      </c>
      <c r="G12" s="251"/>
    </row>
    <row r="13" spans="1:9" ht="15" customHeight="1">
      <c r="B13" s="242" t="s">
        <v>275</v>
      </c>
      <c r="F13" s="253">
        <f>(E10*0.06)/E10</f>
        <v>0.06</v>
      </c>
      <c r="G13" s="254"/>
      <c r="I13" s="810" t="s">
        <v>65</v>
      </c>
    </row>
    <row r="14" spans="1:9" ht="15" customHeight="1" thickBot="1">
      <c r="G14" s="255"/>
      <c r="I14" s="810">
        <v>2013</v>
      </c>
    </row>
    <row r="15" spans="1:9" ht="15" customHeight="1">
      <c r="A15" s="256" t="s">
        <v>276</v>
      </c>
      <c r="B15" s="257"/>
      <c r="C15" s="258" t="s">
        <v>270</v>
      </c>
      <c r="D15" s="258" t="s">
        <v>277</v>
      </c>
      <c r="E15" s="257" t="s">
        <v>278</v>
      </c>
      <c r="F15" s="254"/>
      <c r="G15" s="254"/>
      <c r="H15" s="260" t="s">
        <v>108</v>
      </c>
    </row>
    <row r="16" spans="1:9" ht="15" customHeight="1">
      <c r="B16" s="809" t="s">
        <v>279</v>
      </c>
      <c r="C16" s="259">
        <f>+'[8]WP-6 P2'!E41</f>
        <v>0.4</v>
      </c>
      <c r="D16" s="254">
        <f>F13</f>
        <v>0.06</v>
      </c>
      <c r="E16" s="254">
        <f>C16*D16</f>
        <v>2.4E-2</v>
      </c>
      <c r="F16" s="254"/>
      <c r="G16" s="254"/>
      <c r="H16" s="261">
        <f>I16/I18</f>
        <v>0.42754222712238149</v>
      </c>
      <c r="I16" s="798">
        <f>[17]WCI!$H$41</f>
        <v>484726</v>
      </c>
    </row>
    <row r="17" spans="1:14" ht="15" customHeight="1" thickBot="1">
      <c r="B17" s="809" t="s">
        <v>272</v>
      </c>
      <c r="C17" s="259">
        <f>+'[8]WP-6 P2'!D41</f>
        <v>0.6</v>
      </c>
      <c r="D17" s="259">
        <f>E17/C17</f>
        <v>0.30726262193552517</v>
      </c>
      <c r="E17" s="259">
        <f>E18-E16</f>
        <v>0.1843575731613151</v>
      </c>
      <c r="F17" s="254"/>
      <c r="G17" s="254"/>
      <c r="H17" s="263">
        <f>I17/I18</f>
        <v>0.57245777287761856</v>
      </c>
      <c r="I17" s="798">
        <f>[17]WCI!$H$47</f>
        <v>649024</v>
      </c>
      <c r="J17" s="264"/>
    </row>
    <row r="18" spans="1:14" ht="15" customHeight="1">
      <c r="B18" s="254"/>
      <c r="C18" s="254"/>
      <c r="D18" s="254"/>
      <c r="E18" s="262">
        <f>E27</f>
        <v>0.20835757316131509</v>
      </c>
      <c r="F18" s="254"/>
      <c r="G18" s="254"/>
      <c r="H18" s="264"/>
      <c r="I18" s="801">
        <f>SUM(I16:I17)</f>
        <v>1133750</v>
      </c>
      <c r="J18" s="797" t="s">
        <v>210</v>
      </c>
      <c r="K18" s="264"/>
      <c r="L18" s="264"/>
      <c r="M18" s="264"/>
      <c r="N18" s="264"/>
    </row>
    <row r="19" spans="1:14" ht="15" customHeight="1">
      <c r="B19" s="254"/>
      <c r="C19" s="254"/>
      <c r="D19" s="254"/>
      <c r="E19" s="800"/>
      <c r="F19" s="254"/>
      <c r="G19" s="254"/>
    </row>
    <row r="20" spans="1:14" ht="15" customHeight="1">
      <c r="B20" s="265" t="s">
        <v>13</v>
      </c>
      <c r="C20" s="266">
        <f>D17</f>
        <v>0.30726262193552517</v>
      </c>
      <c r="D20" s="254"/>
      <c r="E20" s="254"/>
      <c r="F20" s="254"/>
      <c r="G20" s="254"/>
    </row>
    <row r="21" spans="1:14" ht="15" customHeight="1">
      <c r="A21" s="256" t="s">
        <v>280</v>
      </c>
      <c r="B21" s="254"/>
      <c r="C21" s="254"/>
      <c r="D21" s="254"/>
      <c r="E21" s="254"/>
      <c r="F21" s="254"/>
      <c r="G21" s="254"/>
    </row>
    <row r="22" spans="1:14" ht="15" customHeight="1">
      <c r="A22" s="242">
        <v>1</v>
      </c>
      <c r="B22" s="254"/>
      <c r="C22" s="254"/>
      <c r="D22" s="254"/>
      <c r="E22" s="252"/>
      <c r="F22" s="254"/>
      <c r="G22" s="254"/>
    </row>
    <row r="23" spans="1:14" ht="15" customHeight="1">
      <c r="A23" s="242">
        <v>2</v>
      </c>
      <c r="B23" s="254" t="s">
        <v>281</v>
      </c>
      <c r="C23" s="254"/>
      <c r="D23" s="254"/>
      <c r="E23" s="252">
        <f>'[8]WP-6 - CapitalStructure'!$E$22</f>
        <v>458089.0748516568</v>
      </c>
      <c r="F23" s="254"/>
      <c r="G23" s="254"/>
    </row>
    <row r="24" spans="1:14" ht="15" customHeight="1">
      <c r="A24" s="242">
        <v>3</v>
      </c>
      <c r="B24" s="254" t="s">
        <v>282</v>
      </c>
      <c r="C24" s="254"/>
      <c r="D24" s="254"/>
      <c r="E24" s="252">
        <f>-E33</f>
        <v>-138541.36224956333</v>
      </c>
      <c r="F24" s="254"/>
      <c r="G24" s="254"/>
      <c r="J24" s="264"/>
      <c r="K24" s="264"/>
      <c r="L24" s="267"/>
      <c r="M24" s="267"/>
      <c r="N24" s="267"/>
    </row>
    <row r="25" spans="1:14" ht="15" customHeight="1">
      <c r="A25" s="242">
        <v>4</v>
      </c>
      <c r="B25" s="254" t="s">
        <v>283</v>
      </c>
      <c r="C25" s="254"/>
      <c r="D25" s="254"/>
      <c r="E25" s="252">
        <f>E24+E23</f>
        <v>319547.71260209347</v>
      </c>
      <c r="F25" s="254"/>
      <c r="G25" s="254"/>
      <c r="H25" s="264"/>
      <c r="I25" s="799"/>
    </row>
    <row r="26" spans="1:14" ht="15" customHeight="1">
      <c r="A26" s="242">
        <v>5</v>
      </c>
      <c r="B26" s="254" t="s">
        <v>284</v>
      </c>
      <c r="C26" s="254"/>
      <c r="D26" s="254"/>
      <c r="E26" s="252">
        <f>+'[8]WP-2 - Summary Depn'!R26</f>
        <v>1533650.5784442618</v>
      </c>
      <c r="F26" s="254"/>
      <c r="G26" s="254"/>
    </row>
    <row r="27" spans="1:14" ht="15" customHeight="1">
      <c r="B27" s="254" t="s">
        <v>285</v>
      </c>
      <c r="C27" s="254"/>
      <c r="D27" s="254"/>
      <c r="E27" s="268">
        <f>E25/E26</f>
        <v>0.20835757316131509</v>
      </c>
      <c r="F27" s="254"/>
      <c r="G27" s="254"/>
    </row>
    <row r="28" spans="1:14" ht="15" customHeight="1">
      <c r="D28" s="254"/>
      <c r="E28" s="252"/>
      <c r="F28" s="254"/>
      <c r="G28" s="254"/>
    </row>
    <row r="29" spans="1:14" ht="15" customHeight="1">
      <c r="A29" s="242">
        <v>6</v>
      </c>
      <c r="B29" s="242" t="s">
        <v>281</v>
      </c>
      <c r="E29" s="251">
        <f>E23</f>
        <v>458089.0748516568</v>
      </c>
      <c r="G29" s="254"/>
    </row>
    <row r="30" spans="1:14" ht="15" customHeight="1">
      <c r="A30" s="242">
        <v>7</v>
      </c>
      <c r="B30" s="242" t="s">
        <v>286</v>
      </c>
      <c r="E30" s="251">
        <f>+F12</f>
        <v>50614.479999999996</v>
      </c>
    </row>
    <row r="31" spans="1:14" ht="15" customHeight="1">
      <c r="A31" s="242">
        <v>8</v>
      </c>
      <c r="B31" s="242" t="s">
        <v>287</v>
      </c>
      <c r="E31" s="251">
        <f>E29-E30</f>
        <v>407474.59485165682</v>
      </c>
    </row>
    <row r="32" spans="1:14" ht="15" customHeight="1">
      <c r="A32" s="242">
        <v>9</v>
      </c>
      <c r="B32" s="242" t="s">
        <v>57</v>
      </c>
      <c r="E32" s="269">
        <v>0.34</v>
      </c>
    </row>
    <row r="33" spans="2:9" ht="15" customHeight="1">
      <c r="B33" s="242" t="s">
        <v>288</v>
      </c>
      <c r="E33" s="251">
        <f>E31*E32</f>
        <v>138541.36224956333</v>
      </c>
    </row>
    <row r="34" spans="2:9" ht="15" customHeight="1">
      <c r="C34" s="270"/>
    </row>
    <row r="35" spans="2:9" ht="15" customHeight="1" thickBot="1">
      <c r="B35" s="256" t="s">
        <v>289</v>
      </c>
      <c r="I35" s="274"/>
    </row>
    <row r="36" spans="2:9" ht="15" customHeight="1" thickBot="1">
      <c r="B36" s="271" t="s">
        <v>69</v>
      </c>
      <c r="C36" s="272">
        <f>E36+G36</f>
        <v>5.2500000000000005E-2</v>
      </c>
      <c r="D36" s="271" t="s">
        <v>290</v>
      </c>
      <c r="E36" s="273">
        <v>3.2500000000000001E-2</v>
      </c>
      <c r="F36" s="271" t="s">
        <v>291</v>
      </c>
      <c r="G36" s="273">
        <v>0.02</v>
      </c>
      <c r="H36" s="802">
        <f>H38/H37</f>
        <v>1.9263392867558474E-2</v>
      </c>
      <c r="I36" s="274"/>
    </row>
    <row r="37" spans="2:9" ht="15" customHeight="1">
      <c r="B37" s="271"/>
      <c r="C37" s="272"/>
      <c r="D37" s="271"/>
      <c r="E37" s="273"/>
      <c r="F37" s="803" t="s">
        <v>708</v>
      </c>
      <c r="G37" s="804" t="s">
        <v>279</v>
      </c>
      <c r="H37" s="807">
        <f>[17]HB!$H$41</f>
        <v>15001511</v>
      </c>
      <c r="I37" s="274"/>
    </row>
    <row r="38" spans="2:9" ht="15" customHeight="1" thickBot="1">
      <c r="B38" s="271" t="s">
        <v>292</v>
      </c>
      <c r="C38" s="275">
        <v>4.2750000000000002E-3</v>
      </c>
      <c r="D38" s="271" t="s">
        <v>293</v>
      </c>
      <c r="E38" s="264"/>
      <c r="F38" s="805"/>
      <c r="G38" s="806" t="s">
        <v>707</v>
      </c>
      <c r="H38" s="808">
        <f>[17]HB!$G$50</f>
        <v>288980</v>
      </c>
    </row>
    <row r="39" spans="2:9" ht="15" customHeight="1">
      <c r="B39" s="271" t="s">
        <v>294</v>
      </c>
      <c r="C39" s="272">
        <v>0.34</v>
      </c>
      <c r="D39" s="264"/>
      <c r="E39" s="276"/>
      <c r="F39" s="267"/>
      <c r="G39" s="267"/>
    </row>
    <row r="40" spans="2:9" ht="15" customHeight="1">
      <c r="B40" s="271" t="s">
        <v>295</v>
      </c>
      <c r="C40" s="272">
        <f>'[8]Schedule 6 Lurito-Gallagher'!$C$32</f>
        <v>1.0232097162482485E-2</v>
      </c>
      <c r="D40" s="264"/>
      <c r="E40" s="267"/>
      <c r="F40" s="267"/>
      <c r="G40" s="267"/>
    </row>
    <row r="41" spans="2:9" ht="15" customHeight="1"/>
    <row r="42" spans="2:9" ht="15" customHeight="1"/>
    <row r="43" spans="2:9" ht="15" customHeight="1"/>
    <row r="44" spans="2:9" ht="15" customHeight="1"/>
    <row r="45" spans="2:9" ht="15" customHeight="1"/>
    <row r="46" spans="2:9" ht="15" customHeight="1"/>
    <row r="47" spans="2:9" ht="15" customHeight="1"/>
    <row r="48" spans="2: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</sheetData>
  <mergeCells count="3">
    <mergeCell ref="A1:H1"/>
    <mergeCell ref="A3:H3"/>
    <mergeCell ref="A5:H5"/>
  </mergeCells>
  <pageMargins left="0.5" right="0.5" top="0.75" bottom="0.5" header="0" footer="0.25"/>
  <pageSetup scale="80" fitToHeight="0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33"/>
  <sheetViews>
    <sheetView topLeftCell="A21" workbookViewId="0">
      <selection activeCell="K40" sqref="K40"/>
    </sheetView>
  </sheetViews>
  <sheetFormatPr defaultRowHeight="15.75"/>
  <cols>
    <col min="1" max="1" width="26" style="479" customWidth="1"/>
    <col min="2" max="4" width="7.5546875" style="479" bestFit="1" customWidth="1"/>
    <col min="5" max="5" width="8.109375" style="479" customWidth="1"/>
    <col min="6" max="6" width="8.6640625" style="479" customWidth="1"/>
    <col min="7" max="7" width="8.21875" style="479" bestFit="1" customWidth="1"/>
    <col min="8" max="8" width="9.6640625" style="479" customWidth="1"/>
    <col min="9" max="9" width="8.88671875" style="479" customWidth="1"/>
    <col min="10" max="10" width="9.44140625" style="479" customWidth="1"/>
    <col min="11" max="11" width="12.6640625" style="479" customWidth="1"/>
    <col min="12" max="12" width="8.44140625" style="479" bestFit="1" customWidth="1"/>
    <col min="13" max="13" width="9.109375" style="479" customWidth="1"/>
    <col min="14" max="14" width="1.5546875" style="479" customWidth="1"/>
    <col min="15" max="15" width="9.77734375" style="479" customWidth="1"/>
    <col min="16" max="17" width="8.88671875" style="479"/>
    <col min="18" max="18" width="9.5546875" style="479" bestFit="1" customWidth="1"/>
    <col min="19" max="16384" width="8.88671875" style="479"/>
  </cols>
  <sheetData>
    <row r="1" spans="1:21">
      <c r="A1" s="939" t="str">
        <f>+'Schedule 4, R-6G pg 2'!A1:G1</f>
        <v>WASTE CONTROL, INC.</v>
      </c>
      <c r="B1" s="940"/>
      <c r="C1" s="940"/>
      <c r="D1" s="940"/>
      <c r="E1" s="940"/>
      <c r="F1" s="940"/>
      <c r="G1" s="940"/>
    </row>
    <row r="2" spans="1:2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1">
      <c r="A3" s="940" t="s">
        <v>595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1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1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 t="s">
        <v>596</v>
      </c>
      <c r="J5" s="509" t="s">
        <v>597</v>
      </c>
      <c r="K5" s="509"/>
      <c r="L5" s="508" t="s">
        <v>598</v>
      </c>
      <c r="M5" s="508"/>
    </row>
    <row r="6" spans="1:21">
      <c r="A6" s="479" t="s">
        <v>599</v>
      </c>
    </row>
    <row r="8" spans="1:21">
      <c r="B8" s="633">
        <v>2012</v>
      </c>
      <c r="C8" s="633">
        <v>2012</v>
      </c>
      <c r="D8" s="633">
        <v>2012</v>
      </c>
      <c r="E8" s="633">
        <v>2012</v>
      </c>
      <c r="F8" s="633">
        <v>2012</v>
      </c>
      <c r="G8" s="633">
        <v>2012</v>
      </c>
      <c r="H8" s="633">
        <v>2013</v>
      </c>
      <c r="I8" s="633">
        <v>2013</v>
      </c>
      <c r="J8" s="633">
        <v>2013</v>
      </c>
      <c r="K8" s="633">
        <v>2013</v>
      </c>
      <c r="L8" s="633">
        <v>2013</v>
      </c>
      <c r="M8" s="633">
        <v>2013</v>
      </c>
    </row>
    <row r="9" spans="1:21">
      <c r="A9" s="634"/>
      <c r="B9" s="635" t="s">
        <v>596</v>
      </c>
      <c r="C9" s="635" t="s">
        <v>600</v>
      </c>
      <c r="D9" s="635" t="s">
        <v>601</v>
      </c>
      <c r="E9" s="635" t="s">
        <v>602</v>
      </c>
      <c r="F9" s="635" t="s">
        <v>603</v>
      </c>
      <c r="G9" s="635" t="s">
        <v>604</v>
      </c>
      <c r="H9" s="635" t="s">
        <v>605</v>
      </c>
      <c r="I9" s="635" t="s">
        <v>606</v>
      </c>
      <c r="J9" s="635" t="s">
        <v>607</v>
      </c>
      <c r="K9" s="635" t="s">
        <v>608</v>
      </c>
      <c r="L9" s="635" t="s">
        <v>609</v>
      </c>
      <c r="M9" s="635" t="s">
        <v>610</v>
      </c>
      <c r="O9" s="635" t="s">
        <v>611</v>
      </c>
      <c r="R9" s="636" t="s">
        <v>111</v>
      </c>
      <c r="S9" s="636" t="s">
        <v>612</v>
      </c>
      <c r="T9" s="636"/>
      <c r="U9" s="636"/>
    </row>
    <row r="10" spans="1:21">
      <c r="A10" s="637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O10" s="638"/>
      <c r="R10" s="639">
        <f>O16</f>
        <v>11446.360000000002</v>
      </c>
      <c r="S10" s="640">
        <f>SUM(O12:O15)</f>
        <v>15400.870000000003</v>
      </c>
      <c r="T10" s="969" t="s">
        <v>613</v>
      </c>
      <c r="U10" s="969"/>
    </row>
    <row r="11" spans="1:21" ht="15" customHeight="1"/>
    <row r="12" spans="1:21">
      <c r="A12" s="641" t="s">
        <v>614</v>
      </c>
      <c r="B12">
        <f>1070.04-61.91</f>
        <v>1008.13</v>
      </c>
      <c r="C12">
        <f>1086.89-46.99</f>
        <v>1039.9000000000001</v>
      </c>
      <c r="D12">
        <f>979.4-45.54</f>
        <v>933.86</v>
      </c>
      <c r="E12">
        <f>1048.79-56.82</f>
        <v>991.96999999999991</v>
      </c>
      <c r="F12">
        <f>1037.5-47.27</f>
        <v>990.23</v>
      </c>
      <c r="G12">
        <f>799.6-53.58</f>
        <v>746.02</v>
      </c>
      <c r="H12">
        <f>1006.17-43.08</f>
        <v>963.08999999999992</v>
      </c>
      <c r="I12">
        <f>911.07-40.28</f>
        <v>870.79000000000008</v>
      </c>
      <c r="J12">
        <f>915.22-42.18</f>
        <v>873.04000000000008</v>
      </c>
      <c r="K12">
        <f>1040.12-65</f>
        <v>975.11999999999989</v>
      </c>
      <c r="L12">
        <f>1073.99-46.84</f>
        <v>1027.1500000000001</v>
      </c>
      <c r="M12">
        <f>1004.39-44.78</f>
        <v>959.61</v>
      </c>
      <c r="O12" s="642">
        <f>SUM(B12:N12)</f>
        <v>11378.910000000002</v>
      </c>
    </row>
    <row r="13" spans="1:21">
      <c r="A13" s="641" t="s">
        <v>615</v>
      </c>
      <c r="B13">
        <f>+B20-B15</f>
        <v>252.17099999999999</v>
      </c>
      <c r="C13">
        <f t="shared" ref="C13:M13" si="0">+C20-C15</f>
        <v>246.34800000000001</v>
      </c>
      <c r="D13">
        <f t="shared" si="0"/>
        <v>201.47400000000002</v>
      </c>
      <c r="E13">
        <f t="shared" si="0"/>
        <v>292.37400000000002</v>
      </c>
      <c r="F13">
        <f t="shared" si="0"/>
        <v>309.05099999999999</v>
      </c>
      <c r="G13">
        <f t="shared" si="0"/>
        <v>275.04900000000004</v>
      </c>
      <c r="H13">
        <f t="shared" si="0"/>
        <v>237.71699999999998</v>
      </c>
      <c r="I13">
        <f t="shared" si="0"/>
        <v>174.411</v>
      </c>
      <c r="J13">
        <f t="shared" si="0"/>
        <v>242.74800000000002</v>
      </c>
      <c r="K13">
        <f t="shared" si="0"/>
        <v>255.51900000000001</v>
      </c>
      <c r="L13">
        <f t="shared" si="0"/>
        <v>316.18799999999999</v>
      </c>
      <c r="M13">
        <f t="shared" si="0"/>
        <v>281.87099999999998</v>
      </c>
      <c r="O13" s="642">
        <f>SUM(B13:N13)</f>
        <v>3084.9210000000003</v>
      </c>
    </row>
    <row r="14" spans="1:21">
      <c r="A14" s="641" t="s">
        <v>616</v>
      </c>
      <c r="B14">
        <v>61.91</v>
      </c>
      <c r="C14">
        <v>46.99</v>
      </c>
      <c r="D14">
        <v>45.54</v>
      </c>
      <c r="E14">
        <v>56.82</v>
      </c>
      <c r="F14">
        <v>47.27</v>
      </c>
      <c r="G14">
        <v>53.58</v>
      </c>
      <c r="H14">
        <v>43.08</v>
      </c>
      <c r="I14">
        <v>40.28</v>
      </c>
      <c r="J14">
        <v>42.18</v>
      </c>
      <c r="K14">
        <v>65</v>
      </c>
      <c r="L14">
        <v>46.84</v>
      </c>
      <c r="M14">
        <v>44.78</v>
      </c>
      <c r="O14" s="642">
        <f>SUM(B14:N14)</f>
        <v>594.26999999999987</v>
      </c>
    </row>
    <row r="15" spans="1:21">
      <c r="A15" s="643" t="s">
        <v>617</v>
      </c>
      <c r="B15" s="552">
        <f>+B20*0.1</f>
        <v>28.019000000000002</v>
      </c>
      <c r="C15" s="552">
        <f t="shared" ref="C15:M15" si="1">+C20*0.1</f>
        <v>27.372000000000003</v>
      </c>
      <c r="D15" s="552">
        <f t="shared" si="1"/>
        <v>22.386000000000003</v>
      </c>
      <c r="E15" s="552">
        <f t="shared" si="1"/>
        <v>32.486000000000004</v>
      </c>
      <c r="F15" s="552">
        <f t="shared" si="1"/>
        <v>34.338999999999999</v>
      </c>
      <c r="G15" s="552">
        <f t="shared" si="1"/>
        <v>30.561000000000003</v>
      </c>
      <c r="H15" s="552">
        <f t="shared" si="1"/>
        <v>26.413</v>
      </c>
      <c r="I15" s="552">
        <f t="shared" si="1"/>
        <v>19.379000000000001</v>
      </c>
      <c r="J15" s="552">
        <f t="shared" si="1"/>
        <v>26.972000000000005</v>
      </c>
      <c r="K15" s="552">
        <f t="shared" si="1"/>
        <v>28.391000000000005</v>
      </c>
      <c r="L15" s="552">
        <f t="shared" si="1"/>
        <v>35.131999999999998</v>
      </c>
      <c r="M15" s="552">
        <f t="shared" si="1"/>
        <v>31.319000000000003</v>
      </c>
      <c r="O15" s="642">
        <f>SUM(B15:N15)</f>
        <v>342.76900000000006</v>
      </c>
      <c r="P15" s="479" t="s">
        <v>618</v>
      </c>
    </row>
    <row r="16" spans="1:21">
      <c r="A16" s="641" t="s">
        <v>619</v>
      </c>
      <c r="B16" s="479">
        <v>1186.83</v>
      </c>
      <c r="C16" s="479">
        <v>976.35</v>
      </c>
      <c r="D16" s="479">
        <v>769.24</v>
      </c>
      <c r="E16" s="644">
        <v>1094.5999999999999</v>
      </c>
      <c r="F16" s="644">
        <v>877.3</v>
      </c>
      <c r="G16" s="644">
        <v>948.3</v>
      </c>
      <c r="H16" s="644">
        <v>1020.3</v>
      </c>
      <c r="I16" s="644">
        <v>882.48</v>
      </c>
      <c r="J16" s="644">
        <v>911.11</v>
      </c>
      <c r="K16" s="644">
        <v>723.7</v>
      </c>
      <c r="L16" s="644">
        <v>1025.96</v>
      </c>
      <c r="M16" s="644">
        <v>1030.19</v>
      </c>
      <c r="O16" s="645">
        <f>SUM(B16:M16)</f>
        <v>11446.360000000002</v>
      </c>
    </row>
    <row r="17" spans="1:17">
      <c r="A17" s="646"/>
      <c r="B17" s="634"/>
      <c r="C17" s="634"/>
      <c r="D17" s="634"/>
      <c r="E17" s="634"/>
      <c r="F17" s="647"/>
      <c r="G17" s="647"/>
      <c r="H17" s="647"/>
      <c r="I17" s="647"/>
      <c r="J17" s="647"/>
      <c r="K17" s="647"/>
      <c r="L17" s="647"/>
      <c r="M17" s="647"/>
      <c r="O17" s="648"/>
    </row>
    <row r="18" spans="1:17">
      <c r="A18" s="641" t="s">
        <v>620</v>
      </c>
      <c r="B18" s="649">
        <f>SUM(B12:B17)</f>
        <v>2537.06</v>
      </c>
      <c r="C18" s="649">
        <f t="shared" ref="C18:O18" si="2">SUM(C12:C17)</f>
        <v>2336.96</v>
      </c>
      <c r="D18" s="649">
        <f t="shared" si="2"/>
        <v>1972.5</v>
      </c>
      <c r="E18" s="649">
        <f t="shared" si="2"/>
        <v>2468.25</v>
      </c>
      <c r="F18" s="649">
        <f t="shared" si="2"/>
        <v>2258.1899999999996</v>
      </c>
      <c r="G18" s="649">
        <f t="shared" si="2"/>
        <v>2053.5099999999998</v>
      </c>
      <c r="H18" s="649">
        <f t="shared" si="2"/>
        <v>2290.5999999999995</v>
      </c>
      <c r="I18" s="649">
        <f t="shared" si="2"/>
        <v>1987.34</v>
      </c>
      <c r="J18" s="649">
        <f t="shared" si="2"/>
        <v>2096.0500000000002</v>
      </c>
      <c r="K18" s="649">
        <f t="shared" si="2"/>
        <v>2047.73</v>
      </c>
      <c r="L18" s="649">
        <f t="shared" si="2"/>
        <v>2451.2700000000004</v>
      </c>
      <c r="M18" s="649">
        <f t="shared" si="2"/>
        <v>2347.77</v>
      </c>
      <c r="N18" s="649"/>
      <c r="O18" s="649">
        <f t="shared" si="2"/>
        <v>26847.230000000003</v>
      </c>
    </row>
    <row r="19" spans="1:17">
      <c r="A19" s="641"/>
      <c r="F19" s="644"/>
      <c r="G19" s="644"/>
      <c r="H19" s="644"/>
      <c r="I19" s="644"/>
      <c r="J19" s="644"/>
      <c r="K19" s="644"/>
      <c r="L19" s="644"/>
      <c r="M19" s="644"/>
    </row>
    <row r="20" spans="1:17">
      <c r="A20" s="479" t="s">
        <v>621</v>
      </c>
      <c r="B20" s="479">
        <v>280.19</v>
      </c>
      <c r="C20" s="479">
        <v>273.72000000000003</v>
      </c>
      <c r="D20" s="479">
        <v>223.86</v>
      </c>
      <c r="E20" s="479">
        <v>324.86</v>
      </c>
      <c r="F20" s="479">
        <v>343.39</v>
      </c>
      <c r="G20" s="479">
        <v>305.61</v>
      </c>
      <c r="H20" s="479">
        <v>264.13</v>
      </c>
      <c r="I20" s="479">
        <v>193.79</v>
      </c>
      <c r="J20" s="479">
        <v>269.72000000000003</v>
      </c>
      <c r="K20" s="479">
        <v>283.91000000000003</v>
      </c>
      <c r="L20" s="479">
        <v>351.32</v>
      </c>
      <c r="M20" s="479">
        <v>313.19</v>
      </c>
      <c r="O20" s="479">
        <f>SUM(B20:N20)</f>
        <v>3427.6900000000005</v>
      </c>
    </row>
    <row r="21" spans="1:17">
      <c r="A21" s="479" t="s">
        <v>259</v>
      </c>
    </row>
    <row r="22" spans="1:17">
      <c r="A22" s="650" t="s">
        <v>622</v>
      </c>
      <c r="B22" s="650"/>
    </row>
    <row r="23" spans="1:17">
      <c r="M23" s="651" t="s">
        <v>217</v>
      </c>
      <c r="P23" s="651"/>
      <c r="Q23" s="651"/>
    </row>
    <row r="24" spans="1:17">
      <c r="M24" s="652">
        <v>37.299999999999997</v>
      </c>
      <c r="O24" s="651" t="s">
        <v>427</v>
      </c>
      <c r="Q24" s="651"/>
    </row>
    <row r="25" spans="1:17">
      <c r="A25" s="479" t="s">
        <v>623</v>
      </c>
      <c r="M25" s="652">
        <v>49</v>
      </c>
      <c r="O25" s="651" t="s">
        <v>624</v>
      </c>
      <c r="Q25" s="651"/>
    </row>
    <row r="26" spans="1:17">
      <c r="A26" s="479" t="s">
        <v>625</v>
      </c>
      <c r="M26" s="653">
        <f>M25-M24</f>
        <v>11.700000000000003</v>
      </c>
      <c r="O26" s="651" t="s">
        <v>230</v>
      </c>
      <c r="Q26" s="651"/>
    </row>
    <row r="27" spans="1:17">
      <c r="M27" s="653"/>
      <c r="O27" s="651"/>
      <c r="Q27" s="651"/>
    </row>
    <row r="28" spans="1:17">
      <c r="A28" s="479" t="s">
        <v>626</v>
      </c>
      <c r="M28" s="653"/>
      <c r="O28" s="651"/>
      <c r="Q28" s="651"/>
    </row>
    <row r="29" spans="1:17">
      <c r="M29" s="654">
        <f>M26/M24</f>
        <v>0.31367292225201082</v>
      </c>
      <c r="O29" s="651" t="s">
        <v>627</v>
      </c>
      <c r="Q29" s="651"/>
    </row>
    <row r="30" spans="1:17" ht="15.75" customHeight="1">
      <c r="A30" s="970" t="s">
        <v>628</v>
      </c>
      <c r="B30" s="970"/>
      <c r="C30" s="970"/>
      <c r="D30" s="970"/>
      <c r="E30" s="970"/>
      <c r="F30" s="970"/>
      <c r="G30" s="970"/>
      <c r="H30" s="970"/>
      <c r="I30" s="970"/>
      <c r="J30" s="970"/>
      <c r="O30" s="651"/>
      <c r="P30" s="651"/>
      <c r="Q30" s="651"/>
    </row>
    <row r="31" spans="1:17">
      <c r="A31" s="970"/>
      <c r="B31" s="970"/>
      <c r="C31" s="970"/>
      <c r="D31" s="970"/>
      <c r="E31" s="970"/>
      <c r="F31" s="970"/>
      <c r="G31" s="970"/>
      <c r="H31" s="970"/>
      <c r="I31" s="970"/>
      <c r="J31" s="970"/>
    </row>
    <row r="32" spans="1:17">
      <c r="A32" s="655"/>
      <c r="B32" s="655"/>
      <c r="C32" s="655"/>
      <c r="D32" s="655"/>
      <c r="E32" s="507"/>
      <c r="F32" s="507"/>
      <c r="G32" s="507"/>
      <c r="H32" s="507"/>
      <c r="I32" s="507"/>
      <c r="J32" s="507"/>
    </row>
    <row r="33" spans="1:23">
      <c r="A33" s="479" t="s">
        <v>629</v>
      </c>
    </row>
    <row r="34" spans="1:23">
      <c r="I34" s="651" t="s">
        <v>65</v>
      </c>
      <c r="Q34" s="636" t="s">
        <v>7</v>
      </c>
    </row>
    <row r="35" spans="1:23" ht="16.5" thickBot="1">
      <c r="A35" s="968" t="s">
        <v>630</v>
      </c>
      <c r="B35" s="968"/>
      <c r="C35" s="968"/>
      <c r="D35" s="968"/>
      <c r="E35" s="968"/>
      <c r="F35" s="968"/>
      <c r="I35" s="651" t="s">
        <v>631</v>
      </c>
      <c r="Q35" s="636" t="s">
        <v>631</v>
      </c>
      <c r="R35" s="636"/>
      <c r="S35" s="636"/>
      <c r="T35" s="636"/>
      <c r="U35" s="636"/>
      <c r="V35" s="636"/>
      <c r="W35" s="636"/>
    </row>
    <row r="36" spans="1:23">
      <c r="A36" s="635" t="s">
        <v>632</v>
      </c>
      <c r="B36" s="635" t="s">
        <v>633</v>
      </c>
      <c r="C36" s="635" t="s">
        <v>634</v>
      </c>
      <c r="D36" s="635" t="s">
        <v>210</v>
      </c>
      <c r="E36" s="635" t="s">
        <v>635</v>
      </c>
      <c r="F36" s="635" t="s">
        <v>210</v>
      </c>
      <c r="I36" s="656"/>
      <c r="J36" s="657" t="s">
        <v>636</v>
      </c>
      <c r="K36" s="658">
        <f>'Schedule 1 Results of Operation'!C38+'Schedule 1 Results of Operation'!C39</f>
        <v>576667.37000000011</v>
      </c>
      <c r="L36" s="657"/>
      <c r="M36" s="659"/>
      <c r="N36" s="651"/>
      <c r="O36" s="651"/>
      <c r="Q36" s="660"/>
      <c r="R36" s="661" t="s">
        <v>636</v>
      </c>
      <c r="S36" s="662">
        <f>K36</f>
        <v>576667.37000000011</v>
      </c>
      <c r="T36" s="663" t="s">
        <v>637</v>
      </c>
      <c r="U36" s="664" t="s">
        <v>67</v>
      </c>
      <c r="V36" s="636"/>
      <c r="W36" s="636"/>
    </row>
    <row r="37" spans="1:23">
      <c r="A37" s="665">
        <v>41092</v>
      </c>
      <c r="B37" s="666">
        <v>7.32</v>
      </c>
      <c r="C37" s="666">
        <v>5.34</v>
      </c>
      <c r="D37" s="666">
        <f>SUM(B37:C37)</f>
        <v>12.66</v>
      </c>
      <c r="E37" s="641"/>
      <c r="I37" s="667" t="s">
        <v>638</v>
      </c>
      <c r="J37" s="668" t="s">
        <v>639</v>
      </c>
      <c r="K37" s="669">
        <f>M24</f>
        <v>37.299999999999997</v>
      </c>
      <c r="L37" s="668"/>
      <c r="M37" s="670"/>
      <c r="N37" s="651"/>
      <c r="O37" s="651"/>
      <c r="Q37" s="671" t="s">
        <v>638</v>
      </c>
      <c r="R37" s="672" t="s">
        <v>639</v>
      </c>
      <c r="S37" s="673">
        <f>M24</f>
        <v>37.299999999999997</v>
      </c>
      <c r="T37" s="672"/>
      <c r="U37" s="674"/>
      <c r="V37" s="636"/>
      <c r="W37" s="636"/>
    </row>
    <row r="38" spans="1:23" ht="16.5" thickBot="1">
      <c r="A38" s="665">
        <f>+A37+7</f>
        <v>41099</v>
      </c>
      <c r="B38" s="666">
        <v>7.41</v>
      </c>
      <c r="C38" s="666">
        <v>5.49</v>
      </c>
      <c r="D38" s="666">
        <f t="shared" ref="D38:D88" si="3">SUM(B38:C38)</f>
        <v>12.9</v>
      </c>
      <c r="E38" s="641"/>
      <c r="I38" s="667"/>
      <c r="J38" s="668" t="s">
        <v>640</v>
      </c>
      <c r="K38" s="669">
        <f>K36/K37</f>
        <v>15460.251206434321</v>
      </c>
      <c r="L38" s="668"/>
      <c r="M38" s="670"/>
      <c r="N38" s="651"/>
      <c r="O38" s="651"/>
      <c r="Q38" s="671"/>
      <c r="R38" s="672" t="s">
        <v>640</v>
      </c>
      <c r="S38" s="673">
        <f>S36/S37</f>
        <v>15460.251206434321</v>
      </c>
      <c r="T38" s="675">
        <f>S10</f>
        <v>15400.870000000003</v>
      </c>
      <c r="U38" s="676">
        <f>T38-S38</f>
        <v>-59.381206434318301</v>
      </c>
      <c r="V38" s="636"/>
      <c r="W38" s="636"/>
    </row>
    <row r="39" spans="1:23" ht="16.5" thickTop="1">
      <c r="A39" s="665">
        <f t="shared" ref="A39:A88" si="4">+A38+7</f>
        <v>41106</v>
      </c>
      <c r="B39" s="666">
        <v>6.82</v>
      </c>
      <c r="C39" s="666">
        <v>5.17</v>
      </c>
      <c r="D39" s="666">
        <f t="shared" si="3"/>
        <v>11.99</v>
      </c>
      <c r="E39" s="641"/>
      <c r="I39" s="667"/>
      <c r="J39" s="668"/>
      <c r="K39" s="668"/>
      <c r="L39" s="668"/>
      <c r="M39" s="670"/>
      <c r="N39" s="651"/>
      <c r="O39" s="651"/>
      <c r="Q39" s="671"/>
      <c r="R39" s="672"/>
      <c r="S39" s="672"/>
      <c r="T39" s="672"/>
      <c r="U39" s="677">
        <f>U38*S37</f>
        <v>-2214.9190000000726</v>
      </c>
      <c r="V39" s="636" t="s">
        <v>641</v>
      </c>
      <c r="W39" s="636"/>
    </row>
    <row r="40" spans="1:23">
      <c r="A40" s="665">
        <f t="shared" si="4"/>
        <v>41113</v>
      </c>
      <c r="B40" s="666">
        <v>9.4</v>
      </c>
      <c r="C40" s="666">
        <v>3.23</v>
      </c>
      <c r="D40" s="666">
        <f t="shared" si="3"/>
        <v>12.63</v>
      </c>
      <c r="E40" s="641"/>
      <c r="I40" s="667"/>
      <c r="J40" s="668"/>
      <c r="K40" s="668" t="s">
        <v>642</v>
      </c>
      <c r="L40" s="668" t="s">
        <v>308</v>
      </c>
      <c r="M40" s="670"/>
      <c r="N40" s="651"/>
      <c r="O40" s="651"/>
      <c r="Q40" s="671"/>
      <c r="R40" s="672" t="s">
        <v>642</v>
      </c>
      <c r="S40" s="672" t="s">
        <v>308</v>
      </c>
      <c r="T40" s="637"/>
      <c r="U40" s="678">
        <f>U39/S36</f>
        <v>-3.8408953154399428E-3</v>
      </c>
      <c r="V40" s="636"/>
      <c r="W40" s="636"/>
    </row>
    <row r="41" spans="1:23">
      <c r="A41" s="665">
        <f t="shared" si="4"/>
        <v>41120</v>
      </c>
      <c r="B41" s="666">
        <v>8.82</v>
      </c>
      <c r="C41" s="666">
        <v>2.91</v>
      </c>
      <c r="D41" s="666">
        <f t="shared" si="3"/>
        <v>11.73</v>
      </c>
      <c r="E41" s="641" t="s">
        <v>643</v>
      </c>
      <c r="F41" s="679">
        <f>SUM(D37:D41)</f>
        <v>61.910000000000011</v>
      </c>
      <c r="I41" s="667"/>
      <c r="J41" s="668" t="s">
        <v>640</v>
      </c>
      <c r="K41" s="669">
        <f>+K38-L41</f>
        <v>14523.21220643432</v>
      </c>
      <c r="L41" s="669">
        <f>+O14+O15</f>
        <v>937.03899999999999</v>
      </c>
      <c r="M41" s="670"/>
      <c r="N41" s="651"/>
      <c r="O41" s="651"/>
      <c r="Q41" s="671" t="s">
        <v>640</v>
      </c>
      <c r="R41" s="680">
        <f>'[19]Calculated Tons'!$C$158</f>
        <v>13893.370816886854</v>
      </c>
      <c r="S41" s="680">
        <f>S38-R41</f>
        <v>1566.8803895474666</v>
      </c>
      <c r="T41" s="637"/>
      <c r="U41" s="674"/>
      <c r="V41" s="636"/>
      <c r="W41" s="636"/>
    </row>
    <row r="42" spans="1:23" ht="16.5" thickBot="1">
      <c r="A42" s="665">
        <f t="shared" si="4"/>
        <v>41127</v>
      </c>
      <c r="B42" s="666">
        <v>11.89</v>
      </c>
      <c r="C42" s="666">
        <v>0</v>
      </c>
      <c r="D42" s="666">
        <f t="shared" si="3"/>
        <v>11.89</v>
      </c>
      <c r="E42" s="641"/>
      <c r="I42" s="667"/>
      <c r="J42" s="681" t="s">
        <v>644</v>
      </c>
      <c r="K42" s="682">
        <f>K41*M24</f>
        <v>541715.81530000013</v>
      </c>
      <c r="L42" s="683">
        <f>L41*M24</f>
        <v>34951.554699999993</v>
      </c>
      <c r="M42" s="670"/>
      <c r="N42" s="651"/>
      <c r="O42" s="651"/>
      <c r="Q42" s="684" t="s">
        <v>644</v>
      </c>
      <c r="R42" s="685">
        <f>R41*S37</f>
        <v>518222.73146987963</v>
      </c>
      <c r="S42" s="686">
        <f>S41*S37</f>
        <v>58444.638530120501</v>
      </c>
      <c r="T42" s="687"/>
      <c r="U42" s="674"/>
      <c r="V42" s="636"/>
      <c r="W42" s="636"/>
    </row>
    <row r="43" spans="1:23" ht="17.25" thickTop="1" thickBot="1">
      <c r="A43" s="665">
        <f t="shared" si="4"/>
        <v>41134</v>
      </c>
      <c r="B43" s="666">
        <v>6.74</v>
      </c>
      <c r="C43" s="666">
        <v>5.31</v>
      </c>
      <c r="D43" s="666">
        <f t="shared" si="3"/>
        <v>12.05</v>
      </c>
      <c r="E43" s="641"/>
      <c r="I43" s="688"/>
      <c r="J43" s="689"/>
      <c r="K43" s="689"/>
      <c r="L43" s="689"/>
      <c r="M43" s="690"/>
      <c r="N43" s="651"/>
      <c r="O43" s="651"/>
      <c r="Q43" s="691" t="s">
        <v>100</v>
      </c>
      <c r="R43" s="692">
        <f>L42-S42</f>
        <v>-23493.083830120508</v>
      </c>
      <c r="S43" s="693"/>
      <c r="T43" s="693"/>
      <c r="U43" s="694"/>
      <c r="V43" s="636"/>
      <c r="W43" s="636"/>
    </row>
    <row r="44" spans="1:23">
      <c r="A44" s="665">
        <f t="shared" si="4"/>
        <v>41141</v>
      </c>
      <c r="B44" s="666">
        <v>8.8000000000000007</v>
      </c>
      <c r="C44" s="666">
        <v>2.99</v>
      </c>
      <c r="D44" s="666">
        <f t="shared" si="3"/>
        <v>11.790000000000001</v>
      </c>
      <c r="E44" s="641"/>
      <c r="I44" s="651"/>
      <c r="J44" s="651"/>
      <c r="K44" s="651"/>
      <c r="L44" s="651"/>
      <c r="M44" s="651"/>
      <c r="N44" s="651"/>
      <c r="O44" s="651"/>
      <c r="Q44" s="636"/>
      <c r="R44" s="636"/>
      <c r="S44" s="636"/>
      <c r="T44" s="636"/>
      <c r="U44" s="636"/>
      <c r="V44" s="636"/>
      <c r="W44" s="636"/>
    </row>
    <row r="45" spans="1:23">
      <c r="A45" s="665">
        <f t="shared" si="4"/>
        <v>41148</v>
      </c>
      <c r="B45" s="666">
        <v>6.23</v>
      </c>
      <c r="C45" s="666">
        <v>5.03</v>
      </c>
      <c r="D45" s="666">
        <f t="shared" si="3"/>
        <v>11.260000000000002</v>
      </c>
      <c r="E45" s="641" t="s">
        <v>645</v>
      </c>
      <c r="F45" s="679">
        <f>SUM(D42:D45)</f>
        <v>46.990000000000009</v>
      </c>
      <c r="I45" s="651"/>
      <c r="J45" s="651"/>
      <c r="K45" s="651"/>
      <c r="L45" s="651"/>
      <c r="M45" s="651"/>
      <c r="N45" s="651"/>
      <c r="O45" s="651"/>
      <c r="Q45" s="636"/>
      <c r="R45" s="636"/>
      <c r="S45" s="636"/>
      <c r="T45" s="636"/>
      <c r="U45" s="636"/>
      <c r="V45" s="636"/>
      <c r="W45" s="636"/>
    </row>
    <row r="46" spans="1:23">
      <c r="A46" s="665">
        <f t="shared" si="4"/>
        <v>41155</v>
      </c>
      <c r="B46" s="666">
        <v>10.84</v>
      </c>
      <c r="C46" s="666">
        <v>0</v>
      </c>
      <c r="D46" s="666">
        <f t="shared" si="3"/>
        <v>10.84</v>
      </c>
      <c r="E46" s="641"/>
      <c r="I46" s="636"/>
    </row>
    <row r="47" spans="1:23">
      <c r="A47" s="665">
        <f t="shared" si="4"/>
        <v>41162</v>
      </c>
      <c r="B47" s="666">
        <v>12.37</v>
      </c>
      <c r="C47" s="666">
        <v>0</v>
      </c>
      <c r="D47" s="666">
        <f t="shared" si="3"/>
        <v>12.37</v>
      </c>
      <c r="E47" s="641"/>
      <c r="I47" s="636"/>
    </row>
    <row r="48" spans="1:23">
      <c r="A48" s="665">
        <f t="shared" si="4"/>
        <v>41169</v>
      </c>
      <c r="B48" s="666">
        <v>11.2</v>
      </c>
      <c r="C48" s="666">
        <v>0</v>
      </c>
      <c r="D48" s="666">
        <f t="shared" si="3"/>
        <v>11.2</v>
      </c>
      <c r="E48" s="641"/>
      <c r="I48" s="636"/>
    </row>
    <row r="49" spans="1:23">
      <c r="A49" s="665">
        <f t="shared" si="4"/>
        <v>41176</v>
      </c>
      <c r="B49" s="666">
        <v>11.13</v>
      </c>
      <c r="C49" s="666">
        <v>0</v>
      </c>
      <c r="D49" s="666">
        <f t="shared" si="3"/>
        <v>11.13</v>
      </c>
      <c r="E49" s="641" t="s">
        <v>647</v>
      </c>
      <c r="F49" s="679">
        <f>SUM(D46:D49)</f>
        <v>45.54</v>
      </c>
      <c r="I49" s="636"/>
    </row>
    <row r="50" spans="1:23">
      <c r="A50" s="665">
        <f t="shared" si="4"/>
        <v>41183</v>
      </c>
      <c r="B50" s="666">
        <v>10.99</v>
      </c>
      <c r="C50" s="666">
        <v>0</v>
      </c>
      <c r="D50" s="666">
        <f t="shared" si="3"/>
        <v>10.99</v>
      </c>
      <c r="E50" s="641"/>
      <c r="I50" s="636"/>
    </row>
    <row r="51" spans="1:23">
      <c r="A51" s="665">
        <f t="shared" si="4"/>
        <v>41190</v>
      </c>
      <c r="B51" s="666">
        <v>10.88</v>
      </c>
      <c r="C51" s="666">
        <v>0</v>
      </c>
      <c r="D51" s="666">
        <f t="shared" si="3"/>
        <v>10.88</v>
      </c>
      <c r="E51" s="641"/>
      <c r="I51" s="636"/>
    </row>
    <row r="52" spans="1:23">
      <c r="A52" s="665">
        <f t="shared" si="4"/>
        <v>41197</v>
      </c>
      <c r="B52" s="666">
        <v>10.83</v>
      </c>
      <c r="C52" s="666">
        <v>0</v>
      </c>
      <c r="D52" s="666">
        <f t="shared" si="3"/>
        <v>10.83</v>
      </c>
      <c r="E52" s="641"/>
      <c r="I52" s="636"/>
    </row>
    <row r="53" spans="1:23">
      <c r="A53" s="665">
        <f t="shared" si="4"/>
        <v>41204</v>
      </c>
      <c r="B53" s="666">
        <v>8.1999999999999993</v>
      </c>
      <c r="C53" s="666">
        <v>5.24</v>
      </c>
      <c r="D53" s="666">
        <f t="shared" si="3"/>
        <v>13.44</v>
      </c>
      <c r="E53" s="641"/>
      <c r="I53" s="636"/>
    </row>
    <row r="54" spans="1:23">
      <c r="A54" s="665">
        <f t="shared" si="4"/>
        <v>41211</v>
      </c>
      <c r="B54" s="666">
        <v>10.68</v>
      </c>
      <c r="C54" s="666">
        <v>0</v>
      </c>
      <c r="D54" s="666">
        <f t="shared" si="3"/>
        <v>10.68</v>
      </c>
      <c r="E54" s="641" t="s">
        <v>648</v>
      </c>
      <c r="F54" s="679">
        <f>SUM(D50:D54)</f>
        <v>56.82</v>
      </c>
      <c r="I54" s="636"/>
    </row>
    <row r="55" spans="1:23">
      <c r="A55" s="665">
        <f t="shared" si="4"/>
        <v>41218</v>
      </c>
      <c r="B55" s="666">
        <v>7.1</v>
      </c>
      <c r="C55" s="666">
        <v>6.39</v>
      </c>
      <c r="D55" s="666">
        <f t="shared" si="3"/>
        <v>13.489999999999998</v>
      </c>
      <c r="E55" s="641"/>
      <c r="I55" s="636"/>
    </row>
    <row r="56" spans="1:23">
      <c r="A56" s="665">
        <f t="shared" si="4"/>
        <v>41225</v>
      </c>
      <c r="B56" s="666">
        <v>7.56</v>
      </c>
      <c r="C56" s="666">
        <v>0</v>
      </c>
      <c r="D56" s="666">
        <f t="shared" si="3"/>
        <v>7.56</v>
      </c>
      <c r="E56" s="641"/>
      <c r="Q56" s="636"/>
      <c r="R56" s="636"/>
      <c r="S56" s="636"/>
      <c r="T56" s="636"/>
      <c r="U56" s="636"/>
      <c r="V56" s="636"/>
      <c r="W56" s="636"/>
    </row>
    <row r="57" spans="1:23">
      <c r="A57" s="665">
        <f t="shared" si="4"/>
        <v>41232</v>
      </c>
      <c r="B57" s="666">
        <v>6.9</v>
      </c>
      <c r="C57" s="666">
        <v>5.81</v>
      </c>
      <c r="D57" s="666">
        <f t="shared" si="3"/>
        <v>12.71</v>
      </c>
      <c r="E57" s="641"/>
      <c r="Q57" s="636"/>
      <c r="R57" s="636"/>
      <c r="S57" s="636"/>
      <c r="T57" s="636"/>
      <c r="U57" s="636"/>
      <c r="V57" s="636"/>
      <c r="W57" s="636"/>
    </row>
    <row r="58" spans="1:23">
      <c r="A58" s="665">
        <f t="shared" si="4"/>
        <v>41239</v>
      </c>
      <c r="B58" s="666">
        <v>7.58</v>
      </c>
      <c r="C58" s="666">
        <v>5.93</v>
      </c>
      <c r="D58" s="666">
        <f t="shared" si="3"/>
        <v>13.51</v>
      </c>
      <c r="E58" s="641" t="s">
        <v>649</v>
      </c>
      <c r="F58" s="679">
        <f>SUM(D55:D58)</f>
        <v>47.269999999999996</v>
      </c>
      <c r="Q58" s="636"/>
      <c r="R58" s="636"/>
      <c r="S58" s="636"/>
      <c r="T58" s="636"/>
      <c r="U58" s="636"/>
      <c r="V58" s="636"/>
      <c r="W58" s="636"/>
    </row>
    <row r="59" spans="1:23">
      <c r="A59" s="665">
        <f t="shared" si="4"/>
        <v>41246</v>
      </c>
      <c r="B59" s="666">
        <v>10.62</v>
      </c>
      <c r="C59" s="666">
        <v>0</v>
      </c>
      <c r="D59" s="666">
        <f t="shared" si="3"/>
        <v>10.62</v>
      </c>
      <c r="E59" s="641"/>
      <c r="Q59" s="636"/>
      <c r="R59" s="636"/>
      <c r="S59" s="636"/>
      <c r="T59" s="636"/>
      <c r="U59" s="636"/>
      <c r="V59" s="636"/>
      <c r="W59" s="636"/>
    </row>
    <row r="60" spans="1:23">
      <c r="A60" s="665">
        <f t="shared" si="4"/>
        <v>41253</v>
      </c>
      <c r="B60" s="666">
        <v>10.49</v>
      </c>
      <c r="C60" s="666">
        <v>0</v>
      </c>
      <c r="D60" s="666">
        <f t="shared" si="3"/>
        <v>10.49</v>
      </c>
      <c r="E60" s="641"/>
      <c r="Q60" s="636"/>
      <c r="R60" s="636"/>
      <c r="S60" s="636"/>
      <c r="T60" s="636"/>
      <c r="U60" s="636"/>
      <c r="V60" s="636"/>
      <c r="W60" s="636"/>
    </row>
    <row r="61" spans="1:23">
      <c r="A61" s="665">
        <f t="shared" si="4"/>
        <v>41260</v>
      </c>
      <c r="B61" s="666">
        <v>9.9499999999999993</v>
      </c>
      <c r="C61" s="666">
        <v>0</v>
      </c>
      <c r="D61" s="666">
        <f t="shared" si="3"/>
        <v>9.9499999999999993</v>
      </c>
      <c r="E61" s="641"/>
      <c r="Q61" s="636"/>
      <c r="R61" s="636"/>
      <c r="S61" s="636"/>
      <c r="T61" s="636"/>
      <c r="U61" s="636"/>
      <c r="V61" s="636"/>
      <c r="W61" s="636"/>
    </row>
    <row r="62" spans="1:23">
      <c r="A62" s="665">
        <f t="shared" si="4"/>
        <v>41267</v>
      </c>
      <c r="B62" s="666">
        <v>10.75</v>
      </c>
      <c r="C62" s="666">
        <v>0</v>
      </c>
      <c r="D62" s="666">
        <f t="shared" si="3"/>
        <v>10.75</v>
      </c>
      <c r="E62" s="641"/>
      <c r="Q62" s="636"/>
      <c r="R62" s="636"/>
      <c r="S62" s="636"/>
      <c r="T62" s="636"/>
      <c r="U62" s="636"/>
      <c r="V62" s="636"/>
      <c r="W62" s="636"/>
    </row>
    <row r="63" spans="1:23">
      <c r="A63" s="665">
        <f t="shared" si="4"/>
        <v>41274</v>
      </c>
      <c r="B63" s="666">
        <v>8.8699999999999992</v>
      </c>
      <c r="C63" s="666">
        <v>2.9</v>
      </c>
      <c r="D63" s="666">
        <f t="shared" si="3"/>
        <v>11.77</v>
      </c>
      <c r="E63" s="641" t="s">
        <v>650</v>
      </c>
      <c r="F63" s="679">
        <f>SUM(D59:D63)</f>
        <v>53.58</v>
      </c>
      <c r="Q63" s="636"/>
      <c r="R63" s="636"/>
      <c r="S63" s="636"/>
      <c r="T63" s="636"/>
      <c r="U63" s="636"/>
      <c r="V63" s="636"/>
      <c r="W63" s="636"/>
    </row>
    <row r="64" spans="1:23">
      <c r="A64" s="665">
        <f t="shared" si="4"/>
        <v>41281</v>
      </c>
      <c r="B64" s="666">
        <v>9.35</v>
      </c>
      <c r="C64" s="666">
        <v>3.38</v>
      </c>
      <c r="D64" s="666">
        <f t="shared" si="3"/>
        <v>12.73</v>
      </c>
      <c r="E64" s="641"/>
      <c r="Q64" s="636"/>
      <c r="R64" s="636"/>
      <c r="S64" s="636"/>
      <c r="T64" s="636"/>
      <c r="U64" s="636"/>
      <c r="V64" s="636"/>
      <c r="W64" s="636"/>
    </row>
    <row r="65" spans="1:23">
      <c r="A65" s="665">
        <f t="shared" si="4"/>
        <v>41288</v>
      </c>
      <c r="B65" s="666">
        <v>10</v>
      </c>
      <c r="C65" s="666">
        <v>0</v>
      </c>
      <c r="D65" s="666">
        <f t="shared" si="3"/>
        <v>10</v>
      </c>
      <c r="E65" s="641"/>
      <c r="Q65" s="636"/>
      <c r="R65" s="636"/>
      <c r="S65" s="636"/>
      <c r="T65" s="636"/>
      <c r="U65" s="636"/>
      <c r="V65" s="636"/>
      <c r="W65" s="636"/>
    </row>
    <row r="66" spans="1:23">
      <c r="A66" s="665">
        <f t="shared" si="4"/>
        <v>41295</v>
      </c>
      <c r="B66" s="666">
        <v>10.130000000000001</v>
      </c>
      <c r="C66" s="666">
        <v>0</v>
      </c>
      <c r="D66" s="666">
        <f t="shared" si="3"/>
        <v>10.130000000000001</v>
      </c>
      <c r="E66" s="641"/>
      <c r="Q66" s="636"/>
      <c r="R66" s="636"/>
      <c r="S66" s="636"/>
      <c r="T66" s="636"/>
      <c r="U66" s="636"/>
      <c r="V66" s="636"/>
      <c r="W66" s="636"/>
    </row>
    <row r="67" spans="1:23">
      <c r="A67" s="665">
        <f t="shared" si="4"/>
        <v>41302</v>
      </c>
      <c r="B67" s="666">
        <v>10.220000000000001</v>
      </c>
      <c r="C67" s="666">
        <v>0</v>
      </c>
      <c r="D67" s="666">
        <f t="shared" si="3"/>
        <v>10.220000000000001</v>
      </c>
      <c r="E67" s="641" t="s">
        <v>651</v>
      </c>
      <c r="F67" s="679">
        <f>SUM(D64:D67)</f>
        <v>43.08</v>
      </c>
      <c r="Q67" s="636"/>
      <c r="R67" s="636"/>
      <c r="S67" s="636"/>
      <c r="T67" s="636"/>
      <c r="U67" s="636"/>
      <c r="V67" s="636"/>
      <c r="W67" s="636"/>
    </row>
    <row r="68" spans="1:23">
      <c r="A68" s="665">
        <f t="shared" si="4"/>
        <v>41309</v>
      </c>
      <c r="B68" s="666">
        <v>10.15</v>
      </c>
      <c r="C68" s="666">
        <v>0</v>
      </c>
      <c r="D68" s="666">
        <f t="shared" si="3"/>
        <v>10.15</v>
      </c>
      <c r="E68" s="641"/>
      <c r="Q68" s="636"/>
      <c r="R68" s="636"/>
      <c r="S68" s="636"/>
      <c r="T68" s="636"/>
      <c r="U68" s="636"/>
      <c r="V68" s="636"/>
      <c r="W68" s="636"/>
    </row>
    <row r="69" spans="1:23">
      <c r="A69" s="665">
        <f t="shared" si="4"/>
        <v>41316</v>
      </c>
      <c r="B69" s="666">
        <v>10.39</v>
      </c>
      <c r="C69" s="666">
        <v>0</v>
      </c>
      <c r="D69" s="666">
        <f t="shared" si="3"/>
        <v>10.39</v>
      </c>
      <c r="E69" s="641"/>
      <c r="Q69" s="636"/>
      <c r="R69" s="636"/>
      <c r="S69" s="636"/>
      <c r="T69" s="636"/>
      <c r="U69" s="636"/>
      <c r="V69" s="636"/>
      <c r="W69" s="636"/>
    </row>
    <row r="70" spans="1:23">
      <c r="A70" s="665">
        <f t="shared" si="4"/>
        <v>41323</v>
      </c>
      <c r="B70" s="666">
        <v>10.130000000000001</v>
      </c>
      <c r="C70" s="666">
        <v>0</v>
      </c>
      <c r="D70" s="666">
        <f t="shared" si="3"/>
        <v>10.130000000000001</v>
      </c>
      <c r="E70" s="641"/>
      <c r="Q70" s="636"/>
      <c r="R70" s="636"/>
      <c r="S70" s="636"/>
      <c r="T70" s="636"/>
      <c r="U70" s="636"/>
      <c r="V70" s="636"/>
      <c r="W70" s="636"/>
    </row>
    <row r="71" spans="1:23">
      <c r="A71" s="665">
        <f t="shared" si="4"/>
        <v>41330</v>
      </c>
      <c r="B71" s="666">
        <v>9.61</v>
      </c>
      <c r="C71" s="666">
        <v>0</v>
      </c>
      <c r="D71" s="666">
        <f t="shared" si="3"/>
        <v>9.61</v>
      </c>
      <c r="E71" s="641" t="s">
        <v>652</v>
      </c>
      <c r="F71" s="679">
        <f>SUM(D68:D71)</f>
        <v>40.28</v>
      </c>
      <c r="Q71" s="636"/>
      <c r="R71" s="636"/>
      <c r="S71" s="636"/>
      <c r="T71" s="636"/>
      <c r="U71" s="636"/>
      <c r="V71" s="636"/>
      <c r="W71" s="636"/>
    </row>
    <row r="72" spans="1:23">
      <c r="A72" s="665">
        <f t="shared" si="4"/>
        <v>41337</v>
      </c>
      <c r="B72" s="666">
        <v>10.1</v>
      </c>
      <c r="C72" s="666">
        <v>0</v>
      </c>
      <c r="D72" s="666">
        <f t="shared" si="3"/>
        <v>10.1</v>
      </c>
      <c r="E72" s="641"/>
      <c r="Q72" s="636"/>
      <c r="R72" s="636"/>
      <c r="S72" s="636"/>
      <c r="T72" s="636"/>
      <c r="U72" s="636"/>
      <c r="V72" s="636"/>
      <c r="W72" s="636"/>
    </row>
    <row r="73" spans="1:23">
      <c r="A73" s="665">
        <f t="shared" si="4"/>
        <v>41344</v>
      </c>
      <c r="B73" s="666">
        <v>9.9499999999999993</v>
      </c>
      <c r="C73" s="666">
        <v>0</v>
      </c>
      <c r="D73" s="666">
        <f t="shared" si="3"/>
        <v>9.9499999999999993</v>
      </c>
      <c r="E73" s="641"/>
      <c r="Q73" s="636"/>
      <c r="R73" s="636"/>
      <c r="S73" s="636"/>
      <c r="T73" s="636"/>
      <c r="U73" s="636"/>
      <c r="V73" s="636"/>
      <c r="W73" s="636"/>
    </row>
    <row r="74" spans="1:23">
      <c r="A74" s="665">
        <f t="shared" si="4"/>
        <v>41351</v>
      </c>
      <c r="B74" s="666">
        <v>10.99</v>
      </c>
      <c r="C74" s="666">
        <v>0</v>
      </c>
      <c r="D74" s="666">
        <f t="shared" si="3"/>
        <v>10.99</v>
      </c>
      <c r="E74" s="641"/>
      <c r="Q74" s="636"/>
      <c r="R74" s="636"/>
      <c r="S74" s="636"/>
      <c r="T74" s="636"/>
      <c r="U74" s="636"/>
      <c r="V74" s="636"/>
      <c r="W74" s="636"/>
    </row>
    <row r="75" spans="1:23">
      <c r="A75" s="665">
        <f t="shared" si="4"/>
        <v>41358</v>
      </c>
      <c r="B75" s="666">
        <v>11.14</v>
      </c>
      <c r="C75" s="666">
        <v>0</v>
      </c>
      <c r="D75" s="666">
        <f t="shared" si="3"/>
        <v>11.14</v>
      </c>
      <c r="E75" s="641" t="s">
        <v>607</v>
      </c>
      <c r="F75" s="679">
        <f>SUM(D72:D75)</f>
        <v>42.18</v>
      </c>
      <c r="Q75" s="636"/>
      <c r="R75" s="636"/>
      <c r="S75" s="636"/>
      <c r="T75" s="636"/>
      <c r="U75" s="636"/>
      <c r="V75" s="636"/>
      <c r="W75" s="636"/>
    </row>
    <row r="76" spans="1:23">
      <c r="A76" s="665">
        <f t="shared" si="4"/>
        <v>41365</v>
      </c>
      <c r="B76" s="666">
        <v>9.16</v>
      </c>
      <c r="C76" s="666">
        <v>3.18</v>
      </c>
      <c r="D76" s="666">
        <f t="shared" si="3"/>
        <v>12.34</v>
      </c>
      <c r="E76" s="641"/>
      <c r="Q76" s="636"/>
      <c r="R76" s="636"/>
      <c r="S76" s="636"/>
      <c r="T76" s="636"/>
      <c r="U76" s="636"/>
      <c r="V76" s="636"/>
      <c r="W76" s="636"/>
    </row>
    <row r="77" spans="1:23">
      <c r="A77" s="665">
        <f t="shared" si="4"/>
        <v>41372</v>
      </c>
      <c r="B77" s="666">
        <v>6.79</v>
      </c>
      <c r="C77" s="666">
        <v>5.7</v>
      </c>
      <c r="D77" s="666">
        <f t="shared" si="3"/>
        <v>12.49</v>
      </c>
      <c r="E77" s="641"/>
      <c r="Q77" s="636"/>
      <c r="R77" s="636"/>
      <c r="S77" s="636"/>
      <c r="T77" s="636"/>
      <c r="U77" s="636"/>
      <c r="V77" s="636"/>
      <c r="W77" s="636"/>
    </row>
    <row r="78" spans="1:23">
      <c r="A78" s="665">
        <f t="shared" si="4"/>
        <v>41379</v>
      </c>
      <c r="B78" s="666">
        <v>10.67</v>
      </c>
      <c r="C78" s="666">
        <v>0</v>
      </c>
      <c r="D78" s="666">
        <f t="shared" si="3"/>
        <v>10.67</v>
      </c>
      <c r="E78" s="641"/>
      <c r="Q78" s="636"/>
      <c r="R78" s="636"/>
      <c r="S78" s="636"/>
      <c r="T78" s="636"/>
      <c r="U78" s="636"/>
      <c r="V78" s="636"/>
      <c r="W78" s="636"/>
    </row>
    <row r="79" spans="1:23">
      <c r="A79" s="665">
        <f t="shared" si="4"/>
        <v>41386</v>
      </c>
      <c r="B79" s="666">
        <v>8.9700000000000006</v>
      </c>
      <c r="C79" s="666">
        <v>2.66</v>
      </c>
      <c r="D79" s="666">
        <f t="shared" si="3"/>
        <v>11.63</v>
      </c>
      <c r="E79" s="641"/>
      <c r="Q79" s="636"/>
      <c r="R79" s="636"/>
      <c r="S79" s="636"/>
      <c r="T79" s="636"/>
      <c r="U79" s="636"/>
      <c r="V79" s="636"/>
      <c r="W79" s="636"/>
    </row>
    <row r="80" spans="1:23">
      <c r="A80" s="665">
        <f t="shared" si="4"/>
        <v>41393</v>
      </c>
      <c r="B80" s="666">
        <v>7.6</v>
      </c>
      <c r="C80" s="666">
        <v>5.35</v>
      </c>
      <c r="D80" s="666">
        <f t="shared" si="3"/>
        <v>12.95</v>
      </c>
      <c r="E80" s="641" t="s">
        <v>608</v>
      </c>
      <c r="F80" s="679">
        <f>SUM(D76:D80)</f>
        <v>60.08</v>
      </c>
      <c r="Q80" s="636"/>
      <c r="R80" s="636"/>
      <c r="S80" s="636"/>
      <c r="T80" s="636"/>
      <c r="U80" s="636"/>
      <c r="V80" s="636"/>
      <c r="W80" s="636"/>
    </row>
    <row r="81" spans="1:23">
      <c r="A81" s="665">
        <f t="shared" si="4"/>
        <v>41400</v>
      </c>
      <c r="B81" s="666">
        <v>6.98</v>
      </c>
      <c r="C81" s="666">
        <v>5.46</v>
      </c>
      <c r="D81" s="666">
        <f t="shared" si="3"/>
        <v>12.440000000000001</v>
      </c>
      <c r="E81" s="641"/>
      <c r="Q81" s="636"/>
      <c r="R81" s="636"/>
      <c r="S81" s="636"/>
      <c r="T81" s="636"/>
      <c r="U81" s="636"/>
      <c r="V81" s="636"/>
      <c r="W81" s="636"/>
    </row>
    <row r="82" spans="1:23">
      <c r="A82" s="665">
        <f t="shared" si="4"/>
        <v>41407</v>
      </c>
      <c r="B82" s="666">
        <v>6.81</v>
      </c>
      <c r="C82" s="666">
        <v>4.67</v>
      </c>
      <c r="D82" s="666">
        <f t="shared" si="3"/>
        <v>11.48</v>
      </c>
      <c r="E82" s="641"/>
      <c r="Q82" s="636"/>
      <c r="R82" s="636"/>
      <c r="S82" s="636"/>
      <c r="T82" s="636"/>
      <c r="U82" s="636"/>
      <c r="V82" s="636"/>
      <c r="W82" s="636"/>
    </row>
    <row r="83" spans="1:23">
      <c r="A83" s="665">
        <f t="shared" si="4"/>
        <v>41414</v>
      </c>
      <c r="B83" s="666">
        <v>7.01</v>
      </c>
      <c r="C83" s="666">
        <v>5.17</v>
      </c>
      <c r="D83" s="666">
        <f t="shared" si="3"/>
        <v>12.18</v>
      </c>
      <c r="E83" s="641"/>
      <c r="Q83" s="636"/>
      <c r="R83" s="636"/>
      <c r="S83" s="636"/>
      <c r="T83" s="636"/>
      <c r="U83" s="636"/>
      <c r="V83" s="636"/>
      <c r="W83" s="636"/>
    </row>
    <row r="84" spans="1:23">
      <c r="A84" s="665">
        <f t="shared" si="4"/>
        <v>41421</v>
      </c>
      <c r="B84" s="666">
        <v>10.74</v>
      </c>
      <c r="C84" s="666">
        <v>0</v>
      </c>
      <c r="D84" s="666">
        <f t="shared" si="3"/>
        <v>10.74</v>
      </c>
      <c r="E84" s="641" t="s">
        <v>609</v>
      </c>
      <c r="F84" s="679">
        <f>SUM(D81:D84)</f>
        <v>46.84</v>
      </c>
    </row>
    <row r="85" spans="1:23">
      <c r="A85" s="665">
        <f t="shared" si="4"/>
        <v>41428</v>
      </c>
      <c r="B85" s="666">
        <v>7.49</v>
      </c>
      <c r="C85" s="666">
        <v>5.95</v>
      </c>
      <c r="D85" s="666">
        <f t="shared" si="3"/>
        <v>13.440000000000001</v>
      </c>
      <c r="E85" s="641"/>
    </row>
    <row r="86" spans="1:23">
      <c r="A86" s="665">
        <f t="shared" si="4"/>
        <v>41435</v>
      </c>
      <c r="B86" s="666">
        <v>7.63</v>
      </c>
      <c r="C86" s="666">
        <v>5.31</v>
      </c>
      <c r="D86" s="666">
        <f t="shared" si="3"/>
        <v>12.94</v>
      </c>
      <c r="E86" s="641"/>
    </row>
    <row r="87" spans="1:23">
      <c r="A87" s="665">
        <f t="shared" si="4"/>
        <v>41442</v>
      </c>
      <c r="B87" s="666">
        <v>6.89</v>
      </c>
      <c r="C87" s="666">
        <v>5.24</v>
      </c>
      <c r="D87" s="666">
        <f t="shared" si="3"/>
        <v>12.129999999999999</v>
      </c>
      <c r="E87" s="641"/>
    </row>
    <row r="88" spans="1:23">
      <c r="A88" s="665">
        <f t="shared" si="4"/>
        <v>41449</v>
      </c>
      <c r="B88" s="666">
        <v>6.57</v>
      </c>
      <c r="C88" s="666">
        <v>5.01</v>
      </c>
      <c r="D88" s="666">
        <f t="shared" si="3"/>
        <v>11.58</v>
      </c>
      <c r="E88" s="641" t="s">
        <v>610</v>
      </c>
      <c r="F88" s="679">
        <f>SUM(D85:D88)</f>
        <v>50.09</v>
      </c>
    </row>
    <row r="89" spans="1:23">
      <c r="A89" s="705"/>
      <c r="B89" s="706">
        <f>SUM(B37:B88)</f>
        <v>475.84000000000015</v>
      </c>
      <c r="C89" s="706">
        <f>SUM(C37:C88)</f>
        <v>118.82000000000001</v>
      </c>
      <c r="D89" s="706">
        <f>SUM(D37:D88)</f>
        <v>594.66000000000008</v>
      </c>
      <c r="F89" s="707">
        <f>SUM(F88,F84,F80,F75,F71,F67,F63,F58,F54,F49,F45,F41)</f>
        <v>594.66</v>
      </c>
      <c r="G89" s="679">
        <f>+D89-F89</f>
        <v>0</v>
      </c>
    </row>
    <row r="90" spans="1:23">
      <c r="C90" s="705"/>
    </row>
    <row r="91" spans="1:23">
      <c r="C91" s="705"/>
      <c r="D91" s="708">
        <f>D89/O18</f>
        <v>2.214977113095094E-2</v>
      </c>
      <c r="E91" s="479" t="s">
        <v>653</v>
      </c>
    </row>
    <row r="92" spans="1:23">
      <c r="C92" s="705"/>
    </row>
    <row r="93" spans="1:23">
      <c r="C93" s="705"/>
    </row>
    <row r="94" spans="1:23">
      <c r="C94" s="705"/>
    </row>
    <row r="95" spans="1:23">
      <c r="C95" s="705"/>
    </row>
    <row r="96" spans="1:23">
      <c r="C96" s="705"/>
    </row>
    <row r="97" spans="3:3">
      <c r="C97" s="705"/>
    </row>
    <row r="98" spans="3:3">
      <c r="C98" s="705"/>
    </row>
    <row r="99" spans="3:3">
      <c r="C99" s="705"/>
    </row>
    <row r="100" spans="3:3">
      <c r="C100" s="705"/>
    </row>
    <row r="101" spans="3:3">
      <c r="C101" s="705"/>
    </row>
    <row r="102" spans="3:3">
      <c r="C102" s="705"/>
    </row>
    <row r="103" spans="3:3">
      <c r="C103" s="705"/>
    </row>
    <row r="104" spans="3:3">
      <c r="C104" s="705"/>
    </row>
    <row r="105" spans="3:3">
      <c r="C105" s="705"/>
    </row>
    <row r="106" spans="3:3">
      <c r="C106" s="705"/>
    </row>
    <row r="107" spans="3:3">
      <c r="C107" s="705"/>
    </row>
    <row r="108" spans="3:3">
      <c r="C108" s="705"/>
    </row>
    <row r="109" spans="3:3">
      <c r="C109" s="705"/>
    </row>
    <row r="110" spans="3:3">
      <c r="C110" s="705"/>
    </row>
    <row r="111" spans="3:3">
      <c r="C111" s="705"/>
    </row>
    <row r="112" spans="3:3">
      <c r="C112" s="705"/>
    </row>
    <row r="113" spans="3:3">
      <c r="C113" s="705"/>
    </row>
    <row r="114" spans="3:3">
      <c r="C114" s="705"/>
    </row>
    <row r="115" spans="3:3">
      <c r="C115" s="705"/>
    </row>
    <row r="116" spans="3:3">
      <c r="C116" s="705"/>
    </row>
    <row r="117" spans="3:3">
      <c r="C117" s="705"/>
    </row>
    <row r="118" spans="3:3">
      <c r="C118" s="705"/>
    </row>
    <row r="119" spans="3:3">
      <c r="C119" s="705"/>
    </row>
    <row r="120" spans="3:3">
      <c r="C120" s="705"/>
    </row>
    <row r="121" spans="3:3">
      <c r="C121" s="705"/>
    </row>
    <row r="122" spans="3:3">
      <c r="C122" s="705"/>
    </row>
    <row r="123" spans="3:3">
      <c r="C123" s="705"/>
    </row>
    <row r="124" spans="3:3">
      <c r="C124" s="705"/>
    </row>
    <row r="125" spans="3:3">
      <c r="C125" s="705"/>
    </row>
    <row r="126" spans="3:3">
      <c r="C126" s="705"/>
    </row>
    <row r="127" spans="3:3">
      <c r="C127" s="705"/>
    </row>
    <row r="128" spans="3:3">
      <c r="C128" s="705"/>
    </row>
    <row r="129" spans="3:3">
      <c r="C129" s="705"/>
    </row>
    <row r="130" spans="3:3">
      <c r="C130" s="705"/>
    </row>
    <row r="131" spans="3:3">
      <c r="C131" s="705"/>
    </row>
    <row r="132" spans="3:3">
      <c r="C132" s="705"/>
    </row>
    <row r="133" spans="3:3">
      <c r="C133" s="705"/>
    </row>
  </sheetData>
  <mergeCells count="6">
    <mergeCell ref="A35:F35"/>
    <mergeCell ref="A1:G1"/>
    <mergeCell ref="A3:G3"/>
    <mergeCell ref="A5:G5"/>
    <mergeCell ref="T10:U10"/>
    <mergeCell ref="A30:J31"/>
  </mergeCells>
  <pageMargins left="0.7" right="0.7" top="0.75" bottom="0.75" header="0.3" footer="0.3"/>
  <pageSetup scale="33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488"/>
  <sheetViews>
    <sheetView topLeftCell="N104" workbookViewId="0">
      <selection activeCell="C137" sqref="C137"/>
    </sheetView>
  </sheetViews>
  <sheetFormatPr defaultRowHeight="15.75" outlineLevelRow="1" outlineLevelCol="1"/>
  <cols>
    <col min="1" max="1" width="12.77734375" style="277" hidden="1" customWidth="1" outlineLevel="1"/>
    <col min="2" max="2" width="9.44140625" style="289" hidden="1" customWidth="1" outlineLevel="1"/>
    <col min="3" max="3" width="11.44140625" style="277" hidden="1" customWidth="1" outlineLevel="1"/>
    <col min="4" max="5" width="6.77734375" style="277" hidden="1" customWidth="1" outlineLevel="1"/>
    <col min="6" max="6" width="8.77734375" style="277" hidden="1" customWidth="1" outlineLevel="1"/>
    <col min="7" max="7" width="9.109375" style="277" hidden="1" customWidth="1" outlineLevel="1"/>
    <col min="8" max="8" width="16.109375" style="277" hidden="1" customWidth="1" outlineLevel="1"/>
    <col min="9" max="9" width="13.33203125" style="277" hidden="1" customWidth="1" outlineLevel="1"/>
    <col min="10" max="13" width="0" style="277" hidden="1" customWidth="1" outlineLevel="1"/>
    <col min="14" max="14" width="8.88671875" style="277" collapsed="1"/>
    <col min="15" max="15" width="10.21875" style="277" customWidth="1"/>
    <col min="16" max="16" width="11" style="277" customWidth="1"/>
    <col min="17" max="16384" width="8.88671875" style="277"/>
  </cols>
  <sheetData>
    <row r="1" spans="1:15" hidden="1" outlineLevel="1">
      <c r="A1" s="972" t="str">
        <f>+'[8]WP-7 - Affiliated '!A1:G1</f>
        <v>Waste Control Inc.</v>
      </c>
      <c r="B1" s="973"/>
      <c r="C1" s="973"/>
      <c r="D1" s="973"/>
      <c r="E1" s="973"/>
      <c r="F1" s="973"/>
      <c r="G1" s="973"/>
      <c r="H1" s="973"/>
    </row>
    <row r="2" spans="1:15" ht="13.5" hidden="1" customHeight="1" outlineLevel="1">
      <c r="A2" s="278"/>
      <c r="B2" s="279"/>
      <c r="C2" s="279"/>
      <c r="E2" s="279"/>
      <c r="H2" s="279"/>
    </row>
    <row r="3" spans="1:15" hidden="1" outlineLevel="1">
      <c r="A3" s="974" t="s">
        <v>296</v>
      </c>
      <c r="B3" s="974"/>
      <c r="C3" s="974"/>
      <c r="D3" s="974"/>
      <c r="E3" s="974"/>
      <c r="F3" s="974"/>
      <c r="G3" s="974"/>
      <c r="H3" s="974"/>
      <c r="I3" s="975" t="s">
        <v>297</v>
      </c>
      <c r="J3" s="975"/>
      <c r="K3" s="975"/>
    </row>
    <row r="4" spans="1:15" hidden="1" outlineLevel="1">
      <c r="A4" s="280"/>
      <c r="B4" s="280"/>
      <c r="C4" s="280"/>
      <c r="D4" s="280"/>
      <c r="E4" s="280"/>
      <c r="F4" s="280"/>
      <c r="G4" s="280"/>
      <c r="H4" s="280"/>
      <c r="I4" s="975"/>
      <c r="J4" s="975"/>
      <c r="K4" s="975"/>
    </row>
    <row r="5" spans="1:15" hidden="1" outlineLevel="1">
      <c r="A5" s="976" t="str">
        <f>+'[8]WP-1 Exp Summary'!A5:D5</f>
        <v>In Support of Tariff No. 16, G-101 Effective June 1, 2014</v>
      </c>
      <c r="B5" s="976"/>
      <c r="C5" s="976"/>
      <c r="D5" s="976"/>
      <c r="E5" s="976"/>
      <c r="F5" s="976"/>
      <c r="G5" s="976"/>
      <c r="H5" s="976"/>
    </row>
    <row r="6" spans="1:15" hidden="1" outlineLevel="1">
      <c r="A6" s="281"/>
      <c r="B6" s="281"/>
      <c r="C6" s="281"/>
      <c r="D6" s="281"/>
      <c r="E6" s="281"/>
      <c r="F6" s="281"/>
      <c r="G6" s="281"/>
      <c r="H6" s="281"/>
      <c r="K6" s="974"/>
      <c r="L6" s="974"/>
      <c r="M6" s="974"/>
      <c r="N6" s="974"/>
    </row>
    <row r="7" spans="1:15" ht="16.5" hidden="1" outlineLevel="1" thickBot="1">
      <c r="B7" s="977" t="s">
        <v>298</v>
      </c>
      <c r="C7" s="977"/>
      <c r="D7" s="977"/>
      <c r="E7" s="279"/>
      <c r="F7" s="277">
        <v>52</v>
      </c>
      <c r="G7" s="277" t="s">
        <v>299</v>
      </c>
      <c r="H7" s="282" t="s">
        <v>298</v>
      </c>
    </row>
    <row r="8" spans="1:15" hidden="1" outlineLevel="1">
      <c r="A8" s="283"/>
      <c r="B8" s="284" t="s">
        <v>300</v>
      </c>
      <c r="C8" s="285" t="s">
        <v>301</v>
      </c>
      <c r="D8" s="285" t="s">
        <v>301</v>
      </c>
      <c r="E8" s="286"/>
      <c r="F8" s="284" t="s">
        <v>302</v>
      </c>
      <c r="G8" s="284"/>
      <c r="H8" s="285" t="s">
        <v>301</v>
      </c>
      <c r="I8" s="286"/>
      <c r="J8" s="978" t="s">
        <v>303</v>
      </c>
      <c r="K8" s="979"/>
      <c r="L8" s="979"/>
      <c r="M8" s="979"/>
      <c r="N8" s="979"/>
      <c r="O8" s="980"/>
    </row>
    <row r="9" spans="1:15" hidden="1" outlineLevel="1">
      <c r="A9" s="287" t="s">
        <v>107</v>
      </c>
      <c r="B9" s="288" t="s">
        <v>304</v>
      </c>
      <c r="C9" s="284" t="s">
        <v>305</v>
      </c>
      <c r="D9" s="284" t="s">
        <v>118</v>
      </c>
      <c r="E9" s="284" t="s">
        <v>210</v>
      </c>
      <c r="F9" s="284" t="s">
        <v>118</v>
      </c>
      <c r="G9" s="284"/>
      <c r="H9" s="284" t="s">
        <v>306</v>
      </c>
      <c r="I9" s="286"/>
      <c r="J9" s="289" t="s">
        <v>93</v>
      </c>
      <c r="K9" s="290">
        <f>B21+C21+H21</f>
        <v>9510</v>
      </c>
      <c r="L9" s="291">
        <f>K9/K11</f>
        <v>0.93676122931442085</v>
      </c>
      <c r="M9" s="290"/>
      <c r="N9" s="290"/>
      <c r="O9" s="292"/>
    </row>
    <row r="10" spans="1:15" hidden="1" outlineLevel="1">
      <c r="A10" s="293" t="s">
        <v>307</v>
      </c>
      <c r="B10" s="294"/>
      <c r="C10" s="293"/>
      <c r="D10" s="294"/>
      <c r="E10" s="293">
        <f>SUM(B10:D10)</f>
        <v>0</v>
      </c>
      <c r="F10" s="295"/>
      <c r="G10" s="295"/>
      <c r="H10" s="293"/>
      <c r="I10" s="286"/>
      <c r="J10" s="289" t="s">
        <v>308</v>
      </c>
      <c r="K10" s="290">
        <f>D21</f>
        <v>642</v>
      </c>
      <c r="L10" s="291">
        <f>K10/K11</f>
        <v>6.323877068557919E-2</v>
      </c>
      <c r="M10" s="290"/>
      <c r="N10" s="290"/>
      <c r="O10" s="296"/>
    </row>
    <row r="11" spans="1:15" hidden="1" outlineLevel="1">
      <c r="A11" s="293" t="s">
        <v>309</v>
      </c>
      <c r="B11" s="294"/>
      <c r="C11" s="293"/>
      <c r="D11" s="294"/>
      <c r="E11" s="293">
        <f t="shared" ref="E11:E16" si="0">SUM(B11:D11)</f>
        <v>0</v>
      </c>
      <c r="F11" s="295"/>
      <c r="G11" s="295"/>
      <c r="H11" s="293"/>
      <c r="I11" s="286"/>
      <c r="J11" s="289" t="s">
        <v>310</v>
      </c>
      <c r="K11" s="290">
        <f>SUM(K9:K10)</f>
        <v>10152</v>
      </c>
      <c r="L11" s="291">
        <f>SUM(L9:L10)</f>
        <v>1</v>
      </c>
      <c r="M11" s="290"/>
      <c r="N11" s="290"/>
      <c r="O11" s="296"/>
    </row>
    <row r="12" spans="1:15" hidden="1" outlineLevel="1">
      <c r="A12" s="293" t="s">
        <v>311</v>
      </c>
      <c r="B12" s="294"/>
      <c r="C12" s="293"/>
      <c r="D12" s="294"/>
      <c r="E12" s="293">
        <f t="shared" si="0"/>
        <v>0</v>
      </c>
      <c r="F12" s="295"/>
      <c r="G12" s="295"/>
      <c r="H12" s="293"/>
      <c r="I12" s="286"/>
      <c r="J12" s="289"/>
      <c r="K12" s="290"/>
      <c r="L12" s="290"/>
      <c r="M12" s="290"/>
      <c r="N12" s="290"/>
      <c r="O12" s="296"/>
    </row>
    <row r="13" spans="1:15" ht="16.5" hidden="1" outlineLevel="1" thickBot="1">
      <c r="A13" s="293" t="s">
        <v>312</v>
      </c>
      <c r="B13" s="294"/>
      <c r="C13" s="293"/>
      <c r="D13" s="294"/>
      <c r="E13" s="293">
        <f t="shared" si="0"/>
        <v>0</v>
      </c>
      <c r="F13" s="295"/>
      <c r="G13" s="295"/>
      <c r="H13" s="293"/>
      <c r="I13" s="286"/>
      <c r="J13" s="297"/>
      <c r="K13" s="298"/>
      <c r="L13" s="299"/>
      <c r="M13" s="298"/>
      <c r="N13" s="298"/>
      <c r="O13" s="300"/>
    </row>
    <row r="14" spans="1:15" hidden="1" outlineLevel="1">
      <c r="A14" s="293" t="s">
        <v>313</v>
      </c>
      <c r="B14" s="294"/>
      <c r="C14" s="293"/>
      <c r="D14" s="294"/>
      <c r="E14" s="293">
        <f t="shared" si="0"/>
        <v>0</v>
      </c>
      <c r="F14" s="295"/>
      <c r="G14" s="295"/>
      <c r="H14" s="293"/>
      <c r="I14" s="286"/>
    </row>
    <row r="15" spans="1:15" hidden="1" outlineLevel="1">
      <c r="A15" s="293" t="s">
        <v>314</v>
      </c>
      <c r="B15" s="294"/>
      <c r="C15" s="293"/>
      <c r="D15" s="294"/>
      <c r="E15" s="293">
        <f t="shared" si="0"/>
        <v>0</v>
      </c>
      <c r="F15" s="295"/>
      <c r="G15" s="295"/>
      <c r="H15" s="293"/>
      <c r="I15" s="286"/>
      <c r="L15" s="277" t="s">
        <v>315</v>
      </c>
    </row>
    <row r="16" spans="1:15" hidden="1" outlineLevel="1">
      <c r="A16" s="293" t="s">
        <v>316</v>
      </c>
      <c r="B16" s="294"/>
      <c r="C16" s="293"/>
      <c r="D16" s="294"/>
      <c r="E16" s="293">
        <f t="shared" si="0"/>
        <v>0</v>
      </c>
      <c r="F16" s="295"/>
      <c r="G16" s="295"/>
      <c r="H16" s="293"/>
      <c r="I16" s="286"/>
      <c r="L16" s="277" t="s">
        <v>317</v>
      </c>
    </row>
    <row r="17" spans="1:14" hidden="1" outlineLevel="1">
      <c r="A17" s="287" t="s">
        <v>318</v>
      </c>
      <c r="B17" s="301"/>
      <c r="C17" s="301"/>
      <c r="D17" s="301"/>
      <c r="E17" s="301">
        <f>SUM(B18:D18)</f>
        <v>1718</v>
      </c>
      <c r="F17" s="287">
        <f>SUM(F18:F20)</f>
        <v>33384</v>
      </c>
      <c r="G17" s="301"/>
      <c r="H17" s="301"/>
      <c r="I17" s="286"/>
      <c r="L17" s="277" t="s">
        <v>319</v>
      </c>
      <c r="M17" s="277" t="s">
        <v>29</v>
      </c>
      <c r="N17" s="277" t="s">
        <v>320</v>
      </c>
    </row>
    <row r="18" spans="1:14" hidden="1" outlineLevel="1">
      <c r="A18" s="293" t="s">
        <v>321</v>
      </c>
      <c r="B18" s="294">
        <v>1388</v>
      </c>
      <c r="C18" s="293">
        <v>94</v>
      </c>
      <c r="D18" s="294">
        <f>275-D90-D111</f>
        <v>236</v>
      </c>
      <c r="E18" s="293">
        <f>SUM(B18:D18)</f>
        <v>1718</v>
      </c>
      <c r="F18" s="295">
        <f>D18*$F$7</f>
        <v>12272</v>
      </c>
      <c r="G18" s="295"/>
      <c r="H18" s="293">
        <v>436</v>
      </c>
      <c r="I18" s="286"/>
      <c r="L18" s="302">
        <v>11.85</v>
      </c>
    </row>
    <row r="19" spans="1:14" hidden="1" outlineLevel="1">
      <c r="A19" s="293" t="s">
        <v>322</v>
      </c>
      <c r="B19" s="294">
        <v>3544</v>
      </c>
      <c r="C19" s="293">
        <v>229</v>
      </c>
      <c r="D19" s="294">
        <f>360-D91-D113</f>
        <v>298</v>
      </c>
      <c r="E19" s="293">
        <f>SUM(B19:D19)</f>
        <v>4071</v>
      </c>
      <c r="F19" s="295">
        <f>D19*$F$7</f>
        <v>15496</v>
      </c>
      <c r="G19" s="295"/>
      <c r="H19" s="293">
        <v>719</v>
      </c>
      <c r="I19" s="286"/>
      <c r="L19" s="302">
        <v>15.4</v>
      </c>
    </row>
    <row r="20" spans="1:14" ht="16.5" hidden="1" customHeight="1" outlineLevel="1">
      <c r="A20" s="303" t="s">
        <v>323</v>
      </c>
      <c r="B20" s="304">
        <v>2608</v>
      </c>
      <c r="C20" s="303">
        <v>151</v>
      </c>
      <c r="D20" s="304">
        <f>154-D93-D114</f>
        <v>108</v>
      </c>
      <c r="E20" s="303">
        <f>SUM(B20:D20)</f>
        <v>2867</v>
      </c>
      <c r="F20" s="295">
        <f>D20*$F$7</f>
        <v>5616</v>
      </c>
      <c r="G20" s="305"/>
      <c r="H20" s="303">
        <v>341</v>
      </c>
      <c r="I20" s="286"/>
      <c r="J20" s="280" t="s">
        <v>210</v>
      </c>
      <c r="L20" s="302">
        <v>20.149999999999999</v>
      </c>
    </row>
    <row r="21" spans="1:14" s="278" customFormat="1" hidden="1" outlineLevel="1">
      <c r="A21" s="306"/>
      <c r="B21" s="306">
        <f>SUM(B18:B20)</f>
        <v>7540</v>
      </c>
      <c r="C21" s="306">
        <f>SUM(C18:C20)</f>
        <v>474</v>
      </c>
      <c r="D21" s="306">
        <f>SUM(D18:D20)</f>
        <v>642</v>
      </c>
      <c r="E21" s="306"/>
      <c r="F21" s="306"/>
      <c r="G21" s="306"/>
      <c r="H21" s="306">
        <f>SUM(H18:H20)</f>
        <v>1496</v>
      </c>
      <c r="I21" s="307"/>
      <c r="J21" s="278">
        <f>SUM(B21:H21)</f>
        <v>10152</v>
      </c>
    </row>
    <row r="22" spans="1:14" s="278" customFormat="1" hidden="1" outlineLevel="1">
      <c r="A22" s="308" t="s">
        <v>320</v>
      </c>
      <c r="B22" s="309"/>
      <c r="C22" s="309"/>
      <c r="D22" s="310">
        <f>'[20]2012 Charge Activity'!$AF$1114</f>
        <v>888</v>
      </c>
      <c r="E22" s="309"/>
      <c r="F22" s="309"/>
      <c r="G22" s="309"/>
      <c r="H22" s="309"/>
      <c r="I22" s="307"/>
    </row>
    <row r="23" spans="1:14" s="278" customFormat="1" hidden="1" outlineLevel="1">
      <c r="A23" s="308" t="s">
        <v>324</v>
      </c>
      <c r="B23" s="309"/>
      <c r="C23" s="309"/>
      <c r="D23" s="310">
        <f>'[20]2012 Charge Activity'!$AJ$1114</f>
        <v>884</v>
      </c>
      <c r="E23" s="309"/>
      <c r="F23" s="309"/>
      <c r="G23" s="309"/>
      <c r="H23" s="309"/>
      <c r="I23" s="307"/>
    </row>
    <row r="24" spans="1:14" s="316" customFormat="1" hidden="1" outlineLevel="1">
      <c r="A24" s="311" t="s">
        <v>325</v>
      </c>
      <c r="B24" s="312">
        <v>6</v>
      </c>
      <c r="C24" s="313"/>
      <c r="D24" s="312"/>
      <c r="E24" s="313">
        <f t="shared" ref="E24:E30" si="1">SUM(B24:D24)</f>
        <v>6</v>
      </c>
      <c r="F24" s="314"/>
      <c r="G24" s="314"/>
      <c r="H24" s="313">
        <v>2</v>
      </c>
      <c r="I24" s="315"/>
    </row>
    <row r="25" spans="1:14" s="316" customFormat="1" hidden="1" outlineLevel="1">
      <c r="A25" s="317" t="s">
        <v>783</v>
      </c>
      <c r="B25" s="318">
        <v>8</v>
      </c>
      <c r="C25" s="317"/>
      <c r="D25" s="318"/>
      <c r="E25" s="317">
        <f t="shared" si="1"/>
        <v>8</v>
      </c>
      <c r="F25" s="319"/>
      <c r="G25" s="319"/>
      <c r="H25" s="317"/>
      <c r="I25" s="315"/>
    </row>
    <row r="26" spans="1:14" s="316" customFormat="1" hidden="1" outlineLevel="1">
      <c r="A26" s="317" t="s">
        <v>326</v>
      </c>
      <c r="B26" s="318"/>
      <c r="C26" s="317"/>
      <c r="D26" s="318"/>
      <c r="E26" s="317">
        <f t="shared" si="1"/>
        <v>0</v>
      </c>
      <c r="F26" s="319"/>
      <c r="G26" s="319"/>
      <c r="H26" s="317"/>
      <c r="I26" s="315"/>
    </row>
    <row r="27" spans="1:14" s="316" customFormat="1" hidden="1" outlineLevel="1">
      <c r="A27" s="317" t="s">
        <v>327</v>
      </c>
      <c r="B27" s="320"/>
      <c r="C27" s="321"/>
      <c r="D27" s="318"/>
      <c r="E27" s="317">
        <f t="shared" si="1"/>
        <v>0</v>
      </c>
      <c r="F27" s="319"/>
      <c r="G27" s="319"/>
      <c r="H27" s="321"/>
      <c r="I27" s="315"/>
    </row>
    <row r="28" spans="1:14" s="316" customFormat="1" hidden="1" outlineLevel="1">
      <c r="A28" s="317" t="s">
        <v>328</v>
      </c>
      <c r="B28" s="318">
        <v>8</v>
      </c>
      <c r="C28" s="317"/>
      <c r="D28" s="318"/>
      <c r="E28" s="317">
        <f t="shared" si="1"/>
        <v>8</v>
      </c>
      <c r="F28" s="319"/>
      <c r="G28" s="319"/>
      <c r="H28" s="317">
        <v>6</v>
      </c>
      <c r="I28" s="315"/>
    </row>
    <row r="29" spans="1:14" s="316" customFormat="1" hidden="1" outlineLevel="1">
      <c r="A29" s="317" t="s">
        <v>329</v>
      </c>
      <c r="B29" s="318"/>
      <c r="C29" s="317"/>
      <c r="D29" s="318"/>
      <c r="E29" s="317">
        <f t="shared" si="1"/>
        <v>0</v>
      </c>
      <c r="F29" s="319"/>
      <c r="G29" s="319"/>
      <c r="H29" s="317"/>
      <c r="I29" s="315"/>
    </row>
    <row r="30" spans="1:14" s="316" customFormat="1" hidden="1" outlineLevel="1">
      <c r="A30" s="317" t="s">
        <v>330</v>
      </c>
      <c r="B30" s="318">
        <v>23</v>
      </c>
      <c r="C30" s="317"/>
      <c r="D30" s="318"/>
      <c r="E30" s="317">
        <f t="shared" si="1"/>
        <v>23</v>
      </c>
      <c r="F30" s="319"/>
      <c r="G30" s="319"/>
      <c r="H30" s="317">
        <v>4</v>
      </c>
      <c r="I30" s="315"/>
    </row>
    <row r="31" spans="1:14" s="316" customFormat="1" hidden="1" outlineLevel="1">
      <c r="A31" s="315"/>
      <c r="B31" s="318"/>
      <c r="C31" s="317"/>
      <c r="D31" s="322"/>
      <c r="E31" s="317"/>
      <c r="F31" s="315"/>
      <c r="G31" s="315"/>
      <c r="H31" s="317"/>
      <c r="I31" s="315"/>
    </row>
    <row r="32" spans="1:14" s="316" customFormat="1" hidden="1" outlineLevel="1">
      <c r="A32" s="317" t="s">
        <v>331</v>
      </c>
      <c r="B32" s="318">
        <v>1</v>
      </c>
      <c r="C32" s="317"/>
      <c r="D32" s="318"/>
      <c r="E32" s="317">
        <f>SUM(B32:D32)</f>
        <v>1</v>
      </c>
      <c r="F32" s="319"/>
      <c r="G32" s="319"/>
      <c r="H32" s="317">
        <v>2</v>
      </c>
      <c r="I32" s="315"/>
    </row>
    <row r="33" spans="1:13" s="316" customFormat="1" hidden="1" outlineLevel="1">
      <c r="A33" s="323"/>
      <c r="B33" s="323"/>
      <c r="C33" s="323"/>
      <c r="D33" s="323"/>
      <c r="E33" s="323"/>
      <c r="F33" s="323"/>
      <c r="G33" s="323"/>
      <c r="H33" s="323"/>
      <c r="I33" s="315"/>
    </row>
    <row r="34" spans="1:13" hidden="1" outlineLevel="1">
      <c r="A34" s="981" t="str">
        <f>+A1</f>
        <v>Waste Control Inc.</v>
      </c>
      <c r="B34" s="981"/>
      <c r="C34" s="981"/>
      <c r="D34" s="981"/>
      <c r="E34" s="981"/>
      <c r="F34" s="981"/>
      <c r="G34" s="981"/>
      <c r="H34" s="981"/>
      <c r="I34" s="286"/>
    </row>
    <row r="35" spans="1:13" ht="13.5" hidden="1" customHeight="1" outlineLevel="1">
      <c r="A35" s="287"/>
      <c r="B35" s="324"/>
      <c r="C35" s="324"/>
      <c r="D35" s="324"/>
      <c r="E35" s="301"/>
      <c r="F35" s="301"/>
      <c r="G35" s="301"/>
      <c r="H35" s="301"/>
      <c r="I35" s="286"/>
    </row>
    <row r="36" spans="1:13" hidden="1" outlineLevel="1">
      <c r="A36" s="982" t="s">
        <v>332</v>
      </c>
      <c r="B36" s="982"/>
      <c r="C36" s="982"/>
      <c r="D36" s="982"/>
      <c r="E36" s="982"/>
      <c r="F36" s="982"/>
      <c r="G36" s="982"/>
      <c r="H36" s="982"/>
      <c r="I36" s="286"/>
    </row>
    <row r="37" spans="1:13" hidden="1" outlineLevel="1">
      <c r="A37" s="284"/>
      <c r="B37" s="284"/>
      <c r="C37" s="284"/>
      <c r="D37" s="284"/>
      <c r="E37" s="284"/>
      <c r="F37" s="284"/>
      <c r="G37" s="284"/>
      <c r="H37" s="284"/>
      <c r="I37" s="286"/>
    </row>
    <row r="38" spans="1:13" hidden="1" outlineLevel="1">
      <c r="A38" s="982" t="str">
        <f>+A5</f>
        <v>In Support of Tariff No. 16, G-101 Effective June 1, 2014</v>
      </c>
      <c r="B38" s="982"/>
      <c r="C38" s="982"/>
      <c r="D38" s="982"/>
      <c r="E38" s="982"/>
      <c r="F38" s="982"/>
      <c r="G38" s="982"/>
      <c r="H38" s="982"/>
      <c r="I38" s="286"/>
    </row>
    <row r="39" spans="1:13" hidden="1" outlineLevel="1">
      <c r="A39" s="284"/>
      <c r="B39" s="284"/>
      <c r="C39" s="284"/>
      <c r="D39" s="284"/>
      <c r="E39" s="284"/>
      <c r="F39" s="284"/>
      <c r="G39" s="284"/>
      <c r="H39" s="284"/>
      <c r="I39" s="286"/>
    </row>
    <row r="40" spans="1:13" hidden="1" outlineLevel="1">
      <c r="A40" s="284"/>
      <c r="B40" s="977" t="s">
        <v>298</v>
      </c>
      <c r="C40" s="977"/>
      <c r="D40" s="977"/>
      <c r="E40" s="284"/>
      <c r="F40" s="284"/>
      <c r="G40" s="284"/>
      <c r="H40" s="282" t="s">
        <v>298</v>
      </c>
      <c r="I40" s="286"/>
    </row>
    <row r="41" spans="1:13" ht="16.5" hidden="1" outlineLevel="1" thickBot="1">
      <c r="A41" s="301"/>
      <c r="B41" s="284" t="s">
        <v>300</v>
      </c>
      <c r="C41" s="285" t="s">
        <v>301</v>
      </c>
      <c r="D41" s="285" t="s">
        <v>301</v>
      </c>
      <c r="E41" s="325" t="s">
        <v>333</v>
      </c>
      <c r="F41" s="284" t="s">
        <v>334</v>
      </c>
      <c r="G41" s="326" t="s">
        <v>210</v>
      </c>
      <c r="H41" s="285" t="s">
        <v>301</v>
      </c>
      <c r="I41" s="971" t="s">
        <v>335</v>
      </c>
      <c r="J41" s="971"/>
      <c r="K41" s="971"/>
      <c r="L41" s="971"/>
    </row>
    <row r="42" spans="1:13" hidden="1" outlineLevel="1">
      <c r="A42" s="287" t="s">
        <v>110</v>
      </c>
      <c r="B42" s="288" t="s">
        <v>304</v>
      </c>
      <c r="C42" s="284" t="s">
        <v>305</v>
      </c>
      <c r="D42" s="284" t="s">
        <v>118</v>
      </c>
      <c r="E42" s="284" t="s">
        <v>210</v>
      </c>
      <c r="F42" s="284" t="s">
        <v>336</v>
      </c>
      <c r="G42" s="326" t="s">
        <v>337</v>
      </c>
      <c r="H42" s="284" t="s">
        <v>306</v>
      </c>
      <c r="I42" s="327"/>
      <c r="J42" s="327"/>
      <c r="K42" s="327"/>
      <c r="L42" s="327"/>
      <c r="M42" s="328"/>
    </row>
    <row r="43" spans="1:13" hidden="1" outlineLevel="1">
      <c r="A43" s="293" t="s">
        <v>338</v>
      </c>
      <c r="B43" s="294"/>
      <c r="C43" s="293"/>
      <c r="D43" s="294"/>
      <c r="E43" s="293">
        <f t="shared" ref="E43:E77" si="2">SUM(B43:D43)</f>
        <v>0</v>
      </c>
      <c r="F43" s="295"/>
      <c r="G43" s="295"/>
      <c r="H43" s="293"/>
      <c r="I43" s="279"/>
      <c r="J43" s="279"/>
      <c r="K43" s="279"/>
      <c r="L43" s="279"/>
      <c r="M43" s="329"/>
    </row>
    <row r="44" spans="1:13" hidden="1" outlineLevel="1">
      <c r="A44" s="293" t="s">
        <v>339</v>
      </c>
      <c r="B44" s="294">
        <v>14</v>
      </c>
      <c r="C44" s="293">
        <v>4</v>
      </c>
      <c r="D44" s="294">
        <v>2</v>
      </c>
      <c r="E44" s="293">
        <f>SUM(B44:D44)</f>
        <v>20</v>
      </c>
      <c r="F44" s="295">
        <v>1</v>
      </c>
      <c r="G44" s="295">
        <f>+E44</f>
        <v>20</v>
      </c>
      <c r="H44" s="293">
        <v>5</v>
      </c>
      <c r="I44" s="330"/>
      <c r="J44" s="331"/>
      <c r="K44" s="330"/>
      <c r="L44" s="330"/>
      <c r="M44" s="332"/>
    </row>
    <row r="45" spans="1:13" hidden="1" outlineLevel="1">
      <c r="A45" s="293" t="s">
        <v>339</v>
      </c>
      <c r="B45" s="294"/>
      <c r="C45" s="293"/>
      <c r="D45" s="294"/>
      <c r="E45" s="293">
        <f t="shared" si="2"/>
        <v>0</v>
      </c>
      <c r="F45" s="295">
        <v>2</v>
      </c>
      <c r="G45" s="295">
        <f>+E45*F45</f>
        <v>0</v>
      </c>
      <c r="H45" s="293"/>
      <c r="I45" s="330"/>
      <c r="J45" s="331"/>
      <c r="K45" s="330"/>
      <c r="L45" s="330"/>
      <c r="M45" s="332"/>
    </row>
    <row r="46" spans="1:13" hidden="1" outlineLevel="1">
      <c r="A46" s="293" t="s">
        <v>340</v>
      </c>
      <c r="B46" s="294"/>
      <c r="C46" s="293"/>
      <c r="D46" s="294"/>
      <c r="E46" s="333">
        <f>SUM(E44:E45)</f>
        <v>20</v>
      </c>
      <c r="F46" s="295"/>
      <c r="G46" s="334">
        <f>SUM(G44:G45)</f>
        <v>20</v>
      </c>
      <c r="H46" s="293">
        <v>5</v>
      </c>
      <c r="I46" s="330"/>
      <c r="J46" s="331"/>
      <c r="K46" s="330"/>
      <c r="L46" s="330"/>
      <c r="M46" s="332"/>
    </row>
    <row r="47" spans="1:13" hidden="1" outlineLevel="1">
      <c r="A47" s="293" t="s">
        <v>341</v>
      </c>
      <c r="B47" s="318"/>
      <c r="C47" s="317"/>
      <c r="D47" s="318">
        <v>4</v>
      </c>
      <c r="E47" s="317">
        <f t="shared" si="2"/>
        <v>4</v>
      </c>
      <c r="F47" s="319">
        <v>1</v>
      </c>
      <c r="G47" s="319">
        <f>+E47</f>
        <v>4</v>
      </c>
      <c r="H47" s="317">
        <v>43</v>
      </c>
      <c r="I47" s="330"/>
      <c r="J47" s="331"/>
      <c r="K47" s="330"/>
      <c r="L47" s="330"/>
      <c r="M47" s="332"/>
    </row>
    <row r="48" spans="1:13" hidden="1" outlineLevel="1">
      <c r="A48" s="293" t="s">
        <v>342</v>
      </c>
      <c r="B48" s="318">
        <v>8</v>
      </c>
      <c r="C48" s="317"/>
      <c r="D48" s="318"/>
      <c r="E48" s="317">
        <f t="shared" si="2"/>
        <v>8</v>
      </c>
      <c r="F48" s="319">
        <v>2</v>
      </c>
      <c r="G48" s="319">
        <f>+E48*F48</f>
        <v>16</v>
      </c>
      <c r="H48" s="317"/>
      <c r="I48" s="330"/>
      <c r="J48" s="331"/>
      <c r="K48" s="330"/>
      <c r="L48" s="330"/>
      <c r="M48" s="332"/>
    </row>
    <row r="49" spans="1:13" hidden="1" outlineLevel="1">
      <c r="A49" s="293" t="s">
        <v>340</v>
      </c>
      <c r="B49" s="294"/>
      <c r="C49" s="293"/>
      <c r="D49" s="294"/>
      <c r="E49" s="333">
        <f>SUM(E47:E48)</f>
        <v>12</v>
      </c>
      <c r="F49" s="295"/>
      <c r="G49" s="335">
        <f>SUM(G47:G48)</f>
        <v>20</v>
      </c>
      <c r="H49" s="293"/>
      <c r="I49" s="330"/>
      <c r="J49" s="331"/>
      <c r="K49" s="330"/>
      <c r="L49" s="330"/>
      <c r="M49" s="332"/>
    </row>
    <row r="50" spans="1:13" hidden="1" outlineLevel="1">
      <c r="A50" s="293" t="s">
        <v>343</v>
      </c>
      <c r="B50" s="294">
        <v>45</v>
      </c>
      <c r="C50" s="293">
        <v>9</v>
      </c>
      <c r="D50" s="294">
        <v>7</v>
      </c>
      <c r="E50" s="293">
        <f t="shared" si="2"/>
        <v>61</v>
      </c>
      <c r="F50" s="295">
        <v>1</v>
      </c>
      <c r="G50" s="295">
        <f>+E50</f>
        <v>61</v>
      </c>
      <c r="H50" s="293">
        <v>3</v>
      </c>
      <c r="I50" s="330"/>
      <c r="J50" s="331"/>
      <c r="K50" s="330"/>
      <c r="L50" s="330"/>
      <c r="M50" s="332"/>
    </row>
    <row r="51" spans="1:13" hidden="1" outlineLevel="1">
      <c r="A51" s="293" t="s">
        <v>343</v>
      </c>
      <c r="B51" s="294"/>
      <c r="C51" s="293">
        <v>2</v>
      </c>
      <c r="D51" s="294">
        <v>1</v>
      </c>
      <c r="E51" s="293">
        <f t="shared" si="2"/>
        <v>3</v>
      </c>
      <c r="F51" s="295">
        <v>2</v>
      </c>
      <c r="G51" s="295">
        <f>+E51*F51</f>
        <v>6</v>
      </c>
      <c r="H51" s="293"/>
      <c r="I51" s="330"/>
      <c r="J51" s="331"/>
      <c r="K51" s="330"/>
      <c r="L51" s="330"/>
      <c r="M51" s="332"/>
    </row>
    <row r="52" spans="1:13" hidden="1" outlineLevel="1">
      <c r="A52" s="293" t="s">
        <v>340</v>
      </c>
      <c r="B52" s="294"/>
      <c r="C52" s="293"/>
      <c r="D52" s="294"/>
      <c r="E52" s="333">
        <f>SUM(E50:E51)</f>
        <v>64</v>
      </c>
      <c r="F52" s="295"/>
      <c r="G52" s="335">
        <f>SUM(G50:G51)</f>
        <v>67</v>
      </c>
      <c r="H52" s="293">
        <v>3</v>
      </c>
      <c r="I52" s="330"/>
      <c r="J52" s="331"/>
      <c r="K52" s="330"/>
      <c r="L52" s="330"/>
      <c r="M52" s="332"/>
    </row>
    <row r="53" spans="1:13" hidden="1" outlineLevel="1">
      <c r="A53" s="293" t="s">
        <v>344</v>
      </c>
      <c r="B53" s="294">
        <v>12</v>
      </c>
      <c r="C53" s="293">
        <v>5</v>
      </c>
      <c r="D53" s="294">
        <v>4</v>
      </c>
      <c r="E53" s="293">
        <f t="shared" si="2"/>
        <v>21</v>
      </c>
      <c r="F53" s="295">
        <v>1</v>
      </c>
      <c r="G53" s="295">
        <f>+E53</f>
        <v>21</v>
      </c>
      <c r="H53" s="293">
        <v>2</v>
      </c>
      <c r="I53" s="330"/>
      <c r="J53" s="331"/>
      <c r="K53" s="330"/>
      <c r="L53" s="330"/>
      <c r="M53" s="332"/>
    </row>
    <row r="54" spans="1:13" hidden="1" outlineLevel="1">
      <c r="A54" s="293" t="s">
        <v>344</v>
      </c>
      <c r="B54" s="294">
        <v>7</v>
      </c>
      <c r="C54" s="293"/>
      <c r="D54" s="294">
        <v>2</v>
      </c>
      <c r="E54" s="293">
        <f t="shared" si="2"/>
        <v>9</v>
      </c>
      <c r="F54" s="295">
        <v>2</v>
      </c>
      <c r="G54" s="295">
        <f>+E54*F54</f>
        <v>18</v>
      </c>
      <c r="H54" s="293"/>
      <c r="I54" s="330"/>
      <c r="J54" s="331"/>
      <c r="K54" s="330"/>
      <c r="L54" s="330"/>
      <c r="M54" s="332"/>
    </row>
    <row r="55" spans="1:13" hidden="1" outlineLevel="1">
      <c r="A55" s="293" t="s">
        <v>340</v>
      </c>
      <c r="B55" s="294"/>
      <c r="C55" s="293"/>
      <c r="D55" s="294"/>
      <c r="E55" s="333">
        <f>SUM(E53:E54)</f>
        <v>30</v>
      </c>
      <c r="F55" s="295"/>
      <c r="G55" s="335">
        <f>SUM(G53:G54)</f>
        <v>39</v>
      </c>
      <c r="H55" s="293">
        <v>2</v>
      </c>
      <c r="I55" s="330"/>
      <c r="J55" s="331"/>
      <c r="K55" s="330"/>
      <c r="L55" s="330"/>
      <c r="M55" s="332"/>
    </row>
    <row r="56" spans="1:13" hidden="1" outlineLevel="1">
      <c r="A56" s="293" t="s">
        <v>345</v>
      </c>
      <c r="B56" s="294">
        <v>15</v>
      </c>
      <c r="C56" s="293">
        <v>5</v>
      </c>
      <c r="D56" s="294">
        <v>3</v>
      </c>
      <c r="E56" s="293">
        <f t="shared" si="2"/>
        <v>23</v>
      </c>
      <c r="F56" s="295">
        <v>1</v>
      </c>
      <c r="G56" s="295">
        <f>+E56</f>
        <v>23</v>
      </c>
      <c r="H56" s="293">
        <v>1</v>
      </c>
      <c r="I56" s="330"/>
      <c r="J56" s="331"/>
      <c r="K56" s="330"/>
      <c r="L56" s="330"/>
      <c r="M56" s="332"/>
    </row>
    <row r="57" spans="1:13" hidden="1" outlineLevel="1">
      <c r="A57" s="293" t="s">
        <v>345</v>
      </c>
      <c r="B57" s="294">
        <v>4</v>
      </c>
      <c r="C57" s="293">
        <v>1</v>
      </c>
      <c r="D57" s="294">
        <v>4</v>
      </c>
      <c r="E57" s="293">
        <f t="shared" si="2"/>
        <v>9</v>
      </c>
      <c r="F57" s="295">
        <v>2</v>
      </c>
      <c r="G57" s="295">
        <f>+E57*F57</f>
        <v>18</v>
      </c>
      <c r="H57" s="293"/>
      <c r="I57" s="330"/>
      <c r="J57" s="331"/>
      <c r="K57" s="330"/>
      <c r="L57" s="330"/>
      <c r="M57" s="332"/>
    </row>
    <row r="58" spans="1:13" hidden="1" outlineLevel="1">
      <c r="A58" s="293" t="s">
        <v>345</v>
      </c>
      <c r="B58" s="294">
        <v>2</v>
      </c>
      <c r="C58" s="293"/>
      <c r="D58" s="294"/>
      <c r="E58" s="293">
        <f t="shared" si="2"/>
        <v>2</v>
      </c>
      <c r="F58" s="295">
        <v>3</v>
      </c>
      <c r="G58" s="295">
        <f>E58*F58</f>
        <v>6</v>
      </c>
      <c r="H58" s="293"/>
      <c r="I58" s="330"/>
      <c r="J58" s="331"/>
      <c r="K58" s="330"/>
      <c r="L58" s="330"/>
      <c r="M58" s="332"/>
    </row>
    <row r="59" spans="1:13" hidden="1" outlineLevel="1">
      <c r="A59" s="293" t="s">
        <v>340</v>
      </c>
      <c r="B59" s="294"/>
      <c r="C59" s="293"/>
      <c r="D59" s="294"/>
      <c r="E59" s="333">
        <f>SUM(E56:E58)</f>
        <v>34</v>
      </c>
      <c r="F59" s="295"/>
      <c r="G59" s="335">
        <f>SUM(G56:G58)</f>
        <v>47</v>
      </c>
      <c r="H59" s="293">
        <v>1</v>
      </c>
      <c r="I59" s="330"/>
      <c r="J59" s="331"/>
      <c r="K59" s="330"/>
      <c r="L59" s="330"/>
      <c r="M59" s="332"/>
    </row>
    <row r="60" spans="1:13" hidden="1" outlineLevel="1">
      <c r="A60" s="293" t="s">
        <v>346</v>
      </c>
      <c r="B60" s="294"/>
      <c r="C60" s="293"/>
      <c r="D60" s="294"/>
      <c r="E60" s="293">
        <f t="shared" si="2"/>
        <v>0</v>
      </c>
      <c r="F60" s="295">
        <v>1</v>
      </c>
      <c r="G60" s="295">
        <f>+E60</f>
        <v>0</v>
      </c>
      <c r="H60" s="293"/>
      <c r="I60" s="330"/>
      <c r="J60" s="331"/>
      <c r="K60" s="330"/>
      <c r="L60" s="330"/>
      <c r="M60" s="332"/>
    </row>
    <row r="61" spans="1:13" hidden="1" outlineLevel="1">
      <c r="A61" s="293" t="s">
        <v>346</v>
      </c>
      <c r="B61" s="294">
        <v>7</v>
      </c>
      <c r="C61" s="293">
        <v>1</v>
      </c>
      <c r="D61" s="294">
        <v>2</v>
      </c>
      <c r="E61" s="293">
        <f t="shared" si="2"/>
        <v>10</v>
      </c>
      <c r="F61" s="295">
        <v>2</v>
      </c>
      <c r="G61" s="295">
        <f>+E61*F61</f>
        <v>20</v>
      </c>
      <c r="H61" s="293"/>
      <c r="I61" s="330"/>
      <c r="J61" s="331"/>
      <c r="K61" s="330"/>
      <c r="L61" s="330"/>
      <c r="M61" s="332"/>
    </row>
    <row r="62" spans="1:13" hidden="1" outlineLevel="1">
      <c r="A62" s="293" t="s">
        <v>346</v>
      </c>
      <c r="B62" s="294"/>
      <c r="C62" s="293"/>
      <c r="D62" s="294"/>
      <c r="E62" s="293">
        <f t="shared" si="2"/>
        <v>0</v>
      </c>
      <c r="F62" s="295">
        <v>3</v>
      </c>
      <c r="G62" s="295">
        <f>E62*F62</f>
        <v>0</v>
      </c>
      <c r="H62" s="293"/>
      <c r="I62" s="330"/>
      <c r="J62" s="331"/>
      <c r="K62" s="330"/>
      <c r="L62" s="330"/>
      <c r="M62" s="332"/>
    </row>
    <row r="63" spans="1:13" hidden="1" outlineLevel="1">
      <c r="A63" s="293" t="s">
        <v>340</v>
      </c>
      <c r="B63" s="294"/>
      <c r="C63" s="293"/>
      <c r="D63" s="294"/>
      <c r="E63" s="333">
        <f>SUM(E60:E62)</f>
        <v>10</v>
      </c>
      <c r="F63" s="295"/>
      <c r="G63" s="335">
        <f>SUM(G60:G62)</f>
        <v>20</v>
      </c>
      <c r="H63" s="293"/>
      <c r="I63" s="330"/>
      <c r="J63" s="331"/>
      <c r="K63" s="330"/>
      <c r="L63" s="330"/>
      <c r="M63" s="332"/>
    </row>
    <row r="64" spans="1:13" hidden="1" outlineLevel="1">
      <c r="A64" s="293" t="s">
        <v>347</v>
      </c>
      <c r="B64" s="294">
        <v>8</v>
      </c>
      <c r="C64" s="293">
        <v>3</v>
      </c>
      <c r="D64" s="294"/>
      <c r="E64" s="293">
        <f t="shared" si="2"/>
        <v>11</v>
      </c>
      <c r="F64" s="295">
        <v>1</v>
      </c>
      <c r="G64" s="295">
        <f>+E64</f>
        <v>11</v>
      </c>
      <c r="H64" s="293">
        <v>1</v>
      </c>
      <c r="I64" s="330"/>
      <c r="J64" s="331"/>
      <c r="K64" s="330"/>
      <c r="L64" s="330"/>
      <c r="M64" s="332"/>
    </row>
    <row r="65" spans="1:14" ht="16.5" hidden="1" outlineLevel="1" thickBot="1">
      <c r="A65" s="293" t="s">
        <v>347</v>
      </c>
      <c r="B65" s="294"/>
      <c r="C65" s="293"/>
      <c r="D65" s="294"/>
      <c r="E65" s="293">
        <f t="shared" si="2"/>
        <v>0</v>
      </c>
      <c r="F65" s="295">
        <v>2</v>
      </c>
      <c r="G65" s="295">
        <f>+E65*F65</f>
        <v>0</v>
      </c>
      <c r="H65" s="293"/>
      <c r="I65" s="330"/>
      <c r="J65" s="331"/>
      <c r="K65" s="330"/>
      <c r="L65" s="330"/>
      <c r="M65" s="332"/>
    </row>
    <row r="66" spans="1:14" hidden="1" outlineLevel="1">
      <c r="A66" s="293" t="s">
        <v>347</v>
      </c>
      <c r="B66" s="294"/>
      <c r="C66" s="293"/>
      <c r="D66" s="294"/>
      <c r="E66" s="293">
        <f t="shared" si="2"/>
        <v>0</v>
      </c>
      <c r="F66" s="295">
        <v>3</v>
      </c>
      <c r="G66" s="295">
        <f>E66*F66</f>
        <v>0</v>
      </c>
      <c r="H66" s="293"/>
      <c r="I66" s="978" t="s">
        <v>303</v>
      </c>
      <c r="J66" s="979"/>
      <c r="K66" s="979"/>
      <c r="L66" s="979"/>
      <c r="M66" s="979"/>
      <c r="N66" s="336"/>
    </row>
    <row r="67" spans="1:14" hidden="1" outlineLevel="1">
      <c r="A67" s="293" t="s">
        <v>340</v>
      </c>
      <c r="B67" s="294"/>
      <c r="C67" s="293"/>
      <c r="D67" s="294"/>
      <c r="E67" s="333">
        <f>SUM(E64:E66)</f>
        <v>11</v>
      </c>
      <c r="F67" s="295"/>
      <c r="G67" s="335">
        <f>SUM(G64:G66)</f>
        <v>11</v>
      </c>
      <c r="H67" s="293">
        <v>1</v>
      </c>
      <c r="I67" s="330"/>
      <c r="J67" s="331"/>
      <c r="K67" s="330"/>
      <c r="L67" s="330"/>
      <c r="M67" s="332"/>
    </row>
    <row r="68" spans="1:14" hidden="1" outlineLevel="1">
      <c r="A68" s="337" t="s">
        <v>348</v>
      </c>
      <c r="B68" s="294"/>
      <c r="C68" s="338"/>
      <c r="D68" s="294"/>
      <c r="E68" s="293">
        <f t="shared" si="2"/>
        <v>0</v>
      </c>
      <c r="F68" s="295"/>
      <c r="G68" s="295"/>
      <c r="H68" s="293"/>
      <c r="I68" s="330" t="s">
        <v>93</v>
      </c>
      <c r="J68" s="290">
        <f>B78+C78+H78</f>
        <v>241</v>
      </c>
      <c r="K68" s="330">
        <f>J68/J70</f>
        <v>0.86379928315412191</v>
      </c>
      <c r="L68" s="339"/>
      <c r="M68" s="296"/>
    </row>
    <row r="69" spans="1:14" hidden="1" outlineLevel="1">
      <c r="A69" s="293" t="s">
        <v>349</v>
      </c>
      <c r="B69" s="294">
        <v>7</v>
      </c>
      <c r="C69" s="293"/>
      <c r="D69" s="294"/>
      <c r="E69" s="293">
        <f t="shared" si="2"/>
        <v>7</v>
      </c>
      <c r="F69" s="295">
        <v>1</v>
      </c>
      <c r="G69" s="295"/>
      <c r="H69" s="293">
        <v>4</v>
      </c>
      <c r="I69" s="330" t="s">
        <v>308</v>
      </c>
      <c r="J69" s="290">
        <f>+D78</f>
        <v>38</v>
      </c>
      <c r="K69" s="330">
        <f>J69/J70</f>
        <v>0.13620071684587814</v>
      </c>
      <c r="L69" s="339"/>
      <c r="M69" s="296"/>
    </row>
    <row r="70" spans="1:14" hidden="1" outlineLevel="1">
      <c r="A70" s="293" t="s">
        <v>350</v>
      </c>
      <c r="B70" s="294"/>
      <c r="C70" s="293"/>
      <c r="D70" s="294"/>
      <c r="E70" s="293">
        <f t="shared" si="2"/>
        <v>0</v>
      </c>
      <c r="F70" s="295">
        <v>1</v>
      </c>
      <c r="G70" s="295"/>
      <c r="H70" s="293"/>
      <c r="I70" s="330" t="s">
        <v>351</v>
      </c>
      <c r="J70" s="290">
        <f>SUM(J68:J69)</f>
        <v>279</v>
      </c>
      <c r="K70" s="340">
        <f>SUM(K68:K69)</f>
        <v>1</v>
      </c>
      <c r="L70" s="339"/>
      <c r="M70" s="296"/>
    </row>
    <row r="71" spans="1:14" hidden="1" outlineLevel="1">
      <c r="A71" s="337" t="s">
        <v>352</v>
      </c>
      <c r="B71" s="294"/>
      <c r="C71" s="293"/>
      <c r="D71" s="294"/>
      <c r="E71" s="293">
        <f t="shared" si="2"/>
        <v>0</v>
      </c>
      <c r="F71" s="295"/>
      <c r="G71" s="295"/>
      <c r="H71" s="293"/>
      <c r="I71" s="330"/>
      <c r="J71" s="290"/>
      <c r="K71" s="339"/>
      <c r="L71" s="339"/>
      <c r="M71" s="296"/>
    </row>
    <row r="72" spans="1:14" hidden="1" outlineLevel="1">
      <c r="A72" s="293" t="s">
        <v>353</v>
      </c>
      <c r="B72" s="294"/>
      <c r="C72" s="293"/>
      <c r="D72" s="294"/>
      <c r="E72" s="293">
        <f t="shared" si="2"/>
        <v>0</v>
      </c>
      <c r="F72" s="295">
        <v>1</v>
      </c>
      <c r="G72" s="295"/>
      <c r="H72" s="293"/>
      <c r="I72" s="330"/>
      <c r="J72" s="290"/>
      <c r="K72" s="339"/>
      <c r="L72" s="339"/>
      <c r="M72" s="296"/>
    </row>
    <row r="73" spans="1:14" hidden="1" outlineLevel="1">
      <c r="A73" s="293" t="s">
        <v>354</v>
      </c>
      <c r="B73" s="294"/>
      <c r="C73" s="293"/>
      <c r="D73" s="294"/>
      <c r="E73" s="293">
        <f t="shared" si="2"/>
        <v>0</v>
      </c>
      <c r="F73" s="295"/>
      <c r="G73" s="295"/>
      <c r="H73" s="293"/>
      <c r="I73" s="330"/>
      <c r="J73" s="290"/>
      <c r="K73" s="339"/>
      <c r="L73" s="339"/>
      <c r="M73" s="296"/>
    </row>
    <row r="74" spans="1:14" hidden="1" outlineLevel="1">
      <c r="A74" s="337" t="s">
        <v>355</v>
      </c>
      <c r="B74" s="294"/>
      <c r="C74" s="293"/>
      <c r="D74" s="294"/>
      <c r="E74" s="293">
        <f t="shared" si="2"/>
        <v>0</v>
      </c>
      <c r="F74" s="295"/>
      <c r="G74" s="295"/>
      <c r="H74" s="293"/>
      <c r="I74" s="330"/>
      <c r="J74" s="290"/>
      <c r="K74" s="339"/>
      <c r="L74" s="339"/>
      <c r="M74" s="296"/>
    </row>
    <row r="75" spans="1:14" hidden="1" outlineLevel="1">
      <c r="A75" s="293" t="s">
        <v>356</v>
      </c>
      <c r="B75" s="294">
        <v>3</v>
      </c>
      <c r="C75" s="293"/>
      <c r="D75" s="294"/>
      <c r="E75" s="293">
        <f t="shared" si="2"/>
        <v>3</v>
      </c>
      <c r="F75" s="295"/>
      <c r="G75" s="295"/>
      <c r="H75" s="293"/>
      <c r="I75" s="330"/>
      <c r="J75" s="290"/>
      <c r="K75" s="339"/>
      <c r="L75" s="339"/>
      <c r="M75" s="296"/>
    </row>
    <row r="76" spans="1:14" hidden="1" outlineLevel="1">
      <c r="A76" s="293" t="s">
        <v>357</v>
      </c>
      <c r="B76" s="294"/>
      <c r="C76" s="293">
        <v>1</v>
      </c>
      <c r="D76" s="294"/>
      <c r="E76" s="293">
        <f t="shared" si="2"/>
        <v>1</v>
      </c>
      <c r="F76" s="295">
        <v>2</v>
      </c>
      <c r="G76" s="335">
        <f>E76*F76</f>
        <v>2</v>
      </c>
      <c r="H76" s="293"/>
      <c r="I76" s="330"/>
      <c r="J76" s="290"/>
      <c r="K76" s="339"/>
      <c r="L76" s="339"/>
      <c r="M76" s="296"/>
    </row>
    <row r="77" spans="1:14" ht="16.5" hidden="1" outlineLevel="1" thickBot="1">
      <c r="A77" s="293" t="s">
        <v>358</v>
      </c>
      <c r="B77" s="294">
        <v>2</v>
      </c>
      <c r="C77" s="293"/>
      <c r="D77" s="294"/>
      <c r="E77" s="293">
        <f t="shared" si="2"/>
        <v>2</v>
      </c>
      <c r="F77" s="295" t="s">
        <v>359</v>
      </c>
      <c r="G77" s="341"/>
      <c r="H77" s="341"/>
      <c r="I77" s="330"/>
      <c r="J77" s="342"/>
      <c r="K77" s="342"/>
      <c r="L77" s="342"/>
      <c r="M77" s="343"/>
      <c r="N77" s="278" t="s">
        <v>360</v>
      </c>
    </row>
    <row r="78" spans="1:14" s="278" customFormat="1" hidden="1" outlineLevel="1">
      <c r="A78" s="287" t="s">
        <v>360</v>
      </c>
      <c r="B78" s="287">
        <f>B44+(B48*F48)+B50+B53+(B54*F54)+B56+(B57*F57)+(B58*F58)+(B61*F61)+B64</f>
        <v>152</v>
      </c>
      <c r="C78" s="287">
        <f>C44+C50+(C51*F51)+C53+C56+(C57*F57)+(C61*F61)+C64</f>
        <v>34</v>
      </c>
      <c r="D78" s="287">
        <f>D44+D47+D50+(D51*F51)+D53+(D54*F54)+D56+(D57*F57)+(D61*F61)</f>
        <v>38</v>
      </c>
      <c r="E78" s="287"/>
      <c r="F78" s="287"/>
      <c r="G78" s="287"/>
      <c r="H78" s="287">
        <f>H44+H47+H53+H50+H56+H64</f>
        <v>55</v>
      </c>
      <c r="J78" s="278">
        <f>SUM(B78:H78)</f>
        <v>279</v>
      </c>
      <c r="K78" s="278" t="str">
        <f>IF(J78=J70,"OK",J78-J70)</f>
        <v>OK</v>
      </c>
    </row>
    <row r="79" spans="1:14" s="278" customFormat="1" hidden="1" outlineLevel="1">
      <c r="A79" s="310" t="s">
        <v>320</v>
      </c>
      <c r="B79" s="344">
        <f>B44+(B48)+B50+B53+(B54)+B56+(B57)+(B58)+(B61)+B64</f>
        <v>122</v>
      </c>
      <c r="C79" s="344">
        <f>C44+C50+(C51)+C53+C56+(C57)+(C61)+C64</f>
        <v>30</v>
      </c>
      <c r="D79" s="310">
        <f>'[20]2012 Charge Activity'!$AC$1114</f>
        <v>33</v>
      </c>
      <c r="E79" s="287"/>
      <c r="F79" s="287"/>
      <c r="G79" s="287"/>
      <c r="H79" s="344">
        <f>H78</f>
        <v>55</v>
      </c>
    </row>
    <row r="80" spans="1:14" s="278" customFormat="1" hidden="1" outlineLevel="1">
      <c r="A80" s="310" t="s">
        <v>324</v>
      </c>
      <c r="B80" s="287"/>
      <c r="C80" s="287"/>
      <c r="D80" s="310">
        <f>'[20]2012 Charge Activity'!$AG$1114</f>
        <v>43</v>
      </c>
      <c r="E80" s="287"/>
      <c r="F80" s="287"/>
      <c r="G80" s="287"/>
      <c r="H80" s="287"/>
    </row>
    <row r="81" spans="1:13" hidden="1" outlineLevel="1">
      <c r="A81" s="982" t="str">
        <f>+A34</f>
        <v>Waste Control Inc.</v>
      </c>
      <c r="B81" s="982"/>
      <c r="C81" s="982"/>
      <c r="D81" s="982"/>
      <c r="E81" s="982"/>
      <c r="F81" s="982"/>
      <c r="G81" s="982"/>
      <c r="H81" s="982"/>
    </row>
    <row r="82" spans="1:13" ht="13.5" hidden="1" customHeight="1" outlineLevel="1">
      <c r="A82" s="287"/>
      <c r="B82" s="301"/>
      <c r="C82" s="301"/>
      <c r="D82" s="301"/>
      <c r="E82" s="301"/>
      <c r="F82" s="301"/>
      <c r="G82" s="301"/>
      <c r="H82" s="301"/>
      <c r="I82" s="286"/>
    </row>
    <row r="83" spans="1:13" hidden="1" outlineLevel="1">
      <c r="A83" s="982" t="str">
        <f>+A36</f>
        <v>WORKPAPER 8 - CUSTOMER COUNTS, Continued</v>
      </c>
      <c r="B83" s="982"/>
      <c r="C83" s="982"/>
      <c r="D83" s="982"/>
      <c r="E83" s="982"/>
      <c r="F83" s="982"/>
      <c r="G83" s="982"/>
      <c r="H83" s="982"/>
      <c r="I83" s="286"/>
    </row>
    <row r="84" spans="1:13" hidden="1" outlineLevel="1">
      <c r="A84" s="284"/>
      <c r="B84" s="284"/>
      <c r="C84" s="284"/>
      <c r="D84" s="284"/>
      <c r="E84" s="284"/>
      <c r="F84" s="284"/>
      <c r="G84" s="284"/>
      <c r="H84" s="284"/>
      <c r="I84" s="286"/>
    </row>
    <row r="85" spans="1:13" hidden="1" outlineLevel="1">
      <c r="A85" s="982" t="str">
        <f>+A38</f>
        <v>In Support of Tariff No. 16, G-101 Effective June 1, 2014</v>
      </c>
      <c r="B85" s="982"/>
      <c r="C85" s="982"/>
      <c r="D85" s="982"/>
      <c r="E85" s="982"/>
      <c r="F85" s="982"/>
      <c r="G85" s="982"/>
      <c r="H85" s="982"/>
      <c r="I85" s="286"/>
    </row>
    <row r="86" spans="1:13" hidden="1" outlineLevel="1">
      <c r="A86" s="284"/>
      <c r="B86" s="977" t="s">
        <v>298</v>
      </c>
      <c r="C86" s="977"/>
      <c r="D86" s="977"/>
      <c r="E86" s="284"/>
      <c r="F86" s="284"/>
      <c r="G86" s="284"/>
      <c r="H86" s="282" t="s">
        <v>298</v>
      </c>
      <c r="I86" s="286"/>
    </row>
    <row r="87" spans="1:13" ht="16.5" hidden="1" outlineLevel="1" thickBot="1">
      <c r="A87" s="301"/>
      <c r="B87" s="284" t="s">
        <v>300</v>
      </c>
      <c r="C87" s="285" t="s">
        <v>301</v>
      </c>
      <c r="D87" s="285" t="s">
        <v>301</v>
      </c>
      <c r="E87" s="301"/>
      <c r="F87" s="284" t="s">
        <v>361</v>
      </c>
      <c r="G87" s="301"/>
      <c r="H87" s="285" t="s">
        <v>301</v>
      </c>
      <c r="I87" s="971" t="s">
        <v>335</v>
      </c>
      <c r="J87" s="971"/>
      <c r="K87" s="971"/>
      <c r="L87" s="971"/>
    </row>
    <row r="88" spans="1:13" hidden="1" outlineLevel="1">
      <c r="A88" s="287" t="s">
        <v>110</v>
      </c>
      <c r="B88" s="288" t="s">
        <v>304</v>
      </c>
      <c r="C88" s="284" t="s">
        <v>305</v>
      </c>
      <c r="D88" s="284" t="s">
        <v>118</v>
      </c>
      <c r="E88" s="284" t="s">
        <v>210</v>
      </c>
      <c r="F88" s="284" t="s">
        <v>362</v>
      </c>
      <c r="G88" s="284"/>
      <c r="H88" s="284" t="s">
        <v>306</v>
      </c>
      <c r="I88" s="345" t="s">
        <v>300</v>
      </c>
      <c r="J88" s="327" t="s">
        <v>301</v>
      </c>
      <c r="K88" s="327" t="s">
        <v>363</v>
      </c>
      <c r="L88" s="327" t="s">
        <v>301</v>
      </c>
      <c r="M88" s="328"/>
    </row>
    <row r="89" spans="1:13" hidden="1" outlineLevel="1">
      <c r="A89" s="293" t="s">
        <v>364</v>
      </c>
      <c r="B89" s="294"/>
      <c r="C89" s="293"/>
      <c r="D89" s="294"/>
      <c r="E89" s="341"/>
      <c r="F89" s="341"/>
      <c r="G89" s="341"/>
      <c r="H89" s="295"/>
      <c r="I89" s="279" t="s">
        <v>304</v>
      </c>
      <c r="J89" s="279" t="s">
        <v>306</v>
      </c>
      <c r="K89" s="279" t="s">
        <v>305</v>
      </c>
      <c r="L89" s="279" t="s">
        <v>118</v>
      </c>
      <c r="M89" s="329"/>
    </row>
    <row r="90" spans="1:13" hidden="1" outlineLevel="1">
      <c r="A90" s="337" t="s">
        <v>321</v>
      </c>
      <c r="B90" s="294">
        <v>3</v>
      </c>
      <c r="C90" s="293">
        <v>4</v>
      </c>
      <c r="D90" s="294">
        <v>11</v>
      </c>
      <c r="E90" s="293">
        <f t="shared" ref="E90:E95" si="3">SUM(B90:D90)</f>
        <v>18</v>
      </c>
      <c r="F90" s="295">
        <v>1</v>
      </c>
      <c r="G90" s="295"/>
      <c r="H90" s="293">
        <v>2</v>
      </c>
      <c r="I90" s="330"/>
      <c r="J90" s="331"/>
      <c r="K90" s="330"/>
      <c r="L90" s="330"/>
      <c r="M90" s="332"/>
    </row>
    <row r="91" spans="1:13" hidden="1" outlineLevel="1">
      <c r="A91" s="293" t="s">
        <v>322</v>
      </c>
      <c r="B91" s="294">
        <v>11</v>
      </c>
      <c r="C91" s="293">
        <v>8</v>
      </c>
      <c r="D91" s="294">
        <v>6</v>
      </c>
      <c r="E91" s="293">
        <f t="shared" si="3"/>
        <v>25</v>
      </c>
      <c r="F91" s="295">
        <v>1</v>
      </c>
      <c r="G91" s="295"/>
      <c r="H91" s="293">
        <v>5</v>
      </c>
      <c r="I91" s="330"/>
      <c r="J91" s="331"/>
      <c r="K91" s="330"/>
      <c r="L91" s="330"/>
      <c r="M91" s="332"/>
    </row>
    <row r="92" spans="1:13" hidden="1" outlineLevel="1">
      <c r="A92" s="293" t="s">
        <v>322</v>
      </c>
      <c r="B92" s="294"/>
      <c r="C92" s="293"/>
      <c r="D92" s="294"/>
      <c r="E92" s="293">
        <f t="shared" si="3"/>
        <v>0</v>
      </c>
      <c r="F92" s="295">
        <v>2</v>
      </c>
      <c r="G92" s="295"/>
      <c r="H92" s="293"/>
      <c r="I92" s="330"/>
      <c r="J92" s="331"/>
      <c r="K92" s="330"/>
      <c r="L92" s="330"/>
      <c r="M92" s="332"/>
    </row>
    <row r="93" spans="1:13" hidden="1" outlineLevel="1">
      <c r="A93" s="293" t="s">
        <v>323</v>
      </c>
      <c r="B93" s="294">
        <v>55</v>
      </c>
      <c r="C93" s="293">
        <v>16</v>
      </c>
      <c r="D93" s="294">
        <v>20</v>
      </c>
      <c r="E93" s="293">
        <f t="shared" si="3"/>
        <v>91</v>
      </c>
      <c r="F93" s="295">
        <v>1</v>
      </c>
      <c r="G93" s="295"/>
      <c r="H93" s="293">
        <v>7</v>
      </c>
      <c r="I93" s="330"/>
      <c r="J93" s="331"/>
      <c r="K93" s="330"/>
      <c r="L93" s="330"/>
      <c r="M93" s="332"/>
    </row>
    <row r="94" spans="1:13" hidden="1" outlineLevel="1">
      <c r="A94" s="293" t="s">
        <v>323</v>
      </c>
      <c r="B94" s="294"/>
      <c r="C94" s="293"/>
      <c r="D94" s="294"/>
      <c r="E94" s="293">
        <f t="shared" si="3"/>
        <v>0</v>
      </c>
      <c r="F94" s="295">
        <v>2</v>
      </c>
      <c r="G94" s="295"/>
      <c r="H94" s="293"/>
      <c r="I94" s="330"/>
      <c r="J94" s="331"/>
      <c r="K94" s="330"/>
      <c r="L94" s="330"/>
      <c r="M94" s="332"/>
    </row>
    <row r="95" spans="1:13" hidden="1" outlineLevel="1">
      <c r="A95" s="293" t="s">
        <v>323</v>
      </c>
      <c r="B95" s="294"/>
      <c r="C95" s="293"/>
      <c r="D95" s="294"/>
      <c r="E95" s="293">
        <f t="shared" si="3"/>
        <v>0</v>
      </c>
      <c r="F95" s="295">
        <v>3</v>
      </c>
      <c r="G95" s="295"/>
      <c r="H95" s="293"/>
      <c r="I95" s="330"/>
      <c r="J95" s="331"/>
      <c r="K95" s="330"/>
      <c r="L95" s="330"/>
      <c r="M95" s="332"/>
    </row>
    <row r="96" spans="1:13" hidden="1" outlineLevel="1">
      <c r="A96" s="301" t="s">
        <v>365</v>
      </c>
      <c r="B96" s="346"/>
      <c r="C96" s="301"/>
      <c r="D96" s="346"/>
      <c r="E96" s="301"/>
      <c r="F96" s="301"/>
      <c r="G96" s="301"/>
      <c r="H96" s="347"/>
      <c r="I96" s="330"/>
      <c r="J96" s="331"/>
      <c r="K96" s="330"/>
      <c r="L96" s="330"/>
      <c r="M96" s="332"/>
    </row>
    <row r="97" spans="1:25" hidden="1" outlineLevel="1">
      <c r="A97" s="317" t="s">
        <v>366</v>
      </c>
      <c r="B97" s="318"/>
      <c r="C97" s="317"/>
      <c r="D97" s="318"/>
      <c r="E97" s="317">
        <f t="shared" ref="E97:E114" si="4">SUM(B97:D97)</f>
        <v>0</v>
      </c>
      <c r="F97" s="319">
        <v>1</v>
      </c>
      <c r="G97" s="319"/>
      <c r="H97" s="317"/>
      <c r="I97" s="330"/>
      <c r="J97" s="331"/>
      <c r="K97" s="330"/>
      <c r="L97" s="330"/>
      <c r="M97" s="332"/>
    </row>
    <row r="98" spans="1:25" hidden="1" outlineLevel="1">
      <c r="A98" s="317" t="s">
        <v>366</v>
      </c>
      <c r="B98" s="318"/>
      <c r="C98" s="317"/>
      <c r="D98" s="318"/>
      <c r="E98" s="317">
        <f t="shared" si="4"/>
        <v>0</v>
      </c>
      <c r="F98" s="319">
        <v>2</v>
      </c>
      <c r="G98" s="319"/>
      <c r="H98" s="317"/>
      <c r="I98" s="330"/>
      <c r="J98" s="331"/>
      <c r="K98" s="330"/>
      <c r="L98" s="330"/>
      <c r="M98" s="332"/>
    </row>
    <row r="99" spans="1:25" hidden="1" outlineLevel="1">
      <c r="A99" s="317" t="s">
        <v>367</v>
      </c>
      <c r="B99" s="318"/>
      <c r="C99" s="317"/>
      <c r="D99" s="318"/>
      <c r="E99" s="317">
        <f t="shared" si="4"/>
        <v>0</v>
      </c>
      <c r="F99" s="319">
        <v>13</v>
      </c>
      <c r="G99" s="319"/>
      <c r="H99" s="317"/>
      <c r="I99" s="330"/>
      <c r="J99" s="331"/>
      <c r="K99" s="330"/>
      <c r="L99" s="330"/>
      <c r="M99" s="332"/>
    </row>
    <row r="100" spans="1:25" hidden="1" outlineLevel="1">
      <c r="A100" s="348" t="s">
        <v>368</v>
      </c>
      <c r="B100" s="318"/>
      <c r="C100" s="317"/>
      <c r="D100" s="318"/>
      <c r="E100" s="317">
        <f t="shared" si="4"/>
        <v>0</v>
      </c>
      <c r="F100" s="319"/>
      <c r="G100" s="319"/>
      <c r="H100" s="317"/>
      <c r="I100" s="330"/>
      <c r="J100" s="331"/>
      <c r="K100" s="330"/>
      <c r="L100" s="330"/>
      <c r="M100" s="332"/>
    </row>
    <row r="101" spans="1:25" hidden="1" outlineLevel="1">
      <c r="A101" s="317" t="s">
        <v>369</v>
      </c>
      <c r="B101" s="318">
        <v>2</v>
      </c>
      <c r="C101" s="317">
        <v>1</v>
      </c>
      <c r="D101" s="318"/>
      <c r="E101" s="317">
        <f t="shared" si="4"/>
        <v>3</v>
      </c>
      <c r="F101" s="319"/>
      <c r="G101" s="319"/>
      <c r="H101" s="317"/>
      <c r="I101" s="330"/>
      <c r="J101" s="331"/>
      <c r="K101" s="330"/>
      <c r="L101" s="330"/>
      <c r="M101" s="332"/>
    </row>
    <row r="102" spans="1:25" hidden="1" outlineLevel="1">
      <c r="A102" s="317" t="s">
        <v>370</v>
      </c>
      <c r="B102" s="318"/>
      <c r="C102" s="317"/>
      <c r="D102" s="318"/>
      <c r="E102" s="317">
        <f t="shared" si="4"/>
        <v>0</v>
      </c>
      <c r="F102" s="319">
        <v>1</v>
      </c>
      <c r="G102" s="319"/>
      <c r="H102" s="317"/>
      <c r="I102" s="330"/>
      <c r="J102" s="331"/>
      <c r="K102" s="330"/>
      <c r="L102" s="330"/>
      <c r="M102" s="332"/>
    </row>
    <row r="103" spans="1:25" s="316" customFormat="1" ht="16.5" hidden="1" outlineLevel="1" thickBot="1">
      <c r="A103" s="317" t="s">
        <v>371</v>
      </c>
      <c r="B103" s="318"/>
      <c r="C103" s="317"/>
      <c r="D103" s="318"/>
      <c r="E103" s="317">
        <f t="shared" si="4"/>
        <v>0</v>
      </c>
      <c r="F103" s="319"/>
      <c r="G103" s="319"/>
      <c r="H103" s="317">
        <v>1</v>
      </c>
      <c r="I103" s="330"/>
      <c r="J103" s="331"/>
      <c r="K103" s="330"/>
      <c r="L103" s="330"/>
      <c r="M103" s="332"/>
    </row>
    <row r="104" spans="1:25" s="316" customFormat="1" ht="16.5" outlineLevel="1" thickBot="1">
      <c r="A104" s="317"/>
      <c r="B104" s="318"/>
      <c r="C104" s="317"/>
      <c r="D104" s="318"/>
      <c r="E104" s="317"/>
      <c r="F104" s="319"/>
      <c r="G104" s="319"/>
      <c r="H104" s="317"/>
      <c r="I104" s="330"/>
      <c r="J104" s="331"/>
      <c r="K104" s="330"/>
      <c r="L104" s="330"/>
      <c r="M104" s="349"/>
      <c r="N104" s="986" t="s">
        <v>784</v>
      </c>
      <c r="O104" s="986"/>
      <c r="P104" s="986"/>
      <c r="Q104" s="986"/>
      <c r="R104" s="986"/>
      <c r="S104" s="986"/>
      <c r="T104" s="986"/>
      <c r="U104" s="986"/>
      <c r="V104" s="986"/>
      <c r="W104" s="986"/>
      <c r="X104" s="986"/>
      <c r="Y104" s="986"/>
    </row>
    <row r="105" spans="1:25" ht="18.75">
      <c r="A105" s="348" t="s">
        <v>372</v>
      </c>
      <c r="B105" s="318"/>
      <c r="C105" s="317"/>
      <c r="D105" s="318"/>
      <c r="E105" s="317">
        <f t="shared" si="4"/>
        <v>0</v>
      </c>
      <c r="F105" s="319"/>
      <c r="G105" s="319"/>
      <c r="H105" s="317"/>
      <c r="I105" s="330"/>
      <c r="J105" s="331"/>
      <c r="K105" s="330"/>
      <c r="L105" s="330"/>
      <c r="M105" s="349"/>
      <c r="N105" s="983" t="s">
        <v>373</v>
      </c>
      <c r="O105" s="984"/>
      <c r="P105" s="984"/>
      <c r="Q105" s="984"/>
      <c r="R105" s="984"/>
      <c r="S105" s="985"/>
      <c r="T105" s="983" t="s">
        <v>374</v>
      </c>
      <c r="U105" s="984"/>
      <c r="V105" s="984"/>
      <c r="W105" s="984"/>
      <c r="X105" s="984"/>
      <c r="Y105" s="985"/>
    </row>
    <row r="106" spans="1:25" ht="16.5" thickBot="1">
      <c r="A106" s="317" t="s">
        <v>366</v>
      </c>
      <c r="B106" s="318"/>
      <c r="C106" s="317"/>
      <c r="D106" s="318"/>
      <c r="E106" s="317">
        <f t="shared" si="4"/>
        <v>0</v>
      </c>
      <c r="F106" s="319"/>
      <c r="G106" s="319"/>
      <c r="H106" s="317"/>
      <c r="I106" s="330"/>
      <c r="J106" s="331"/>
      <c r="K106" s="330"/>
      <c r="L106" s="330"/>
      <c r="M106" s="349"/>
      <c r="N106" s="350"/>
      <c r="O106" s="351"/>
      <c r="P106" s="352" t="s">
        <v>93</v>
      </c>
      <c r="Q106" s="352"/>
      <c r="R106" s="352" t="s">
        <v>375</v>
      </c>
      <c r="S106" s="353"/>
      <c r="T106" s="350"/>
      <c r="U106" s="351"/>
      <c r="V106" s="352" t="s">
        <v>93</v>
      </c>
      <c r="W106" s="352"/>
      <c r="X106" s="352" t="s">
        <v>375</v>
      </c>
      <c r="Y106" s="353"/>
    </row>
    <row r="107" spans="1:25">
      <c r="A107" s="317" t="s">
        <v>367</v>
      </c>
      <c r="B107" s="318"/>
      <c r="C107" s="317"/>
      <c r="D107" s="318"/>
      <c r="E107" s="317">
        <f t="shared" si="4"/>
        <v>0</v>
      </c>
      <c r="F107" s="319"/>
      <c r="G107" s="319"/>
      <c r="H107" s="317"/>
      <c r="I107" s="979" t="s">
        <v>303</v>
      </c>
      <c r="J107" s="979"/>
      <c r="K107" s="979"/>
      <c r="L107" s="979"/>
      <c r="M107" s="979"/>
      <c r="N107" s="350" t="s">
        <v>107</v>
      </c>
      <c r="O107" s="351"/>
      <c r="P107" s="354">
        <f>K9</f>
        <v>9510</v>
      </c>
      <c r="Q107" s="351"/>
      <c r="R107" s="351">
        <f>D22</f>
        <v>888</v>
      </c>
      <c r="S107" s="355">
        <f>P107+R107</f>
        <v>10398</v>
      </c>
      <c r="T107" s="350" t="s">
        <v>107</v>
      </c>
      <c r="U107" s="351"/>
      <c r="V107" s="354">
        <f>K9</f>
        <v>9510</v>
      </c>
      <c r="W107" s="351"/>
      <c r="X107" s="351">
        <f>D23</f>
        <v>884</v>
      </c>
      <c r="Y107" s="355">
        <f>V107+X107</f>
        <v>10394</v>
      </c>
    </row>
    <row r="108" spans="1:25" s="316" customFormat="1">
      <c r="A108" s="317" t="s">
        <v>370</v>
      </c>
      <c r="B108" s="318">
        <v>1</v>
      </c>
      <c r="C108" s="317"/>
      <c r="D108" s="318"/>
      <c r="E108" s="317">
        <f t="shared" si="4"/>
        <v>1</v>
      </c>
      <c r="F108" s="319"/>
      <c r="G108" s="319"/>
      <c r="H108" s="317"/>
      <c r="I108" s="330"/>
      <c r="J108" s="331"/>
      <c r="K108" s="330"/>
      <c r="L108" s="330" t="s">
        <v>210</v>
      </c>
      <c r="M108" s="349"/>
      <c r="N108" s="356" t="s">
        <v>780</v>
      </c>
      <c r="O108" s="357"/>
      <c r="P108" s="357">
        <f>B120+C120+H120</f>
        <v>307</v>
      </c>
      <c r="Q108" s="357"/>
      <c r="R108" s="357">
        <f>D121</f>
        <v>81</v>
      </c>
      <c r="S108" s="355">
        <f>P108+R108</f>
        <v>388</v>
      </c>
      <c r="T108" s="356" t="s">
        <v>780</v>
      </c>
      <c r="U108" s="357"/>
      <c r="V108" s="357">
        <f>B120+C120+H120</f>
        <v>307</v>
      </c>
      <c r="W108" s="357"/>
      <c r="X108" s="357">
        <f>D122</f>
        <v>86</v>
      </c>
      <c r="Y108" s="355">
        <f>V108+X108</f>
        <v>393</v>
      </c>
    </row>
    <row r="109" spans="1:25">
      <c r="A109" s="348" t="s">
        <v>364</v>
      </c>
      <c r="B109" s="358"/>
      <c r="C109" s="359"/>
      <c r="D109" s="358"/>
      <c r="E109" s="317">
        <f t="shared" si="4"/>
        <v>0</v>
      </c>
      <c r="F109" s="319"/>
      <c r="G109" s="319"/>
      <c r="H109" s="317"/>
      <c r="I109" s="330" t="s">
        <v>93</v>
      </c>
      <c r="J109" s="290">
        <f>B120+C120+H120</f>
        <v>307</v>
      </c>
      <c r="K109" s="330">
        <f>J109/J111</f>
        <v>0.67621145374449343</v>
      </c>
      <c r="L109" s="330">
        <f>(J68+J109)/J113</f>
        <v>0.747612551159618</v>
      </c>
      <c r="M109" s="360"/>
      <c r="N109" s="350" t="s">
        <v>376</v>
      </c>
      <c r="O109" s="351"/>
      <c r="P109" s="351">
        <f>B79+C79+H79</f>
        <v>207</v>
      </c>
      <c r="Q109" s="351"/>
      <c r="R109" s="351">
        <f>D79</f>
        <v>33</v>
      </c>
      <c r="S109" s="355">
        <f>P109+R109</f>
        <v>240</v>
      </c>
      <c r="T109" s="350" t="s">
        <v>376</v>
      </c>
      <c r="U109" s="351"/>
      <c r="V109" s="351">
        <f>B78+C78+H78</f>
        <v>241</v>
      </c>
      <c r="W109" s="351"/>
      <c r="X109" s="351">
        <f>D80</f>
        <v>43</v>
      </c>
      <c r="Y109" s="355">
        <f>V109+X109</f>
        <v>284</v>
      </c>
    </row>
    <row r="110" spans="1:25">
      <c r="A110" s="348" t="s">
        <v>377</v>
      </c>
      <c r="B110" s="361"/>
      <c r="C110" s="317"/>
      <c r="D110" s="361"/>
      <c r="E110" s="317">
        <f t="shared" si="4"/>
        <v>0</v>
      </c>
      <c r="F110" s="319"/>
      <c r="G110" s="319"/>
      <c r="H110" s="317"/>
      <c r="I110" s="330" t="s">
        <v>378</v>
      </c>
      <c r="J110" s="290">
        <f>+D120</f>
        <v>147</v>
      </c>
      <c r="K110" s="330">
        <f>J110/J111</f>
        <v>0.32378854625550663</v>
      </c>
      <c r="L110" s="330">
        <f>(J69+J110)/J113</f>
        <v>0.252387448840382</v>
      </c>
      <c r="M110" s="360"/>
      <c r="N110" s="350" t="s">
        <v>111</v>
      </c>
      <c r="O110" s="351"/>
      <c r="P110" s="362">
        <f>B136</f>
        <v>49</v>
      </c>
      <c r="Q110" s="351"/>
      <c r="R110" s="351" t="s">
        <v>379</v>
      </c>
      <c r="S110" s="363">
        <f>P110</f>
        <v>49</v>
      </c>
      <c r="T110" s="350" t="s">
        <v>111</v>
      </c>
      <c r="U110" s="351"/>
      <c r="V110" s="362">
        <f>B136</f>
        <v>49</v>
      </c>
      <c r="W110" s="351"/>
      <c r="X110" s="351" t="s">
        <v>379</v>
      </c>
      <c r="Y110" s="363">
        <f>V110</f>
        <v>49</v>
      </c>
    </row>
    <row r="111" spans="1:25">
      <c r="A111" s="348" t="s">
        <v>321</v>
      </c>
      <c r="B111" s="318">
        <v>8</v>
      </c>
      <c r="C111" s="317">
        <v>3</v>
      </c>
      <c r="D111" s="318">
        <v>28</v>
      </c>
      <c r="E111" s="317">
        <f>SUM(B111:D111)</f>
        <v>39</v>
      </c>
      <c r="F111" s="319"/>
      <c r="G111" s="319"/>
      <c r="H111" s="317">
        <v>5</v>
      </c>
      <c r="I111" s="330" t="s">
        <v>380</v>
      </c>
      <c r="J111" s="290">
        <f>SUM(J109:J110)</f>
        <v>454</v>
      </c>
      <c r="K111" s="330">
        <f>SUM(K109:K110)</f>
        <v>1</v>
      </c>
      <c r="L111" s="330">
        <f>SUM(L109:L110)</f>
        <v>1</v>
      </c>
      <c r="M111" s="360"/>
      <c r="N111" s="350"/>
      <c r="O111" s="351"/>
      <c r="P111" s="351"/>
      <c r="Q111" s="351"/>
      <c r="R111" s="351"/>
      <c r="S111" s="353"/>
      <c r="T111" s="350"/>
      <c r="U111" s="351"/>
      <c r="V111" s="351"/>
      <c r="W111" s="351"/>
      <c r="X111" s="351"/>
      <c r="Y111" s="353"/>
    </row>
    <row r="112" spans="1:25">
      <c r="A112" s="293" t="s">
        <v>381</v>
      </c>
      <c r="B112" s="294"/>
      <c r="C112" s="293"/>
      <c r="D112" s="294"/>
      <c r="E112" s="293">
        <f t="shared" si="4"/>
        <v>0</v>
      </c>
      <c r="F112" s="295"/>
      <c r="G112" s="295"/>
      <c r="H112" s="293"/>
      <c r="I112" s="364" t="str">
        <f>I70</f>
        <v>Sub Comm 1</v>
      </c>
      <c r="J112" s="365">
        <f>J70</f>
        <v>279</v>
      </c>
      <c r="K112" s="339"/>
      <c r="L112" s="339"/>
      <c r="M112" s="360"/>
      <c r="N112" s="350" t="s">
        <v>210</v>
      </c>
      <c r="O112" s="351"/>
      <c r="P112" s="354">
        <f>SUM(P107:P110)</f>
        <v>10073</v>
      </c>
      <c r="Q112" s="351"/>
      <c r="R112" s="351">
        <f>SUM(R107:R109)</f>
        <v>1002</v>
      </c>
      <c r="S112" s="355">
        <f>P112+R112</f>
        <v>11075</v>
      </c>
      <c r="T112" s="350" t="s">
        <v>210</v>
      </c>
      <c r="U112" s="351"/>
      <c r="V112" s="354">
        <f>SUM(V107:V110)</f>
        <v>10107</v>
      </c>
      <c r="W112" s="351"/>
      <c r="X112" s="351">
        <f>SUM(X107:X109)</f>
        <v>1013</v>
      </c>
      <c r="Y112" s="355">
        <f>V112+X112</f>
        <v>11120</v>
      </c>
    </row>
    <row r="113" spans="1:37">
      <c r="A113" s="337" t="s">
        <v>322</v>
      </c>
      <c r="B113" s="294">
        <v>173</v>
      </c>
      <c r="C113" s="293">
        <v>4</v>
      </c>
      <c r="D113" s="294">
        <v>56</v>
      </c>
      <c r="E113" s="293">
        <f>SUM(B113:D113)</f>
        <v>233</v>
      </c>
      <c r="F113" s="295"/>
      <c r="G113" s="295"/>
      <c r="H113" s="293">
        <v>1</v>
      </c>
      <c r="I113" s="330" t="s">
        <v>382</v>
      </c>
      <c r="J113" s="290">
        <f>SUM(J111:J112)</f>
        <v>733</v>
      </c>
      <c r="K113" s="339"/>
      <c r="L113" s="339"/>
      <c r="M113" s="360"/>
      <c r="N113" s="366" t="s">
        <v>383</v>
      </c>
      <c r="O113" s="351"/>
      <c r="P113" s="367">
        <f>P112/S112</f>
        <v>0.90952595936794578</v>
      </c>
      <c r="Q113" s="351"/>
      <c r="R113" s="367">
        <f>R112/S112</f>
        <v>9.0474040632054178E-2</v>
      </c>
      <c r="S113" s="353"/>
      <c r="T113" s="366" t="s">
        <v>383</v>
      </c>
      <c r="U113" s="351"/>
      <c r="V113" s="367">
        <f>V112/Y112</f>
        <v>0.90890287769784173</v>
      </c>
      <c r="W113" s="351"/>
      <c r="X113" s="367">
        <f>X112/Y112</f>
        <v>9.1097122302158273E-2</v>
      </c>
      <c r="Y113" s="353"/>
    </row>
    <row r="114" spans="1:37" ht="16.5" thickBot="1">
      <c r="A114" s="293" t="s">
        <v>323</v>
      </c>
      <c r="B114" s="294">
        <v>1</v>
      </c>
      <c r="C114" s="293"/>
      <c r="D114" s="294">
        <v>26</v>
      </c>
      <c r="E114" s="293">
        <f t="shared" si="4"/>
        <v>27</v>
      </c>
      <c r="F114" s="295"/>
      <c r="G114" s="295"/>
      <c r="H114" s="293"/>
      <c r="I114" s="277" t="s">
        <v>384</v>
      </c>
      <c r="J114" s="365">
        <f>J21+J78+J111</f>
        <v>10885</v>
      </c>
      <c r="K114" s="330"/>
      <c r="L114" s="330"/>
      <c r="M114" s="330"/>
      <c r="N114" s="368"/>
      <c r="O114" s="369"/>
      <c r="P114" s="369"/>
      <c r="Q114" s="369"/>
      <c r="R114" s="369"/>
      <c r="S114" s="370"/>
      <c r="T114" s="368"/>
      <c r="U114" s="369"/>
      <c r="V114" s="369"/>
      <c r="W114" s="369"/>
      <c r="X114" s="369"/>
      <c r="Y114" s="370"/>
    </row>
    <row r="115" spans="1:37" ht="16.5" hidden="1" outlineLevel="1" thickBot="1">
      <c r="A115" s="371" t="s">
        <v>385</v>
      </c>
      <c r="B115" s="372"/>
      <c r="C115" s="373"/>
      <c r="D115" s="372"/>
      <c r="E115" s="293"/>
      <c r="F115" s="347"/>
      <c r="G115" s="301"/>
      <c r="H115" s="347"/>
      <c r="I115" s="374">
        <f>P113</f>
        <v>0.90952595936794578</v>
      </c>
      <c r="J115" s="375"/>
      <c r="K115" s="375"/>
      <c r="L115" s="375">
        <f>R113</f>
        <v>9.0474040632054178E-2</v>
      </c>
      <c r="M115" s="375">
        <f>SUM(I115:L115)</f>
        <v>1</v>
      </c>
      <c r="N115" s="376" t="s">
        <v>386</v>
      </c>
      <c r="O115" s="377"/>
    </row>
    <row r="116" spans="1:37" hidden="1" outlineLevel="1">
      <c r="A116" s="293" t="s">
        <v>387</v>
      </c>
      <c r="B116" s="294"/>
      <c r="C116" s="293"/>
      <c r="D116" s="294"/>
      <c r="E116" s="293">
        <f>SUM(B116:D116)</f>
        <v>0</v>
      </c>
      <c r="F116" s="295"/>
      <c r="G116" s="295"/>
      <c r="H116" s="293"/>
      <c r="I116" s="378"/>
      <c r="J116" s="379"/>
      <c r="K116" s="379"/>
      <c r="L116" s="379"/>
      <c r="M116" s="380"/>
    </row>
    <row r="117" spans="1:37" hidden="1" outlineLevel="1">
      <c r="A117" s="293" t="s">
        <v>388</v>
      </c>
      <c r="B117" s="294"/>
      <c r="C117" s="293"/>
      <c r="D117" s="294"/>
      <c r="E117" s="293">
        <f>SUM(B117:D117)</f>
        <v>0</v>
      </c>
      <c r="F117" s="295"/>
      <c r="G117" s="295"/>
      <c r="H117" s="293"/>
      <c r="I117" s="286"/>
    </row>
    <row r="118" spans="1:37" hidden="1" outlineLevel="1">
      <c r="A118" s="293" t="s">
        <v>389</v>
      </c>
      <c r="B118" s="381"/>
      <c r="C118" s="382"/>
      <c r="D118" s="294"/>
      <c r="E118" s="293">
        <f>SUM(B118:D118)</f>
        <v>0</v>
      </c>
      <c r="F118" s="295"/>
      <c r="G118" s="295"/>
      <c r="H118" s="382"/>
      <c r="I118" s="378"/>
      <c r="J118" s="379"/>
      <c r="K118" s="379"/>
      <c r="L118" s="278"/>
      <c r="M118" s="278"/>
      <c r="N118" s="278"/>
    </row>
    <row r="119" spans="1:37" ht="16.5" hidden="1" outlineLevel="1" thickBot="1">
      <c r="A119" s="293" t="s">
        <v>390</v>
      </c>
      <c r="B119" s="294">
        <v>1</v>
      </c>
      <c r="C119" s="293"/>
      <c r="D119" s="294"/>
      <c r="E119" s="293">
        <f>SUM(B119:D119)</f>
        <v>1</v>
      </c>
      <c r="F119" s="295"/>
      <c r="G119" s="295"/>
      <c r="H119" s="293"/>
      <c r="I119" s="286"/>
    </row>
    <row r="120" spans="1:37" s="384" customFormat="1" hidden="1" outlineLevel="1">
      <c r="A120" s="287" t="s">
        <v>360</v>
      </c>
      <c r="B120" s="287">
        <f>B90+B91+B93+B108+B111+B113+B114</f>
        <v>252</v>
      </c>
      <c r="C120" s="287">
        <f>C90+C91+C93+C108+C111+C113+C114</f>
        <v>35</v>
      </c>
      <c r="D120" s="287">
        <f>D90+D91+D93+D108+D111+D113+D114</f>
        <v>147</v>
      </c>
      <c r="E120" s="287"/>
      <c r="F120" s="287"/>
      <c r="G120" s="287"/>
      <c r="H120" s="287">
        <f>H90+H91+H93+H111+H113</f>
        <v>20</v>
      </c>
      <c r="I120" s="383">
        <f>SUM(B120:H120)</f>
        <v>454</v>
      </c>
      <c r="J120" s="278" t="str">
        <f>IF(I120=J111,"OK",I120-J111)</f>
        <v>OK</v>
      </c>
      <c r="K120" s="278"/>
      <c r="L120" s="278"/>
      <c r="M120" s="278"/>
    </row>
    <row r="121" spans="1:37" s="384" customFormat="1" hidden="1" outlineLevel="1">
      <c r="A121" s="310" t="s">
        <v>320</v>
      </c>
      <c r="B121" s="287"/>
      <c r="C121" s="287"/>
      <c r="D121" s="310">
        <f>'[20]2012 Charge Activity'!$AD$1114+'[20]2012 Charge Activity'!$AE$1114</f>
        <v>81</v>
      </c>
      <c r="E121" s="287"/>
      <c r="F121" s="287"/>
      <c r="G121" s="287"/>
      <c r="H121" s="287"/>
      <c r="I121" s="385"/>
      <c r="J121" s="278"/>
      <c r="K121" s="278"/>
      <c r="L121" s="386">
        <f>D121+D79+D22</f>
        <v>1002</v>
      </c>
      <c r="M121" s="278" t="s">
        <v>391</v>
      </c>
    </row>
    <row r="122" spans="1:37" s="384" customFormat="1" hidden="1" outlineLevel="1">
      <c r="A122" s="310" t="s">
        <v>124</v>
      </c>
      <c r="B122" s="287"/>
      <c r="C122" s="287"/>
      <c r="D122" s="310">
        <f>'[20]2012 Charge Activity'!$AH$1114+'[20]2012 Charge Activity'!$AI$1114</f>
        <v>86</v>
      </c>
      <c r="E122" s="287"/>
      <c r="F122" s="287"/>
      <c r="G122" s="287"/>
      <c r="H122" s="287"/>
      <c r="I122" s="385"/>
      <c r="J122" s="278"/>
      <c r="K122" s="278"/>
      <c r="L122" s="386">
        <f>D122+D80+D23</f>
        <v>1013</v>
      </c>
      <c r="M122" s="278" t="s">
        <v>392</v>
      </c>
    </row>
    <row r="123" spans="1:37" s="384" customFormat="1" hidden="1" outlineLevel="1">
      <c r="A123" s="287" t="s">
        <v>781</v>
      </c>
      <c r="B123" s="287">
        <f>B120+B78</f>
        <v>404</v>
      </c>
      <c r="C123" s="287">
        <f>C120+C78</f>
        <v>69</v>
      </c>
      <c r="D123" s="287">
        <f>D120+D78</f>
        <v>185</v>
      </c>
      <c r="E123" s="287"/>
      <c r="F123" s="287"/>
      <c r="G123" s="287"/>
      <c r="H123" s="287">
        <f>H78+H120</f>
        <v>75</v>
      </c>
      <c r="I123" s="385">
        <f>SUM(B123:H123)</f>
        <v>733</v>
      </c>
      <c r="J123" s="278" t="str">
        <f>IF(I123=J113,"OK",I123-J113)</f>
        <v>OK</v>
      </c>
      <c r="K123" s="278"/>
      <c r="L123" s="278"/>
      <c r="M123" s="278"/>
    </row>
    <row r="124" spans="1:37" s="384" customFormat="1" ht="16.5" hidden="1" outlineLevel="1" thickBot="1">
      <c r="A124" s="287" t="s">
        <v>384</v>
      </c>
      <c r="B124" s="287">
        <f>B123+B21</f>
        <v>7944</v>
      </c>
      <c r="C124" s="287">
        <f>C123+C21</f>
        <v>543</v>
      </c>
      <c r="D124" s="287">
        <f>D123+D21</f>
        <v>827</v>
      </c>
      <c r="E124" s="287"/>
      <c r="F124" s="287"/>
      <c r="G124" s="287"/>
      <c r="H124" s="287">
        <f>H21+H123</f>
        <v>1571</v>
      </c>
      <c r="I124" s="387">
        <f>SUM(B124:H124)</f>
        <v>10885</v>
      </c>
      <c r="J124" s="278" t="str">
        <f>IF(I124=J114,"OK",I124-J114)</f>
        <v>OK</v>
      </c>
      <c r="K124" s="278"/>
      <c r="L124" s="278"/>
      <c r="M124" s="278"/>
    </row>
    <row r="125" spans="1:37" s="289" customFormat="1" hidden="1" outlineLevel="1">
      <c r="A125" s="286" t="s">
        <v>393</v>
      </c>
      <c r="B125" s="346"/>
      <c r="C125" s="286"/>
      <c r="D125" s="286"/>
      <c r="E125" s="286"/>
      <c r="F125" s="286"/>
      <c r="G125" s="286"/>
      <c r="H125" s="286"/>
      <c r="I125" s="286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</row>
    <row r="126" spans="1:37" s="392" customFormat="1" hidden="1" outlineLevel="1">
      <c r="A126" s="388"/>
      <c r="B126" s="389" t="s">
        <v>394</v>
      </c>
      <c r="C126" s="388" t="s">
        <v>395</v>
      </c>
      <c r="D126" s="388" t="s">
        <v>396</v>
      </c>
      <c r="E126" s="390" t="s">
        <v>397</v>
      </c>
      <c r="F126" s="390" t="s">
        <v>398</v>
      </c>
      <c r="G126" s="388" t="s">
        <v>399</v>
      </c>
      <c r="H126" s="390" t="s">
        <v>400</v>
      </c>
      <c r="I126" s="390" t="s">
        <v>401</v>
      </c>
      <c r="J126" s="390" t="s">
        <v>402</v>
      </c>
      <c r="K126" s="391" t="s">
        <v>403</v>
      </c>
      <c r="L126" s="391" t="s">
        <v>404</v>
      </c>
      <c r="M126" s="391" t="s">
        <v>405</v>
      </c>
      <c r="N126" s="391" t="s">
        <v>406</v>
      </c>
      <c r="O126" s="391" t="s">
        <v>407</v>
      </c>
      <c r="P126" s="391" t="s">
        <v>408</v>
      </c>
      <c r="Q126" s="391" t="s">
        <v>409</v>
      </c>
      <c r="R126" s="391" t="s">
        <v>410</v>
      </c>
      <c r="S126" s="391" t="s">
        <v>411</v>
      </c>
      <c r="T126" s="391" t="s">
        <v>412</v>
      </c>
      <c r="U126" s="391" t="s">
        <v>413</v>
      </c>
      <c r="V126" s="391" t="s">
        <v>387</v>
      </c>
      <c r="W126" s="391" t="s">
        <v>406</v>
      </c>
      <c r="X126" s="391" t="s">
        <v>411</v>
      </c>
      <c r="Y126" s="391" t="s">
        <v>406</v>
      </c>
      <c r="Z126" s="391" t="s">
        <v>411</v>
      </c>
      <c r="AA126" s="391" t="s">
        <v>411</v>
      </c>
      <c r="AB126" s="391" t="s">
        <v>406</v>
      </c>
      <c r="AC126" s="391" t="s">
        <v>411</v>
      </c>
      <c r="AD126" s="391"/>
      <c r="AE126" s="391"/>
      <c r="AF126" s="316"/>
      <c r="AG126" s="316"/>
      <c r="AH126" s="316"/>
      <c r="AI126" s="316"/>
      <c r="AJ126" s="316"/>
      <c r="AK126" s="316"/>
    </row>
    <row r="127" spans="1:37" s="392" customFormat="1" hidden="1" outlineLevel="1">
      <c r="A127" s="388"/>
      <c r="B127" s="389"/>
      <c r="C127" s="388"/>
      <c r="D127" s="388"/>
      <c r="E127" s="390"/>
      <c r="F127" s="390"/>
      <c r="G127" s="388"/>
      <c r="H127" s="390"/>
      <c r="I127" s="390"/>
      <c r="J127" s="390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/>
      <c r="AD127" s="391"/>
      <c r="AE127" s="391"/>
      <c r="AF127" s="316"/>
      <c r="AG127" s="316"/>
      <c r="AH127" s="316"/>
      <c r="AI127" s="316"/>
      <c r="AJ127" s="316"/>
      <c r="AK127" s="316"/>
    </row>
    <row r="128" spans="1:37" s="392" customFormat="1" hidden="1" outlineLevel="1">
      <c r="A128" s="388" t="s">
        <v>414</v>
      </c>
      <c r="B128" s="389">
        <v>1642</v>
      </c>
      <c r="C128" s="388">
        <v>720</v>
      </c>
      <c r="D128" s="388">
        <v>123</v>
      </c>
      <c r="E128" s="390">
        <v>291</v>
      </c>
      <c r="F128" s="390">
        <v>204</v>
      </c>
      <c r="G128" s="388">
        <v>196</v>
      </c>
      <c r="H128" s="390">
        <v>88</v>
      </c>
      <c r="I128" s="390">
        <v>34</v>
      </c>
      <c r="J128" s="390">
        <v>55</v>
      </c>
      <c r="K128" s="391">
        <v>0</v>
      </c>
      <c r="L128" s="391">
        <v>39</v>
      </c>
      <c r="M128" s="391">
        <v>71</v>
      </c>
      <c r="N128" s="391">
        <v>235</v>
      </c>
      <c r="O128" s="391">
        <v>0</v>
      </c>
      <c r="P128" s="391">
        <v>12</v>
      </c>
      <c r="Q128" s="391">
        <v>99</v>
      </c>
      <c r="R128" s="391">
        <v>80</v>
      </c>
      <c r="S128" s="391">
        <v>19</v>
      </c>
      <c r="T128" s="391">
        <v>8</v>
      </c>
      <c r="U128" s="391">
        <v>6</v>
      </c>
      <c r="V128" s="391">
        <v>17622.07</v>
      </c>
      <c r="W128" s="391">
        <v>0</v>
      </c>
      <c r="X128" s="391">
        <v>0</v>
      </c>
      <c r="Y128" s="391">
        <v>0</v>
      </c>
      <c r="Z128" s="391">
        <v>0</v>
      </c>
      <c r="AA128" s="391">
        <v>0</v>
      </c>
      <c r="AB128" s="391">
        <v>0</v>
      </c>
      <c r="AC128" s="391">
        <v>0</v>
      </c>
      <c r="AD128" s="391"/>
      <c r="AE128" s="391"/>
      <c r="AF128" s="316"/>
      <c r="AG128" s="316"/>
      <c r="AH128" s="316"/>
      <c r="AI128" s="316"/>
      <c r="AJ128" s="316"/>
      <c r="AK128" s="316"/>
    </row>
    <row r="129" spans="1:37" s="392" customFormat="1" hidden="1" outlineLevel="1">
      <c r="A129" s="388" t="s">
        <v>415</v>
      </c>
      <c r="B129" s="389">
        <v>20</v>
      </c>
      <c r="C129" s="388">
        <v>4</v>
      </c>
      <c r="D129" s="388">
        <v>18</v>
      </c>
      <c r="E129" s="390">
        <v>63</v>
      </c>
      <c r="F129" s="390">
        <v>15</v>
      </c>
      <c r="G129" s="388">
        <v>17</v>
      </c>
      <c r="H129" s="390">
        <v>12</v>
      </c>
      <c r="I129" s="390">
        <v>3</v>
      </c>
      <c r="J129" s="390">
        <v>9</v>
      </c>
      <c r="K129" s="391">
        <v>0</v>
      </c>
      <c r="L129" s="391">
        <v>13</v>
      </c>
      <c r="M129" s="391">
        <v>0</v>
      </c>
      <c r="N129" s="391">
        <v>15</v>
      </c>
      <c r="O129" s="391">
        <v>0</v>
      </c>
      <c r="P129" s="391">
        <v>1</v>
      </c>
      <c r="Q129" s="391">
        <v>0</v>
      </c>
      <c r="R129" s="391">
        <v>0</v>
      </c>
      <c r="S129" s="391">
        <v>11</v>
      </c>
      <c r="T129" s="391">
        <v>0</v>
      </c>
      <c r="U129" s="391">
        <v>0</v>
      </c>
      <c r="V129" s="391">
        <v>6632.44</v>
      </c>
      <c r="W129" s="391"/>
      <c r="X129" s="391"/>
      <c r="Y129" s="391"/>
      <c r="Z129" s="391"/>
      <c r="AA129" s="391"/>
      <c r="AB129" s="391"/>
      <c r="AC129" s="391"/>
      <c r="AD129" s="391"/>
      <c r="AE129" s="391"/>
      <c r="AF129" s="316"/>
      <c r="AG129" s="316"/>
      <c r="AH129" s="316"/>
      <c r="AI129" s="316"/>
      <c r="AJ129" s="316"/>
      <c r="AK129" s="316"/>
    </row>
    <row r="130" spans="1:37" s="392" customFormat="1" hidden="1" outlineLevel="1">
      <c r="A130" s="388" t="s">
        <v>416</v>
      </c>
      <c r="B130" s="389"/>
      <c r="C130" s="388"/>
      <c r="D130" s="388"/>
      <c r="E130" s="390"/>
      <c r="F130" s="390"/>
      <c r="G130" s="388"/>
      <c r="H130" s="390"/>
      <c r="I130" s="390"/>
      <c r="J130" s="390"/>
      <c r="K130" s="391"/>
      <c r="L130" s="391"/>
      <c r="M130" s="391"/>
      <c r="N130" s="391"/>
      <c r="O130" s="391"/>
      <c r="P130" s="391"/>
      <c r="Q130" s="391"/>
      <c r="R130" s="391"/>
      <c r="S130" s="391">
        <v>12</v>
      </c>
      <c r="T130" s="391"/>
      <c r="U130" s="391"/>
      <c r="V130" s="391"/>
      <c r="W130" s="391"/>
      <c r="X130" s="391">
        <v>282</v>
      </c>
      <c r="Y130" s="391">
        <v>5</v>
      </c>
      <c r="Z130" s="391">
        <v>1477</v>
      </c>
      <c r="AA130" s="391"/>
      <c r="AB130" s="391"/>
      <c r="AC130" s="391"/>
      <c r="AD130" s="391"/>
      <c r="AE130" s="391"/>
      <c r="AF130" s="316"/>
      <c r="AG130" s="316"/>
      <c r="AH130" s="316"/>
      <c r="AI130" s="316"/>
      <c r="AJ130" s="316"/>
      <c r="AK130" s="316"/>
    </row>
    <row r="131" spans="1:37" s="392" customFormat="1" hidden="1" outlineLevel="1">
      <c r="A131" s="388" t="s">
        <v>417</v>
      </c>
      <c r="B131" s="389"/>
      <c r="C131" s="388"/>
      <c r="D131" s="388"/>
      <c r="E131" s="390"/>
      <c r="F131" s="390"/>
      <c r="G131" s="388"/>
      <c r="H131" s="390"/>
      <c r="I131" s="390"/>
      <c r="J131" s="390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  <c r="AA131" s="391">
        <v>50</v>
      </c>
      <c r="AB131" s="391">
        <v>22</v>
      </c>
      <c r="AC131" s="391">
        <v>379</v>
      </c>
      <c r="AD131" s="391"/>
      <c r="AE131" s="391"/>
      <c r="AF131" s="316"/>
      <c r="AG131" s="316"/>
      <c r="AH131" s="316"/>
      <c r="AI131" s="316"/>
      <c r="AJ131" s="316"/>
      <c r="AK131" s="316"/>
    </row>
    <row r="132" spans="1:37" s="392" customFormat="1" hidden="1" outlineLevel="1">
      <c r="A132" s="388" t="s">
        <v>210</v>
      </c>
      <c r="B132" s="393">
        <f t="shared" ref="B132:H132" si="5">SUM(B128:B131)</f>
        <v>1662</v>
      </c>
      <c r="C132" s="393">
        <f t="shared" si="5"/>
        <v>724</v>
      </c>
      <c r="D132" s="393">
        <f t="shared" si="5"/>
        <v>141</v>
      </c>
      <c r="E132" s="393">
        <f t="shared" si="5"/>
        <v>354</v>
      </c>
      <c r="F132" s="393">
        <f t="shared" si="5"/>
        <v>219</v>
      </c>
      <c r="G132" s="393">
        <f t="shared" si="5"/>
        <v>213</v>
      </c>
      <c r="H132" s="393">
        <f t="shared" si="5"/>
        <v>100</v>
      </c>
      <c r="I132" s="393">
        <f>SUM(I128:I131)</f>
        <v>37</v>
      </c>
      <c r="J132" s="393">
        <f>SUM(J128:J131)</f>
        <v>64</v>
      </c>
      <c r="K132" s="393">
        <f>SUM(K128:K131)</f>
        <v>0</v>
      </c>
      <c r="L132" s="393">
        <f>SUM(L128:L131)</f>
        <v>52</v>
      </c>
      <c r="M132" s="393">
        <f>SUM(M128:M131)</f>
        <v>71</v>
      </c>
      <c r="N132" s="393">
        <f t="shared" ref="N132:AC132" si="6">SUM(N128:N131)</f>
        <v>250</v>
      </c>
      <c r="O132" s="393">
        <f t="shared" si="6"/>
        <v>0</v>
      </c>
      <c r="P132" s="393">
        <f t="shared" si="6"/>
        <v>13</v>
      </c>
      <c r="Q132" s="393">
        <f t="shared" si="6"/>
        <v>99</v>
      </c>
      <c r="R132" s="393">
        <f t="shared" si="6"/>
        <v>80</v>
      </c>
      <c r="S132" s="393">
        <f t="shared" si="6"/>
        <v>42</v>
      </c>
      <c r="T132" s="393">
        <f t="shared" si="6"/>
        <v>8</v>
      </c>
      <c r="U132" s="393">
        <f t="shared" si="6"/>
        <v>6</v>
      </c>
      <c r="V132" s="393">
        <f t="shared" si="6"/>
        <v>24254.51</v>
      </c>
      <c r="W132" s="393">
        <f t="shared" si="6"/>
        <v>0</v>
      </c>
      <c r="X132" s="393">
        <f t="shared" si="6"/>
        <v>282</v>
      </c>
      <c r="Y132" s="393">
        <f t="shared" si="6"/>
        <v>5</v>
      </c>
      <c r="Z132" s="393">
        <f t="shared" si="6"/>
        <v>1477</v>
      </c>
      <c r="AA132" s="393">
        <f t="shared" si="6"/>
        <v>50</v>
      </c>
      <c r="AB132" s="393">
        <f t="shared" si="6"/>
        <v>22</v>
      </c>
      <c r="AC132" s="393">
        <f t="shared" si="6"/>
        <v>379</v>
      </c>
      <c r="AD132" s="391"/>
      <c r="AE132" s="391"/>
      <c r="AF132" s="316"/>
      <c r="AG132" s="316"/>
      <c r="AH132" s="316"/>
      <c r="AI132" s="316"/>
      <c r="AJ132" s="316"/>
      <c r="AK132" s="316"/>
    </row>
    <row r="133" spans="1:37" s="392" customFormat="1" hidden="1" outlineLevel="1">
      <c r="A133" s="388" t="s">
        <v>334</v>
      </c>
      <c r="B133" s="389">
        <v>52</v>
      </c>
      <c r="C133" s="388">
        <v>52</v>
      </c>
      <c r="D133" s="388">
        <v>52</v>
      </c>
      <c r="E133" s="390">
        <v>52</v>
      </c>
      <c r="F133" s="390">
        <v>52</v>
      </c>
      <c r="G133" s="388">
        <v>52</v>
      </c>
      <c r="H133" s="390">
        <v>12</v>
      </c>
      <c r="I133" s="390">
        <v>12</v>
      </c>
      <c r="J133" s="390">
        <v>12</v>
      </c>
      <c r="K133" s="391">
        <v>52</v>
      </c>
      <c r="L133" s="391">
        <v>52</v>
      </c>
      <c r="M133" s="391">
        <v>12</v>
      </c>
      <c r="N133" s="391">
        <v>12</v>
      </c>
      <c r="O133" s="391" t="s">
        <v>418</v>
      </c>
      <c r="P133" s="391">
        <v>52</v>
      </c>
      <c r="Q133" s="391">
        <v>12</v>
      </c>
      <c r="R133" s="391">
        <v>52</v>
      </c>
      <c r="S133" s="391">
        <v>12</v>
      </c>
      <c r="T133" s="391">
        <v>52</v>
      </c>
      <c r="U133" s="391">
        <v>52</v>
      </c>
      <c r="V133" s="391">
        <v>12</v>
      </c>
      <c r="W133" s="391">
        <v>12</v>
      </c>
      <c r="X133" s="391">
        <v>12</v>
      </c>
      <c r="Y133" s="391">
        <v>12</v>
      </c>
      <c r="Z133" s="391">
        <v>12</v>
      </c>
      <c r="AA133" s="391">
        <v>12</v>
      </c>
      <c r="AB133" s="391">
        <v>12</v>
      </c>
      <c r="AC133" s="391">
        <v>12</v>
      </c>
      <c r="AD133" s="391"/>
      <c r="AE133" s="391"/>
      <c r="AF133" s="316"/>
      <c r="AG133" s="316"/>
      <c r="AH133" s="316"/>
      <c r="AI133" s="316"/>
      <c r="AJ133" s="316"/>
      <c r="AK133" s="316"/>
    </row>
    <row r="134" spans="1:37" s="392" customFormat="1" hidden="1" outlineLevel="1">
      <c r="A134" s="388" t="s">
        <v>419</v>
      </c>
      <c r="B134" s="393">
        <f>+B132/B133</f>
        <v>31.96153846153846</v>
      </c>
      <c r="C134" s="393">
        <f t="shared" ref="C134:H134" si="7">+C132/C133</f>
        <v>13.923076923076923</v>
      </c>
      <c r="D134" s="393">
        <f t="shared" si="7"/>
        <v>2.7115384615384617</v>
      </c>
      <c r="E134" s="393">
        <f t="shared" si="7"/>
        <v>6.8076923076923075</v>
      </c>
      <c r="F134" s="393">
        <f t="shared" si="7"/>
        <v>4.2115384615384617</v>
      </c>
      <c r="G134" s="393">
        <f t="shared" si="7"/>
        <v>4.0961538461538458</v>
      </c>
      <c r="H134" s="393">
        <f t="shared" si="7"/>
        <v>8.3333333333333339</v>
      </c>
      <c r="I134" s="393">
        <f>+I132/I133</f>
        <v>3.0833333333333335</v>
      </c>
      <c r="J134" s="393">
        <f>+J132/J133</f>
        <v>5.333333333333333</v>
      </c>
      <c r="K134" s="394" t="s">
        <v>420</v>
      </c>
      <c r="L134" s="393">
        <f>+L132/L133</f>
        <v>1</v>
      </c>
      <c r="M134" s="393">
        <f>+M132/M133</f>
        <v>5.916666666666667</v>
      </c>
      <c r="N134" s="393">
        <f>+N132/N133</f>
        <v>20.833333333333332</v>
      </c>
      <c r="O134" s="394" t="s">
        <v>421</v>
      </c>
      <c r="P134" s="393">
        <f t="shared" ref="P134:AC134" si="8">+P132/P133</f>
        <v>0.25</v>
      </c>
      <c r="Q134" s="393">
        <f t="shared" si="8"/>
        <v>8.25</v>
      </c>
      <c r="R134" s="393">
        <f t="shared" si="8"/>
        <v>1.5384615384615385</v>
      </c>
      <c r="S134" s="393">
        <f t="shared" si="8"/>
        <v>3.5</v>
      </c>
      <c r="T134" s="393">
        <f t="shared" si="8"/>
        <v>0.15384615384615385</v>
      </c>
      <c r="U134" s="393">
        <f t="shared" si="8"/>
        <v>0.11538461538461539</v>
      </c>
      <c r="V134" s="393">
        <f t="shared" si="8"/>
        <v>2021.2091666666665</v>
      </c>
      <c r="W134" s="393">
        <f t="shared" si="8"/>
        <v>0</v>
      </c>
      <c r="X134" s="393">
        <f t="shared" si="8"/>
        <v>23.5</v>
      </c>
      <c r="Y134" s="393">
        <f t="shared" si="8"/>
        <v>0.41666666666666669</v>
      </c>
      <c r="Z134" s="393">
        <f t="shared" si="8"/>
        <v>123.08333333333333</v>
      </c>
      <c r="AA134" s="393">
        <f t="shared" si="8"/>
        <v>4.166666666666667</v>
      </c>
      <c r="AB134" s="393">
        <f t="shared" si="8"/>
        <v>1.8333333333333333</v>
      </c>
      <c r="AC134" s="393">
        <f t="shared" si="8"/>
        <v>31.583333333333332</v>
      </c>
      <c r="AD134" s="391"/>
      <c r="AE134" s="391"/>
      <c r="AF134" s="316"/>
      <c r="AG134" s="316"/>
      <c r="AH134" s="316"/>
      <c r="AI134" s="316"/>
      <c r="AJ134" s="316"/>
      <c r="AK134" s="316"/>
    </row>
    <row r="135" spans="1:37" s="392" customFormat="1" hidden="1" outlineLevel="1">
      <c r="A135" s="388"/>
      <c r="B135" s="389">
        <f>ROUND(B134,0)</f>
        <v>32</v>
      </c>
      <c r="C135" s="389">
        <f>ROUND(C134,0)</f>
        <v>14</v>
      </c>
      <c r="D135" s="389">
        <f>ROUND(D134,0)</f>
        <v>3</v>
      </c>
      <c r="E135" s="389"/>
      <c r="F135" s="389"/>
      <c r="G135" s="389"/>
      <c r="H135" s="389"/>
      <c r="I135" s="390"/>
      <c r="J135" s="390"/>
      <c r="K135" s="391" t="s">
        <v>422</v>
      </c>
      <c r="L135" s="391"/>
      <c r="M135" s="391"/>
      <c r="N135" s="391"/>
      <c r="O135" s="391"/>
      <c r="P135" s="391"/>
      <c r="Q135" s="391"/>
      <c r="R135" s="391"/>
      <c r="S135" s="391"/>
      <c r="T135" s="389">
        <f>ROUND(T134,0)</f>
        <v>0</v>
      </c>
      <c r="U135" s="391"/>
      <c r="V135" s="391"/>
      <c r="W135" s="391"/>
      <c r="X135" s="391">
        <f>+AA134</f>
        <v>4.166666666666667</v>
      </c>
      <c r="Y135" s="391">
        <f>+AB134</f>
        <v>1.8333333333333333</v>
      </c>
      <c r="Z135" s="391">
        <f>+AC134</f>
        <v>31.583333333333332</v>
      </c>
      <c r="AA135" s="391" t="s">
        <v>782</v>
      </c>
      <c r="AB135" s="391"/>
      <c r="AC135" s="391"/>
      <c r="AD135" s="391"/>
      <c r="AE135" s="391"/>
      <c r="AF135" s="316"/>
      <c r="AG135" s="316"/>
      <c r="AH135" s="316"/>
      <c r="AI135" s="316"/>
      <c r="AJ135" s="316"/>
      <c r="AK135" s="316"/>
    </row>
    <row r="136" spans="1:37" s="392" customFormat="1" ht="16.5" hidden="1" outlineLevel="1" thickBot="1">
      <c r="A136" s="395" t="s">
        <v>423</v>
      </c>
      <c r="B136" s="396">
        <f>B135+C135+D135+T135</f>
        <v>49</v>
      </c>
      <c r="C136" s="392" t="s">
        <v>424</v>
      </c>
      <c r="D136" s="388"/>
      <c r="E136" s="390"/>
      <c r="F136" s="390"/>
      <c r="G136" s="388"/>
      <c r="H136" s="390">
        <v>8.3333333333333339</v>
      </c>
      <c r="I136" s="390">
        <v>3.0833333333333335</v>
      </c>
      <c r="J136" s="390">
        <v>5.333333333333333</v>
      </c>
      <c r="K136" s="391"/>
      <c r="L136" s="391"/>
      <c r="M136" s="391">
        <v>5.916666666666667</v>
      </c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4">
        <f>SUM(X134:X135)</f>
        <v>27.666666666666668</v>
      </c>
      <c r="Y136" s="394">
        <f>SUM(Y134:Y135)</f>
        <v>2.25</v>
      </c>
      <c r="Z136" s="394">
        <f>SUM(Z134:Z135)</f>
        <v>154.66666666666666</v>
      </c>
      <c r="AA136" s="391"/>
      <c r="AB136" s="391"/>
      <c r="AC136" s="391"/>
      <c r="AD136" s="391"/>
      <c r="AE136" s="391"/>
      <c r="AF136" s="316"/>
      <c r="AG136" s="316"/>
      <c r="AH136" s="316"/>
      <c r="AI136" s="316"/>
      <c r="AJ136" s="316"/>
      <c r="AK136" s="316"/>
    </row>
    <row r="137" spans="1:37" s="392" customFormat="1" hidden="1" outlineLevel="1">
      <c r="A137" s="397"/>
      <c r="B137" s="398"/>
      <c r="C137" s="399"/>
      <c r="D137" s="388"/>
      <c r="E137" s="390"/>
      <c r="F137" s="390"/>
      <c r="G137" s="388"/>
      <c r="H137" s="390" t="s">
        <v>425</v>
      </c>
      <c r="I137" s="390"/>
      <c r="J137" s="390"/>
      <c r="K137" s="391">
        <f>SUM(H136:M136)</f>
        <v>22.666666666666668</v>
      </c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  <c r="AA137" s="391"/>
      <c r="AB137" s="391"/>
      <c r="AC137" s="391"/>
      <c r="AD137" s="391"/>
      <c r="AE137" s="391"/>
      <c r="AF137" s="316"/>
      <c r="AG137" s="316"/>
      <c r="AH137" s="316"/>
      <c r="AI137" s="316"/>
      <c r="AJ137" s="316"/>
      <c r="AK137" s="316"/>
    </row>
    <row r="138" spans="1:37" s="392" customFormat="1" ht="15.75" customHeight="1" collapsed="1" thickBot="1">
      <c r="A138" s="400"/>
      <c r="B138" s="401"/>
      <c r="C138" s="402"/>
      <c r="D138" s="403"/>
      <c r="E138" s="403"/>
      <c r="F138" s="390"/>
      <c r="G138" s="388"/>
      <c r="H138" s="390"/>
      <c r="I138" s="315"/>
      <c r="J138" s="316"/>
      <c r="K138" s="316"/>
      <c r="L138" s="316"/>
      <c r="M138" s="316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/>
      <c r="AD138" s="391"/>
      <c r="AE138" s="391"/>
      <c r="AF138" s="316"/>
      <c r="AG138" s="316"/>
      <c r="AH138" s="316"/>
      <c r="AI138" s="316"/>
      <c r="AJ138" s="316"/>
      <c r="AK138" s="316"/>
    </row>
    <row r="139" spans="1:37" s="289" customFormat="1">
      <c r="A139" s="388"/>
      <c r="B139" s="389"/>
      <c r="C139" s="388"/>
      <c r="D139" s="388"/>
      <c r="E139" s="390"/>
      <c r="F139" s="390"/>
      <c r="G139" s="388"/>
      <c r="H139" s="390"/>
      <c r="I139" s="315"/>
      <c r="J139" s="316"/>
      <c r="K139" s="316"/>
      <c r="L139" s="316"/>
      <c r="M139" s="316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277"/>
      <c r="AG139" s="277"/>
      <c r="AH139" s="277"/>
      <c r="AI139" s="277"/>
      <c r="AJ139" s="277"/>
      <c r="AK139" s="277"/>
    </row>
    <row r="140" spans="1:37" s="289" customFormat="1">
      <c r="A140" s="388"/>
      <c r="B140" s="389"/>
      <c r="C140" s="388"/>
      <c r="D140" s="388"/>
      <c r="E140" s="390"/>
      <c r="F140" s="390"/>
      <c r="G140" s="388"/>
      <c r="H140" s="390"/>
      <c r="I140" s="315"/>
      <c r="J140" s="316"/>
      <c r="K140" s="316"/>
      <c r="L140" s="316"/>
      <c r="M140" s="316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277"/>
      <c r="AG140" s="277"/>
      <c r="AH140" s="277"/>
      <c r="AI140" s="277"/>
      <c r="AJ140" s="277"/>
      <c r="AK140" s="277"/>
    </row>
    <row r="141" spans="1:37" s="289" customFormat="1">
      <c r="A141" s="388"/>
      <c r="B141" s="389"/>
      <c r="C141" s="388"/>
      <c r="D141" s="388"/>
      <c r="E141" s="390"/>
      <c r="F141" s="390"/>
      <c r="G141" s="388"/>
      <c r="H141" s="390"/>
      <c r="I141" s="315"/>
      <c r="J141" s="316"/>
      <c r="K141" s="316"/>
      <c r="L141" s="316"/>
      <c r="M141" s="316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277"/>
      <c r="AG141" s="277"/>
      <c r="AH141" s="277"/>
      <c r="AI141" s="277"/>
      <c r="AJ141" s="277"/>
      <c r="AK141" s="277"/>
    </row>
    <row r="142" spans="1:37" s="289" customFormat="1">
      <c r="A142" s="286"/>
      <c r="B142" s="346"/>
      <c r="C142" s="286"/>
      <c r="D142" s="286"/>
      <c r="E142" s="286"/>
      <c r="F142" s="286"/>
      <c r="G142" s="286"/>
      <c r="H142" s="286"/>
      <c r="I142" s="315"/>
      <c r="J142" s="316"/>
      <c r="K142" s="316"/>
      <c r="L142" s="316"/>
      <c r="M142" s="316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</row>
    <row r="143" spans="1:37" s="289" customFormat="1">
      <c r="A143" s="286"/>
      <c r="B143" s="346"/>
      <c r="C143" s="286"/>
      <c r="D143" s="286"/>
      <c r="E143" s="286"/>
      <c r="F143" s="286"/>
      <c r="G143" s="286"/>
      <c r="H143" s="286"/>
      <c r="I143" s="315"/>
      <c r="J143" s="316"/>
      <c r="K143" s="316"/>
      <c r="L143" s="316"/>
      <c r="M143" s="316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</row>
    <row r="144" spans="1:37" s="289" customFormat="1">
      <c r="A144" s="286"/>
      <c r="B144" s="404" t="e">
        <f>B136-C144</f>
        <v>#REF!</v>
      </c>
      <c r="C144" s="405" t="e">
        <f>B136*#REF!/#REF!</f>
        <v>#REF!</v>
      </c>
      <c r="D144" s="286"/>
      <c r="E144" s="286"/>
      <c r="F144" s="286"/>
      <c r="G144" s="286"/>
      <c r="H144" s="286"/>
      <c r="I144" s="315"/>
      <c r="J144" s="316"/>
      <c r="K144" s="316"/>
      <c r="L144" s="316"/>
      <c r="M144" s="316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</row>
    <row r="145" spans="1:37" s="289" customFormat="1">
      <c r="A145" s="286"/>
      <c r="B145" s="346" t="e">
        <f>B144/B136</f>
        <v>#REF!</v>
      </c>
      <c r="C145" s="286" t="e">
        <f>C144/B136</f>
        <v>#REF!</v>
      </c>
      <c r="D145" s="286"/>
      <c r="E145" s="286"/>
      <c r="F145" s="286"/>
      <c r="G145" s="286"/>
      <c r="H145" s="286"/>
      <c r="I145" s="315"/>
      <c r="J145" s="316"/>
      <c r="K145" s="316"/>
      <c r="L145" s="316"/>
      <c r="M145" s="316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</row>
    <row r="146" spans="1:37" s="289" customFormat="1">
      <c r="A146" s="286"/>
      <c r="B146" s="346"/>
      <c r="C146" s="286"/>
      <c r="D146" s="286"/>
      <c r="E146" s="286"/>
      <c r="F146" s="286"/>
      <c r="G146" s="286"/>
      <c r="H146" s="286"/>
      <c r="I146" s="315"/>
      <c r="J146" s="316"/>
      <c r="K146" s="316"/>
      <c r="L146" s="316"/>
      <c r="M146" s="316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</row>
    <row r="147" spans="1:37" s="289" customFormat="1">
      <c r="A147" s="286"/>
      <c r="B147" s="346"/>
      <c r="C147" s="286"/>
      <c r="D147" s="286"/>
      <c r="E147" s="286"/>
      <c r="F147" s="286"/>
      <c r="G147" s="286"/>
      <c r="H147" s="286"/>
      <c r="I147" s="315"/>
      <c r="J147" s="316"/>
      <c r="K147" s="316"/>
      <c r="L147" s="316"/>
      <c r="M147" s="316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</row>
    <row r="148" spans="1:37" s="289" customFormat="1">
      <c r="A148" s="286"/>
      <c r="B148" s="346"/>
      <c r="C148" s="286"/>
      <c r="D148" s="286"/>
      <c r="E148" s="286"/>
      <c r="F148" s="286"/>
      <c r="G148" s="286"/>
      <c r="H148" s="286"/>
      <c r="I148" s="286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</row>
    <row r="149" spans="1:37" s="289" customFormat="1">
      <c r="A149" s="286"/>
      <c r="B149" s="346"/>
      <c r="C149" s="286"/>
      <c r="D149" s="286"/>
      <c r="E149" s="286"/>
      <c r="F149" s="286"/>
      <c r="G149" s="286"/>
      <c r="H149" s="286"/>
      <c r="I149" s="286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</row>
    <row r="150" spans="1:37" s="289" customFormat="1">
      <c r="A150" s="286"/>
      <c r="B150" s="346"/>
      <c r="C150" s="286"/>
      <c r="D150" s="286"/>
      <c r="E150" s="286"/>
      <c r="F150" s="286"/>
      <c r="G150" s="286"/>
      <c r="H150" s="286"/>
      <c r="I150" s="286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</row>
    <row r="151" spans="1:37" s="289" customFormat="1">
      <c r="A151" s="286"/>
      <c r="B151" s="346"/>
      <c r="C151" s="286"/>
      <c r="D151" s="286"/>
      <c r="E151" s="286"/>
      <c r="F151" s="286"/>
      <c r="G151" s="286"/>
      <c r="H151" s="286"/>
      <c r="I151" s="286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</row>
    <row r="152" spans="1:37" s="289" customFormat="1">
      <c r="A152" s="286"/>
      <c r="B152" s="346"/>
      <c r="C152" s="286"/>
      <c r="D152" s="286"/>
      <c r="E152" s="286"/>
      <c r="F152" s="286"/>
      <c r="G152" s="286"/>
      <c r="H152" s="286"/>
      <c r="I152" s="286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</row>
    <row r="153" spans="1:37" s="289" customFormat="1">
      <c r="A153" s="286"/>
      <c r="B153" s="346"/>
      <c r="C153" s="286"/>
      <c r="D153" s="286"/>
      <c r="E153" s="286"/>
      <c r="F153" s="286"/>
      <c r="G153" s="286"/>
      <c r="H153" s="286"/>
      <c r="I153" s="286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</row>
    <row r="154" spans="1:37" s="289" customFormat="1">
      <c r="A154" s="286"/>
      <c r="B154" s="346"/>
      <c r="C154" s="286"/>
      <c r="D154" s="286"/>
      <c r="E154" s="286"/>
      <c r="F154" s="286"/>
      <c r="G154" s="286"/>
      <c r="H154" s="286"/>
      <c r="I154" s="286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</row>
    <row r="155" spans="1:37" s="289" customFormat="1">
      <c r="A155" s="286"/>
      <c r="B155" s="346"/>
      <c r="C155" s="286"/>
      <c r="D155" s="286"/>
      <c r="E155" s="286"/>
      <c r="F155" s="286"/>
      <c r="G155" s="286"/>
      <c r="H155" s="301"/>
      <c r="I155" s="301"/>
      <c r="J155" s="279"/>
      <c r="K155" s="279"/>
      <c r="L155" s="279"/>
      <c r="M155" s="279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</row>
    <row r="156" spans="1:37" s="289" customFormat="1">
      <c r="A156" s="286"/>
      <c r="B156" s="346"/>
      <c r="C156" s="286"/>
      <c r="D156" s="286"/>
      <c r="E156" s="286"/>
      <c r="F156" s="286"/>
      <c r="G156" s="286"/>
      <c r="H156" s="301"/>
      <c r="I156" s="301"/>
      <c r="J156" s="279"/>
      <c r="K156" s="279"/>
      <c r="L156" s="279"/>
      <c r="M156" s="279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</row>
    <row r="157" spans="1:37" s="289" customFormat="1">
      <c r="A157" s="286"/>
      <c r="B157" s="346"/>
      <c r="C157" s="286"/>
      <c r="D157" s="286"/>
      <c r="E157" s="286"/>
      <c r="F157" s="286"/>
      <c r="G157" s="286"/>
      <c r="H157" s="301"/>
      <c r="I157" s="301"/>
      <c r="J157" s="279"/>
      <c r="K157" s="279"/>
      <c r="L157" s="279"/>
      <c r="M157" s="279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</row>
    <row r="158" spans="1:37" s="289" customFormat="1">
      <c r="A158" s="286"/>
      <c r="B158" s="346"/>
      <c r="C158" s="286"/>
      <c r="D158" s="286"/>
      <c r="E158" s="286"/>
      <c r="F158" s="286"/>
      <c r="G158" s="286"/>
      <c r="H158" s="323"/>
      <c r="I158" s="406"/>
      <c r="J158" s="406"/>
      <c r="K158" s="406"/>
      <c r="L158" s="406"/>
      <c r="M158" s="406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</row>
    <row r="159" spans="1:37" s="289" customFormat="1">
      <c r="A159" s="286"/>
      <c r="B159" s="346"/>
      <c r="C159" s="286"/>
      <c r="D159" s="286"/>
      <c r="E159" s="286"/>
      <c r="F159" s="286"/>
      <c r="G159" s="286"/>
      <c r="H159" s="323"/>
      <c r="I159" s="406"/>
      <c r="J159" s="406"/>
      <c r="K159" s="406"/>
      <c r="L159" s="406"/>
      <c r="M159" s="406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</row>
    <row r="160" spans="1:37" s="289" customFormat="1">
      <c r="A160" s="286"/>
      <c r="B160" s="346"/>
      <c r="C160" s="286"/>
      <c r="D160" s="286"/>
      <c r="E160" s="286"/>
      <c r="F160" s="286"/>
      <c r="G160" s="286"/>
      <c r="H160" s="323"/>
      <c r="I160" s="406"/>
      <c r="J160" s="406"/>
      <c r="K160" s="406"/>
      <c r="L160" s="406"/>
      <c r="M160" s="406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</row>
    <row r="161" spans="1:37" s="289" customFormat="1">
      <c r="A161" s="286"/>
      <c r="B161" s="346"/>
      <c r="C161" s="286"/>
      <c r="D161" s="286"/>
      <c r="E161" s="286"/>
      <c r="F161" s="286"/>
      <c r="G161" s="286"/>
      <c r="H161" s="323"/>
      <c r="I161" s="406"/>
      <c r="J161" s="406"/>
      <c r="K161" s="406"/>
      <c r="L161" s="406"/>
      <c r="M161" s="406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</row>
    <row r="162" spans="1:37" s="289" customFormat="1">
      <c r="A162" s="286"/>
      <c r="B162" s="346"/>
      <c r="C162" s="286"/>
      <c r="D162" s="286"/>
      <c r="E162" s="286"/>
      <c r="F162" s="286"/>
      <c r="G162" s="286"/>
      <c r="H162" s="323"/>
      <c r="I162" s="406"/>
      <c r="J162" s="406"/>
      <c r="K162" s="406"/>
      <c r="L162" s="406"/>
      <c r="M162" s="406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</row>
    <row r="163" spans="1:37" s="289" customFormat="1">
      <c r="A163" s="286"/>
      <c r="B163" s="346"/>
      <c r="C163" s="286"/>
      <c r="D163" s="286"/>
      <c r="E163" s="286"/>
      <c r="F163" s="286"/>
      <c r="G163" s="286"/>
      <c r="H163" s="323"/>
      <c r="I163" s="406"/>
      <c r="J163" s="406"/>
      <c r="K163" s="406"/>
      <c r="L163" s="406"/>
      <c r="M163" s="406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</row>
    <row r="164" spans="1:37" s="289" customFormat="1">
      <c r="A164" s="286"/>
      <c r="B164" s="346"/>
      <c r="C164" s="286"/>
      <c r="D164" s="286"/>
      <c r="E164" s="286"/>
      <c r="F164" s="286"/>
      <c r="G164" s="286"/>
      <c r="H164" s="323"/>
      <c r="I164" s="406"/>
      <c r="J164" s="406"/>
      <c r="K164" s="406"/>
      <c r="L164" s="406"/>
      <c r="M164" s="406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7"/>
    </row>
    <row r="165" spans="1:37" s="289" customFormat="1">
      <c r="A165" s="286"/>
      <c r="B165" s="346"/>
      <c r="C165" s="286"/>
      <c r="D165" s="286"/>
      <c r="E165" s="286"/>
      <c r="F165" s="286"/>
      <c r="G165" s="286"/>
      <c r="H165" s="323"/>
      <c r="I165" s="406"/>
      <c r="J165" s="406"/>
      <c r="K165" s="406"/>
      <c r="L165" s="406"/>
      <c r="M165" s="406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  <c r="AA165" s="277"/>
      <c r="AB165" s="277"/>
      <c r="AC165" s="277"/>
      <c r="AD165" s="277"/>
      <c r="AE165" s="277"/>
      <c r="AF165" s="277"/>
      <c r="AG165" s="277"/>
      <c r="AH165" s="277"/>
      <c r="AI165" s="277"/>
      <c r="AJ165" s="277"/>
      <c r="AK165" s="277"/>
    </row>
    <row r="166" spans="1:37" s="289" customFormat="1">
      <c r="A166" s="286"/>
      <c r="B166" s="346"/>
      <c r="C166" s="286"/>
      <c r="D166" s="286"/>
      <c r="E166" s="286"/>
      <c r="F166" s="286"/>
      <c r="G166" s="286"/>
      <c r="H166" s="323"/>
      <c r="I166" s="406"/>
      <c r="J166" s="406"/>
      <c r="K166" s="406"/>
      <c r="L166" s="406"/>
      <c r="M166" s="406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  <c r="AA166" s="277"/>
      <c r="AB166" s="277"/>
      <c r="AC166" s="277"/>
      <c r="AD166" s="277"/>
      <c r="AE166" s="277"/>
      <c r="AF166" s="277"/>
      <c r="AG166" s="277"/>
      <c r="AH166" s="277"/>
      <c r="AI166" s="277"/>
      <c r="AJ166" s="277"/>
      <c r="AK166" s="277"/>
    </row>
    <row r="167" spans="1:37" s="289" customFormat="1">
      <c r="A167" s="286"/>
      <c r="B167" s="346"/>
      <c r="C167" s="286"/>
      <c r="D167" s="286"/>
      <c r="E167" s="286"/>
      <c r="F167" s="286"/>
      <c r="G167" s="286"/>
      <c r="H167" s="323"/>
      <c r="I167" s="406"/>
      <c r="J167" s="406"/>
      <c r="K167" s="406"/>
      <c r="L167" s="406"/>
      <c r="M167" s="406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  <c r="AA167" s="277"/>
      <c r="AB167" s="277"/>
      <c r="AC167" s="277"/>
      <c r="AD167" s="277"/>
      <c r="AE167" s="277"/>
      <c r="AF167" s="277"/>
      <c r="AG167" s="277"/>
      <c r="AH167" s="277"/>
      <c r="AI167" s="277"/>
      <c r="AJ167" s="277"/>
      <c r="AK167" s="277"/>
    </row>
    <row r="168" spans="1:37" s="289" customFormat="1">
      <c r="A168" s="286"/>
      <c r="B168" s="346"/>
      <c r="C168" s="286"/>
      <c r="D168" s="286"/>
      <c r="E168" s="286"/>
      <c r="F168" s="286"/>
      <c r="G168" s="286"/>
      <c r="H168" s="323"/>
      <c r="I168" s="406"/>
      <c r="J168" s="406"/>
      <c r="K168" s="406"/>
      <c r="L168" s="406"/>
      <c r="M168" s="406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</row>
    <row r="169" spans="1:37" s="289" customFormat="1">
      <c r="A169" s="286"/>
      <c r="B169" s="346"/>
      <c r="C169" s="286"/>
      <c r="D169" s="286"/>
      <c r="E169" s="286"/>
      <c r="F169" s="286"/>
      <c r="G169" s="286"/>
      <c r="H169" s="323"/>
      <c r="I169" s="406"/>
      <c r="J169" s="406"/>
      <c r="K169" s="406"/>
      <c r="L169" s="406"/>
      <c r="M169" s="406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</row>
    <row r="170" spans="1:37" s="289" customFormat="1">
      <c r="A170" s="286"/>
      <c r="B170" s="346"/>
      <c r="C170" s="286"/>
      <c r="D170" s="286"/>
      <c r="E170" s="286"/>
      <c r="F170" s="286"/>
      <c r="G170" s="286"/>
      <c r="H170" s="323"/>
      <c r="I170" s="390"/>
      <c r="J170" s="390"/>
      <c r="K170" s="390"/>
      <c r="L170" s="390"/>
      <c r="M170" s="390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</row>
    <row r="171" spans="1:37" s="289" customFormat="1">
      <c r="A171" s="286"/>
      <c r="B171" s="346"/>
      <c r="C171" s="286"/>
      <c r="D171" s="286"/>
      <c r="E171" s="286"/>
      <c r="F171" s="286"/>
      <c r="G171" s="286"/>
      <c r="H171" s="323"/>
      <c r="I171" s="390"/>
      <c r="J171" s="390"/>
      <c r="K171" s="390"/>
      <c r="L171" s="390"/>
      <c r="M171" s="390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</row>
    <row r="172" spans="1:37" s="289" customFormat="1">
      <c r="A172" s="286"/>
      <c r="B172" s="346"/>
      <c r="C172" s="286"/>
      <c r="D172" s="286"/>
      <c r="E172" s="286"/>
      <c r="F172" s="286"/>
      <c r="G172" s="286"/>
      <c r="H172" s="301"/>
      <c r="I172" s="390"/>
      <c r="J172" s="390"/>
      <c r="K172" s="390"/>
      <c r="L172" s="390"/>
      <c r="M172" s="390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</row>
    <row r="173" spans="1:37" s="289" customFormat="1">
      <c r="A173" s="286"/>
      <c r="B173" s="346"/>
      <c r="C173" s="286"/>
      <c r="D173" s="286"/>
      <c r="E173" s="286"/>
      <c r="F173" s="286"/>
      <c r="G173" s="286"/>
      <c r="H173" s="301"/>
      <c r="I173" s="390"/>
      <c r="J173" s="390"/>
      <c r="K173" s="390"/>
      <c r="L173" s="390"/>
      <c r="M173" s="390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</row>
    <row r="174" spans="1:37" s="289" customFormat="1">
      <c r="A174" s="286"/>
      <c r="B174" s="346"/>
      <c r="C174" s="286"/>
      <c r="D174" s="286"/>
      <c r="E174" s="286"/>
      <c r="F174" s="286"/>
      <c r="G174" s="286"/>
      <c r="H174" s="286"/>
      <c r="I174" s="286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</row>
    <row r="175" spans="1:37" s="289" customFormat="1">
      <c r="A175" s="286"/>
      <c r="B175" s="346"/>
      <c r="C175" s="286"/>
      <c r="D175" s="286"/>
      <c r="E175" s="286"/>
      <c r="F175" s="286"/>
      <c r="G175" s="286"/>
      <c r="H175" s="286"/>
      <c r="I175" s="286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</row>
    <row r="176" spans="1:37" s="289" customFormat="1">
      <c r="A176" s="286"/>
      <c r="B176" s="346"/>
      <c r="C176" s="286"/>
      <c r="D176" s="286"/>
      <c r="E176" s="286"/>
      <c r="F176" s="286"/>
      <c r="G176" s="286"/>
      <c r="H176" s="286"/>
      <c r="I176" s="286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</row>
    <row r="177" spans="1:37" s="289" customFormat="1">
      <c r="A177" s="286"/>
      <c r="B177" s="346"/>
      <c r="C177" s="286"/>
      <c r="D177" s="286"/>
      <c r="E177" s="286"/>
      <c r="F177" s="286"/>
      <c r="G177" s="286"/>
      <c r="H177" s="286"/>
      <c r="I177" s="286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</row>
    <row r="178" spans="1:37" s="289" customFormat="1">
      <c r="A178" s="286"/>
      <c r="B178" s="346"/>
      <c r="C178" s="286"/>
      <c r="D178" s="286"/>
      <c r="E178" s="286"/>
      <c r="F178" s="286"/>
      <c r="G178" s="286"/>
      <c r="H178" s="286"/>
      <c r="I178" s="286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</row>
    <row r="179" spans="1:37" s="289" customFormat="1">
      <c r="A179" s="286"/>
      <c r="B179" s="346"/>
      <c r="C179" s="286"/>
      <c r="D179" s="286"/>
      <c r="E179" s="286"/>
      <c r="F179" s="286"/>
      <c r="G179" s="286"/>
      <c r="H179" s="286"/>
      <c r="I179" s="286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</row>
    <row r="180" spans="1:37" s="289" customFormat="1">
      <c r="A180" s="286"/>
      <c r="B180" s="346"/>
      <c r="C180" s="286"/>
      <c r="D180" s="286"/>
      <c r="E180" s="286"/>
      <c r="F180" s="286"/>
      <c r="G180" s="286"/>
      <c r="H180" s="286"/>
      <c r="I180" s="286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</row>
    <row r="181" spans="1:37" s="289" customFormat="1">
      <c r="A181" s="286"/>
      <c r="B181" s="346"/>
      <c r="C181" s="286"/>
      <c r="D181" s="286"/>
      <c r="E181" s="286"/>
      <c r="F181" s="286"/>
      <c r="G181" s="286"/>
      <c r="H181" s="286"/>
      <c r="I181" s="286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</row>
    <row r="182" spans="1:37" s="289" customFormat="1">
      <c r="A182" s="286"/>
      <c r="B182" s="346"/>
      <c r="C182" s="286"/>
      <c r="D182" s="286"/>
      <c r="E182" s="286"/>
      <c r="F182" s="286"/>
      <c r="G182" s="286"/>
      <c r="H182" s="286"/>
      <c r="I182" s="286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</row>
    <row r="183" spans="1:37" s="289" customFormat="1">
      <c r="A183" s="286"/>
      <c r="B183" s="346"/>
      <c r="C183" s="286"/>
      <c r="D183" s="286"/>
      <c r="E183" s="286"/>
      <c r="F183" s="286"/>
      <c r="G183" s="286"/>
      <c r="H183" s="286"/>
      <c r="I183" s="286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</row>
    <row r="184" spans="1:37" s="289" customFormat="1">
      <c r="A184" s="286"/>
      <c r="B184" s="346"/>
      <c r="C184" s="286"/>
      <c r="D184" s="286"/>
      <c r="E184" s="286"/>
      <c r="F184" s="286"/>
      <c r="G184" s="286"/>
      <c r="H184" s="286"/>
      <c r="I184" s="286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</row>
    <row r="185" spans="1:37" s="289" customFormat="1">
      <c r="A185" s="286"/>
      <c r="B185" s="346"/>
      <c r="C185" s="286"/>
      <c r="D185" s="286"/>
      <c r="E185" s="286"/>
      <c r="F185" s="286"/>
      <c r="G185" s="286"/>
      <c r="H185" s="286"/>
      <c r="I185" s="286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</row>
    <row r="186" spans="1:37" s="289" customFormat="1">
      <c r="A186" s="286"/>
      <c r="B186" s="346"/>
      <c r="C186" s="286"/>
      <c r="D186" s="286"/>
      <c r="E186" s="286"/>
      <c r="F186" s="286"/>
      <c r="G186" s="286"/>
      <c r="H186" s="286"/>
      <c r="I186" s="286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</row>
    <row r="187" spans="1:37" s="289" customFormat="1">
      <c r="A187" s="286"/>
      <c r="B187" s="346"/>
      <c r="C187" s="286"/>
      <c r="D187" s="286"/>
      <c r="E187" s="286"/>
      <c r="F187" s="286"/>
      <c r="G187" s="286"/>
      <c r="H187" s="286"/>
      <c r="I187" s="286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</row>
    <row r="188" spans="1:37" s="289" customFormat="1">
      <c r="A188" s="286"/>
      <c r="B188" s="346"/>
      <c r="C188" s="286"/>
      <c r="D188" s="286"/>
      <c r="E188" s="286"/>
      <c r="F188" s="286"/>
      <c r="G188" s="286"/>
      <c r="H188" s="286"/>
      <c r="I188" s="286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</row>
    <row r="189" spans="1:37" s="289" customFormat="1">
      <c r="A189" s="286"/>
      <c r="B189" s="346"/>
      <c r="C189" s="286"/>
      <c r="D189" s="286"/>
      <c r="E189" s="286"/>
      <c r="F189" s="286"/>
      <c r="G189" s="286"/>
      <c r="H189" s="286"/>
      <c r="I189" s="286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</row>
    <row r="190" spans="1:37" s="289" customFormat="1">
      <c r="A190" s="286"/>
      <c r="B190" s="346"/>
      <c r="C190" s="286"/>
      <c r="D190" s="286"/>
      <c r="E190" s="286"/>
      <c r="F190" s="286"/>
      <c r="G190" s="286"/>
      <c r="H190" s="286"/>
      <c r="I190" s="286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</row>
    <row r="191" spans="1:37" s="289" customFormat="1">
      <c r="A191" s="286"/>
      <c r="B191" s="346"/>
      <c r="C191" s="286"/>
      <c r="D191" s="286"/>
      <c r="E191" s="286"/>
      <c r="F191" s="286"/>
      <c r="G191" s="286"/>
      <c r="H191" s="286"/>
      <c r="I191" s="286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</row>
    <row r="192" spans="1:37" s="289" customFormat="1">
      <c r="A192" s="286"/>
      <c r="B192" s="346"/>
      <c r="C192" s="286"/>
      <c r="D192" s="286"/>
      <c r="E192" s="286"/>
      <c r="F192" s="286"/>
      <c r="G192" s="286"/>
      <c r="H192" s="286"/>
      <c r="I192" s="286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</row>
    <row r="193" spans="1:37" s="289" customFormat="1">
      <c r="A193" s="286"/>
      <c r="B193" s="346"/>
      <c r="C193" s="286"/>
      <c r="D193" s="286"/>
      <c r="E193" s="286"/>
      <c r="F193" s="286"/>
      <c r="G193" s="286"/>
      <c r="H193" s="286"/>
      <c r="I193" s="286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</row>
    <row r="194" spans="1:37" s="289" customFormat="1">
      <c r="A194" s="286"/>
      <c r="B194" s="346"/>
      <c r="C194" s="286"/>
      <c r="D194" s="286"/>
      <c r="E194" s="286"/>
      <c r="F194" s="286"/>
      <c r="G194" s="286"/>
      <c r="H194" s="286"/>
      <c r="I194" s="286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</row>
    <row r="195" spans="1:37" s="289" customFormat="1">
      <c r="A195" s="286"/>
      <c r="B195" s="346"/>
      <c r="C195" s="286"/>
      <c r="D195" s="286"/>
      <c r="E195" s="286"/>
      <c r="F195" s="286"/>
      <c r="G195" s="286"/>
      <c r="H195" s="286"/>
      <c r="I195" s="286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</row>
    <row r="196" spans="1:37" s="289" customFormat="1">
      <c r="A196" s="286"/>
      <c r="B196" s="346"/>
      <c r="C196" s="286"/>
      <c r="D196" s="286"/>
      <c r="E196" s="286"/>
      <c r="F196" s="286"/>
      <c r="G196" s="286"/>
      <c r="H196" s="286"/>
      <c r="I196" s="286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</row>
    <row r="197" spans="1:37" s="289" customFormat="1">
      <c r="A197" s="286"/>
      <c r="B197" s="346"/>
      <c r="C197" s="286"/>
      <c r="D197" s="286"/>
      <c r="E197" s="286"/>
      <c r="F197" s="286"/>
      <c r="G197" s="286"/>
      <c r="H197" s="286"/>
      <c r="I197" s="286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</row>
    <row r="198" spans="1:37" s="289" customFormat="1">
      <c r="A198" s="286"/>
      <c r="B198" s="346"/>
      <c r="C198" s="286"/>
      <c r="D198" s="286"/>
      <c r="E198" s="286"/>
      <c r="F198" s="286"/>
      <c r="G198" s="286"/>
      <c r="H198" s="286"/>
      <c r="I198" s="286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</row>
    <row r="199" spans="1:37" s="289" customFormat="1">
      <c r="A199" s="286"/>
      <c r="B199" s="346"/>
      <c r="C199" s="286"/>
      <c r="D199" s="286"/>
      <c r="E199" s="286"/>
      <c r="F199" s="286"/>
      <c r="G199" s="286"/>
      <c r="H199" s="286"/>
      <c r="I199" s="286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</row>
    <row r="200" spans="1:37" s="289" customFormat="1">
      <c r="A200" s="286"/>
      <c r="B200" s="346"/>
      <c r="C200" s="286"/>
      <c r="D200" s="286"/>
      <c r="E200" s="286"/>
      <c r="F200" s="286"/>
      <c r="G200" s="286"/>
      <c r="H200" s="286"/>
      <c r="I200" s="286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</row>
    <row r="201" spans="1:37" s="289" customFormat="1">
      <c r="A201" s="286"/>
      <c r="B201" s="346"/>
      <c r="C201" s="286"/>
      <c r="D201" s="286"/>
      <c r="E201" s="286"/>
      <c r="F201" s="286"/>
      <c r="G201" s="286"/>
      <c r="H201" s="286"/>
      <c r="I201" s="286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  <c r="AA201" s="277"/>
      <c r="AB201" s="277"/>
      <c r="AC201" s="277"/>
      <c r="AD201" s="277"/>
      <c r="AE201" s="277"/>
      <c r="AF201" s="277"/>
      <c r="AG201" s="277"/>
      <c r="AH201" s="277"/>
      <c r="AI201" s="277"/>
      <c r="AJ201" s="277"/>
      <c r="AK201" s="277"/>
    </row>
    <row r="202" spans="1:37" s="289" customFormat="1">
      <c r="A202" s="286"/>
      <c r="B202" s="346"/>
      <c r="C202" s="286"/>
      <c r="D202" s="286"/>
      <c r="E202" s="286"/>
      <c r="F202" s="286"/>
      <c r="G202" s="286"/>
      <c r="H202" s="286"/>
      <c r="I202" s="286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  <c r="AA202" s="277"/>
      <c r="AB202" s="277"/>
      <c r="AC202" s="277"/>
      <c r="AD202" s="277"/>
      <c r="AE202" s="277"/>
      <c r="AF202" s="277"/>
      <c r="AG202" s="277"/>
      <c r="AH202" s="277"/>
      <c r="AI202" s="277"/>
      <c r="AJ202" s="277"/>
      <c r="AK202" s="277"/>
    </row>
    <row r="203" spans="1:37" s="289" customFormat="1">
      <c r="A203" s="286"/>
      <c r="B203" s="346"/>
      <c r="C203" s="286"/>
      <c r="D203" s="286"/>
      <c r="E203" s="286"/>
      <c r="F203" s="286"/>
      <c r="G203" s="286"/>
      <c r="H203" s="286"/>
      <c r="I203" s="286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  <c r="AA203" s="277"/>
      <c r="AB203" s="277"/>
      <c r="AC203" s="277"/>
      <c r="AD203" s="277"/>
      <c r="AE203" s="277"/>
      <c r="AF203" s="277"/>
      <c r="AG203" s="277"/>
      <c r="AH203" s="277"/>
      <c r="AI203" s="277"/>
      <c r="AJ203" s="277"/>
      <c r="AK203" s="277"/>
    </row>
    <row r="204" spans="1:37" s="289" customFormat="1">
      <c r="A204" s="286"/>
      <c r="B204" s="346"/>
      <c r="C204" s="286"/>
      <c r="D204" s="286"/>
      <c r="E204" s="286"/>
      <c r="F204" s="286"/>
      <c r="G204" s="286"/>
      <c r="H204" s="286"/>
      <c r="I204" s="286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  <c r="AA204" s="277"/>
      <c r="AB204" s="277"/>
      <c r="AC204" s="277"/>
      <c r="AD204" s="277"/>
      <c r="AE204" s="277"/>
      <c r="AF204" s="277"/>
      <c r="AG204" s="277"/>
      <c r="AH204" s="277"/>
      <c r="AI204" s="277"/>
      <c r="AJ204" s="277"/>
      <c r="AK204" s="277"/>
    </row>
    <row r="205" spans="1:37" s="289" customFormat="1">
      <c r="A205" s="286"/>
      <c r="B205" s="346"/>
      <c r="C205" s="286"/>
      <c r="D205" s="286"/>
      <c r="E205" s="286"/>
      <c r="F205" s="286"/>
      <c r="G205" s="286"/>
      <c r="H205" s="286"/>
      <c r="I205" s="286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  <c r="AA205" s="277"/>
      <c r="AB205" s="277"/>
      <c r="AC205" s="277"/>
      <c r="AD205" s="277"/>
      <c r="AE205" s="277"/>
      <c r="AF205" s="277"/>
      <c r="AG205" s="277"/>
      <c r="AH205" s="277"/>
      <c r="AI205" s="277"/>
      <c r="AJ205" s="277"/>
      <c r="AK205" s="277"/>
    </row>
    <row r="206" spans="1:37" s="289" customFormat="1">
      <c r="A206" s="286"/>
      <c r="B206" s="346"/>
      <c r="C206" s="286"/>
      <c r="D206" s="286"/>
      <c r="E206" s="286"/>
      <c r="F206" s="286"/>
      <c r="G206" s="286"/>
      <c r="H206" s="286"/>
      <c r="I206" s="286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  <c r="AA206" s="277"/>
      <c r="AB206" s="277"/>
      <c r="AC206" s="277"/>
      <c r="AD206" s="277"/>
      <c r="AE206" s="277"/>
      <c r="AF206" s="277"/>
      <c r="AG206" s="277"/>
      <c r="AH206" s="277"/>
      <c r="AI206" s="277"/>
      <c r="AJ206" s="277"/>
      <c r="AK206" s="277"/>
    </row>
    <row r="207" spans="1:37" s="289" customFormat="1">
      <c r="A207" s="286"/>
      <c r="B207" s="346"/>
      <c r="C207" s="286"/>
      <c r="D207" s="286"/>
      <c r="E207" s="286"/>
      <c r="F207" s="286"/>
      <c r="G207" s="286"/>
      <c r="H207" s="286"/>
      <c r="I207" s="286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  <c r="AA207" s="277"/>
      <c r="AB207" s="277"/>
      <c r="AC207" s="277"/>
      <c r="AD207" s="277"/>
      <c r="AE207" s="277"/>
      <c r="AF207" s="277"/>
      <c r="AG207" s="277"/>
      <c r="AH207" s="277"/>
      <c r="AI207" s="277"/>
      <c r="AJ207" s="277"/>
      <c r="AK207" s="277"/>
    </row>
    <row r="208" spans="1:37" s="289" customFormat="1">
      <c r="A208" s="286"/>
      <c r="B208" s="346"/>
      <c r="C208" s="286"/>
      <c r="D208" s="286"/>
      <c r="E208" s="286"/>
      <c r="F208" s="286"/>
      <c r="G208" s="286"/>
      <c r="H208" s="286"/>
      <c r="I208" s="286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  <c r="AA208" s="277"/>
      <c r="AB208" s="277"/>
      <c r="AC208" s="277"/>
      <c r="AD208" s="277"/>
      <c r="AE208" s="277"/>
      <c r="AF208" s="277"/>
      <c r="AG208" s="277"/>
      <c r="AH208" s="277"/>
      <c r="AI208" s="277"/>
      <c r="AJ208" s="277"/>
      <c r="AK208" s="277"/>
    </row>
    <row r="209" spans="1:37" s="289" customFormat="1">
      <c r="A209" s="286"/>
      <c r="B209" s="346"/>
      <c r="C209" s="286"/>
      <c r="D209" s="286"/>
      <c r="E209" s="286"/>
      <c r="F209" s="286"/>
      <c r="G209" s="286"/>
      <c r="H209" s="286"/>
      <c r="I209" s="286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  <c r="AA209" s="277"/>
      <c r="AB209" s="277"/>
      <c r="AC209" s="277"/>
      <c r="AD209" s="277"/>
      <c r="AE209" s="277"/>
      <c r="AF209" s="277"/>
      <c r="AG209" s="277"/>
      <c r="AH209" s="277"/>
      <c r="AI209" s="277"/>
      <c r="AJ209" s="277"/>
      <c r="AK209" s="277"/>
    </row>
    <row r="210" spans="1:37" s="289" customFormat="1">
      <c r="A210" s="286"/>
      <c r="B210" s="346"/>
      <c r="C210" s="286"/>
      <c r="D210" s="286"/>
      <c r="E210" s="286"/>
      <c r="F210" s="286"/>
      <c r="G210" s="286"/>
      <c r="H210" s="286"/>
      <c r="I210" s="286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  <c r="AA210" s="277"/>
      <c r="AB210" s="277"/>
      <c r="AC210" s="277"/>
      <c r="AD210" s="277"/>
      <c r="AE210" s="277"/>
      <c r="AF210" s="277"/>
      <c r="AG210" s="277"/>
      <c r="AH210" s="277"/>
      <c r="AI210" s="277"/>
      <c r="AJ210" s="277"/>
      <c r="AK210" s="277"/>
    </row>
    <row r="211" spans="1:37" s="289" customFormat="1">
      <c r="A211" s="286"/>
      <c r="B211" s="346"/>
      <c r="C211" s="286"/>
      <c r="D211" s="286"/>
      <c r="E211" s="286"/>
      <c r="F211" s="286"/>
      <c r="G211" s="286"/>
      <c r="H211" s="286"/>
      <c r="I211" s="286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  <c r="AA211" s="277"/>
      <c r="AB211" s="277"/>
      <c r="AC211" s="277"/>
      <c r="AD211" s="277"/>
      <c r="AE211" s="277"/>
      <c r="AF211" s="277"/>
      <c r="AG211" s="277"/>
      <c r="AH211" s="277"/>
      <c r="AI211" s="277"/>
      <c r="AJ211" s="277"/>
      <c r="AK211" s="277"/>
    </row>
    <row r="212" spans="1:37" s="289" customFormat="1">
      <c r="A212" s="286"/>
      <c r="B212" s="346"/>
      <c r="C212" s="286"/>
      <c r="D212" s="286"/>
      <c r="E212" s="286"/>
      <c r="F212" s="286"/>
      <c r="G212" s="286"/>
      <c r="H212" s="286"/>
      <c r="I212" s="286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  <c r="AA212" s="277"/>
      <c r="AB212" s="277"/>
      <c r="AC212" s="277"/>
      <c r="AD212" s="277"/>
      <c r="AE212" s="277"/>
      <c r="AF212" s="277"/>
      <c r="AG212" s="277"/>
      <c r="AH212" s="277"/>
      <c r="AI212" s="277"/>
      <c r="AJ212" s="277"/>
      <c r="AK212" s="277"/>
    </row>
    <row r="213" spans="1:37" s="289" customFormat="1">
      <c r="A213" s="286"/>
      <c r="B213" s="346"/>
      <c r="C213" s="286"/>
      <c r="D213" s="286"/>
      <c r="E213" s="286"/>
      <c r="F213" s="286"/>
      <c r="G213" s="286"/>
      <c r="H213" s="286"/>
      <c r="I213" s="286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  <c r="AA213" s="277"/>
      <c r="AB213" s="277"/>
      <c r="AC213" s="277"/>
      <c r="AD213" s="277"/>
      <c r="AE213" s="277"/>
      <c r="AF213" s="277"/>
      <c r="AG213" s="277"/>
      <c r="AH213" s="277"/>
      <c r="AI213" s="277"/>
      <c r="AJ213" s="277"/>
      <c r="AK213" s="277"/>
    </row>
    <row r="214" spans="1:37" s="289" customFormat="1">
      <c r="A214" s="286"/>
      <c r="B214" s="346"/>
      <c r="C214" s="286"/>
      <c r="D214" s="286"/>
      <c r="E214" s="286"/>
      <c r="F214" s="286"/>
      <c r="G214" s="286"/>
      <c r="H214" s="286"/>
      <c r="I214" s="286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  <c r="AA214" s="277"/>
      <c r="AB214" s="277"/>
      <c r="AC214" s="277"/>
      <c r="AD214" s="277"/>
      <c r="AE214" s="277"/>
      <c r="AF214" s="277"/>
      <c r="AG214" s="277"/>
      <c r="AH214" s="277"/>
      <c r="AI214" s="277"/>
      <c r="AJ214" s="277"/>
      <c r="AK214" s="277"/>
    </row>
    <row r="215" spans="1:37" s="289" customFormat="1">
      <c r="A215" s="286"/>
      <c r="B215" s="346"/>
      <c r="C215" s="286"/>
      <c r="D215" s="286"/>
      <c r="E215" s="286"/>
      <c r="F215" s="286"/>
      <c r="G215" s="286"/>
      <c r="H215" s="286"/>
      <c r="I215" s="286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  <c r="AA215" s="277"/>
      <c r="AB215" s="277"/>
      <c r="AC215" s="277"/>
      <c r="AD215" s="277"/>
      <c r="AE215" s="277"/>
      <c r="AF215" s="277"/>
      <c r="AG215" s="277"/>
      <c r="AH215" s="277"/>
      <c r="AI215" s="277"/>
      <c r="AJ215" s="277"/>
      <c r="AK215" s="277"/>
    </row>
    <row r="216" spans="1:37" s="289" customFormat="1">
      <c r="A216" s="286"/>
      <c r="B216" s="346"/>
      <c r="C216" s="286"/>
      <c r="D216" s="286"/>
      <c r="E216" s="286"/>
      <c r="F216" s="286"/>
      <c r="G216" s="286"/>
      <c r="H216" s="286"/>
      <c r="I216" s="286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</row>
    <row r="217" spans="1:37" s="289" customFormat="1">
      <c r="A217" s="286"/>
      <c r="B217" s="346"/>
      <c r="C217" s="286"/>
      <c r="D217" s="286"/>
      <c r="E217" s="286"/>
      <c r="F217" s="286"/>
      <c r="G217" s="286"/>
      <c r="H217" s="286"/>
      <c r="I217" s="286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</row>
    <row r="218" spans="1:37" s="289" customFormat="1">
      <c r="A218" s="286"/>
      <c r="B218" s="346"/>
      <c r="C218" s="286"/>
      <c r="D218" s="286"/>
      <c r="E218" s="286"/>
      <c r="F218" s="286"/>
      <c r="G218" s="286"/>
      <c r="H218" s="286"/>
      <c r="I218" s="286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</row>
    <row r="219" spans="1:37" s="289" customFormat="1">
      <c r="A219" s="286"/>
      <c r="B219" s="346"/>
      <c r="C219" s="286"/>
      <c r="D219" s="286"/>
      <c r="E219" s="286"/>
      <c r="F219" s="286"/>
      <c r="G219" s="286"/>
      <c r="H219" s="286"/>
      <c r="I219" s="286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</row>
    <row r="220" spans="1:37" s="289" customFormat="1">
      <c r="A220" s="286"/>
      <c r="B220" s="346"/>
      <c r="C220" s="286"/>
      <c r="D220" s="286"/>
      <c r="E220" s="286"/>
      <c r="F220" s="286"/>
      <c r="G220" s="286"/>
      <c r="H220" s="286"/>
      <c r="I220" s="286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</row>
    <row r="221" spans="1:37" s="289" customFormat="1">
      <c r="A221" s="286"/>
      <c r="B221" s="346"/>
      <c r="C221" s="286"/>
      <c r="D221" s="286"/>
      <c r="E221" s="286"/>
      <c r="F221" s="286"/>
      <c r="G221" s="286"/>
      <c r="H221" s="286"/>
      <c r="I221" s="286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</row>
    <row r="222" spans="1:37" s="289" customFormat="1">
      <c r="A222" s="286"/>
      <c r="B222" s="346"/>
      <c r="C222" s="286"/>
      <c r="D222" s="286"/>
      <c r="E222" s="286"/>
      <c r="F222" s="286"/>
      <c r="G222" s="286"/>
      <c r="H222" s="286"/>
      <c r="I222" s="286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</row>
    <row r="223" spans="1:37" s="289" customFormat="1">
      <c r="A223" s="286"/>
      <c r="B223" s="346"/>
      <c r="C223" s="286"/>
      <c r="D223" s="286"/>
      <c r="E223" s="286"/>
      <c r="F223" s="286"/>
      <c r="G223" s="286"/>
      <c r="H223" s="286"/>
      <c r="I223" s="286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</row>
    <row r="224" spans="1:37" s="289" customFormat="1">
      <c r="A224" s="286"/>
      <c r="B224" s="346"/>
      <c r="C224" s="286"/>
      <c r="D224" s="286"/>
      <c r="E224" s="286"/>
      <c r="F224" s="286"/>
      <c r="G224" s="286"/>
      <c r="H224" s="286"/>
      <c r="I224" s="286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</row>
    <row r="225" spans="1:37" s="289" customFormat="1">
      <c r="A225" s="286"/>
      <c r="B225" s="346"/>
      <c r="C225" s="286"/>
      <c r="D225" s="286"/>
      <c r="E225" s="286"/>
      <c r="F225" s="286"/>
      <c r="G225" s="286"/>
      <c r="H225" s="286"/>
      <c r="I225" s="286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</row>
    <row r="226" spans="1:37" s="289" customFormat="1">
      <c r="A226" s="286"/>
      <c r="B226" s="346"/>
      <c r="C226" s="286"/>
      <c r="D226" s="286"/>
      <c r="E226" s="286"/>
      <c r="F226" s="286"/>
      <c r="G226" s="286"/>
      <c r="H226" s="286"/>
      <c r="I226" s="286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</row>
    <row r="227" spans="1:37" s="289" customFormat="1">
      <c r="A227" s="286"/>
      <c r="B227" s="346"/>
      <c r="C227" s="286"/>
      <c r="D227" s="286"/>
      <c r="E227" s="286"/>
      <c r="F227" s="286"/>
      <c r="G227" s="286"/>
      <c r="H227" s="286"/>
      <c r="I227" s="286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</row>
    <row r="228" spans="1:37" s="289" customFormat="1">
      <c r="A228" s="286"/>
      <c r="B228" s="346"/>
      <c r="C228" s="286"/>
      <c r="D228" s="286"/>
      <c r="E228" s="286"/>
      <c r="F228" s="286"/>
      <c r="G228" s="286"/>
      <c r="H228" s="286"/>
      <c r="I228" s="286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</row>
    <row r="229" spans="1:37" s="289" customFormat="1">
      <c r="A229" s="286"/>
      <c r="B229" s="346"/>
      <c r="C229" s="286"/>
      <c r="D229" s="286"/>
      <c r="E229" s="286"/>
      <c r="F229" s="286"/>
      <c r="G229" s="286"/>
      <c r="H229" s="286"/>
      <c r="I229" s="286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</row>
    <row r="230" spans="1:37" s="289" customFormat="1">
      <c r="A230" s="286"/>
      <c r="B230" s="346"/>
      <c r="C230" s="286"/>
      <c r="D230" s="286"/>
      <c r="E230" s="286"/>
      <c r="F230" s="286"/>
      <c r="G230" s="286"/>
      <c r="H230" s="286"/>
      <c r="I230" s="286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</row>
    <row r="231" spans="1:37" s="289" customFormat="1">
      <c r="A231" s="286"/>
      <c r="B231" s="346"/>
      <c r="C231" s="286"/>
      <c r="D231" s="286"/>
      <c r="E231" s="286"/>
      <c r="F231" s="286"/>
      <c r="G231" s="286"/>
      <c r="H231" s="286"/>
      <c r="I231" s="286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</row>
    <row r="232" spans="1:37" s="289" customFormat="1">
      <c r="A232" s="286"/>
      <c r="B232" s="346"/>
      <c r="C232" s="286"/>
      <c r="D232" s="286"/>
      <c r="E232" s="286"/>
      <c r="F232" s="286"/>
      <c r="G232" s="286"/>
      <c r="H232" s="286"/>
      <c r="I232" s="286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</row>
    <row r="233" spans="1:37" s="289" customFormat="1">
      <c r="A233" s="286"/>
      <c r="B233" s="346"/>
      <c r="C233" s="286"/>
      <c r="D233" s="286"/>
      <c r="E233" s="286"/>
      <c r="F233" s="286"/>
      <c r="G233" s="286"/>
      <c r="H233" s="286"/>
      <c r="I233" s="286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</row>
    <row r="234" spans="1:37" s="289" customFormat="1">
      <c r="A234" s="286"/>
      <c r="B234" s="346"/>
      <c r="C234" s="286"/>
      <c r="D234" s="286"/>
      <c r="E234" s="286"/>
      <c r="F234" s="286"/>
      <c r="G234" s="286"/>
      <c r="H234" s="286"/>
      <c r="I234" s="286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</row>
    <row r="235" spans="1:37" s="289" customFormat="1">
      <c r="A235" s="286"/>
      <c r="B235" s="346"/>
      <c r="C235" s="286"/>
      <c r="D235" s="286"/>
      <c r="E235" s="286"/>
      <c r="F235" s="286"/>
      <c r="G235" s="286"/>
      <c r="H235" s="286"/>
      <c r="I235" s="286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</row>
    <row r="236" spans="1:37" s="289" customFormat="1">
      <c r="A236" s="286"/>
      <c r="B236" s="346"/>
      <c r="C236" s="286"/>
      <c r="D236" s="286"/>
      <c r="E236" s="286"/>
      <c r="F236" s="286"/>
      <c r="G236" s="286"/>
      <c r="H236" s="286"/>
      <c r="I236" s="286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</row>
    <row r="237" spans="1:37" s="289" customFormat="1">
      <c r="A237" s="286"/>
      <c r="B237" s="346"/>
      <c r="C237" s="286"/>
      <c r="D237" s="286"/>
      <c r="E237" s="286"/>
      <c r="F237" s="286"/>
      <c r="G237" s="286"/>
      <c r="H237" s="286"/>
      <c r="I237" s="286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</row>
    <row r="238" spans="1:37" s="289" customFormat="1">
      <c r="A238" s="286"/>
      <c r="B238" s="346"/>
      <c r="C238" s="286"/>
      <c r="D238" s="286"/>
      <c r="E238" s="286"/>
      <c r="F238" s="286"/>
      <c r="G238" s="286"/>
      <c r="H238" s="286"/>
      <c r="I238" s="286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</row>
    <row r="239" spans="1:37" s="289" customFormat="1">
      <c r="A239" s="286"/>
      <c r="B239" s="346"/>
      <c r="C239" s="286"/>
      <c r="D239" s="286"/>
      <c r="E239" s="286"/>
      <c r="F239" s="286"/>
      <c r="G239" s="286"/>
      <c r="H239" s="286"/>
      <c r="I239" s="286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</row>
    <row r="240" spans="1:37" s="289" customFormat="1">
      <c r="A240" s="286"/>
      <c r="B240" s="346"/>
      <c r="C240" s="286"/>
      <c r="D240" s="286"/>
      <c r="E240" s="286"/>
      <c r="F240" s="286"/>
      <c r="G240" s="286"/>
      <c r="H240" s="286"/>
      <c r="I240" s="286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</row>
    <row r="241" spans="1:37" s="289" customFormat="1">
      <c r="A241" s="286"/>
      <c r="B241" s="346"/>
      <c r="C241" s="286"/>
      <c r="D241" s="286"/>
      <c r="E241" s="286"/>
      <c r="F241" s="286"/>
      <c r="G241" s="286"/>
      <c r="H241" s="286"/>
      <c r="I241" s="286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</row>
    <row r="242" spans="1:37" s="289" customFormat="1">
      <c r="A242" s="286"/>
      <c r="B242" s="346"/>
      <c r="C242" s="286"/>
      <c r="D242" s="286"/>
      <c r="E242" s="286"/>
      <c r="F242" s="286"/>
      <c r="G242" s="286"/>
      <c r="H242" s="286"/>
      <c r="I242" s="286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</row>
    <row r="243" spans="1:37" s="289" customFormat="1">
      <c r="A243" s="286"/>
      <c r="B243" s="346"/>
      <c r="C243" s="286"/>
      <c r="D243" s="286"/>
      <c r="E243" s="286"/>
      <c r="F243" s="286"/>
      <c r="G243" s="286"/>
      <c r="H243" s="286"/>
      <c r="I243" s="286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</row>
    <row r="244" spans="1:37" s="289" customFormat="1">
      <c r="A244" s="286"/>
      <c r="B244" s="346"/>
      <c r="C244" s="286"/>
      <c r="D244" s="286"/>
      <c r="E244" s="286"/>
      <c r="F244" s="286"/>
      <c r="G244" s="286"/>
      <c r="H244" s="286"/>
      <c r="I244" s="286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</row>
    <row r="245" spans="1:37" s="289" customFormat="1">
      <c r="A245" s="286"/>
      <c r="B245" s="346"/>
      <c r="C245" s="286"/>
      <c r="D245" s="286"/>
      <c r="E245" s="286"/>
      <c r="F245" s="286"/>
      <c r="G245" s="286"/>
      <c r="H245" s="286"/>
      <c r="I245" s="286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</row>
    <row r="246" spans="1:37" s="289" customFormat="1">
      <c r="A246" s="286"/>
      <c r="B246" s="346"/>
      <c r="C246" s="286"/>
      <c r="D246" s="286"/>
      <c r="E246" s="286"/>
      <c r="F246" s="286"/>
      <c r="G246" s="286"/>
      <c r="H246" s="286"/>
      <c r="I246" s="286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</row>
    <row r="247" spans="1:37" s="289" customFormat="1">
      <c r="A247" s="286"/>
      <c r="B247" s="346"/>
      <c r="C247" s="286"/>
      <c r="D247" s="286"/>
      <c r="E247" s="286"/>
      <c r="F247" s="286"/>
      <c r="G247" s="286"/>
      <c r="H247" s="286"/>
      <c r="I247" s="286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</row>
    <row r="248" spans="1:37" s="289" customFormat="1">
      <c r="A248" s="286"/>
      <c r="B248" s="346"/>
      <c r="C248" s="286"/>
      <c r="D248" s="286"/>
      <c r="E248" s="286"/>
      <c r="F248" s="286"/>
      <c r="G248" s="286"/>
      <c r="H248" s="286"/>
      <c r="I248" s="286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77"/>
      <c r="AK248" s="277"/>
    </row>
    <row r="249" spans="1:37" s="289" customFormat="1">
      <c r="A249" s="286"/>
      <c r="B249" s="346"/>
      <c r="C249" s="286"/>
      <c r="D249" s="286"/>
      <c r="E249" s="286"/>
      <c r="F249" s="286"/>
      <c r="G249" s="286"/>
      <c r="H249" s="286"/>
      <c r="I249" s="286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77"/>
      <c r="AK249" s="277"/>
    </row>
    <row r="250" spans="1:37" s="289" customFormat="1">
      <c r="A250" s="286"/>
      <c r="B250" s="346"/>
      <c r="C250" s="286"/>
      <c r="D250" s="286"/>
      <c r="E250" s="286"/>
      <c r="F250" s="286"/>
      <c r="G250" s="286"/>
      <c r="H250" s="286"/>
      <c r="I250" s="286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</row>
    <row r="251" spans="1:37" s="289" customFormat="1">
      <c r="A251" s="286"/>
      <c r="B251" s="346"/>
      <c r="C251" s="286"/>
      <c r="D251" s="286"/>
      <c r="E251" s="286"/>
      <c r="F251" s="286"/>
      <c r="G251" s="286"/>
      <c r="H251" s="286"/>
      <c r="I251" s="286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</row>
    <row r="252" spans="1:37" s="289" customFormat="1">
      <c r="A252" s="286"/>
      <c r="B252" s="346"/>
      <c r="C252" s="286"/>
      <c r="D252" s="286"/>
      <c r="E252" s="286"/>
      <c r="F252" s="286"/>
      <c r="G252" s="286"/>
      <c r="H252" s="286"/>
      <c r="I252" s="286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</row>
    <row r="253" spans="1:37" s="289" customFormat="1">
      <c r="A253" s="286"/>
      <c r="B253" s="346"/>
      <c r="C253" s="286"/>
      <c r="D253" s="286"/>
      <c r="E253" s="286"/>
      <c r="F253" s="286"/>
      <c r="G253" s="286"/>
      <c r="H253" s="286"/>
      <c r="I253" s="286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</row>
    <row r="254" spans="1:37" s="289" customFormat="1">
      <c r="A254" s="286"/>
      <c r="B254" s="346"/>
      <c r="C254" s="286"/>
      <c r="D254" s="286"/>
      <c r="E254" s="286"/>
      <c r="F254" s="286"/>
      <c r="G254" s="286"/>
      <c r="H254" s="286"/>
      <c r="I254" s="286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</row>
    <row r="255" spans="1:37" s="289" customFormat="1">
      <c r="A255" s="286"/>
      <c r="B255" s="346"/>
      <c r="C255" s="286"/>
      <c r="D255" s="286"/>
      <c r="E255" s="286"/>
      <c r="F255" s="286"/>
      <c r="G255" s="286"/>
      <c r="H255" s="286"/>
      <c r="I255" s="286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</row>
    <row r="256" spans="1:37" s="289" customFormat="1">
      <c r="A256" s="286"/>
      <c r="B256" s="346"/>
      <c r="C256" s="286"/>
      <c r="D256" s="286"/>
      <c r="E256" s="286"/>
      <c r="F256" s="286"/>
      <c r="G256" s="286"/>
      <c r="H256" s="286"/>
      <c r="I256" s="286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</row>
    <row r="257" spans="1:37" s="289" customFormat="1">
      <c r="A257" s="286"/>
      <c r="B257" s="346"/>
      <c r="C257" s="286"/>
      <c r="D257" s="286"/>
      <c r="E257" s="286"/>
      <c r="F257" s="286"/>
      <c r="G257" s="286"/>
      <c r="H257" s="286"/>
      <c r="I257" s="286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</row>
    <row r="258" spans="1:37" s="289" customFormat="1">
      <c r="A258" s="286"/>
      <c r="B258" s="346"/>
      <c r="C258" s="286"/>
      <c r="D258" s="286"/>
      <c r="E258" s="286"/>
      <c r="F258" s="286"/>
      <c r="G258" s="286"/>
      <c r="H258" s="286"/>
      <c r="I258" s="286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</row>
    <row r="259" spans="1:37" s="289" customFormat="1">
      <c r="A259" s="286"/>
      <c r="B259" s="346"/>
      <c r="C259" s="286"/>
      <c r="D259" s="286"/>
      <c r="E259" s="286"/>
      <c r="F259" s="286"/>
      <c r="G259" s="286"/>
      <c r="H259" s="286"/>
      <c r="I259" s="286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</row>
    <row r="260" spans="1:37" s="289" customFormat="1">
      <c r="A260" s="286"/>
      <c r="B260" s="346"/>
      <c r="C260" s="286"/>
      <c r="D260" s="286"/>
      <c r="E260" s="286"/>
      <c r="F260" s="286"/>
      <c r="G260" s="286"/>
      <c r="H260" s="286"/>
      <c r="I260" s="286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</row>
    <row r="261" spans="1:37" s="289" customFormat="1">
      <c r="A261" s="286"/>
      <c r="B261" s="346"/>
      <c r="C261" s="286"/>
      <c r="D261" s="286"/>
      <c r="E261" s="286"/>
      <c r="F261" s="286"/>
      <c r="G261" s="286"/>
      <c r="H261" s="286"/>
      <c r="I261" s="286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</row>
    <row r="262" spans="1:37" s="289" customFormat="1">
      <c r="A262" s="286"/>
      <c r="B262" s="346"/>
      <c r="C262" s="286"/>
      <c r="D262" s="286"/>
      <c r="E262" s="286"/>
      <c r="F262" s="286"/>
      <c r="G262" s="286"/>
      <c r="H262" s="286"/>
      <c r="I262" s="286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</row>
    <row r="263" spans="1:37" s="289" customFormat="1">
      <c r="A263" s="286"/>
      <c r="B263" s="346"/>
      <c r="C263" s="286"/>
      <c r="D263" s="286"/>
      <c r="E263" s="286"/>
      <c r="F263" s="286"/>
      <c r="G263" s="286"/>
      <c r="H263" s="286"/>
      <c r="I263" s="286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</row>
    <row r="264" spans="1:37" s="289" customFormat="1">
      <c r="A264" s="286"/>
      <c r="B264" s="346"/>
      <c r="C264" s="286"/>
      <c r="D264" s="286"/>
      <c r="E264" s="286"/>
      <c r="F264" s="286"/>
      <c r="G264" s="286"/>
      <c r="H264" s="286"/>
      <c r="I264" s="286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</row>
    <row r="265" spans="1:37" s="289" customFormat="1">
      <c r="A265" s="286"/>
      <c r="B265" s="346"/>
      <c r="C265" s="286"/>
      <c r="D265" s="286"/>
      <c r="E265" s="286"/>
      <c r="F265" s="286"/>
      <c r="G265" s="286"/>
      <c r="H265" s="286"/>
      <c r="I265" s="286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</row>
    <row r="266" spans="1:37" s="289" customFormat="1">
      <c r="A266" s="286"/>
      <c r="B266" s="346"/>
      <c r="C266" s="286"/>
      <c r="D266" s="286"/>
      <c r="E266" s="286"/>
      <c r="F266" s="286"/>
      <c r="G266" s="286"/>
      <c r="H266" s="286"/>
      <c r="I266" s="286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</row>
    <row r="267" spans="1:37" s="289" customFormat="1">
      <c r="A267" s="286"/>
      <c r="B267" s="346"/>
      <c r="C267" s="286"/>
      <c r="D267" s="286"/>
      <c r="E267" s="286"/>
      <c r="F267" s="286"/>
      <c r="G267" s="286"/>
      <c r="H267" s="286"/>
      <c r="I267" s="286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</row>
    <row r="268" spans="1:37" s="289" customFormat="1">
      <c r="A268" s="286"/>
      <c r="B268" s="346"/>
      <c r="C268" s="286"/>
      <c r="D268" s="286"/>
      <c r="E268" s="286"/>
      <c r="F268" s="286"/>
      <c r="G268" s="286"/>
      <c r="H268" s="286"/>
      <c r="I268" s="286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</row>
    <row r="269" spans="1:37" s="289" customFormat="1">
      <c r="A269" s="286"/>
      <c r="B269" s="346"/>
      <c r="C269" s="286"/>
      <c r="D269" s="286"/>
      <c r="E269" s="286"/>
      <c r="F269" s="286"/>
      <c r="G269" s="286"/>
      <c r="H269" s="286"/>
      <c r="I269" s="286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</row>
    <row r="270" spans="1:37" s="289" customFormat="1">
      <c r="A270" s="286"/>
      <c r="B270" s="346"/>
      <c r="C270" s="286"/>
      <c r="D270" s="286"/>
      <c r="E270" s="286"/>
      <c r="F270" s="286"/>
      <c r="G270" s="286"/>
      <c r="H270" s="286"/>
      <c r="I270" s="286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</row>
    <row r="271" spans="1:37" s="289" customFormat="1">
      <c r="A271" s="286"/>
      <c r="B271" s="346"/>
      <c r="C271" s="286"/>
      <c r="D271" s="286"/>
      <c r="E271" s="286"/>
      <c r="F271" s="286"/>
      <c r="G271" s="286"/>
      <c r="H271" s="286"/>
      <c r="I271" s="286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</row>
    <row r="272" spans="1:37" s="289" customFormat="1">
      <c r="A272" s="286"/>
      <c r="B272" s="346"/>
      <c r="C272" s="286"/>
      <c r="D272" s="286"/>
      <c r="E272" s="286"/>
      <c r="F272" s="286"/>
      <c r="G272" s="286"/>
      <c r="H272" s="286"/>
      <c r="I272" s="286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</row>
    <row r="273" spans="1:37" s="289" customFormat="1">
      <c r="A273" s="286"/>
      <c r="B273" s="346"/>
      <c r="C273" s="286"/>
      <c r="D273" s="286"/>
      <c r="E273" s="286"/>
      <c r="F273" s="286"/>
      <c r="G273" s="286"/>
      <c r="H273" s="286"/>
      <c r="I273" s="286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</row>
    <row r="274" spans="1:37" s="289" customFormat="1">
      <c r="A274" s="286"/>
      <c r="B274" s="346"/>
      <c r="C274" s="286"/>
      <c r="D274" s="286"/>
      <c r="E274" s="286"/>
      <c r="F274" s="286"/>
      <c r="G274" s="286"/>
      <c r="H274" s="286"/>
      <c r="I274" s="286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</row>
    <row r="275" spans="1:37" s="289" customFormat="1">
      <c r="A275" s="286"/>
      <c r="B275" s="346"/>
      <c r="C275" s="286"/>
      <c r="D275" s="286"/>
      <c r="E275" s="286"/>
      <c r="F275" s="286"/>
      <c r="G275" s="286"/>
      <c r="H275" s="286"/>
      <c r="I275" s="286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</row>
    <row r="276" spans="1:37" s="289" customFormat="1">
      <c r="A276" s="286"/>
      <c r="B276" s="346"/>
      <c r="C276" s="286"/>
      <c r="D276" s="286"/>
      <c r="E276" s="286"/>
      <c r="F276" s="286"/>
      <c r="G276" s="286"/>
      <c r="H276" s="286"/>
      <c r="I276" s="286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</row>
    <row r="277" spans="1:37" s="289" customFormat="1">
      <c r="A277" s="286"/>
      <c r="B277" s="346"/>
      <c r="C277" s="286"/>
      <c r="D277" s="286"/>
      <c r="E277" s="286"/>
      <c r="F277" s="286"/>
      <c r="G277" s="286"/>
      <c r="H277" s="286"/>
      <c r="I277" s="286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</row>
    <row r="278" spans="1:37" s="289" customFormat="1">
      <c r="A278" s="286"/>
      <c r="B278" s="346"/>
      <c r="C278" s="286"/>
      <c r="D278" s="286"/>
      <c r="E278" s="286"/>
      <c r="F278" s="286"/>
      <c r="G278" s="286"/>
      <c r="H278" s="286"/>
      <c r="I278" s="286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</row>
    <row r="279" spans="1:37" s="289" customFormat="1">
      <c r="A279" s="286"/>
      <c r="B279" s="346"/>
      <c r="C279" s="286"/>
      <c r="D279" s="286"/>
      <c r="E279" s="286"/>
      <c r="F279" s="286"/>
      <c r="G279" s="286"/>
      <c r="H279" s="286"/>
      <c r="I279" s="286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</row>
    <row r="280" spans="1:37" s="289" customFormat="1">
      <c r="A280" s="286"/>
      <c r="B280" s="346"/>
      <c r="C280" s="286"/>
      <c r="D280" s="286"/>
      <c r="E280" s="286"/>
      <c r="F280" s="286"/>
      <c r="G280" s="286"/>
      <c r="H280" s="286"/>
      <c r="I280" s="286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</row>
    <row r="281" spans="1:37" s="289" customFormat="1">
      <c r="A281" s="286"/>
      <c r="B281" s="346"/>
      <c r="C281" s="286"/>
      <c r="D281" s="286"/>
      <c r="E281" s="286"/>
      <c r="F281" s="286"/>
      <c r="G281" s="286"/>
      <c r="H281" s="286"/>
      <c r="I281" s="286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</row>
    <row r="282" spans="1:37" s="289" customFormat="1">
      <c r="A282" s="286"/>
      <c r="B282" s="346"/>
      <c r="C282" s="286"/>
      <c r="D282" s="286"/>
      <c r="E282" s="286"/>
      <c r="F282" s="286"/>
      <c r="G282" s="286"/>
      <c r="H282" s="286"/>
      <c r="I282" s="286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  <c r="AA282" s="277"/>
      <c r="AB282" s="277"/>
      <c r="AC282" s="277"/>
      <c r="AD282" s="277"/>
      <c r="AE282" s="277"/>
      <c r="AF282" s="277"/>
      <c r="AG282" s="277"/>
      <c r="AH282" s="277"/>
      <c r="AI282" s="277"/>
      <c r="AJ282" s="277"/>
      <c r="AK282" s="277"/>
    </row>
    <row r="283" spans="1:37" s="289" customFormat="1">
      <c r="A283" s="286"/>
      <c r="B283" s="346"/>
      <c r="C283" s="286"/>
      <c r="D283" s="286"/>
      <c r="E283" s="286"/>
      <c r="F283" s="286"/>
      <c r="G283" s="286"/>
      <c r="H283" s="286"/>
      <c r="I283" s="286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  <c r="AA283" s="277"/>
      <c r="AB283" s="277"/>
      <c r="AC283" s="277"/>
      <c r="AD283" s="277"/>
      <c r="AE283" s="277"/>
      <c r="AF283" s="277"/>
      <c r="AG283" s="277"/>
      <c r="AH283" s="277"/>
      <c r="AI283" s="277"/>
      <c r="AJ283" s="277"/>
      <c r="AK283" s="277"/>
    </row>
    <row r="284" spans="1:37" s="289" customFormat="1">
      <c r="A284" s="286"/>
      <c r="B284" s="346"/>
      <c r="C284" s="286"/>
      <c r="D284" s="286"/>
      <c r="E284" s="286"/>
      <c r="F284" s="286"/>
      <c r="G284" s="286"/>
      <c r="H284" s="286"/>
      <c r="I284" s="286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  <c r="AA284" s="277"/>
      <c r="AB284" s="277"/>
      <c r="AC284" s="277"/>
      <c r="AD284" s="277"/>
      <c r="AE284" s="277"/>
      <c r="AF284" s="277"/>
      <c r="AG284" s="277"/>
      <c r="AH284" s="277"/>
      <c r="AI284" s="277"/>
      <c r="AJ284" s="277"/>
      <c r="AK284" s="277"/>
    </row>
    <row r="285" spans="1:37" s="289" customFormat="1">
      <c r="A285" s="286"/>
      <c r="B285" s="346"/>
      <c r="C285" s="286"/>
      <c r="D285" s="286"/>
      <c r="E285" s="286"/>
      <c r="F285" s="286"/>
      <c r="G285" s="286"/>
      <c r="H285" s="286"/>
      <c r="I285" s="286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  <c r="AA285" s="277"/>
      <c r="AB285" s="277"/>
      <c r="AC285" s="277"/>
      <c r="AD285" s="277"/>
      <c r="AE285" s="277"/>
      <c r="AF285" s="277"/>
      <c r="AG285" s="277"/>
      <c r="AH285" s="277"/>
      <c r="AI285" s="277"/>
      <c r="AJ285" s="277"/>
      <c r="AK285" s="277"/>
    </row>
    <row r="286" spans="1:37" s="289" customFormat="1">
      <c r="A286" s="286"/>
      <c r="B286" s="346"/>
      <c r="C286" s="286"/>
      <c r="D286" s="286"/>
      <c r="E286" s="286"/>
      <c r="F286" s="286"/>
      <c r="G286" s="286"/>
      <c r="H286" s="286"/>
      <c r="I286" s="286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  <c r="AA286" s="277"/>
      <c r="AB286" s="277"/>
      <c r="AC286" s="277"/>
      <c r="AD286" s="277"/>
      <c r="AE286" s="277"/>
      <c r="AF286" s="277"/>
      <c r="AG286" s="277"/>
      <c r="AH286" s="277"/>
      <c r="AI286" s="277"/>
      <c r="AJ286" s="277"/>
      <c r="AK286" s="277"/>
    </row>
    <row r="287" spans="1:37" s="289" customFormat="1">
      <c r="A287" s="286"/>
      <c r="B287" s="346"/>
      <c r="C287" s="286"/>
      <c r="D287" s="286"/>
      <c r="E287" s="286"/>
      <c r="F287" s="286"/>
      <c r="G287" s="286"/>
      <c r="H287" s="286"/>
      <c r="I287" s="286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  <c r="AA287" s="277"/>
      <c r="AB287" s="277"/>
      <c r="AC287" s="277"/>
      <c r="AD287" s="277"/>
      <c r="AE287" s="277"/>
      <c r="AF287" s="277"/>
      <c r="AG287" s="277"/>
      <c r="AH287" s="277"/>
      <c r="AI287" s="277"/>
      <c r="AJ287" s="277"/>
      <c r="AK287" s="277"/>
    </row>
    <row r="288" spans="1:37" s="289" customFormat="1">
      <c r="A288" s="286"/>
      <c r="B288" s="346"/>
      <c r="C288" s="286"/>
      <c r="D288" s="286"/>
      <c r="E288" s="286"/>
      <c r="F288" s="286"/>
      <c r="G288" s="286"/>
      <c r="H288" s="286"/>
      <c r="I288" s="286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  <c r="AA288" s="277"/>
      <c r="AB288" s="277"/>
      <c r="AC288" s="277"/>
      <c r="AD288" s="277"/>
      <c r="AE288" s="277"/>
      <c r="AF288" s="277"/>
      <c r="AG288" s="277"/>
      <c r="AH288" s="277"/>
      <c r="AI288" s="277"/>
      <c r="AJ288" s="277"/>
      <c r="AK288" s="277"/>
    </row>
    <row r="289" spans="1:37" s="289" customFormat="1">
      <c r="A289" s="286"/>
      <c r="B289" s="346"/>
      <c r="C289" s="286"/>
      <c r="D289" s="286"/>
      <c r="E289" s="286"/>
      <c r="F289" s="286"/>
      <c r="G289" s="286"/>
      <c r="H289" s="286"/>
      <c r="I289" s="286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  <c r="AA289" s="277"/>
      <c r="AB289" s="277"/>
      <c r="AC289" s="277"/>
      <c r="AD289" s="277"/>
      <c r="AE289" s="277"/>
      <c r="AF289" s="277"/>
      <c r="AG289" s="277"/>
      <c r="AH289" s="277"/>
      <c r="AI289" s="277"/>
      <c r="AJ289" s="277"/>
      <c r="AK289" s="277"/>
    </row>
    <row r="290" spans="1:37" s="289" customFormat="1">
      <c r="A290" s="286"/>
      <c r="B290" s="346"/>
      <c r="C290" s="286"/>
      <c r="D290" s="286"/>
      <c r="E290" s="286"/>
      <c r="F290" s="286"/>
      <c r="G290" s="286"/>
      <c r="H290" s="286"/>
      <c r="I290" s="286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  <c r="AA290" s="277"/>
      <c r="AB290" s="277"/>
      <c r="AC290" s="277"/>
      <c r="AD290" s="277"/>
      <c r="AE290" s="277"/>
      <c r="AF290" s="277"/>
      <c r="AG290" s="277"/>
      <c r="AH290" s="277"/>
      <c r="AI290" s="277"/>
      <c r="AJ290" s="277"/>
      <c r="AK290" s="277"/>
    </row>
    <row r="291" spans="1:37" s="289" customFormat="1">
      <c r="A291" s="286"/>
      <c r="B291" s="346"/>
      <c r="C291" s="286"/>
      <c r="D291" s="286"/>
      <c r="E291" s="286"/>
      <c r="F291" s="286"/>
      <c r="G291" s="286"/>
      <c r="H291" s="286"/>
      <c r="I291" s="286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  <c r="AA291" s="277"/>
      <c r="AB291" s="277"/>
      <c r="AC291" s="277"/>
      <c r="AD291" s="277"/>
      <c r="AE291" s="277"/>
      <c r="AF291" s="277"/>
      <c r="AG291" s="277"/>
      <c r="AH291" s="277"/>
      <c r="AI291" s="277"/>
      <c r="AJ291" s="277"/>
      <c r="AK291" s="277"/>
    </row>
    <row r="292" spans="1:37" s="289" customFormat="1">
      <c r="A292" s="286"/>
      <c r="B292" s="346"/>
      <c r="C292" s="286"/>
      <c r="D292" s="286"/>
      <c r="E292" s="286"/>
      <c r="F292" s="286"/>
      <c r="G292" s="286"/>
      <c r="H292" s="286"/>
      <c r="I292" s="286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  <c r="AA292" s="277"/>
      <c r="AB292" s="277"/>
      <c r="AC292" s="277"/>
      <c r="AD292" s="277"/>
      <c r="AE292" s="277"/>
      <c r="AF292" s="277"/>
      <c r="AG292" s="277"/>
      <c r="AH292" s="277"/>
      <c r="AI292" s="277"/>
      <c r="AJ292" s="277"/>
      <c r="AK292" s="277"/>
    </row>
    <row r="293" spans="1:37" s="289" customFormat="1">
      <c r="A293" s="286"/>
      <c r="B293" s="346"/>
      <c r="C293" s="286"/>
      <c r="D293" s="286"/>
      <c r="E293" s="286"/>
      <c r="F293" s="286"/>
      <c r="G293" s="286"/>
      <c r="H293" s="286"/>
      <c r="I293" s="286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  <c r="AA293" s="277"/>
      <c r="AB293" s="277"/>
      <c r="AC293" s="277"/>
      <c r="AD293" s="277"/>
      <c r="AE293" s="277"/>
      <c r="AF293" s="277"/>
      <c r="AG293" s="277"/>
      <c r="AH293" s="277"/>
      <c r="AI293" s="277"/>
      <c r="AJ293" s="277"/>
      <c r="AK293" s="277"/>
    </row>
    <row r="294" spans="1:37" s="289" customFormat="1">
      <c r="A294" s="286"/>
      <c r="B294" s="346"/>
      <c r="C294" s="286"/>
      <c r="D294" s="286"/>
      <c r="E294" s="286"/>
      <c r="F294" s="286"/>
      <c r="G294" s="286"/>
      <c r="H294" s="286"/>
      <c r="I294" s="286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  <c r="AA294" s="277"/>
      <c r="AB294" s="277"/>
      <c r="AC294" s="277"/>
      <c r="AD294" s="277"/>
      <c r="AE294" s="277"/>
      <c r="AF294" s="277"/>
      <c r="AG294" s="277"/>
      <c r="AH294" s="277"/>
      <c r="AI294" s="277"/>
      <c r="AJ294" s="277"/>
      <c r="AK294" s="277"/>
    </row>
    <row r="295" spans="1:37" s="289" customFormat="1">
      <c r="A295" s="286"/>
      <c r="B295" s="346"/>
      <c r="C295" s="286"/>
      <c r="D295" s="286"/>
      <c r="E295" s="286"/>
      <c r="F295" s="286"/>
      <c r="G295" s="286"/>
      <c r="H295" s="286"/>
      <c r="I295" s="286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  <c r="AA295" s="277"/>
      <c r="AB295" s="277"/>
      <c r="AC295" s="277"/>
      <c r="AD295" s="277"/>
      <c r="AE295" s="277"/>
      <c r="AF295" s="277"/>
      <c r="AG295" s="277"/>
      <c r="AH295" s="277"/>
      <c r="AI295" s="277"/>
      <c r="AJ295" s="277"/>
      <c r="AK295" s="277"/>
    </row>
    <row r="296" spans="1:37" s="289" customFormat="1">
      <c r="A296" s="286"/>
      <c r="B296" s="346"/>
      <c r="C296" s="286"/>
      <c r="D296" s="286"/>
      <c r="E296" s="286"/>
      <c r="F296" s="286"/>
      <c r="G296" s="286"/>
      <c r="H296" s="286"/>
      <c r="I296" s="286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  <c r="AA296" s="277"/>
      <c r="AB296" s="277"/>
      <c r="AC296" s="277"/>
      <c r="AD296" s="277"/>
      <c r="AE296" s="277"/>
      <c r="AF296" s="277"/>
      <c r="AG296" s="277"/>
      <c r="AH296" s="277"/>
      <c r="AI296" s="277"/>
      <c r="AJ296" s="277"/>
      <c r="AK296" s="277"/>
    </row>
    <row r="297" spans="1:37" s="289" customFormat="1">
      <c r="A297" s="286"/>
      <c r="B297" s="346"/>
      <c r="C297" s="286"/>
      <c r="D297" s="286"/>
      <c r="E297" s="286"/>
      <c r="F297" s="286"/>
      <c r="G297" s="286"/>
      <c r="H297" s="286"/>
      <c r="I297" s="286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  <c r="AA297" s="277"/>
      <c r="AB297" s="277"/>
      <c r="AC297" s="277"/>
      <c r="AD297" s="277"/>
      <c r="AE297" s="277"/>
      <c r="AF297" s="277"/>
      <c r="AG297" s="277"/>
      <c r="AH297" s="277"/>
      <c r="AI297" s="277"/>
      <c r="AJ297" s="277"/>
      <c r="AK297" s="277"/>
    </row>
    <row r="298" spans="1:37" s="289" customFormat="1">
      <c r="A298" s="286"/>
      <c r="B298" s="346"/>
      <c r="C298" s="286"/>
      <c r="D298" s="286"/>
      <c r="E298" s="286"/>
      <c r="F298" s="286"/>
      <c r="G298" s="286"/>
      <c r="H298" s="286"/>
      <c r="I298" s="286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  <c r="AA298" s="277"/>
      <c r="AB298" s="277"/>
      <c r="AC298" s="277"/>
      <c r="AD298" s="277"/>
      <c r="AE298" s="277"/>
      <c r="AF298" s="277"/>
      <c r="AG298" s="277"/>
      <c r="AH298" s="277"/>
      <c r="AI298" s="277"/>
      <c r="AJ298" s="277"/>
      <c r="AK298" s="277"/>
    </row>
    <row r="299" spans="1:37" s="289" customFormat="1">
      <c r="A299" s="286"/>
      <c r="B299" s="346"/>
      <c r="C299" s="286"/>
      <c r="D299" s="286"/>
      <c r="E299" s="286"/>
      <c r="F299" s="286"/>
      <c r="G299" s="286"/>
      <c r="H299" s="286"/>
      <c r="I299" s="286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  <c r="AA299" s="277"/>
      <c r="AB299" s="277"/>
      <c r="AC299" s="277"/>
      <c r="AD299" s="277"/>
      <c r="AE299" s="277"/>
      <c r="AF299" s="277"/>
      <c r="AG299" s="277"/>
      <c r="AH299" s="277"/>
      <c r="AI299" s="277"/>
      <c r="AJ299" s="277"/>
      <c r="AK299" s="277"/>
    </row>
    <row r="300" spans="1:37" s="289" customFormat="1">
      <c r="A300" s="286"/>
      <c r="B300" s="346"/>
      <c r="C300" s="286"/>
      <c r="D300" s="286"/>
      <c r="E300" s="286"/>
      <c r="F300" s="286"/>
      <c r="G300" s="286"/>
      <c r="H300" s="286"/>
      <c r="I300" s="286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  <c r="AA300" s="277"/>
      <c r="AB300" s="277"/>
      <c r="AC300" s="277"/>
      <c r="AD300" s="277"/>
      <c r="AE300" s="277"/>
      <c r="AF300" s="277"/>
      <c r="AG300" s="277"/>
      <c r="AH300" s="277"/>
      <c r="AI300" s="277"/>
      <c r="AJ300" s="277"/>
      <c r="AK300" s="277"/>
    </row>
    <row r="301" spans="1:37" s="289" customFormat="1">
      <c r="A301" s="286"/>
      <c r="B301" s="346"/>
      <c r="C301" s="286"/>
      <c r="D301" s="286"/>
      <c r="E301" s="286"/>
      <c r="F301" s="286"/>
      <c r="G301" s="286"/>
      <c r="H301" s="286"/>
      <c r="I301" s="286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  <c r="AA301" s="277"/>
      <c r="AB301" s="277"/>
      <c r="AC301" s="277"/>
      <c r="AD301" s="277"/>
      <c r="AE301" s="277"/>
      <c r="AF301" s="277"/>
      <c r="AG301" s="277"/>
      <c r="AH301" s="277"/>
      <c r="AI301" s="277"/>
      <c r="AJ301" s="277"/>
      <c r="AK301" s="277"/>
    </row>
    <row r="302" spans="1:37" s="289" customFormat="1">
      <c r="A302" s="286"/>
      <c r="B302" s="346"/>
      <c r="C302" s="286"/>
      <c r="D302" s="286"/>
      <c r="E302" s="286"/>
      <c r="F302" s="286"/>
      <c r="G302" s="286"/>
      <c r="H302" s="286"/>
      <c r="I302" s="286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  <c r="AA302" s="277"/>
      <c r="AB302" s="277"/>
      <c r="AC302" s="277"/>
      <c r="AD302" s="277"/>
      <c r="AE302" s="277"/>
      <c r="AF302" s="277"/>
      <c r="AG302" s="277"/>
      <c r="AH302" s="277"/>
      <c r="AI302" s="277"/>
      <c r="AJ302" s="277"/>
      <c r="AK302" s="277"/>
    </row>
    <row r="303" spans="1:37" s="289" customFormat="1">
      <c r="A303" s="286"/>
      <c r="B303" s="346"/>
      <c r="C303" s="286"/>
      <c r="D303" s="286"/>
      <c r="E303" s="286"/>
      <c r="F303" s="286"/>
      <c r="G303" s="286"/>
      <c r="H303" s="286"/>
      <c r="I303" s="286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  <c r="AA303" s="277"/>
      <c r="AB303" s="277"/>
      <c r="AC303" s="277"/>
      <c r="AD303" s="277"/>
      <c r="AE303" s="277"/>
      <c r="AF303" s="277"/>
      <c r="AG303" s="277"/>
      <c r="AH303" s="277"/>
      <c r="AI303" s="277"/>
      <c r="AJ303" s="277"/>
      <c r="AK303" s="277"/>
    </row>
    <row r="304" spans="1:37" s="289" customFormat="1">
      <c r="A304" s="286"/>
      <c r="B304" s="346"/>
      <c r="C304" s="286"/>
      <c r="D304" s="286"/>
      <c r="E304" s="286"/>
      <c r="F304" s="286"/>
      <c r="G304" s="286"/>
      <c r="H304" s="286"/>
      <c r="I304" s="286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  <c r="AA304" s="277"/>
      <c r="AB304" s="277"/>
      <c r="AC304" s="277"/>
      <c r="AD304" s="277"/>
      <c r="AE304" s="277"/>
      <c r="AF304" s="277"/>
      <c r="AG304" s="277"/>
      <c r="AH304" s="277"/>
      <c r="AI304" s="277"/>
      <c r="AJ304" s="277"/>
      <c r="AK304" s="277"/>
    </row>
    <row r="305" spans="1:37" s="289" customFormat="1">
      <c r="A305" s="286"/>
      <c r="B305" s="346"/>
      <c r="C305" s="286"/>
      <c r="D305" s="286"/>
      <c r="E305" s="286"/>
      <c r="F305" s="286"/>
      <c r="G305" s="286"/>
      <c r="H305" s="286"/>
      <c r="I305" s="286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  <c r="AA305" s="277"/>
      <c r="AB305" s="277"/>
      <c r="AC305" s="277"/>
      <c r="AD305" s="277"/>
      <c r="AE305" s="277"/>
      <c r="AF305" s="277"/>
      <c r="AG305" s="277"/>
      <c r="AH305" s="277"/>
      <c r="AI305" s="277"/>
      <c r="AJ305" s="277"/>
      <c r="AK305" s="277"/>
    </row>
    <row r="306" spans="1:37" s="289" customFormat="1">
      <c r="A306" s="286"/>
      <c r="B306" s="346"/>
      <c r="C306" s="286"/>
      <c r="D306" s="286"/>
      <c r="E306" s="286"/>
      <c r="F306" s="286"/>
      <c r="G306" s="286"/>
      <c r="H306" s="286"/>
      <c r="I306" s="286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277"/>
    </row>
    <row r="307" spans="1:37" s="289" customFormat="1">
      <c r="A307" s="286"/>
      <c r="B307" s="346"/>
      <c r="C307" s="286"/>
      <c r="D307" s="286"/>
      <c r="E307" s="286"/>
      <c r="F307" s="286"/>
      <c r="G307" s="286"/>
      <c r="H307" s="286"/>
      <c r="I307" s="286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  <c r="AA307" s="277"/>
      <c r="AB307" s="277"/>
      <c r="AC307" s="277"/>
      <c r="AD307" s="277"/>
      <c r="AE307" s="277"/>
      <c r="AF307" s="277"/>
      <c r="AG307" s="277"/>
      <c r="AH307" s="277"/>
      <c r="AI307" s="277"/>
      <c r="AJ307" s="277"/>
      <c r="AK307" s="277"/>
    </row>
    <row r="308" spans="1:37" s="289" customFormat="1">
      <c r="A308" s="286"/>
      <c r="B308" s="346"/>
      <c r="C308" s="286"/>
      <c r="D308" s="286"/>
      <c r="E308" s="286"/>
      <c r="F308" s="286"/>
      <c r="G308" s="286"/>
      <c r="H308" s="286"/>
      <c r="I308" s="286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  <c r="AA308" s="277"/>
      <c r="AB308" s="277"/>
      <c r="AC308" s="277"/>
      <c r="AD308" s="277"/>
      <c r="AE308" s="277"/>
      <c r="AF308" s="277"/>
      <c r="AG308" s="277"/>
      <c r="AH308" s="277"/>
      <c r="AI308" s="277"/>
      <c r="AJ308" s="277"/>
      <c r="AK308" s="277"/>
    </row>
    <row r="309" spans="1:37" s="289" customFormat="1">
      <c r="A309" s="286"/>
      <c r="B309" s="346"/>
      <c r="C309" s="286"/>
      <c r="D309" s="286"/>
      <c r="E309" s="286"/>
      <c r="F309" s="286"/>
      <c r="G309" s="286"/>
      <c r="H309" s="286"/>
      <c r="I309" s="286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  <c r="AA309" s="277"/>
      <c r="AB309" s="277"/>
      <c r="AC309" s="277"/>
      <c r="AD309" s="277"/>
      <c r="AE309" s="277"/>
      <c r="AF309" s="277"/>
      <c r="AG309" s="277"/>
      <c r="AH309" s="277"/>
      <c r="AI309" s="277"/>
      <c r="AJ309" s="277"/>
      <c r="AK309" s="277"/>
    </row>
    <row r="310" spans="1:37" s="289" customFormat="1">
      <c r="A310" s="286"/>
      <c r="B310" s="346"/>
      <c r="C310" s="286"/>
      <c r="D310" s="286"/>
      <c r="E310" s="286"/>
      <c r="F310" s="286"/>
      <c r="G310" s="286"/>
      <c r="H310" s="286"/>
      <c r="I310" s="286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  <c r="AA310" s="277"/>
      <c r="AB310" s="277"/>
      <c r="AC310" s="277"/>
      <c r="AD310" s="277"/>
      <c r="AE310" s="277"/>
      <c r="AF310" s="277"/>
      <c r="AG310" s="277"/>
      <c r="AH310" s="277"/>
      <c r="AI310" s="277"/>
      <c r="AJ310" s="277"/>
      <c r="AK310" s="277"/>
    </row>
    <row r="311" spans="1:37" s="289" customFormat="1">
      <c r="A311" s="286"/>
      <c r="B311" s="346"/>
      <c r="C311" s="286"/>
      <c r="D311" s="286"/>
      <c r="E311" s="286"/>
      <c r="F311" s="286"/>
      <c r="G311" s="286"/>
      <c r="H311" s="286"/>
      <c r="I311" s="286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  <c r="AA311" s="277"/>
      <c r="AB311" s="277"/>
      <c r="AC311" s="277"/>
      <c r="AD311" s="277"/>
      <c r="AE311" s="277"/>
      <c r="AF311" s="277"/>
      <c r="AG311" s="277"/>
      <c r="AH311" s="277"/>
      <c r="AI311" s="277"/>
      <c r="AJ311" s="277"/>
      <c r="AK311" s="277"/>
    </row>
    <row r="312" spans="1:37" s="289" customFormat="1">
      <c r="A312" s="286"/>
      <c r="B312" s="346"/>
      <c r="C312" s="286"/>
      <c r="D312" s="286"/>
      <c r="E312" s="286"/>
      <c r="F312" s="286"/>
      <c r="G312" s="286"/>
      <c r="H312" s="286"/>
      <c r="I312" s="286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  <c r="AA312" s="277"/>
      <c r="AB312" s="277"/>
      <c r="AC312" s="277"/>
      <c r="AD312" s="277"/>
      <c r="AE312" s="277"/>
      <c r="AF312" s="277"/>
      <c r="AG312" s="277"/>
      <c r="AH312" s="277"/>
      <c r="AI312" s="277"/>
      <c r="AJ312" s="277"/>
      <c r="AK312" s="277"/>
    </row>
    <row r="313" spans="1:37" s="289" customFormat="1">
      <c r="A313" s="286"/>
      <c r="B313" s="346"/>
      <c r="C313" s="286"/>
      <c r="D313" s="286"/>
      <c r="E313" s="286"/>
      <c r="F313" s="286"/>
      <c r="G313" s="286"/>
      <c r="H313" s="286"/>
      <c r="I313" s="286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  <c r="AA313" s="277"/>
      <c r="AB313" s="277"/>
      <c r="AC313" s="277"/>
      <c r="AD313" s="277"/>
      <c r="AE313" s="277"/>
      <c r="AF313" s="277"/>
      <c r="AG313" s="277"/>
      <c r="AH313" s="277"/>
      <c r="AI313" s="277"/>
      <c r="AJ313" s="277"/>
      <c r="AK313" s="277"/>
    </row>
    <row r="314" spans="1:37" s="289" customFormat="1">
      <c r="A314" s="286"/>
      <c r="B314" s="346"/>
      <c r="C314" s="286"/>
      <c r="D314" s="286"/>
      <c r="E314" s="286"/>
      <c r="F314" s="286"/>
      <c r="G314" s="286"/>
      <c r="H314" s="286"/>
      <c r="I314" s="286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  <c r="AA314" s="277"/>
      <c r="AB314" s="277"/>
      <c r="AC314" s="277"/>
      <c r="AD314" s="277"/>
      <c r="AE314" s="277"/>
      <c r="AF314" s="277"/>
      <c r="AG314" s="277"/>
      <c r="AH314" s="277"/>
      <c r="AI314" s="277"/>
      <c r="AJ314" s="277"/>
      <c r="AK314" s="277"/>
    </row>
    <row r="315" spans="1:37" s="289" customFormat="1">
      <c r="A315" s="286"/>
      <c r="B315" s="346"/>
      <c r="C315" s="286"/>
      <c r="D315" s="286"/>
      <c r="E315" s="286"/>
      <c r="F315" s="286"/>
      <c r="G315" s="286"/>
      <c r="H315" s="286"/>
      <c r="I315" s="286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  <c r="AA315" s="277"/>
      <c r="AB315" s="277"/>
      <c r="AC315" s="277"/>
      <c r="AD315" s="277"/>
      <c r="AE315" s="277"/>
      <c r="AF315" s="277"/>
      <c r="AG315" s="277"/>
      <c r="AH315" s="277"/>
      <c r="AI315" s="277"/>
      <c r="AJ315" s="277"/>
      <c r="AK315" s="277"/>
    </row>
    <row r="316" spans="1:37" s="289" customFormat="1">
      <c r="A316" s="286"/>
      <c r="B316" s="346"/>
      <c r="C316" s="286"/>
      <c r="D316" s="286"/>
      <c r="E316" s="286"/>
      <c r="F316" s="286"/>
      <c r="G316" s="286"/>
      <c r="H316" s="286"/>
      <c r="I316" s="286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  <c r="AA316" s="277"/>
      <c r="AB316" s="277"/>
      <c r="AC316" s="277"/>
      <c r="AD316" s="277"/>
      <c r="AE316" s="277"/>
      <c r="AF316" s="277"/>
      <c r="AG316" s="277"/>
      <c r="AH316" s="277"/>
      <c r="AI316" s="277"/>
      <c r="AJ316" s="277"/>
      <c r="AK316" s="277"/>
    </row>
    <row r="317" spans="1:37" s="289" customFormat="1">
      <c r="A317" s="286"/>
      <c r="B317" s="346"/>
      <c r="C317" s="286"/>
      <c r="D317" s="286"/>
      <c r="E317" s="286"/>
      <c r="F317" s="286"/>
      <c r="G317" s="286"/>
      <c r="H317" s="286"/>
      <c r="I317" s="286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  <c r="AA317" s="277"/>
      <c r="AB317" s="277"/>
      <c r="AC317" s="277"/>
      <c r="AD317" s="277"/>
      <c r="AE317" s="277"/>
      <c r="AF317" s="277"/>
      <c r="AG317" s="277"/>
      <c r="AH317" s="277"/>
      <c r="AI317" s="277"/>
      <c r="AJ317" s="277"/>
      <c r="AK317" s="277"/>
    </row>
    <row r="318" spans="1:37" s="289" customFormat="1">
      <c r="A318" s="286"/>
      <c r="B318" s="346"/>
      <c r="C318" s="286"/>
      <c r="D318" s="286"/>
      <c r="E318" s="286"/>
      <c r="F318" s="286"/>
      <c r="G318" s="286"/>
      <c r="H318" s="286"/>
      <c r="I318" s="286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  <c r="AA318" s="277"/>
      <c r="AB318" s="277"/>
      <c r="AC318" s="277"/>
      <c r="AD318" s="277"/>
      <c r="AE318" s="277"/>
      <c r="AF318" s="277"/>
      <c r="AG318" s="277"/>
      <c r="AH318" s="277"/>
      <c r="AI318" s="277"/>
      <c r="AJ318" s="277"/>
      <c r="AK318" s="277"/>
    </row>
    <row r="319" spans="1:37" s="289" customFormat="1">
      <c r="A319" s="286"/>
      <c r="B319" s="346"/>
      <c r="C319" s="286"/>
      <c r="D319" s="286"/>
      <c r="E319" s="286"/>
      <c r="F319" s="286"/>
      <c r="G319" s="286"/>
      <c r="H319" s="286"/>
      <c r="I319" s="286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  <c r="AA319" s="277"/>
      <c r="AB319" s="277"/>
      <c r="AC319" s="277"/>
      <c r="AD319" s="277"/>
      <c r="AE319" s="277"/>
      <c r="AF319" s="277"/>
      <c r="AG319" s="277"/>
      <c r="AH319" s="277"/>
      <c r="AI319" s="277"/>
      <c r="AJ319" s="277"/>
      <c r="AK319" s="277"/>
    </row>
    <row r="320" spans="1:37" s="289" customFormat="1">
      <c r="A320" s="286"/>
      <c r="B320" s="346"/>
      <c r="C320" s="286"/>
      <c r="D320" s="286"/>
      <c r="E320" s="286"/>
      <c r="F320" s="286"/>
      <c r="G320" s="286"/>
      <c r="H320" s="286"/>
      <c r="I320" s="286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  <c r="AA320" s="277"/>
      <c r="AB320" s="277"/>
      <c r="AC320" s="277"/>
      <c r="AD320" s="277"/>
      <c r="AE320" s="277"/>
      <c r="AF320" s="277"/>
      <c r="AG320" s="277"/>
      <c r="AH320" s="277"/>
      <c r="AI320" s="277"/>
      <c r="AJ320" s="277"/>
      <c r="AK320" s="277"/>
    </row>
    <row r="321" spans="1:37" s="289" customFormat="1">
      <c r="A321" s="286"/>
      <c r="B321" s="346"/>
      <c r="C321" s="286"/>
      <c r="D321" s="286"/>
      <c r="E321" s="286"/>
      <c r="F321" s="286"/>
      <c r="G321" s="286"/>
      <c r="H321" s="286"/>
      <c r="I321" s="286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  <c r="AA321" s="277"/>
      <c r="AB321" s="277"/>
      <c r="AC321" s="277"/>
      <c r="AD321" s="277"/>
      <c r="AE321" s="277"/>
      <c r="AF321" s="277"/>
      <c r="AG321" s="277"/>
      <c r="AH321" s="277"/>
      <c r="AI321" s="277"/>
      <c r="AJ321" s="277"/>
      <c r="AK321" s="277"/>
    </row>
    <row r="322" spans="1:37" s="289" customFormat="1">
      <c r="A322" s="286"/>
      <c r="B322" s="346"/>
      <c r="C322" s="286"/>
      <c r="D322" s="286"/>
      <c r="E322" s="286"/>
      <c r="F322" s="286"/>
      <c r="G322" s="286"/>
      <c r="H322" s="286"/>
      <c r="I322" s="286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  <c r="AA322" s="277"/>
      <c r="AB322" s="277"/>
      <c r="AC322" s="277"/>
      <c r="AD322" s="277"/>
      <c r="AE322" s="277"/>
      <c r="AF322" s="277"/>
      <c r="AG322" s="277"/>
      <c r="AH322" s="277"/>
      <c r="AI322" s="277"/>
      <c r="AJ322" s="277"/>
      <c r="AK322" s="277"/>
    </row>
    <row r="323" spans="1:37" s="289" customFormat="1">
      <c r="A323" s="286"/>
      <c r="B323" s="346"/>
      <c r="C323" s="286"/>
      <c r="D323" s="286"/>
      <c r="E323" s="286"/>
      <c r="F323" s="286"/>
      <c r="G323" s="286"/>
      <c r="H323" s="286"/>
      <c r="I323" s="286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  <c r="AA323" s="277"/>
      <c r="AB323" s="277"/>
      <c r="AC323" s="277"/>
      <c r="AD323" s="277"/>
      <c r="AE323" s="277"/>
      <c r="AF323" s="277"/>
      <c r="AG323" s="277"/>
      <c r="AH323" s="277"/>
      <c r="AI323" s="277"/>
      <c r="AJ323" s="277"/>
      <c r="AK323" s="277"/>
    </row>
    <row r="324" spans="1:37" s="289" customFormat="1">
      <c r="A324" s="286"/>
      <c r="B324" s="346"/>
      <c r="C324" s="286"/>
      <c r="D324" s="286"/>
      <c r="E324" s="286"/>
      <c r="F324" s="286"/>
      <c r="G324" s="286"/>
      <c r="H324" s="286"/>
      <c r="I324" s="286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  <c r="AA324" s="277"/>
      <c r="AB324" s="277"/>
      <c r="AC324" s="277"/>
      <c r="AD324" s="277"/>
      <c r="AE324" s="277"/>
      <c r="AF324" s="277"/>
      <c r="AG324" s="277"/>
      <c r="AH324" s="277"/>
      <c r="AI324" s="277"/>
      <c r="AJ324" s="277"/>
      <c r="AK324" s="277"/>
    </row>
    <row r="325" spans="1:37" s="289" customFormat="1">
      <c r="A325" s="286"/>
      <c r="B325" s="346"/>
      <c r="C325" s="286"/>
      <c r="D325" s="286"/>
      <c r="E325" s="286"/>
      <c r="F325" s="286"/>
      <c r="G325" s="286"/>
      <c r="H325" s="286"/>
      <c r="I325" s="286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  <c r="AA325" s="277"/>
      <c r="AB325" s="277"/>
      <c r="AC325" s="277"/>
      <c r="AD325" s="277"/>
      <c r="AE325" s="277"/>
      <c r="AF325" s="277"/>
      <c r="AG325" s="277"/>
      <c r="AH325" s="277"/>
      <c r="AI325" s="277"/>
      <c r="AJ325" s="277"/>
      <c r="AK325" s="277"/>
    </row>
    <row r="326" spans="1:37" s="289" customFormat="1">
      <c r="A326" s="286"/>
      <c r="B326" s="346"/>
      <c r="C326" s="286"/>
      <c r="D326" s="286"/>
      <c r="E326" s="286"/>
      <c r="F326" s="286"/>
      <c r="G326" s="286"/>
      <c r="H326" s="286"/>
      <c r="I326" s="286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  <c r="AA326" s="277"/>
      <c r="AB326" s="277"/>
      <c r="AC326" s="277"/>
      <c r="AD326" s="277"/>
      <c r="AE326" s="277"/>
      <c r="AF326" s="277"/>
      <c r="AG326" s="277"/>
      <c r="AH326" s="277"/>
      <c r="AI326" s="277"/>
      <c r="AJ326" s="277"/>
      <c r="AK326" s="277"/>
    </row>
    <row r="327" spans="1:37" s="289" customFormat="1">
      <c r="A327" s="286"/>
      <c r="B327" s="346"/>
      <c r="C327" s="286"/>
      <c r="D327" s="286"/>
      <c r="E327" s="286"/>
      <c r="F327" s="286"/>
      <c r="G327" s="286"/>
      <c r="H327" s="286"/>
      <c r="I327" s="286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  <c r="AA327" s="277"/>
      <c r="AB327" s="277"/>
      <c r="AC327" s="277"/>
      <c r="AD327" s="277"/>
      <c r="AE327" s="277"/>
      <c r="AF327" s="277"/>
      <c r="AG327" s="277"/>
      <c r="AH327" s="277"/>
      <c r="AI327" s="277"/>
      <c r="AJ327" s="277"/>
      <c r="AK327" s="277"/>
    </row>
    <row r="328" spans="1:37" s="289" customFormat="1">
      <c r="A328" s="286"/>
      <c r="B328" s="346"/>
      <c r="C328" s="286"/>
      <c r="D328" s="286"/>
      <c r="E328" s="286"/>
      <c r="F328" s="286"/>
      <c r="G328" s="286"/>
      <c r="H328" s="286"/>
      <c r="I328" s="286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  <c r="AA328" s="277"/>
      <c r="AB328" s="277"/>
      <c r="AC328" s="277"/>
      <c r="AD328" s="277"/>
      <c r="AE328" s="277"/>
      <c r="AF328" s="277"/>
      <c r="AG328" s="277"/>
      <c r="AH328" s="277"/>
      <c r="AI328" s="277"/>
      <c r="AJ328" s="277"/>
      <c r="AK328" s="277"/>
    </row>
    <row r="329" spans="1:37" s="289" customFormat="1">
      <c r="A329" s="286"/>
      <c r="B329" s="346"/>
      <c r="C329" s="286"/>
      <c r="D329" s="286"/>
      <c r="E329" s="286"/>
      <c r="F329" s="286"/>
      <c r="G329" s="286"/>
      <c r="H329" s="286"/>
      <c r="I329" s="286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  <c r="AA329" s="277"/>
      <c r="AB329" s="277"/>
      <c r="AC329" s="277"/>
      <c r="AD329" s="277"/>
      <c r="AE329" s="277"/>
      <c r="AF329" s="277"/>
      <c r="AG329" s="277"/>
      <c r="AH329" s="277"/>
      <c r="AI329" s="277"/>
      <c r="AJ329" s="277"/>
      <c r="AK329" s="277"/>
    </row>
    <row r="330" spans="1:37" s="289" customFormat="1">
      <c r="A330" s="286"/>
      <c r="B330" s="346"/>
      <c r="C330" s="286"/>
      <c r="D330" s="286"/>
      <c r="E330" s="286"/>
      <c r="F330" s="286"/>
      <c r="G330" s="286"/>
      <c r="H330" s="286"/>
      <c r="I330" s="286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  <c r="AA330" s="277"/>
      <c r="AB330" s="277"/>
      <c r="AC330" s="277"/>
      <c r="AD330" s="277"/>
      <c r="AE330" s="277"/>
      <c r="AF330" s="277"/>
      <c r="AG330" s="277"/>
      <c r="AH330" s="277"/>
      <c r="AI330" s="277"/>
      <c r="AJ330" s="277"/>
      <c r="AK330" s="277"/>
    </row>
    <row r="331" spans="1:37" s="289" customFormat="1">
      <c r="A331" s="286"/>
      <c r="B331" s="346"/>
      <c r="C331" s="286"/>
      <c r="D331" s="286"/>
      <c r="E331" s="286"/>
      <c r="F331" s="286"/>
      <c r="G331" s="286"/>
      <c r="H331" s="286"/>
      <c r="I331" s="286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  <c r="AA331" s="277"/>
      <c r="AB331" s="277"/>
      <c r="AC331" s="277"/>
      <c r="AD331" s="277"/>
      <c r="AE331" s="277"/>
      <c r="AF331" s="277"/>
      <c r="AG331" s="277"/>
      <c r="AH331" s="277"/>
      <c r="AI331" s="277"/>
      <c r="AJ331" s="277"/>
      <c r="AK331" s="277"/>
    </row>
    <row r="332" spans="1:37" s="289" customFormat="1">
      <c r="A332" s="286"/>
      <c r="B332" s="346"/>
      <c r="C332" s="286"/>
      <c r="D332" s="286"/>
      <c r="E332" s="286"/>
      <c r="F332" s="286"/>
      <c r="G332" s="286"/>
      <c r="H332" s="286"/>
      <c r="I332" s="286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  <c r="AA332" s="277"/>
      <c r="AB332" s="277"/>
      <c r="AC332" s="277"/>
      <c r="AD332" s="277"/>
      <c r="AE332" s="277"/>
      <c r="AF332" s="277"/>
      <c r="AG332" s="277"/>
      <c r="AH332" s="277"/>
      <c r="AI332" s="277"/>
      <c r="AJ332" s="277"/>
      <c r="AK332" s="277"/>
    </row>
    <row r="333" spans="1:37" s="289" customFormat="1">
      <c r="A333" s="286"/>
      <c r="B333" s="346"/>
      <c r="C333" s="286"/>
      <c r="D333" s="286"/>
      <c r="E333" s="286"/>
      <c r="F333" s="286"/>
      <c r="G333" s="286"/>
      <c r="H333" s="286"/>
      <c r="I333" s="286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  <c r="AA333" s="277"/>
      <c r="AB333" s="277"/>
      <c r="AC333" s="277"/>
      <c r="AD333" s="277"/>
      <c r="AE333" s="277"/>
      <c r="AF333" s="277"/>
      <c r="AG333" s="277"/>
      <c r="AH333" s="277"/>
      <c r="AI333" s="277"/>
      <c r="AJ333" s="277"/>
      <c r="AK333" s="277"/>
    </row>
    <row r="334" spans="1:37" s="289" customFormat="1">
      <c r="A334" s="286"/>
      <c r="B334" s="346"/>
      <c r="C334" s="286"/>
      <c r="D334" s="286"/>
      <c r="E334" s="286"/>
      <c r="F334" s="286"/>
      <c r="G334" s="286"/>
      <c r="H334" s="286"/>
      <c r="I334" s="286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  <c r="AA334" s="277"/>
      <c r="AB334" s="277"/>
      <c r="AC334" s="277"/>
      <c r="AD334" s="277"/>
      <c r="AE334" s="277"/>
      <c r="AF334" s="277"/>
      <c r="AG334" s="277"/>
      <c r="AH334" s="277"/>
      <c r="AI334" s="277"/>
      <c r="AJ334" s="277"/>
      <c r="AK334" s="277"/>
    </row>
    <row r="335" spans="1:37" s="289" customFormat="1">
      <c r="A335" s="286"/>
      <c r="B335" s="346"/>
      <c r="C335" s="286"/>
      <c r="D335" s="286"/>
      <c r="E335" s="286"/>
      <c r="F335" s="286"/>
      <c r="G335" s="286"/>
      <c r="H335" s="286"/>
      <c r="I335" s="286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  <c r="AA335" s="277"/>
      <c r="AB335" s="277"/>
      <c r="AC335" s="277"/>
      <c r="AD335" s="277"/>
      <c r="AE335" s="277"/>
      <c r="AF335" s="277"/>
      <c r="AG335" s="277"/>
      <c r="AH335" s="277"/>
      <c r="AI335" s="277"/>
      <c r="AJ335" s="277"/>
      <c r="AK335" s="277"/>
    </row>
    <row r="336" spans="1:37" s="289" customFormat="1">
      <c r="A336" s="277"/>
      <c r="C336" s="277"/>
      <c r="D336" s="277"/>
      <c r="E336" s="277"/>
      <c r="F336" s="277"/>
      <c r="G336" s="277"/>
      <c r="H336" s="277"/>
      <c r="I336" s="286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  <c r="AA336" s="277"/>
      <c r="AB336" s="277"/>
      <c r="AC336" s="277"/>
      <c r="AD336" s="277"/>
      <c r="AE336" s="277"/>
      <c r="AF336" s="277"/>
      <c r="AG336" s="277"/>
      <c r="AH336" s="277"/>
      <c r="AI336" s="277"/>
      <c r="AJ336" s="277"/>
      <c r="AK336" s="277"/>
    </row>
    <row r="337" spans="1:37" s="289" customFormat="1">
      <c r="A337" s="277"/>
      <c r="C337" s="277"/>
      <c r="D337" s="277"/>
      <c r="E337" s="277"/>
      <c r="F337" s="277"/>
      <c r="G337" s="277"/>
      <c r="H337" s="277"/>
      <c r="I337" s="286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  <c r="AA337" s="277"/>
      <c r="AB337" s="277"/>
      <c r="AC337" s="277"/>
      <c r="AD337" s="277"/>
      <c r="AE337" s="277"/>
      <c r="AF337" s="277"/>
      <c r="AG337" s="277"/>
      <c r="AH337" s="277"/>
      <c r="AI337" s="277"/>
      <c r="AJ337" s="277"/>
      <c r="AK337" s="277"/>
    </row>
    <row r="338" spans="1:37" s="289" customFormat="1">
      <c r="A338" s="277"/>
      <c r="C338" s="277"/>
      <c r="D338" s="277"/>
      <c r="E338" s="277"/>
      <c r="F338" s="277"/>
      <c r="G338" s="277"/>
      <c r="H338" s="277"/>
      <c r="I338" s="286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  <c r="AA338" s="277"/>
      <c r="AB338" s="277"/>
      <c r="AC338" s="277"/>
      <c r="AD338" s="277"/>
      <c r="AE338" s="277"/>
      <c r="AF338" s="277"/>
      <c r="AG338" s="277"/>
      <c r="AH338" s="277"/>
      <c r="AI338" s="277"/>
      <c r="AJ338" s="277"/>
      <c r="AK338" s="277"/>
    </row>
    <row r="339" spans="1:37" s="289" customFormat="1">
      <c r="A339" s="277"/>
      <c r="C339" s="277"/>
      <c r="D339" s="277"/>
      <c r="E339" s="277"/>
      <c r="F339" s="277"/>
      <c r="G339" s="277"/>
      <c r="H339" s="277"/>
      <c r="I339" s="286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  <c r="AA339" s="277"/>
      <c r="AB339" s="277"/>
      <c r="AC339" s="277"/>
      <c r="AD339" s="277"/>
      <c r="AE339" s="277"/>
      <c r="AF339" s="277"/>
      <c r="AG339" s="277"/>
      <c r="AH339" s="277"/>
      <c r="AI339" s="277"/>
      <c r="AJ339" s="277"/>
      <c r="AK339" s="277"/>
    </row>
    <row r="340" spans="1:37" s="289" customFormat="1">
      <c r="A340" s="277"/>
      <c r="C340" s="277"/>
      <c r="D340" s="277"/>
      <c r="E340" s="277"/>
      <c r="F340" s="277"/>
      <c r="G340" s="277"/>
      <c r="H340" s="277"/>
      <c r="I340" s="286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  <c r="AA340" s="277"/>
      <c r="AB340" s="277"/>
      <c r="AC340" s="277"/>
      <c r="AD340" s="277"/>
      <c r="AE340" s="277"/>
      <c r="AF340" s="277"/>
      <c r="AG340" s="277"/>
      <c r="AH340" s="277"/>
      <c r="AI340" s="277"/>
      <c r="AJ340" s="277"/>
      <c r="AK340" s="277"/>
    </row>
    <row r="341" spans="1:37" s="289" customFormat="1">
      <c r="A341" s="277"/>
      <c r="C341" s="277"/>
      <c r="D341" s="277"/>
      <c r="E341" s="277"/>
      <c r="F341" s="277"/>
      <c r="G341" s="277"/>
      <c r="H341" s="277"/>
      <c r="I341" s="286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  <c r="AA341" s="277"/>
      <c r="AB341" s="277"/>
      <c r="AC341" s="277"/>
      <c r="AD341" s="277"/>
      <c r="AE341" s="277"/>
      <c r="AF341" s="277"/>
      <c r="AG341" s="277"/>
      <c r="AH341" s="277"/>
      <c r="AI341" s="277"/>
      <c r="AJ341" s="277"/>
      <c r="AK341" s="277"/>
    </row>
    <row r="342" spans="1:37" s="289" customFormat="1">
      <c r="A342" s="277"/>
      <c r="C342" s="277"/>
      <c r="D342" s="277"/>
      <c r="E342" s="277"/>
      <c r="F342" s="277"/>
      <c r="G342" s="277"/>
      <c r="H342" s="277"/>
      <c r="I342" s="286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  <c r="AA342" s="277"/>
      <c r="AB342" s="277"/>
      <c r="AC342" s="277"/>
      <c r="AD342" s="277"/>
      <c r="AE342" s="277"/>
      <c r="AF342" s="277"/>
      <c r="AG342" s="277"/>
      <c r="AH342" s="277"/>
      <c r="AI342" s="277"/>
      <c r="AJ342" s="277"/>
      <c r="AK342" s="277"/>
    </row>
    <row r="343" spans="1:37" s="289" customFormat="1">
      <c r="A343" s="277"/>
      <c r="C343" s="277"/>
      <c r="D343" s="277"/>
      <c r="E343" s="277"/>
      <c r="F343" s="277"/>
      <c r="G343" s="277"/>
      <c r="H343" s="277"/>
      <c r="I343" s="286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  <c r="AA343" s="277"/>
      <c r="AB343" s="277"/>
      <c r="AC343" s="277"/>
      <c r="AD343" s="277"/>
      <c r="AE343" s="277"/>
      <c r="AF343" s="277"/>
      <c r="AG343" s="277"/>
      <c r="AH343" s="277"/>
      <c r="AI343" s="277"/>
      <c r="AJ343" s="277"/>
      <c r="AK343" s="277"/>
    </row>
    <row r="344" spans="1:37" s="289" customFormat="1">
      <c r="A344" s="277"/>
      <c r="C344" s="277"/>
      <c r="D344" s="277"/>
      <c r="E344" s="277"/>
      <c r="F344" s="277"/>
      <c r="G344" s="277"/>
      <c r="H344" s="277"/>
      <c r="I344" s="286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  <c r="AA344" s="277"/>
      <c r="AB344" s="277"/>
      <c r="AC344" s="277"/>
      <c r="AD344" s="277"/>
      <c r="AE344" s="277"/>
      <c r="AF344" s="277"/>
      <c r="AG344" s="277"/>
      <c r="AH344" s="277"/>
      <c r="AI344" s="277"/>
      <c r="AJ344" s="277"/>
      <c r="AK344" s="277"/>
    </row>
    <row r="345" spans="1:37" s="289" customFormat="1">
      <c r="A345" s="277"/>
      <c r="C345" s="277"/>
      <c r="D345" s="277"/>
      <c r="E345" s="277"/>
      <c r="F345" s="277"/>
      <c r="G345" s="277"/>
      <c r="H345" s="277"/>
      <c r="I345" s="286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  <c r="AA345" s="277"/>
      <c r="AB345" s="277"/>
      <c r="AC345" s="277"/>
      <c r="AD345" s="277"/>
      <c r="AE345" s="277"/>
      <c r="AF345" s="277"/>
      <c r="AG345" s="277"/>
      <c r="AH345" s="277"/>
      <c r="AI345" s="277"/>
      <c r="AJ345" s="277"/>
      <c r="AK345" s="277"/>
    </row>
    <row r="346" spans="1:37" s="289" customFormat="1">
      <c r="A346" s="277"/>
      <c r="C346" s="277"/>
      <c r="D346" s="277"/>
      <c r="E346" s="277"/>
      <c r="F346" s="277"/>
      <c r="G346" s="277"/>
      <c r="H346" s="277"/>
      <c r="I346" s="286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  <c r="AA346" s="277"/>
      <c r="AB346" s="277"/>
      <c r="AC346" s="277"/>
      <c r="AD346" s="277"/>
      <c r="AE346" s="277"/>
      <c r="AF346" s="277"/>
      <c r="AG346" s="277"/>
      <c r="AH346" s="277"/>
      <c r="AI346" s="277"/>
      <c r="AJ346" s="277"/>
      <c r="AK346" s="277"/>
    </row>
    <row r="347" spans="1:37" s="289" customFormat="1">
      <c r="A347" s="277"/>
      <c r="C347" s="277"/>
      <c r="D347" s="277"/>
      <c r="E347" s="277"/>
      <c r="F347" s="277"/>
      <c r="G347" s="277"/>
      <c r="H347" s="277"/>
      <c r="I347" s="286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  <c r="AA347" s="277"/>
      <c r="AB347" s="277"/>
      <c r="AC347" s="277"/>
      <c r="AD347" s="277"/>
      <c r="AE347" s="277"/>
      <c r="AF347" s="277"/>
      <c r="AG347" s="277"/>
      <c r="AH347" s="277"/>
      <c r="AI347" s="277"/>
      <c r="AJ347" s="277"/>
      <c r="AK347" s="277"/>
    </row>
    <row r="348" spans="1:37" s="289" customFormat="1">
      <c r="A348" s="277"/>
      <c r="C348" s="277"/>
      <c r="D348" s="277"/>
      <c r="E348" s="277"/>
      <c r="F348" s="277"/>
      <c r="G348" s="277"/>
      <c r="H348" s="277"/>
      <c r="I348" s="286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  <c r="AA348" s="277"/>
      <c r="AB348" s="277"/>
      <c r="AC348" s="277"/>
      <c r="AD348" s="277"/>
      <c r="AE348" s="277"/>
      <c r="AF348" s="277"/>
      <c r="AG348" s="277"/>
      <c r="AH348" s="277"/>
      <c r="AI348" s="277"/>
      <c r="AJ348" s="277"/>
      <c r="AK348" s="277"/>
    </row>
    <row r="349" spans="1:37" s="289" customFormat="1">
      <c r="A349" s="277"/>
      <c r="C349" s="277"/>
      <c r="D349" s="277"/>
      <c r="E349" s="277"/>
      <c r="F349" s="277"/>
      <c r="G349" s="277"/>
      <c r="H349" s="277"/>
      <c r="I349" s="286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  <c r="AA349" s="277"/>
      <c r="AB349" s="277"/>
      <c r="AC349" s="277"/>
      <c r="AD349" s="277"/>
      <c r="AE349" s="277"/>
      <c r="AF349" s="277"/>
      <c r="AG349" s="277"/>
      <c r="AH349" s="277"/>
      <c r="AI349" s="277"/>
      <c r="AJ349" s="277"/>
      <c r="AK349" s="277"/>
    </row>
    <row r="350" spans="1:37" s="289" customFormat="1">
      <c r="A350" s="277"/>
      <c r="C350" s="277"/>
      <c r="D350" s="277"/>
      <c r="E350" s="277"/>
      <c r="F350" s="277"/>
      <c r="G350" s="277"/>
      <c r="H350" s="277"/>
      <c r="I350" s="286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  <c r="AA350" s="277"/>
      <c r="AB350" s="277"/>
      <c r="AC350" s="277"/>
      <c r="AD350" s="277"/>
      <c r="AE350" s="277"/>
      <c r="AF350" s="277"/>
      <c r="AG350" s="277"/>
      <c r="AH350" s="277"/>
      <c r="AI350" s="277"/>
      <c r="AJ350" s="277"/>
      <c r="AK350" s="277"/>
    </row>
    <row r="351" spans="1:37" s="289" customFormat="1">
      <c r="A351" s="277"/>
      <c r="C351" s="277"/>
      <c r="D351" s="277"/>
      <c r="E351" s="277"/>
      <c r="F351" s="277"/>
      <c r="G351" s="277"/>
      <c r="H351" s="277"/>
      <c r="I351" s="286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  <c r="AA351" s="277"/>
      <c r="AB351" s="277"/>
      <c r="AC351" s="277"/>
      <c r="AD351" s="277"/>
      <c r="AE351" s="277"/>
      <c r="AF351" s="277"/>
      <c r="AG351" s="277"/>
      <c r="AH351" s="277"/>
      <c r="AI351" s="277"/>
      <c r="AJ351" s="277"/>
      <c r="AK351" s="277"/>
    </row>
    <row r="352" spans="1:37" s="289" customFormat="1">
      <c r="A352" s="277"/>
      <c r="C352" s="277"/>
      <c r="D352" s="277"/>
      <c r="E352" s="277"/>
      <c r="F352" s="277"/>
      <c r="G352" s="277"/>
      <c r="H352" s="277"/>
      <c r="I352" s="286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  <c r="AA352" s="277"/>
      <c r="AB352" s="277"/>
      <c r="AC352" s="277"/>
      <c r="AD352" s="277"/>
      <c r="AE352" s="277"/>
      <c r="AF352" s="277"/>
      <c r="AG352" s="277"/>
      <c r="AH352" s="277"/>
      <c r="AI352" s="277"/>
      <c r="AJ352" s="277"/>
      <c r="AK352" s="277"/>
    </row>
    <row r="353" spans="1:37" s="289" customFormat="1">
      <c r="A353" s="277"/>
      <c r="C353" s="277"/>
      <c r="D353" s="277"/>
      <c r="E353" s="277"/>
      <c r="F353" s="277"/>
      <c r="G353" s="277"/>
      <c r="H353" s="277"/>
      <c r="I353" s="286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  <c r="AA353" s="277"/>
      <c r="AB353" s="277"/>
      <c r="AC353" s="277"/>
      <c r="AD353" s="277"/>
      <c r="AE353" s="277"/>
      <c r="AF353" s="277"/>
      <c r="AG353" s="277"/>
      <c r="AH353" s="277"/>
      <c r="AI353" s="277"/>
      <c r="AJ353" s="277"/>
      <c r="AK353" s="277"/>
    </row>
    <row r="354" spans="1:37" s="289" customFormat="1">
      <c r="A354" s="277"/>
      <c r="C354" s="277"/>
      <c r="D354" s="277"/>
      <c r="E354" s="277"/>
      <c r="F354" s="277"/>
      <c r="G354" s="277"/>
      <c r="H354" s="277"/>
      <c r="I354" s="286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  <c r="AA354" s="277"/>
      <c r="AB354" s="277"/>
      <c r="AC354" s="277"/>
      <c r="AD354" s="277"/>
      <c r="AE354" s="277"/>
      <c r="AF354" s="277"/>
      <c r="AG354" s="277"/>
      <c r="AH354" s="277"/>
      <c r="AI354" s="277"/>
      <c r="AJ354" s="277"/>
      <c r="AK354" s="277"/>
    </row>
    <row r="355" spans="1:37" s="289" customFormat="1">
      <c r="A355" s="277"/>
      <c r="C355" s="277"/>
      <c r="D355" s="277"/>
      <c r="E355" s="277"/>
      <c r="F355" s="277"/>
      <c r="G355" s="277"/>
      <c r="H355" s="277"/>
      <c r="I355" s="286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  <c r="AA355" s="277"/>
      <c r="AB355" s="277"/>
      <c r="AC355" s="277"/>
      <c r="AD355" s="277"/>
      <c r="AE355" s="277"/>
      <c r="AF355" s="277"/>
      <c r="AG355" s="277"/>
      <c r="AH355" s="277"/>
      <c r="AI355" s="277"/>
      <c r="AJ355" s="277"/>
      <c r="AK355" s="277"/>
    </row>
    <row r="356" spans="1:37" s="289" customFormat="1">
      <c r="A356" s="277"/>
      <c r="C356" s="277"/>
      <c r="D356" s="277"/>
      <c r="E356" s="277"/>
      <c r="F356" s="277"/>
      <c r="G356" s="277"/>
      <c r="H356" s="277"/>
      <c r="I356" s="286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  <c r="AA356" s="277"/>
      <c r="AB356" s="277"/>
      <c r="AC356" s="277"/>
      <c r="AD356" s="277"/>
      <c r="AE356" s="277"/>
      <c r="AF356" s="277"/>
      <c r="AG356" s="277"/>
      <c r="AH356" s="277"/>
      <c r="AI356" s="277"/>
      <c r="AJ356" s="277"/>
      <c r="AK356" s="277"/>
    </row>
    <row r="357" spans="1:37" s="289" customFormat="1">
      <c r="A357" s="277"/>
      <c r="C357" s="277"/>
      <c r="D357" s="277"/>
      <c r="E357" s="277"/>
      <c r="F357" s="277"/>
      <c r="G357" s="277"/>
      <c r="H357" s="277"/>
      <c r="I357" s="286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  <c r="AA357" s="277"/>
      <c r="AB357" s="277"/>
      <c r="AC357" s="277"/>
      <c r="AD357" s="277"/>
      <c r="AE357" s="277"/>
      <c r="AF357" s="277"/>
      <c r="AG357" s="277"/>
      <c r="AH357" s="277"/>
      <c r="AI357" s="277"/>
      <c r="AJ357" s="277"/>
      <c r="AK357" s="277"/>
    </row>
    <row r="358" spans="1:37" s="289" customFormat="1">
      <c r="A358" s="277"/>
      <c r="C358" s="277"/>
      <c r="D358" s="277"/>
      <c r="E358" s="277"/>
      <c r="F358" s="277"/>
      <c r="G358" s="277"/>
      <c r="H358" s="277"/>
      <c r="I358" s="286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  <c r="AA358" s="277"/>
      <c r="AB358" s="277"/>
      <c r="AC358" s="277"/>
      <c r="AD358" s="277"/>
      <c r="AE358" s="277"/>
      <c r="AF358" s="277"/>
      <c r="AG358" s="277"/>
      <c r="AH358" s="277"/>
      <c r="AI358" s="277"/>
      <c r="AJ358" s="277"/>
      <c r="AK358" s="277"/>
    </row>
    <row r="359" spans="1:37" s="289" customFormat="1">
      <c r="A359" s="277"/>
      <c r="C359" s="277"/>
      <c r="D359" s="277"/>
      <c r="E359" s="277"/>
      <c r="F359" s="277"/>
      <c r="G359" s="277"/>
      <c r="H359" s="277"/>
      <c r="I359" s="286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  <c r="AA359" s="277"/>
      <c r="AB359" s="277"/>
      <c r="AC359" s="277"/>
      <c r="AD359" s="277"/>
      <c r="AE359" s="277"/>
      <c r="AF359" s="277"/>
      <c r="AG359" s="277"/>
      <c r="AH359" s="277"/>
      <c r="AI359" s="277"/>
      <c r="AJ359" s="277"/>
      <c r="AK359" s="277"/>
    </row>
    <row r="360" spans="1:37" s="289" customFormat="1">
      <c r="A360" s="277"/>
      <c r="C360" s="277"/>
      <c r="D360" s="277"/>
      <c r="E360" s="277"/>
      <c r="F360" s="277"/>
      <c r="G360" s="277"/>
      <c r="H360" s="277"/>
      <c r="I360" s="286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  <c r="AA360" s="277"/>
      <c r="AB360" s="277"/>
      <c r="AC360" s="277"/>
      <c r="AD360" s="277"/>
      <c r="AE360" s="277"/>
      <c r="AF360" s="277"/>
      <c r="AG360" s="277"/>
      <c r="AH360" s="277"/>
      <c r="AI360" s="277"/>
      <c r="AJ360" s="277"/>
      <c r="AK360" s="277"/>
    </row>
    <row r="361" spans="1:37" s="289" customFormat="1">
      <c r="A361" s="277"/>
      <c r="C361" s="277"/>
      <c r="D361" s="277"/>
      <c r="E361" s="277"/>
      <c r="F361" s="277"/>
      <c r="G361" s="277"/>
      <c r="H361" s="277"/>
      <c r="I361" s="286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  <c r="AA361" s="277"/>
      <c r="AB361" s="277"/>
      <c r="AC361" s="277"/>
      <c r="AD361" s="277"/>
      <c r="AE361" s="277"/>
      <c r="AF361" s="277"/>
      <c r="AG361" s="277"/>
      <c r="AH361" s="277"/>
      <c r="AI361" s="277"/>
      <c r="AJ361" s="277"/>
      <c r="AK361" s="277"/>
    </row>
    <row r="362" spans="1:37" s="289" customFormat="1">
      <c r="A362" s="277"/>
      <c r="C362" s="277"/>
      <c r="D362" s="277"/>
      <c r="E362" s="277"/>
      <c r="F362" s="277"/>
      <c r="G362" s="277"/>
      <c r="H362" s="277"/>
      <c r="I362" s="286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  <c r="AA362" s="277"/>
      <c r="AB362" s="277"/>
      <c r="AC362" s="277"/>
      <c r="AD362" s="277"/>
      <c r="AE362" s="277"/>
      <c r="AF362" s="277"/>
      <c r="AG362" s="277"/>
      <c r="AH362" s="277"/>
      <c r="AI362" s="277"/>
      <c r="AJ362" s="277"/>
      <c r="AK362" s="277"/>
    </row>
    <row r="363" spans="1:37" s="289" customFormat="1">
      <c r="A363" s="277"/>
      <c r="C363" s="277"/>
      <c r="D363" s="277"/>
      <c r="E363" s="277"/>
      <c r="F363" s="277"/>
      <c r="G363" s="277"/>
      <c r="H363" s="277"/>
      <c r="I363" s="286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  <c r="AA363" s="277"/>
      <c r="AB363" s="277"/>
      <c r="AC363" s="277"/>
      <c r="AD363" s="277"/>
      <c r="AE363" s="277"/>
      <c r="AF363" s="277"/>
      <c r="AG363" s="277"/>
      <c r="AH363" s="277"/>
      <c r="AI363" s="277"/>
      <c r="AJ363" s="277"/>
      <c r="AK363" s="277"/>
    </row>
    <row r="364" spans="1:37" s="289" customFormat="1">
      <c r="A364" s="277"/>
      <c r="C364" s="277"/>
      <c r="D364" s="277"/>
      <c r="E364" s="277"/>
      <c r="F364" s="277"/>
      <c r="G364" s="277"/>
      <c r="H364" s="277"/>
      <c r="I364" s="286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  <c r="AA364" s="277"/>
      <c r="AB364" s="277"/>
      <c r="AC364" s="277"/>
      <c r="AD364" s="277"/>
      <c r="AE364" s="277"/>
      <c r="AF364" s="277"/>
      <c r="AG364" s="277"/>
      <c r="AH364" s="277"/>
      <c r="AI364" s="277"/>
      <c r="AJ364" s="277"/>
      <c r="AK364" s="277"/>
    </row>
    <row r="365" spans="1:37" s="289" customFormat="1">
      <c r="A365" s="277"/>
      <c r="C365" s="277"/>
      <c r="D365" s="277"/>
      <c r="E365" s="277"/>
      <c r="F365" s="277"/>
      <c r="G365" s="277"/>
      <c r="H365" s="277"/>
      <c r="I365" s="286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  <c r="AA365" s="277"/>
      <c r="AB365" s="277"/>
      <c r="AC365" s="277"/>
      <c r="AD365" s="277"/>
      <c r="AE365" s="277"/>
      <c r="AF365" s="277"/>
      <c r="AG365" s="277"/>
      <c r="AH365" s="277"/>
      <c r="AI365" s="277"/>
      <c r="AJ365" s="277"/>
      <c r="AK365" s="277"/>
    </row>
    <row r="366" spans="1:37" s="289" customFormat="1">
      <c r="A366" s="277"/>
      <c r="C366" s="277"/>
      <c r="D366" s="277"/>
      <c r="E366" s="277"/>
      <c r="F366" s="277"/>
      <c r="G366" s="277"/>
      <c r="H366" s="277"/>
      <c r="I366" s="286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77"/>
      <c r="AB366" s="277"/>
      <c r="AC366" s="277"/>
      <c r="AD366" s="277"/>
      <c r="AE366" s="277"/>
      <c r="AF366" s="277"/>
      <c r="AG366" s="277"/>
      <c r="AH366" s="277"/>
      <c r="AI366" s="277"/>
      <c r="AJ366" s="277"/>
      <c r="AK366" s="277"/>
    </row>
    <row r="367" spans="1:37" s="289" customFormat="1">
      <c r="A367" s="277"/>
      <c r="C367" s="277"/>
      <c r="D367" s="277"/>
      <c r="E367" s="277"/>
      <c r="F367" s="277"/>
      <c r="G367" s="277"/>
      <c r="H367" s="277"/>
      <c r="I367" s="286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  <c r="AA367" s="277"/>
      <c r="AB367" s="277"/>
      <c r="AC367" s="277"/>
      <c r="AD367" s="277"/>
      <c r="AE367" s="277"/>
      <c r="AF367" s="277"/>
      <c r="AG367" s="277"/>
      <c r="AH367" s="277"/>
      <c r="AI367" s="277"/>
      <c r="AJ367" s="277"/>
      <c r="AK367" s="277"/>
    </row>
    <row r="368" spans="1:37" s="289" customFormat="1">
      <c r="A368" s="277"/>
      <c r="C368" s="277"/>
      <c r="D368" s="277"/>
      <c r="E368" s="277"/>
      <c r="F368" s="277"/>
      <c r="G368" s="277"/>
      <c r="H368" s="277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  <c r="AA368" s="277"/>
      <c r="AB368" s="277"/>
      <c r="AC368" s="277"/>
      <c r="AD368" s="277"/>
      <c r="AE368" s="277"/>
      <c r="AF368" s="277"/>
      <c r="AG368" s="277"/>
      <c r="AH368" s="277"/>
      <c r="AI368" s="277"/>
      <c r="AJ368" s="277"/>
      <c r="AK368" s="277"/>
    </row>
    <row r="369" spans="1:37" s="289" customFormat="1">
      <c r="A369" s="277"/>
      <c r="C369" s="277"/>
      <c r="D369" s="277"/>
      <c r="E369" s="277"/>
      <c r="F369" s="277"/>
      <c r="G369" s="277"/>
      <c r="H369" s="277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  <c r="AA369" s="277"/>
      <c r="AB369" s="277"/>
      <c r="AC369" s="277"/>
      <c r="AD369" s="277"/>
      <c r="AE369" s="277"/>
      <c r="AF369" s="277"/>
      <c r="AG369" s="277"/>
      <c r="AH369" s="277"/>
      <c r="AI369" s="277"/>
      <c r="AJ369" s="277"/>
      <c r="AK369" s="277"/>
    </row>
    <row r="370" spans="1:37" s="289" customFormat="1">
      <c r="A370" s="277"/>
      <c r="C370" s="277"/>
      <c r="D370" s="277"/>
      <c r="E370" s="277"/>
      <c r="F370" s="277"/>
      <c r="G370" s="277"/>
      <c r="H370" s="277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  <c r="AA370" s="277"/>
      <c r="AB370" s="277"/>
      <c r="AC370" s="277"/>
      <c r="AD370" s="277"/>
      <c r="AE370" s="277"/>
      <c r="AF370" s="277"/>
      <c r="AG370" s="277"/>
      <c r="AH370" s="277"/>
      <c r="AI370" s="277"/>
      <c r="AJ370" s="277"/>
      <c r="AK370" s="277"/>
    </row>
    <row r="371" spans="1:37" s="289" customFormat="1">
      <c r="A371" s="277"/>
      <c r="C371" s="277"/>
      <c r="D371" s="277"/>
      <c r="E371" s="277"/>
      <c r="F371" s="277"/>
      <c r="G371" s="277"/>
      <c r="H371" s="277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  <c r="AA371" s="277"/>
      <c r="AB371" s="277"/>
      <c r="AC371" s="277"/>
      <c r="AD371" s="277"/>
      <c r="AE371" s="277"/>
      <c r="AF371" s="277"/>
      <c r="AG371" s="277"/>
      <c r="AH371" s="277"/>
      <c r="AI371" s="277"/>
      <c r="AJ371" s="277"/>
      <c r="AK371" s="277"/>
    </row>
    <row r="372" spans="1:37" s="289" customFormat="1">
      <c r="A372" s="277"/>
      <c r="C372" s="277"/>
      <c r="D372" s="277"/>
      <c r="E372" s="277"/>
      <c r="F372" s="277"/>
      <c r="G372" s="277"/>
      <c r="H372" s="277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  <c r="AA372" s="277"/>
      <c r="AB372" s="277"/>
      <c r="AC372" s="277"/>
      <c r="AD372" s="277"/>
      <c r="AE372" s="277"/>
      <c r="AF372" s="277"/>
      <c r="AG372" s="277"/>
      <c r="AH372" s="277"/>
      <c r="AI372" s="277"/>
      <c r="AJ372" s="277"/>
      <c r="AK372" s="277"/>
    </row>
    <row r="373" spans="1:37" s="289" customFormat="1">
      <c r="A373" s="277"/>
      <c r="C373" s="277"/>
      <c r="D373" s="277"/>
      <c r="E373" s="277"/>
      <c r="F373" s="277"/>
      <c r="G373" s="277"/>
      <c r="H373" s="277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  <c r="AA373" s="277"/>
      <c r="AB373" s="277"/>
      <c r="AC373" s="277"/>
      <c r="AD373" s="277"/>
      <c r="AE373" s="277"/>
      <c r="AF373" s="277"/>
      <c r="AG373" s="277"/>
      <c r="AH373" s="277"/>
      <c r="AI373" s="277"/>
      <c r="AJ373" s="277"/>
      <c r="AK373" s="277"/>
    </row>
    <row r="374" spans="1:37" s="289" customFormat="1">
      <c r="A374" s="277"/>
      <c r="C374" s="277"/>
      <c r="D374" s="277"/>
      <c r="E374" s="277"/>
      <c r="F374" s="277"/>
      <c r="G374" s="277"/>
      <c r="H374" s="277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  <c r="AA374" s="277"/>
      <c r="AB374" s="277"/>
      <c r="AC374" s="277"/>
      <c r="AD374" s="277"/>
      <c r="AE374" s="277"/>
      <c r="AF374" s="277"/>
      <c r="AG374" s="277"/>
      <c r="AH374" s="277"/>
      <c r="AI374" s="277"/>
      <c r="AJ374" s="277"/>
      <c r="AK374" s="277"/>
    </row>
    <row r="375" spans="1:37" s="289" customFormat="1">
      <c r="A375" s="277"/>
      <c r="C375" s="277"/>
      <c r="D375" s="277"/>
      <c r="E375" s="277"/>
      <c r="F375" s="277"/>
      <c r="G375" s="277"/>
      <c r="H375" s="277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  <c r="AA375" s="277"/>
      <c r="AB375" s="277"/>
      <c r="AC375" s="277"/>
      <c r="AD375" s="277"/>
      <c r="AE375" s="277"/>
      <c r="AF375" s="277"/>
      <c r="AG375" s="277"/>
      <c r="AH375" s="277"/>
      <c r="AI375" s="277"/>
      <c r="AJ375" s="277"/>
      <c r="AK375" s="277"/>
    </row>
    <row r="376" spans="1:37" s="289" customFormat="1">
      <c r="A376" s="277"/>
      <c r="C376" s="277"/>
      <c r="D376" s="277"/>
      <c r="E376" s="277"/>
      <c r="F376" s="277"/>
      <c r="G376" s="277"/>
      <c r="H376" s="277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  <c r="AA376" s="277"/>
      <c r="AB376" s="277"/>
      <c r="AC376" s="277"/>
      <c r="AD376" s="277"/>
      <c r="AE376" s="277"/>
      <c r="AF376" s="277"/>
      <c r="AG376" s="277"/>
      <c r="AH376" s="277"/>
      <c r="AI376" s="277"/>
      <c r="AJ376" s="277"/>
      <c r="AK376" s="277"/>
    </row>
    <row r="377" spans="1:37" s="289" customFormat="1">
      <c r="A377" s="277"/>
      <c r="C377" s="277"/>
      <c r="D377" s="277"/>
      <c r="E377" s="277"/>
      <c r="F377" s="277"/>
      <c r="G377" s="277"/>
      <c r="H377" s="277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  <c r="AA377" s="277"/>
      <c r="AB377" s="277"/>
      <c r="AC377" s="277"/>
      <c r="AD377" s="277"/>
      <c r="AE377" s="277"/>
      <c r="AF377" s="277"/>
      <c r="AG377" s="277"/>
      <c r="AH377" s="277"/>
      <c r="AI377" s="277"/>
      <c r="AJ377" s="277"/>
      <c r="AK377" s="277"/>
    </row>
    <row r="378" spans="1:37" s="289" customFormat="1">
      <c r="A378" s="277"/>
      <c r="C378" s="277"/>
      <c r="D378" s="277"/>
      <c r="E378" s="277"/>
      <c r="F378" s="277"/>
      <c r="G378" s="277"/>
      <c r="H378" s="277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  <c r="AA378" s="277"/>
      <c r="AB378" s="277"/>
      <c r="AC378" s="277"/>
      <c r="AD378" s="277"/>
      <c r="AE378" s="277"/>
      <c r="AF378" s="277"/>
      <c r="AG378" s="277"/>
      <c r="AH378" s="277"/>
      <c r="AI378" s="277"/>
      <c r="AJ378" s="277"/>
      <c r="AK378" s="277"/>
    </row>
    <row r="379" spans="1:37" s="289" customFormat="1">
      <c r="A379" s="277"/>
      <c r="C379" s="277"/>
      <c r="D379" s="277"/>
      <c r="E379" s="277"/>
      <c r="F379" s="277"/>
      <c r="G379" s="277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  <c r="AA379" s="277"/>
      <c r="AB379" s="277"/>
      <c r="AC379" s="277"/>
      <c r="AD379" s="277"/>
      <c r="AE379" s="277"/>
      <c r="AF379" s="277"/>
      <c r="AG379" s="277"/>
      <c r="AH379" s="277"/>
      <c r="AI379" s="277"/>
      <c r="AJ379" s="277"/>
      <c r="AK379" s="277"/>
    </row>
    <row r="380" spans="1:37" s="289" customFormat="1">
      <c r="A380" s="277"/>
      <c r="C380" s="277"/>
      <c r="D380" s="277"/>
      <c r="E380" s="277"/>
      <c r="F380" s="277"/>
      <c r="G380" s="277"/>
      <c r="H380" s="277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  <c r="AA380" s="277"/>
      <c r="AB380" s="277"/>
      <c r="AC380" s="277"/>
      <c r="AD380" s="277"/>
      <c r="AE380" s="277"/>
      <c r="AF380" s="277"/>
      <c r="AG380" s="277"/>
      <c r="AH380" s="277"/>
      <c r="AI380" s="277"/>
      <c r="AJ380" s="277"/>
      <c r="AK380" s="277"/>
    </row>
    <row r="381" spans="1:37" s="289" customFormat="1">
      <c r="A381" s="277"/>
      <c r="C381" s="277"/>
      <c r="D381" s="277"/>
      <c r="E381" s="277"/>
      <c r="F381" s="277"/>
      <c r="G381" s="277"/>
      <c r="H381" s="277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  <c r="AA381" s="277"/>
      <c r="AB381" s="277"/>
      <c r="AC381" s="277"/>
      <c r="AD381" s="277"/>
      <c r="AE381" s="277"/>
      <c r="AF381" s="277"/>
      <c r="AG381" s="277"/>
      <c r="AH381" s="277"/>
      <c r="AI381" s="277"/>
      <c r="AJ381" s="277"/>
      <c r="AK381" s="277"/>
    </row>
    <row r="382" spans="1:37" s="289" customFormat="1">
      <c r="A382" s="277"/>
      <c r="C382" s="277"/>
      <c r="D382" s="277"/>
      <c r="E382" s="277"/>
      <c r="F382" s="277"/>
      <c r="G382" s="277"/>
      <c r="H382" s="277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  <c r="AA382" s="277"/>
      <c r="AB382" s="277"/>
      <c r="AC382" s="277"/>
      <c r="AD382" s="277"/>
      <c r="AE382" s="277"/>
      <c r="AF382" s="277"/>
      <c r="AG382" s="277"/>
      <c r="AH382" s="277"/>
      <c r="AI382" s="277"/>
      <c r="AJ382" s="277"/>
      <c r="AK382" s="277"/>
    </row>
    <row r="383" spans="1:37" s="289" customFormat="1">
      <c r="A383" s="277"/>
      <c r="C383" s="277"/>
      <c r="D383" s="277"/>
      <c r="E383" s="277"/>
      <c r="F383" s="277"/>
      <c r="G383" s="277"/>
      <c r="H383" s="277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  <c r="AA383" s="277"/>
      <c r="AB383" s="277"/>
      <c r="AC383" s="277"/>
      <c r="AD383" s="277"/>
      <c r="AE383" s="277"/>
      <c r="AF383" s="277"/>
      <c r="AG383" s="277"/>
      <c r="AH383" s="277"/>
      <c r="AI383" s="277"/>
      <c r="AJ383" s="277"/>
      <c r="AK383" s="277"/>
    </row>
    <row r="384" spans="1:37" s="289" customFormat="1">
      <c r="A384" s="277"/>
      <c r="C384" s="277"/>
      <c r="D384" s="277"/>
      <c r="E384" s="277"/>
      <c r="F384" s="277"/>
      <c r="G384" s="277"/>
      <c r="H384" s="277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  <c r="AA384" s="277"/>
      <c r="AB384" s="277"/>
      <c r="AC384" s="277"/>
      <c r="AD384" s="277"/>
      <c r="AE384" s="277"/>
      <c r="AF384" s="277"/>
      <c r="AG384" s="277"/>
      <c r="AH384" s="277"/>
      <c r="AI384" s="277"/>
      <c r="AJ384" s="277"/>
      <c r="AK384" s="277"/>
    </row>
    <row r="385" spans="1:37" s="289" customFormat="1">
      <c r="A385" s="277"/>
      <c r="C385" s="277"/>
      <c r="D385" s="277"/>
      <c r="E385" s="277"/>
      <c r="F385" s="277"/>
      <c r="G385" s="277"/>
      <c r="H385" s="277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  <c r="AA385" s="277"/>
      <c r="AB385" s="277"/>
      <c r="AC385" s="277"/>
      <c r="AD385" s="277"/>
      <c r="AE385" s="277"/>
      <c r="AF385" s="277"/>
      <c r="AG385" s="277"/>
      <c r="AH385" s="277"/>
      <c r="AI385" s="277"/>
      <c r="AJ385" s="277"/>
      <c r="AK385" s="277"/>
    </row>
    <row r="386" spans="1:37" s="289" customFormat="1">
      <c r="A386" s="277"/>
      <c r="C386" s="277"/>
      <c r="D386" s="277"/>
      <c r="E386" s="277"/>
      <c r="F386" s="277"/>
      <c r="G386" s="277"/>
      <c r="H386" s="277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  <c r="AA386" s="277"/>
      <c r="AB386" s="277"/>
      <c r="AC386" s="277"/>
      <c r="AD386" s="277"/>
      <c r="AE386" s="277"/>
      <c r="AF386" s="277"/>
      <c r="AG386" s="277"/>
      <c r="AH386" s="277"/>
      <c r="AI386" s="277"/>
      <c r="AJ386" s="277"/>
      <c r="AK386" s="277"/>
    </row>
    <row r="387" spans="1:37" s="289" customFormat="1">
      <c r="A387" s="277"/>
      <c r="C387" s="277"/>
      <c r="D387" s="277"/>
      <c r="E387" s="277"/>
      <c r="F387" s="277"/>
      <c r="G387" s="277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  <c r="AA387" s="277"/>
      <c r="AB387" s="277"/>
      <c r="AC387" s="277"/>
      <c r="AD387" s="277"/>
      <c r="AE387" s="277"/>
      <c r="AF387" s="277"/>
      <c r="AG387" s="277"/>
      <c r="AH387" s="277"/>
      <c r="AI387" s="277"/>
      <c r="AJ387" s="277"/>
      <c r="AK387" s="277"/>
    </row>
    <row r="388" spans="1:37" s="289" customFormat="1">
      <c r="A388" s="277"/>
      <c r="C388" s="277"/>
      <c r="D388" s="277"/>
      <c r="E388" s="277"/>
      <c r="F388" s="277"/>
      <c r="G388" s="277"/>
      <c r="H388" s="277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  <c r="AA388" s="277"/>
      <c r="AB388" s="277"/>
      <c r="AC388" s="277"/>
      <c r="AD388" s="277"/>
      <c r="AE388" s="277"/>
      <c r="AF388" s="277"/>
      <c r="AG388" s="277"/>
      <c r="AH388" s="277"/>
      <c r="AI388" s="277"/>
      <c r="AJ388" s="277"/>
      <c r="AK388" s="277"/>
    </row>
    <row r="389" spans="1:37" s="289" customFormat="1">
      <c r="A389" s="277"/>
      <c r="C389" s="277"/>
      <c r="D389" s="277"/>
      <c r="E389" s="277"/>
      <c r="F389" s="277"/>
      <c r="G389" s="277"/>
      <c r="H389" s="277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  <c r="AA389" s="277"/>
      <c r="AB389" s="277"/>
      <c r="AC389" s="277"/>
      <c r="AD389" s="277"/>
      <c r="AE389" s="277"/>
      <c r="AF389" s="277"/>
      <c r="AG389" s="277"/>
      <c r="AH389" s="277"/>
      <c r="AI389" s="277"/>
      <c r="AJ389" s="277"/>
      <c r="AK389" s="277"/>
    </row>
    <row r="390" spans="1:37" s="289" customFormat="1">
      <c r="A390" s="277"/>
      <c r="C390" s="277"/>
      <c r="D390" s="277"/>
      <c r="E390" s="277"/>
      <c r="F390" s="277"/>
      <c r="G390" s="277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  <c r="AA390" s="277"/>
      <c r="AB390" s="277"/>
      <c r="AC390" s="277"/>
      <c r="AD390" s="277"/>
      <c r="AE390" s="277"/>
      <c r="AF390" s="277"/>
      <c r="AG390" s="277"/>
      <c r="AH390" s="277"/>
      <c r="AI390" s="277"/>
      <c r="AJ390" s="277"/>
      <c r="AK390" s="277"/>
    </row>
    <row r="391" spans="1:37" s="289" customFormat="1">
      <c r="A391" s="277"/>
      <c r="C391" s="277"/>
      <c r="D391" s="277"/>
      <c r="E391" s="277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  <c r="AA391" s="277"/>
      <c r="AB391" s="277"/>
      <c r="AC391" s="277"/>
      <c r="AD391" s="277"/>
      <c r="AE391" s="277"/>
      <c r="AF391" s="277"/>
      <c r="AG391" s="277"/>
      <c r="AH391" s="277"/>
      <c r="AI391" s="277"/>
      <c r="AJ391" s="277"/>
      <c r="AK391" s="277"/>
    </row>
    <row r="392" spans="1:37" s="289" customFormat="1">
      <c r="A392" s="277"/>
      <c r="C392" s="277"/>
      <c r="D392" s="277"/>
      <c r="E392" s="277"/>
      <c r="F392" s="277"/>
      <c r="G392" s="277"/>
      <c r="H392" s="277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  <c r="AA392" s="277"/>
      <c r="AB392" s="277"/>
      <c r="AC392" s="277"/>
      <c r="AD392" s="277"/>
      <c r="AE392" s="277"/>
      <c r="AF392" s="277"/>
      <c r="AG392" s="277"/>
      <c r="AH392" s="277"/>
      <c r="AI392" s="277"/>
      <c r="AJ392" s="277"/>
      <c r="AK392" s="277"/>
    </row>
    <row r="393" spans="1:37" s="289" customFormat="1">
      <c r="A393" s="277"/>
      <c r="C393" s="277"/>
      <c r="D393" s="277"/>
      <c r="E393" s="277"/>
      <c r="F393" s="277"/>
      <c r="G393" s="277"/>
      <c r="H393" s="277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  <c r="AA393" s="277"/>
      <c r="AB393" s="277"/>
      <c r="AC393" s="277"/>
      <c r="AD393" s="277"/>
      <c r="AE393" s="277"/>
      <c r="AF393" s="277"/>
      <c r="AG393" s="277"/>
      <c r="AH393" s="277"/>
      <c r="AI393" s="277"/>
      <c r="AJ393" s="277"/>
      <c r="AK393" s="277"/>
    </row>
    <row r="394" spans="1:37" s="289" customFormat="1">
      <c r="A394" s="277"/>
      <c r="C394" s="277"/>
      <c r="D394" s="277"/>
      <c r="E394" s="277"/>
      <c r="F394" s="277"/>
      <c r="G394" s="277"/>
      <c r="H394" s="277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  <c r="AA394" s="277"/>
      <c r="AB394" s="277"/>
      <c r="AC394" s="277"/>
      <c r="AD394" s="277"/>
      <c r="AE394" s="277"/>
      <c r="AF394" s="277"/>
      <c r="AG394" s="277"/>
      <c r="AH394" s="277"/>
      <c r="AI394" s="277"/>
      <c r="AJ394" s="277"/>
      <c r="AK394" s="277"/>
    </row>
    <row r="395" spans="1:37" s="289" customFormat="1">
      <c r="A395" s="277"/>
      <c r="C395" s="277"/>
      <c r="D395" s="277"/>
      <c r="E395" s="277"/>
      <c r="F395" s="277"/>
      <c r="G395" s="277"/>
      <c r="H395" s="277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  <c r="AA395" s="277"/>
      <c r="AB395" s="277"/>
      <c r="AC395" s="277"/>
      <c r="AD395" s="277"/>
      <c r="AE395" s="277"/>
      <c r="AF395" s="277"/>
      <c r="AG395" s="277"/>
      <c r="AH395" s="277"/>
      <c r="AI395" s="277"/>
      <c r="AJ395" s="277"/>
      <c r="AK395" s="277"/>
    </row>
    <row r="396" spans="1:37" s="289" customFormat="1">
      <c r="A396" s="277"/>
      <c r="C396" s="277"/>
      <c r="D396" s="277"/>
      <c r="E396" s="277"/>
      <c r="F396" s="277"/>
      <c r="G396" s="277"/>
      <c r="H396" s="277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  <c r="AA396" s="277"/>
      <c r="AB396" s="277"/>
      <c r="AC396" s="277"/>
      <c r="AD396" s="277"/>
      <c r="AE396" s="277"/>
      <c r="AF396" s="277"/>
      <c r="AG396" s="277"/>
      <c r="AH396" s="277"/>
      <c r="AI396" s="277"/>
      <c r="AJ396" s="277"/>
      <c r="AK396" s="277"/>
    </row>
    <row r="397" spans="1:37" s="289" customFormat="1">
      <c r="A397" s="277"/>
      <c r="C397" s="277"/>
      <c r="D397" s="277"/>
      <c r="E397" s="277"/>
      <c r="F397" s="277"/>
      <c r="G397" s="277"/>
      <c r="H397" s="277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  <c r="AA397" s="277"/>
      <c r="AB397" s="277"/>
      <c r="AC397" s="277"/>
      <c r="AD397" s="277"/>
      <c r="AE397" s="277"/>
      <c r="AF397" s="277"/>
      <c r="AG397" s="277"/>
      <c r="AH397" s="277"/>
      <c r="AI397" s="277"/>
      <c r="AJ397" s="277"/>
      <c r="AK397" s="277"/>
    </row>
    <row r="398" spans="1:37" s="289" customFormat="1">
      <c r="A398" s="277"/>
      <c r="C398" s="277"/>
      <c r="D398" s="277"/>
      <c r="E398" s="277"/>
      <c r="F398" s="277"/>
      <c r="G398" s="277"/>
      <c r="H398" s="277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  <c r="AA398" s="277"/>
      <c r="AB398" s="277"/>
      <c r="AC398" s="277"/>
      <c r="AD398" s="277"/>
      <c r="AE398" s="277"/>
      <c r="AF398" s="277"/>
      <c r="AG398" s="277"/>
      <c r="AH398" s="277"/>
      <c r="AI398" s="277"/>
      <c r="AJ398" s="277"/>
      <c r="AK398" s="277"/>
    </row>
    <row r="399" spans="1:37" s="289" customFormat="1">
      <c r="A399" s="277"/>
      <c r="C399" s="277"/>
      <c r="D399" s="277"/>
      <c r="E399" s="277"/>
      <c r="F399" s="277"/>
      <c r="G399" s="277"/>
      <c r="H399" s="277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  <c r="AA399" s="277"/>
      <c r="AB399" s="277"/>
      <c r="AC399" s="277"/>
      <c r="AD399" s="277"/>
      <c r="AE399" s="277"/>
      <c r="AF399" s="277"/>
      <c r="AG399" s="277"/>
      <c r="AH399" s="277"/>
      <c r="AI399" s="277"/>
      <c r="AJ399" s="277"/>
      <c r="AK399" s="277"/>
    </row>
    <row r="400" spans="1:37" s="289" customFormat="1">
      <c r="A400" s="277"/>
      <c r="C400" s="277"/>
      <c r="D400" s="277"/>
      <c r="E400" s="277"/>
      <c r="F400" s="277"/>
      <c r="G400" s="277"/>
      <c r="H400" s="277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  <c r="AA400" s="277"/>
      <c r="AB400" s="277"/>
      <c r="AC400" s="277"/>
      <c r="AD400" s="277"/>
      <c r="AE400" s="277"/>
      <c r="AF400" s="277"/>
      <c r="AG400" s="277"/>
      <c r="AH400" s="277"/>
      <c r="AI400" s="277"/>
      <c r="AJ400" s="277"/>
      <c r="AK400" s="277"/>
    </row>
    <row r="401" spans="1:37" s="289" customFormat="1">
      <c r="A401" s="277"/>
      <c r="C401" s="277"/>
      <c r="D401" s="277"/>
      <c r="E401" s="277"/>
      <c r="F401" s="277"/>
      <c r="G401" s="277"/>
      <c r="H401" s="277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  <c r="AA401" s="277"/>
      <c r="AB401" s="277"/>
      <c r="AC401" s="277"/>
      <c r="AD401" s="277"/>
      <c r="AE401" s="277"/>
      <c r="AF401" s="277"/>
      <c r="AG401" s="277"/>
      <c r="AH401" s="277"/>
      <c r="AI401" s="277"/>
      <c r="AJ401" s="277"/>
      <c r="AK401" s="277"/>
    </row>
    <row r="402" spans="1:37" s="289" customFormat="1">
      <c r="A402" s="277"/>
      <c r="C402" s="277"/>
      <c r="D402" s="277"/>
      <c r="E402" s="277"/>
      <c r="F402" s="277"/>
      <c r="G402" s="277"/>
      <c r="H402" s="277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  <c r="AA402" s="277"/>
      <c r="AB402" s="277"/>
      <c r="AC402" s="277"/>
      <c r="AD402" s="277"/>
      <c r="AE402" s="277"/>
      <c r="AF402" s="277"/>
      <c r="AG402" s="277"/>
      <c r="AH402" s="277"/>
      <c r="AI402" s="277"/>
      <c r="AJ402" s="277"/>
      <c r="AK402" s="277"/>
    </row>
    <row r="403" spans="1:37" s="289" customFormat="1">
      <c r="A403" s="277"/>
      <c r="C403" s="277"/>
      <c r="D403" s="277"/>
      <c r="E403" s="277"/>
      <c r="F403" s="277"/>
      <c r="G403" s="277"/>
      <c r="H403" s="277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  <c r="AA403" s="277"/>
      <c r="AB403" s="277"/>
      <c r="AC403" s="277"/>
      <c r="AD403" s="277"/>
      <c r="AE403" s="277"/>
      <c r="AF403" s="277"/>
      <c r="AG403" s="277"/>
      <c r="AH403" s="277"/>
      <c r="AI403" s="277"/>
      <c r="AJ403" s="277"/>
      <c r="AK403" s="277"/>
    </row>
    <row r="404" spans="1:37" s="289" customFormat="1">
      <c r="A404" s="277"/>
      <c r="C404" s="277"/>
      <c r="D404" s="277"/>
      <c r="E404" s="277"/>
      <c r="F404" s="277"/>
      <c r="G404" s="277"/>
      <c r="H404" s="277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  <c r="AA404" s="277"/>
      <c r="AB404" s="277"/>
      <c r="AC404" s="277"/>
      <c r="AD404" s="277"/>
      <c r="AE404" s="277"/>
      <c r="AF404" s="277"/>
      <c r="AG404" s="277"/>
      <c r="AH404" s="277"/>
      <c r="AI404" s="277"/>
      <c r="AJ404" s="277"/>
      <c r="AK404" s="277"/>
    </row>
    <row r="405" spans="1:37" s="289" customFormat="1">
      <c r="A405" s="277"/>
      <c r="C405" s="277"/>
      <c r="D405" s="277"/>
      <c r="E405" s="277"/>
      <c r="F405" s="277"/>
      <c r="G405" s="277"/>
      <c r="H405" s="277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  <c r="AA405" s="277"/>
      <c r="AB405" s="277"/>
      <c r="AC405" s="277"/>
      <c r="AD405" s="277"/>
      <c r="AE405" s="277"/>
      <c r="AF405" s="277"/>
      <c r="AG405" s="277"/>
      <c r="AH405" s="277"/>
      <c r="AI405" s="277"/>
      <c r="AJ405" s="277"/>
      <c r="AK405" s="277"/>
    </row>
    <row r="406" spans="1:37" s="289" customFormat="1">
      <c r="A406" s="277"/>
      <c r="C406" s="277"/>
      <c r="D406" s="277"/>
      <c r="E406" s="277"/>
      <c r="F406" s="277"/>
      <c r="G406" s="277"/>
      <c r="H406" s="277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  <c r="AA406" s="277"/>
      <c r="AB406" s="277"/>
      <c r="AC406" s="277"/>
      <c r="AD406" s="277"/>
      <c r="AE406" s="277"/>
      <c r="AF406" s="277"/>
      <c r="AG406" s="277"/>
      <c r="AH406" s="277"/>
      <c r="AI406" s="277"/>
      <c r="AJ406" s="277"/>
      <c r="AK406" s="277"/>
    </row>
    <row r="407" spans="1:37" s="289" customFormat="1">
      <c r="A407" s="277"/>
      <c r="C407" s="277"/>
      <c r="D407" s="277"/>
      <c r="E407" s="277"/>
      <c r="F407" s="277"/>
      <c r="G407" s="277"/>
      <c r="H407" s="277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  <c r="AA407" s="277"/>
      <c r="AB407" s="277"/>
      <c r="AC407" s="277"/>
      <c r="AD407" s="277"/>
      <c r="AE407" s="277"/>
      <c r="AF407" s="277"/>
      <c r="AG407" s="277"/>
      <c r="AH407" s="277"/>
      <c r="AI407" s="277"/>
      <c r="AJ407" s="277"/>
      <c r="AK407" s="277"/>
    </row>
    <row r="408" spans="1:37" s="289" customFormat="1">
      <c r="A408" s="277"/>
      <c r="C408" s="277"/>
      <c r="D408" s="277"/>
      <c r="E408" s="277"/>
      <c r="F408" s="277"/>
      <c r="G408" s="277"/>
      <c r="H408" s="277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  <c r="AA408" s="277"/>
      <c r="AB408" s="277"/>
      <c r="AC408" s="277"/>
      <c r="AD408" s="277"/>
      <c r="AE408" s="277"/>
      <c r="AF408" s="277"/>
      <c r="AG408" s="277"/>
      <c r="AH408" s="277"/>
      <c r="AI408" s="277"/>
      <c r="AJ408" s="277"/>
      <c r="AK408" s="277"/>
    </row>
    <row r="409" spans="1:37" s="289" customFormat="1">
      <c r="A409" s="277"/>
      <c r="C409" s="277"/>
      <c r="D409" s="277"/>
      <c r="E409" s="277"/>
      <c r="F409" s="277"/>
      <c r="G409" s="277"/>
      <c r="H409" s="277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  <c r="AA409" s="277"/>
      <c r="AB409" s="277"/>
      <c r="AC409" s="277"/>
      <c r="AD409" s="277"/>
      <c r="AE409" s="277"/>
      <c r="AF409" s="277"/>
      <c r="AG409" s="277"/>
      <c r="AH409" s="277"/>
      <c r="AI409" s="277"/>
      <c r="AJ409" s="277"/>
      <c r="AK409" s="277"/>
    </row>
    <row r="410" spans="1:37" s="289" customFormat="1">
      <c r="A410" s="277"/>
      <c r="C410" s="277"/>
      <c r="D410" s="277"/>
      <c r="E410" s="277"/>
      <c r="F410" s="277"/>
      <c r="G410" s="277"/>
      <c r="H410" s="277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  <c r="AA410" s="277"/>
      <c r="AB410" s="277"/>
      <c r="AC410" s="277"/>
      <c r="AD410" s="277"/>
      <c r="AE410" s="277"/>
      <c r="AF410" s="277"/>
      <c r="AG410" s="277"/>
      <c r="AH410" s="277"/>
      <c r="AI410" s="277"/>
      <c r="AJ410" s="277"/>
      <c r="AK410" s="277"/>
    </row>
    <row r="411" spans="1:37" s="289" customFormat="1">
      <c r="A411" s="277"/>
      <c r="C411" s="277"/>
      <c r="D411" s="277"/>
      <c r="E411" s="277"/>
      <c r="F411" s="277"/>
      <c r="G411" s="277"/>
      <c r="H411" s="277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  <c r="AA411" s="277"/>
      <c r="AB411" s="277"/>
      <c r="AC411" s="277"/>
      <c r="AD411" s="277"/>
      <c r="AE411" s="277"/>
      <c r="AF411" s="277"/>
      <c r="AG411" s="277"/>
      <c r="AH411" s="277"/>
      <c r="AI411" s="277"/>
      <c r="AJ411" s="277"/>
      <c r="AK411" s="277"/>
    </row>
    <row r="412" spans="1:37" s="289" customFormat="1">
      <c r="A412" s="277"/>
      <c r="C412" s="277"/>
      <c r="D412" s="277"/>
      <c r="E412" s="277"/>
      <c r="F412" s="277"/>
      <c r="G412" s="277"/>
      <c r="H412" s="277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  <c r="AA412" s="277"/>
      <c r="AB412" s="277"/>
      <c r="AC412" s="277"/>
      <c r="AD412" s="277"/>
      <c r="AE412" s="277"/>
      <c r="AF412" s="277"/>
      <c r="AG412" s="277"/>
      <c r="AH412" s="277"/>
      <c r="AI412" s="277"/>
      <c r="AJ412" s="277"/>
      <c r="AK412" s="277"/>
    </row>
    <row r="413" spans="1:37" s="289" customFormat="1">
      <c r="A413" s="277"/>
      <c r="C413" s="277"/>
      <c r="D413" s="277"/>
      <c r="E413" s="277"/>
      <c r="F413" s="277"/>
      <c r="G413" s="277"/>
      <c r="H413" s="277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  <c r="AA413" s="277"/>
      <c r="AB413" s="277"/>
      <c r="AC413" s="277"/>
      <c r="AD413" s="277"/>
      <c r="AE413" s="277"/>
      <c r="AF413" s="277"/>
      <c r="AG413" s="277"/>
      <c r="AH413" s="277"/>
      <c r="AI413" s="277"/>
      <c r="AJ413" s="277"/>
      <c r="AK413" s="277"/>
    </row>
    <row r="414" spans="1:37" s="289" customFormat="1">
      <c r="A414" s="277"/>
      <c r="C414" s="277"/>
      <c r="D414" s="277"/>
      <c r="E414" s="277"/>
      <c r="F414" s="277"/>
      <c r="G414" s="277"/>
      <c r="H414" s="277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  <c r="AA414" s="277"/>
      <c r="AB414" s="277"/>
      <c r="AC414" s="277"/>
      <c r="AD414" s="277"/>
      <c r="AE414" s="277"/>
      <c r="AF414" s="277"/>
      <c r="AG414" s="277"/>
      <c r="AH414" s="277"/>
      <c r="AI414" s="277"/>
      <c r="AJ414" s="277"/>
      <c r="AK414" s="277"/>
    </row>
    <row r="415" spans="1:37" s="289" customFormat="1">
      <c r="A415" s="277"/>
      <c r="C415" s="277"/>
      <c r="D415" s="277"/>
      <c r="E415" s="277"/>
      <c r="F415" s="277"/>
      <c r="G415" s="277"/>
      <c r="H415" s="277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  <c r="AA415" s="277"/>
      <c r="AB415" s="277"/>
      <c r="AC415" s="277"/>
      <c r="AD415" s="277"/>
      <c r="AE415" s="277"/>
      <c r="AF415" s="277"/>
      <c r="AG415" s="277"/>
      <c r="AH415" s="277"/>
      <c r="AI415" s="277"/>
      <c r="AJ415" s="277"/>
      <c r="AK415" s="277"/>
    </row>
    <row r="416" spans="1:37" s="289" customFormat="1">
      <c r="A416" s="277"/>
      <c r="C416" s="277"/>
      <c r="D416" s="277"/>
      <c r="E416" s="277"/>
      <c r="F416" s="277"/>
      <c r="G416" s="277"/>
      <c r="H416" s="277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  <c r="AA416" s="277"/>
      <c r="AB416" s="277"/>
      <c r="AC416" s="277"/>
      <c r="AD416" s="277"/>
      <c r="AE416" s="277"/>
      <c r="AF416" s="277"/>
      <c r="AG416" s="277"/>
      <c r="AH416" s="277"/>
      <c r="AI416" s="277"/>
      <c r="AJ416" s="277"/>
      <c r="AK416" s="277"/>
    </row>
    <row r="417" spans="1:37" s="289" customFormat="1">
      <c r="A417" s="277"/>
      <c r="C417" s="277"/>
      <c r="D417" s="277"/>
      <c r="E417" s="277"/>
      <c r="F417" s="277"/>
      <c r="G417" s="277"/>
      <c r="H417" s="277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  <c r="AA417" s="277"/>
      <c r="AB417" s="277"/>
      <c r="AC417" s="277"/>
      <c r="AD417" s="277"/>
      <c r="AE417" s="277"/>
      <c r="AF417" s="277"/>
      <c r="AG417" s="277"/>
      <c r="AH417" s="277"/>
      <c r="AI417" s="277"/>
      <c r="AJ417" s="277"/>
      <c r="AK417" s="277"/>
    </row>
    <row r="418" spans="1:37" s="289" customFormat="1">
      <c r="A418" s="277"/>
      <c r="C418" s="277"/>
      <c r="D418" s="277"/>
      <c r="E418" s="277"/>
      <c r="F418" s="277"/>
      <c r="G418" s="277"/>
      <c r="H418" s="277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  <c r="AA418" s="277"/>
      <c r="AB418" s="277"/>
      <c r="AC418" s="277"/>
      <c r="AD418" s="277"/>
      <c r="AE418" s="277"/>
      <c r="AF418" s="277"/>
      <c r="AG418" s="277"/>
      <c r="AH418" s="277"/>
      <c r="AI418" s="277"/>
      <c r="AJ418" s="277"/>
      <c r="AK418" s="277"/>
    </row>
    <row r="419" spans="1:37" s="289" customFormat="1">
      <c r="A419" s="277"/>
      <c r="C419" s="277"/>
      <c r="D419" s="277"/>
      <c r="E419" s="277"/>
      <c r="F419" s="277"/>
      <c r="G419" s="277"/>
      <c r="H419" s="277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  <c r="AA419" s="277"/>
      <c r="AB419" s="277"/>
      <c r="AC419" s="277"/>
      <c r="AD419" s="277"/>
      <c r="AE419" s="277"/>
      <c r="AF419" s="277"/>
      <c r="AG419" s="277"/>
      <c r="AH419" s="277"/>
      <c r="AI419" s="277"/>
      <c r="AJ419" s="277"/>
      <c r="AK419" s="277"/>
    </row>
    <row r="420" spans="1:37" s="289" customFormat="1">
      <c r="A420" s="277"/>
      <c r="C420" s="277"/>
      <c r="D420" s="277"/>
      <c r="E420" s="277"/>
      <c r="F420" s="277"/>
      <c r="G420" s="277"/>
      <c r="H420" s="277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  <c r="AA420" s="277"/>
      <c r="AB420" s="277"/>
      <c r="AC420" s="277"/>
      <c r="AD420" s="277"/>
      <c r="AE420" s="277"/>
      <c r="AF420" s="277"/>
      <c r="AG420" s="277"/>
      <c r="AH420" s="277"/>
      <c r="AI420" s="277"/>
      <c r="AJ420" s="277"/>
      <c r="AK420" s="277"/>
    </row>
    <row r="421" spans="1:37" s="289" customFormat="1">
      <c r="A421" s="277"/>
      <c r="C421" s="277"/>
      <c r="D421" s="277"/>
      <c r="E421" s="277"/>
      <c r="F421" s="277"/>
      <c r="G421" s="277"/>
      <c r="H421" s="277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  <c r="AA421" s="277"/>
      <c r="AB421" s="277"/>
      <c r="AC421" s="277"/>
      <c r="AD421" s="277"/>
      <c r="AE421" s="277"/>
      <c r="AF421" s="277"/>
      <c r="AG421" s="277"/>
      <c r="AH421" s="277"/>
      <c r="AI421" s="277"/>
      <c r="AJ421" s="277"/>
      <c r="AK421" s="277"/>
    </row>
    <row r="422" spans="1:37" s="289" customFormat="1">
      <c r="A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  <c r="AA422" s="277"/>
      <c r="AB422" s="277"/>
      <c r="AC422" s="277"/>
      <c r="AD422" s="277"/>
      <c r="AE422" s="277"/>
      <c r="AF422" s="277"/>
      <c r="AG422" s="277"/>
      <c r="AH422" s="277"/>
      <c r="AI422" s="277"/>
      <c r="AJ422" s="277"/>
      <c r="AK422" s="277"/>
    </row>
    <row r="423" spans="1:37" s="289" customFormat="1">
      <c r="A423" s="277"/>
      <c r="C423" s="277"/>
      <c r="D423" s="277"/>
      <c r="E423" s="277"/>
      <c r="F423" s="277"/>
      <c r="G423" s="277"/>
      <c r="H423" s="277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  <c r="AA423" s="277"/>
      <c r="AB423" s="277"/>
      <c r="AC423" s="277"/>
      <c r="AD423" s="277"/>
      <c r="AE423" s="277"/>
      <c r="AF423" s="277"/>
      <c r="AG423" s="277"/>
      <c r="AH423" s="277"/>
      <c r="AI423" s="277"/>
      <c r="AJ423" s="277"/>
      <c r="AK423" s="277"/>
    </row>
    <row r="424" spans="1:37" s="289" customFormat="1">
      <c r="A424" s="277"/>
      <c r="C424" s="277"/>
      <c r="D424" s="277"/>
      <c r="E424" s="277"/>
      <c r="F424" s="277"/>
      <c r="G424" s="277"/>
      <c r="H424" s="277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  <c r="AA424" s="277"/>
      <c r="AB424" s="277"/>
      <c r="AC424" s="277"/>
      <c r="AD424" s="277"/>
      <c r="AE424" s="277"/>
      <c r="AF424" s="277"/>
      <c r="AG424" s="277"/>
      <c r="AH424" s="277"/>
      <c r="AI424" s="277"/>
      <c r="AJ424" s="277"/>
      <c r="AK424" s="277"/>
    </row>
    <row r="425" spans="1:37" s="289" customFormat="1">
      <c r="A425" s="277"/>
      <c r="C425" s="277"/>
      <c r="D425" s="277"/>
      <c r="E425" s="277"/>
      <c r="F425" s="277"/>
      <c r="G425" s="27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</row>
    <row r="426" spans="1:37" s="289" customFormat="1">
      <c r="A426" s="277"/>
      <c r="C426" s="277"/>
      <c r="D426" s="277"/>
      <c r="E426" s="277"/>
      <c r="F426" s="277"/>
      <c r="G426" s="277"/>
      <c r="H426" s="277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</row>
    <row r="427" spans="1:37" s="289" customFormat="1">
      <c r="A427" s="277"/>
      <c r="C427" s="277"/>
      <c r="D427" s="277"/>
      <c r="E427" s="277"/>
      <c r="F427" s="277"/>
      <c r="G427" s="277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</row>
    <row r="428" spans="1:37" s="289" customFormat="1">
      <c r="A428" s="277"/>
      <c r="C428" s="277"/>
      <c r="D428" s="277"/>
      <c r="E428" s="277"/>
      <c r="F428" s="277"/>
      <c r="G428" s="277"/>
      <c r="H428" s="277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</row>
    <row r="429" spans="1:37" s="289" customFormat="1">
      <c r="A429" s="277"/>
      <c r="C429" s="277"/>
      <c r="D429" s="277"/>
      <c r="E429" s="277"/>
      <c r="F429" s="277"/>
      <c r="G429" s="277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</row>
    <row r="430" spans="1:37" s="289" customFormat="1">
      <c r="A430" s="277"/>
      <c r="C430" s="277"/>
      <c r="D430" s="277"/>
      <c r="E430" s="277"/>
      <c r="F430" s="277"/>
      <c r="G430" s="277"/>
      <c r="H430" s="277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  <c r="AA430" s="277"/>
      <c r="AB430" s="277"/>
      <c r="AC430" s="277"/>
      <c r="AD430" s="277"/>
      <c r="AE430" s="277"/>
      <c r="AF430" s="277"/>
      <c r="AG430" s="277"/>
      <c r="AH430" s="277"/>
      <c r="AI430" s="277"/>
      <c r="AJ430" s="277"/>
      <c r="AK430" s="277"/>
    </row>
    <row r="431" spans="1:37" s="289" customFormat="1">
      <c r="A431" s="277"/>
      <c r="C431" s="277"/>
      <c r="D431" s="277"/>
      <c r="E431" s="277"/>
      <c r="F431" s="277"/>
      <c r="G431" s="277"/>
      <c r="H431" s="277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  <c r="AA431" s="277"/>
      <c r="AB431" s="277"/>
      <c r="AC431" s="277"/>
      <c r="AD431" s="277"/>
      <c r="AE431" s="277"/>
      <c r="AF431" s="277"/>
      <c r="AG431" s="277"/>
      <c r="AH431" s="277"/>
      <c r="AI431" s="277"/>
      <c r="AJ431" s="277"/>
      <c r="AK431" s="277"/>
    </row>
    <row r="432" spans="1:37" s="289" customFormat="1">
      <c r="A432" s="277"/>
      <c r="C432" s="277"/>
      <c r="D432" s="277"/>
      <c r="E432" s="277"/>
      <c r="F432" s="277"/>
      <c r="G432" s="277"/>
      <c r="H432" s="277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  <c r="AA432" s="277"/>
      <c r="AB432" s="277"/>
      <c r="AC432" s="277"/>
      <c r="AD432" s="277"/>
      <c r="AE432" s="277"/>
      <c r="AF432" s="277"/>
      <c r="AG432" s="277"/>
      <c r="AH432" s="277"/>
      <c r="AI432" s="277"/>
      <c r="AJ432" s="277"/>
      <c r="AK432" s="277"/>
    </row>
    <row r="433" spans="1:37" s="289" customFormat="1">
      <c r="A433" s="277"/>
      <c r="C433" s="277"/>
      <c r="D433" s="277"/>
      <c r="E433" s="277"/>
      <c r="F433" s="277"/>
      <c r="G433" s="277"/>
      <c r="H433" s="277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  <c r="AA433" s="277"/>
      <c r="AB433" s="277"/>
      <c r="AC433" s="277"/>
      <c r="AD433" s="277"/>
      <c r="AE433" s="277"/>
      <c r="AF433" s="277"/>
      <c r="AG433" s="277"/>
      <c r="AH433" s="277"/>
      <c r="AI433" s="277"/>
      <c r="AJ433" s="277"/>
      <c r="AK433" s="277"/>
    </row>
    <row r="434" spans="1:37" s="289" customFormat="1">
      <c r="A434" s="277"/>
      <c r="C434" s="277"/>
      <c r="D434" s="277"/>
      <c r="E434" s="277"/>
      <c r="F434" s="277"/>
      <c r="G434" s="277"/>
      <c r="H434" s="277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  <c r="AA434" s="277"/>
      <c r="AB434" s="277"/>
      <c r="AC434" s="277"/>
      <c r="AD434" s="277"/>
      <c r="AE434" s="277"/>
      <c r="AF434" s="277"/>
      <c r="AG434" s="277"/>
      <c r="AH434" s="277"/>
      <c r="AI434" s="277"/>
      <c r="AJ434" s="277"/>
      <c r="AK434" s="277"/>
    </row>
    <row r="435" spans="1:37" s="289" customFormat="1">
      <c r="A435" s="277"/>
      <c r="C435" s="277"/>
      <c r="D435" s="277"/>
      <c r="E435" s="277"/>
      <c r="F435" s="277"/>
      <c r="G435" s="277"/>
      <c r="H435" s="277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  <c r="AA435" s="277"/>
      <c r="AB435" s="277"/>
      <c r="AC435" s="277"/>
      <c r="AD435" s="277"/>
      <c r="AE435" s="277"/>
      <c r="AF435" s="277"/>
      <c r="AG435" s="277"/>
      <c r="AH435" s="277"/>
      <c r="AI435" s="277"/>
      <c r="AJ435" s="277"/>
      <c r="AK435" s="277"/>
    </row>
    <row r="436" spans="1:37" s="289" customFormat="1">
      <c r="A436" s="277"/>
      <c r="C436" s="277"/>
      <c r="D436" s="277"/>
      <c r="E436" s="277"/>
      <c r="F436" s="277"/>
      <c r="G436" s="277"/>
      <c r="H436" s="277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  <c r="AA436" s="277"/>
      <c r="AB436" s="277"/>
      <c r="AC436" s="277"/>
      <c r="AD436" s="277"/>
      <c r="AE436" s="277"/>
      <c r="AF436" s="277"/>
      <c r="AG436" s="277"/>
      <c r="AH436" s="277"/>
      <c r="AI436" s="277"/>
      <c r="AJ436" s="277"/>
      <c r="AK436" s="277"/>
    </row>
    <row r="437" spans="1:37" s="289" customFormat="1">
      <c r="A437" s="277"/>
      <c r="C437" s="277"/>
      <c r="D437" s="277"/>
      <c r="E437" s="277"/>
      <c r="F437" s="277"/>
      <c r="G437" s="277"/>
      <c r="H437" s="277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  <c r="AA437" s="277"/>
      <c r="AB437" s="277"/>
      <c r="AC437" s="277"/>
      <c r="AD437" s="277"/>
      <c r="AE437" s="277"/>
      <c r="AF437" s="277"/>
      <c r="AG437" s="277"/>
      <c r="AH437" s="277"/>
      <c r="AI437" s="277"/>
      <c r="AJ437" s="277"/>
      <c r="AK437" s="277"/>
    </row>
    <row r="438" spans="1:37" s="289" customFormat="1">
      <c r="A438" s="277"/>
      <c r="C438" s="277"/>
      <c r="D438" s="277"/>
      <c r="E438" s="277"/>
      <c r="F438" s="277"/>
      <c r="G438" s="277"/>
      <c r="H438" s="277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  <c r="AA438" s="277"/>
      <c r="AB438" s="277"/>
      <c r="AC438" s="277"/>
      <c r="AD438" s="277"/>
      <c r="AE438" s="277"/>
      <c r="AF438" s="277"/>
      <c r="AG438" s="277"/>
      <c r="AH438" s="277"/>
      <c r="AI438" s="277"/>
      <c r="AJ438" s="277"/>
      <c r="AK438" s="277"/>
    </row>
    <row r="439" spans="1:37" s="289" customFormat="1">
      <c r="A439" s="277"/>
      <c r="C439" s="277"/>
      <c r="D439" s="277"/>
      <c r="E439" s="277"/>
      <c r="F439" s="277"/>
      <c r="G439" s="277"/>
      <c r="H439" s="277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  <c r="AA439" s="277"/>
      <c r="AB439" s="277"/>
      <c r="AC439" s="277"/>
      <c r="AD439" s="277"/>
      <c r="AE439" s="277"/>
      <c r="AF439" s="277"/>
      <c r="AG439" s="277"/>
      <c r="AH439" s="277"/>
      <c r="AI439" s="277"/>
      <c r="AJ439" s="277"/>
      <c r="AK439" s="277"/>
    </row>
    <row r="440" spans="1:37" s="289" customFormat="1">
      <c r="A440" s="277"/>
      <c r="C440" s="277"/>
      <c r="D440" s="277"/>
      <c r="E440" s="277"/>
      <c r="F440" s="277"/>
      <c r="G440" s="277"/>
      <c r="H440" s="277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  <c r="AA440" s="277"/>
      <c r="AB440" s="277"/>
      <c r="AC440" s="277"/>
      <c r="AD440" s="277"/>
      <c r="AE440" s="277"/>
      <c r="AF440" s="277"/>
      <c r="AG440" s="277"/>
      <c r="AH440" s="277"/>
      <c r="AI440" s="277"/>
      <c r="AJ440" s="277"/>
      <c r="AK440" s="277"/>
    </row>
    <row r="441" spans="1:37" s="289" customFormat="1">
      <c r="A441" s="277"/>
      <c r="C441" s="277"/>
      <c r="D441" s="277"/>
      <c r="E441" s="277"/>
      <c r="F441" s="277"/>
      <c r="G441" s="277"/>
      <c r="H441" s="277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  <c r="AA441" s="277"/>
      <c r="AB441" s="277"/>
      <c r="AC441" s="277"/>
      <c r="AD441" s="277"/>
      <c r="AE441" s="277"/>
      <c r="AF441" s="277"/>
      <c r="AG441" s="277"/>
      <c r="AH441" s="277"/>
      <c r="AI441" s="277"/>
      <c r="AJ441" s="277"/>
      <c r="AK441" s="277"/>
    </row>
    <row r="442" spans="1:37" s="289" customFormat="1">
      <c r="A442" s="277"/>
      <c r="C442" s="277"/>
      <c r="D442" s="277"/>
      <c r="E442" s="277"/>
      <c r="F442" s="277"/>
      <c r="G442" s="277"/>
      <c r="H442" s="277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  <c r="AA442" s="277"/>
      <c r="AB442" s="277"/>
      <c r="AC442" s="277"/>
      <c r="AD442" s="277"/>
      <c r="AE442" s="277"/>
      <c r="AF442" s="277"/>
      <c r="AG442" s="277"/>
      <c r="AH442" s="277"/>
      <c r="AI442" s="277"/>
      <c r="AJ442" s="277"/>
      <c r="AK442" s="277"/>
    </row>
    <row r="443" spans="1:37" s="289" customFormat="1">
      <c r="A443" s="277"/>
      <c r="C443" s="277"/>
      <c r="D443" s="277"/>
      <c r="E443" s="277"/>
      <c r="F443" s="277"/>
      <c r="G443" s="277"/>
      <c r="H443" s="277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  <c r="AA443" s="277"/>
      <c r="AB443" s="277"/>
      <c r="AC443" s="277"/>
      <c r="AD443" s="277"/>
      <c r="AE443" s="277"/>
      <c r="AF443" s="277"/>
      <c r="AG443" s="277"/>
      <c r="AH443" s="277"/>
      <c r="AI443" s="277"/>
      <c r="AJ443" s="277"/>
      <c r="AK443" s="277"/>
    </row>
    <row r="444" spans="1:37" s="289" customFormat="1">
      <c r="A444" s="277"/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  <c r="AA444" s="277"/>
      <c r="AB444" s="277"/>
      <c r="AC444" s="277"/>
      <c r="AD444" s="277"/>
      <c r="AE444" s="277"/>
      <c r="AF444" s="277"/>
      <c r="AG444" s="277"/>
      <c r="AH444" s="277"/>
      <c r="AI444" s="277"/>
      <c r="AJ444" s="277"/>
      <c r="AK444" s="277"/>
    </row>
    <row r="445" spans="1:37" s="289" customFormat="1">
      <c r="A445" s="277"/>
      <c r="C445" s="277"/>
      <c r="D445" s="277"/>
      <c r="E445" s="277"/>
      <c r="F445" s="277"/>
      <c r="G445" s="277"/>
      <c r="H445" s="277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  <c r="AA445" s="277"/>
      <c r="AB445" s="277"/>
      <c r="AC445" s="277"/>
      <c r="AD445" s="277"/>
      <c r="AE445" s="277"/>
      <c r="AF445" s="277"/>
      <c r="AG445" s="277"/>
      <c r="AH445" s="277"/>
      <c r="AI445" s="277"/>
      <c r="AJ445" s="277"/>
      <c r="AK445" s="277"/>
    </row>
    <row r="446" spans="1:37" s="289" customFormat="1">
      <c r="A446" s="277"/>
      <c r="C446" s="277"/>
      <c r="D446" s="277"/>
      <c r="E446" s="277"/>
      <c r="F446" s="277"/>
      <c r="G446" s="277"/>
      <c r="H446" s="277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  <c r="AA446" s="277"/>
      <c r="AB446" s="277"/>
      <c r="AC446" s="277"/>
      <c r="AD446" s="277"/>
      <c r="AE446" s="277"/>
      <c r="AF446" s="277"/>
      <c r="AG446" s="277"/>
      <c r="AH446" s="277"/>
      <c r="AI446" s="277"/>
      <c r="AJ446" s="277"/>
      <c r="AK446" s="277"/>
    </row>
    <row r="447" spans="1:37" s="289" customFormat="1">
      <c r="A447" s="277"/>
      <c r="C447" s="277"/>
      <c r="D447" s="277"/>
      <c r="E447" s="277"/>
      <c r="F447" s="277"/>
      <c r="G447" s="277"/>
      <c r="H447" s="277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  <c r="AA447" s="277"/>
      <c r="AB447" s="277"/>
      <c r="AC447" s="277"/>
      <c r="AD447" s="277"/>
      <c r="AE447" s="277"/>
      <c r="AF447" s="277"/>
      <c r="AG447" s="277"/>
      <c r="AH447" s="277"/>
      <c r="AI447" s="277"/>
      <c r="AJ447" s="277"/>
      <c r="AK447" s="277"/>
    </row>
    <row r="448" spans="1:37" s="289" customFormat="1">
      <c r="A448" s="277"/>
      <c r="C448" s="277"/>
      <c r="D448" s="277"/>
      <c r="E448" s="277"/>
      <c r="F448" s="277"/>
      <c r="G448" s="277"/>
      <c r="H448" s="277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  <c r="AA448" s="277"/>
      <c r="AB448" s="277"/>
      <c r="AC448" s="277"/>
      <c r="AD448" s="277"/>
      <c r="AE448" s="277"/>
      <c r="AF448" s="277"/>
      <c r="AG448" s="277"/>
      <c r="AH448" s="277"/>
      <c r="AI448" s="277"/>
      <c r="AJ448" s="277"/>
      <c r="AK448" s="277"/>
    </row>
    <row r="449" spans="1:37" s="289" customFormat="1">
      <c r="A449" s="277"/>
      <c r="C449" s="277"/>
      <c r="D449" s="277"/>
      <c r="E449" s="277"/>
      <c r="F449" s="277"/>
      <c r="G449" s="277"/>
      <c r="H449" s="277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  <c r="AA449" s="277"/>
      <c r="AB449" s="277"/>
      <c r="AC449" s="277"/>
      <c r="AD449" s="277"/>
      <c r="AE449" s="277"/>
      <c r="AF449" s="277"/>
      <c r="AG449" s="277"/>
      <c r="AH449" s="277"/>
      <c r="AI449" s="277"/>
      <c r="AJ449" s="277"/>
      <c r="AK449" s="277"/>
    </row>
    <row r="450" spans="1:37" s="289" customFormat="1">
      <c r="A450" s="277"/>
      <c r="C450" s="277"/>
      <c r="D450" s="277"/>
      <c r="E450" s="277"/>
      <c r="F450" s="277"/>
      <c r="G450" s="277"/>
      <c r="H450" s="277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  <c r="AA450" s="277"/>
      <c r="AB450" s="277"/>
      <c r="AC450" s="277"/>
      <c r="AD450" s="277"/>
      <c r="AE450" s="277"/>
      <c r="AF450" s="277"/>
      <c r="AG450" s="277"/>
      <c r="AH450" s="277"/>
      <c r="AI450" s="277"/>
      <c r="AJ450" s="277"/>
      <c r="AK450" s="277"/>
    </row>
    <row r="451" spans="1:37" s="289" customFormat="1">
      <c r="A451" s="277"/>
      <c r="C451" s="277"/>
      <c r="D451" s="277"/>
      <c r="E451" s="277"/>
      <c r="F451" s="277"/>
      <c r="G451" s="277"/>
      <c r="H451" s="277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  <c r="AA451" s="277"/>
      <c r="AB451" s="277"/>
      <c r="AC451" s="277"/>
      <c r="AD451" s="277"/>
      <c r="AE451" s="277"/>
      <c r="AF451" s="277"/>
      <c r="AG451" s="277"/>
      <c r="AH451" s="277"/>
      <c r="AI451" s="277"/>
      <c r="AJ451" s="277"/>
      <c r="AK451" s="277"/>
    </row>
    <row r="452" spans="1:37" s="289" customFormat="1">
      <c r="A452" s="277"/>
      <c r="C452" s="277"/>
      <c r="D452" s="277"/>
      <c r="E452" s="277"/>
      <c r="F452" s="277"/>
      <c r="G452" s="277"/>
      <c r="H452" s="277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  <c r="AA452" s="277"/>
      <c r="AB452" s="277"/>
      <c r="AC452" s="277"/>
      <c r="AD452" s="277"/>
      <c r="AE452" s="277"/>
      <c r="AF452" s="277"/>
      <c r="AG452" s="277"/>
      <c r="AH452" s="277"/>
      <c r="AI452" s="277"/>
      <c r="AJ452" s="277"/>
      <c r="AK452" s="277"/>
    </row>
    <row r="453" spans="1:37" s="289" customFormat="1">
      <c r="A453" s="277"/>
      <c r="C453" s="277"/>
      <c r="D453" s="277"/>
      <c r="E453" s="277"/>
      <c r="F453" s="277"/>
      <c r="G453" s="277"/>
      <c r="H453" s="277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  <c r="AA453" s="277"/>
      <c r="AB453" s="277"/>
      <c r="AC453" s="277"/>
      <c r="AD453" s="277"/>
      <c r="AE453" s="277"/>
      <c r="AF453" s="277"/>
      <c r="AG453" s="277"/>
      <c r="AH453" s="277"/>
      <c r="AI453" s="277"/>
      <c r="AJ453" s="277"/>
      <c r="AK453" s="277"/>
    </row>
    <row r="454" spans="1:37" s="289" customFormat="1">
      <c r="A454" s="277"/>
      <c r="C454" s="277"/>
      <c r="D454" s="277"/>
      <c r="E454" s="277"/>
      <c r="F454" s="277"/>
      <c r="G454" s="277"/>
      <c r="H454" s="277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  <c r="AA454" s="277"/>
      <c r="AB454" s="277"/>
      <c r="AC454" s="277"/>
      <c r="AD454" s="277"/>
      <c r="AE454" s="277"/>
      <c r="AF454" s="277"/>
      <c r="AG454" s="277"/>
      <c r="AH454" s="277"/>
      <c r="AI454" s="277"/>
      <c r="AJ454" s="277"/>
      <c r="AK454" s="277"/>
    </row>
    <row r="455" spans="1:37" s="289" customFormat="1">
      <c r="A455" s="277"/>
      <c r="C455" s="277"/>
      <c r="D455" s="277"/>
      <c r="E455" s="277"/>
      <c r="F455" s="277"/>
      <c r="G455" s="277"/>
      <c r="H455" s="277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  <c r="AA455" s="277"/>
      <c r="AB455" s="277"/>
      <c r="AC455" s="277"/>
      <c r="AD455" s="277"/>
      <c r="AE455" s="277"/>
      <c r="AF455" s="277"/>
      <c r="AG455" s="277"/>
      <c r="AH455" s="277"/>
      <c r="AI455" s="277"/>
      <c r="AJ455" s="277"/>
      <c r="AK455" s="277"/>
    </row>
    <row r="456" spans="1:37" s="289" customFormat="1">
      <c r="A456" s="277"/>
      <c r="C456" s="277"/>
      <c r="D456" s="277"/>
      <c r="E456" s="277"/>
      <c r="F456" s="277"/>
      <c r="G456" s="277"/>
      <c r="H456" s="277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  <c r="AA456" s="277"/>
      <c r="AB456" s="277"/>
      <c r="AC456" s="277"/>
      <c r="AD456" s="277"/>
      <c r="AE456" s="277"/>
      <c r="AF456" s="277"/>
      <c r="AG456" s="277"/>
      <c r="AH456" s="277"/>
      <c r="AI456" s="277"/>
      <c r="AJ456" s="277"/>
      <c r="AK456" s="277"/>
    </row>
    <row r="457" spans="1:37" s="289" customFormat="1">
      <c r="A457" s="277"/>
      <c r="C457" s="277"/>
      <c r="D457" s="277"/>
      <c r="E457" s="277"/>
      <c r="F457" s="277"/>
      <c r="G457" s="277"/>
      <c r="H457" s="277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  <c r="AA457" s="277"/>
      <c r="AB457" s="277"/>
      <c r="AC457" s="277"/>
      <c r="AD457" s="277"/>
      <c r="AE457" s="277"/>
      <c r="AF457" s="277"/>
      <c r="AG457" s="277"/>
      <c r="AH457" s="277"/>
      <c r="AI457" s="277"/>
      <c r="AJ457" s="277"/>
      <c r="AK457" s="277"/>
    </row>
    <row r="458" spans="1:37" s="289" customFormat="1">
      <c r="A458" s="277"/>
      <c r="C458" s="277"/>
      <c r="D458" s="277"/>
      <c r="E458" s="277"/>
      <c r="F458" s="277"/>
      <c r="G458" s="277"/>
      <c r="H458" s="277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  <c r="AA458" s="277"/>
      <c r="AB458" s="277"/>
      <c r="AC458" s="277"/>
      <c r="AD458" s="277"/>
      <c r="AE458" s="277"/>
      <c r="AF458" s="277"/>
      <c r="AG458" s="277"/>
      <c r="AH458" s="277"/>
      <c r="AI458" s="277"/>
      <c r="AJ458" s="277"/>
      <c r="AK458" s="277"/>
    </row>
    <row r="459" spans="1:37" s="289" customFormat="1">
      <c r="A459" s="277"/>
      <c r="C459" s="277"/>
      <c r="D459" s="277"/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  <c r="AF459" s="277"/>
      <c r="AG459" s="277"/>
      <c r="AH459" s="277"/>
      <c r="AI459" s="277"/>
      <c r="AJ459" s="277"/>
      <c r="AK459" s="277"/>
    </row>
    <row r="460" spans="1:37" s="289" customFormat="1">
      <c r="A460" s="277"/>
      <c r="C460" s="277"/>
      <c r="D460" s="277"/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  <c r="AF460" s="277"/>
      <c r="AG460" s="277"/>
      <c r="AH460" s="277"/>
      <c r="AI460" s="277"/>
      <c r="AJ460" s="277"/>
      <c r="AK460" s="277"/>
    </row>
    <row r="461" spans="1:37" s="289" customFormat="1">
      <c r="A461" s="277"/>
      <c r="C461" s="277"/>
      <c r="D461" s="277"/>
      <c r="E461" s="277"/>
      <c r="F461" s="277"/>
      <c r="G461" s="277"/>
      <c r="H461" s="277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  <c r="AA461" s="277"/>
      <c r="AB461" s="277"/>
      <c r="AC461" s="277"/>
      <c r="AD461" s="277"/>
      <c r="AE461" s="277"/>
      <c r="AF461" s="277"/>
      <c r="AG461" s="277"/>
      <c r="AH461" s="277"/>
      <c r="AI461" s="277"/>
      <c r="AJ461" s="277"/>
      <c r="AK461" s="277"/>
    </row>
    <row r="462" spans="1:37" s="289" customFormat="1">
      <c r="A462" s="277"/>
      <c r="C462" s="277"/>
      <c r="D462" s="277"/>
      <c r="E462" s="277"/>
      <c r="F462" s="277"/>
      <c r="G462" s="277"/>
      <c r="H462" s="277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  <c r="AA462" s="277"/>
      <c r="AB462" s="277"/>
      <c r="AC462" s="277"/>
      <c r="AD462" s="277"/>
      <c r="AE462" s="277"/>
      <c r="AF462" s="277"/>
      <c r="AG462" s="277"/>
      <c r="AH462" s="277"/>
      <c r="AI462" s="277"/>
      <c r="AJ462" s="277"/>
      <c r="AK462" s="277"/>
    </row>
    <row r="463" spans="1:37" s="289" customFormat="1">
      <c r="A463" s="277"/>
      <c r="C463" s="277"/>
      <c r="D463" s="277"/>
      <c r="E463" s="277"/>
      <c r="F463" s="277"/>
      <c r="G463" s="277"/>
      <c r="H463" s="277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  <c r="AA463" s="277"/>
      <c r="AB463" s="277"/>
      <c r="AC463" s="277"/>
      <c r="AD463" s="277"/>
      <c r="AE463" s="277"/>
      <c r="AF463" s="277"/>
      <c r="AG463" s="277"/>
      <c r="AH463" s="277"/>
      <c r="AI463" s="277"/>
      <c r="AJ463" s="277"/>
      <c r="AK463" s="277"/>
    </row>
    <row r="464" spans="1:37" s="289" customFormat="1">
      <c r="A464" s="277"/>
      <c r="C464" s="277"/>
      <c r="D464" s="277"/>
      <c r="E464" s="277"/>
      <c r="F464" s="277"/>
      <c r="G464" s="277"/>
      <c r="H464" s="277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  <c r="AA464" s="277"/>
      <c r="AB464" s="277"/>
      <c r="AC464" s="277"/>
      <c r="AD464" s="277"/>
      <c r="AE464" s="277"/>
      <c r="AF464" s="277"/>
      <c r="AG464" s="277"/>
      <c r="AH464" s="277"/>
      <c r="AI464" s="277"/>
      <c r="AJ464" s="277"/>
      <c r="AK464" s="277"/>
    </row>
    <row r="465" spans="1:37" s="289" customFormat="1">
      <c r="A465" s="277"/>
      <c r="C465" s="277"/>
      <c r="D465" s="277"/>
      <c r="E465" s="277"/>
      <c r="F465" s="277"/>
      <c r="G465" s="277"/>
      <c r="H465" s="277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  <c r="AA465" s="277"/>
      <c r="AB465" s="277"/>
      <c r="AC465" s="277"/>
      <c r="AD465" s="277"/>
      <c r="AE465" s="277"/>
      <c r="AF465" s="277"/>
      <c r="AG465" s="277"/>
      <c r="AH465" s="277"/>
      <c r="AI465" s="277"/>
      <c r="AJ465" s="277"/>
      <c r="AK465" s="277"/>
    </row>
    <row r="466" spans="1:37" s="289" customFormat="1">
      <c r="A466" s="277"/>
      <c r="C466" s="277"/>
      <c r="D466" s="277"/>
      <c r="E466" s="277"/>
      <c r="F466" s="277"/>
      <c r="G466" s="277"/>
      <c r="H466" s="277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  <c r="AA466" s="277"/>
      <c r="AB466" s="277"/>
      <c r="AC466" s="277"/>
      <c r="AD466" s="277"/>
      <c r="AE466" s="277"/>
      <c r="AF466" s="277"/>
      <c r="AG466" s="277"/>
      <c r="AH466" s="277"/>
      <c r="AI466" s="277"/>
      <c r="AJ466" s="277"/>
      <c r="AK466" s="277"/>
    </row>
    <row r="467" spans="1:37" s="289" customFormat="1">
      <c r="A467" s="277"/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  <c r="AA467" s="277"/>
      <c r="AB467" s="277"/>
      <c r="AC467" s="277"/>
      <c r="AD467" s="277"/>
      <c r="AE467" s="277"/>
      <c r="AF467" s="277"/>
      <c r="AG467" s="277"/>
      <c r="AH467" s="277"/>
      <c r="AI467" s="277"/>
      <c r="AJ467" s="277"/>
      <c r="AK467" s="277"/>
    </row>
    <row r="468" spans="1:37" s="289" customFormat="1">
      <c r="A468" s="277"/>
      <c r="C468" s="277"/>
      <c r="D468" s="277"/>
      <c r="E468" s="277"/>
      <c r="F468" s="277"/>
      <c r="G468" s="277"/>
      <c r="H468" s="277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  <c r="AA468" s="277"/>
      <c r="AB468" s="277"/>
      <c r="AC468" s="277"/>
      <c r="AD468" s="277"/>
      <c r="AE468" s="277"/>
      <c r="AF468" s="277"/>
      <c r="AG468" s="277"/>
      <c r="AH468" s="277"/>
      <c r="AI468" s="277"/>
      <c r="AJ468" s="277"/>
      <c r="AK468" s="277"/>
    </row>
    <row r="469" spans="1:37" s="289" customFormat="1">
      <c r="A469" s="277"/>
      <c r="C469" s="277"/>
      <c r="D469" s="277"/>
      <c r="E469" s="277"/>
      <c r="F469" s="277"/>
      <c r="G469" s="277"/>
      <c r="H469" s="277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  <c r="AA469" s="277"/>
      <c r="AB469" s="277"/>
      <c r="AC469" s="277"/>
      <c r="AD469" s="277"/>
      <c r="AE469" s="277"/>
      <c r="AF469" s="277"/>
      <c r="AG469" s="277"/>
      <c r="AH469" s="277"/>
      <c r="AI469" s="277"/>
      <c r="AJ469" s="277"/>
      <c r="AK469" s="277"/>
    </row>
    <row r="470" spans="1:37" s="289" customFormat="1">
      <c r="A470" s="277"/>
      <c r="C470" s="277"/>
      <c r="D470" s="277"/>
      <c r="E470" s="277"/>
      <c r="F470" s="277"/>
      <c r="G470" s="277"/>
      <c r="H470" s="277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  <c r="AA470" s="277"/>
      <c r="AB470" s="277"/>
      <c r="AC470" s="277"/>
      <c r="AD470" s="277"/>
      <c r="AE470" s="277"/>
      <c r="AF470" s="277"/>
      <c r="AG470" s="277"/>
      <c r="AH470" s="277"/>
      <c r="AI470" s="277"/>
      <c r="AJ470" s="277"/>
      <c r="AK470" s="277"/>
    </row>
    <row r="471" spans="1:37" s="289" customFormat="1">
      <c r="A471" s="277"/>
      <c r="C471" s="277"/>
      <c r="D471" s="277"/>
      <c r="E471" s="277"/>
      <c r="F471" s="277"/>
      <c r="G471" s="277"/>
      <c r="H471" s="277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  <c r="AA471" s="277"/>
      <c r="AB471" s="277"/>
      <c r="AC471" s="277"/>
      <c r="AD471" s="277"/>
      <c r="AE471" s="277"/>
      <c r="AF471" s="277"/>
      <c r="AG471" s="277"/>
      <c r="AH471" s="277"/>
      <c r="AI471" s="277"/>
      <c r="AJ471" s="277"/>
      <c r="AK471" s="277"/>
    </row>
    <row r="472" spans="1:37" s="289" customFormat="1">
      <c r="A472" s="277"/>
      <c r="C472" s="277"/>
      <c r="D472" s="277"/>
      <c r="E472" s="277"/>
      <c r="F472" s="277"/>
      <c r="G472" s="277"/>
      <c r="H472" s="277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  <c r="AA472" s="277"/>
      <c r="AB472" s="277"/>
      <c r="AC472" s="277"/>
      <c r="AD472" s="277"/>
      <c r="AE472" s="277"/>
      <c r="AF472" s="277"/>
      <c r="AG472" s="277"/>
      <c r="AH472" s="277"/>
      <c r="AI472" s="277"/>
      <c r="AJ472" s="277"/>
      <c r="AK472" s="277"/>
    </row>
    <row r="473" spans="1:37" s="289" customFormat="1">
      <c r="A473" s="277"/>
      <c r="C473" s="277"/>
      <c r="D473" s="277"/>
      <c r="E473" s="277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  <c r="AA473" s="277"/>
      <c r="AB473" s="277"/>
      <c r="AC473" s="277"/>
      <c r="AD473" s="277"/>
      <c r="AE473" s="277"/>
      <c r="AF473" s="277"/>
      <c r="AG473" s="277"/>
      <c r="AH473" s="277"/>
      <c r="AI473" s="277"/>
      <c r="AJ473" s="277"/>
      <c r="AK473" s="277"/>
    </row>
    <row r="474" spans="1:37" s="289" customFormat="1">
      <c r="A474" s="277"/>
      <c r="C474" s="277"/>
      <c r="D474" s="277"/>
      <c r="E474" s="277"/>
      <c r="F474" s="277"/>
      <c r="G474" s="277"/>
      <c r="H474" s="277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  <c r="AA474" s="277"/>
      <c r="AB474" s="277"/>
      <c r="AC474" s="277"/>
      <c r="AD474" s="277"/>
      <c r="AE474" s="277"/>
      <c r="AF474" s="277"/>
      <c r="AG474" s="277"/>
      <c r="AH474" s="277"/>
      <c r="AI474" s="277"/>
      <c r="AJ474" s="277"/>
      <c r="AK474" s="277"/>
    </row>
    <row r="475" spans="1:37" s="289" customFormat="1">
      <c r="A475" s="277"/>
      <c r="C475" s="277"/>
      <c r="D475" s="277"/>
      <c r="E475" s="277"/>
      <c r="F475" s="277"/>
      <c r="G475" s="277"/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</row>
    <row r="476" spans="1:37" s="289" customFormat="1">
      <c r="A476" s="277"/>
      <c r="C476" s="277"/>
      <c r="D476" s="277"/>
      <c r="E476" s="277"/>
      <c r="F476" s="277"/>
      <c r="G476" s="277"/>
      <c r="H476" s="277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  <c r="AA476" s="277"/>
      <c r="AB476" s="277"/>
      <c r="AC476" s="277"/>
      <c r="AD476" s="277"/>
      <c r="AE476" s="277"/>
      <c r="AF476" s="277"/>
      <c r="AG476" s="277"/>
      <c r="AH476" s="277"/>
      <c r="AI476" s="277"/>
      <c r="AJ476" s="277"/>
      <c r="AK476" s="277"/>
    </row>
    <row r="477" spans="1:37" s="289" customFormat="1">
      <c r="A477" s="277"/>
      <c r="C477" s="277"/>
      <c r="D477" s="277"/>
      <c r="E477" s="277"/>
      <c r="F477" s="277"/>
      <c r="G477" s="277"/>
      <c r="H477" s="277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  <c r="AA477" s="277"/>
      <c r="AB477" s="277"/>
      <c r="AC477" s="277"/>
      <c r="AD477" s="277"/>
      <c r="AE477" s="277"/>
      <c r="AF477" s="277"/>
      <c r="AG477" s="277"/>
      <c r="AH477" s="277"/>
      <c r="AI477" s="277"/>
      <c r="AJ477" s="277"/>
      <c r="AK477" s="277"/>
    </row>
    <row r="478" spans="1:37" s="289" customFormat="1">
      <c r="A478" s="277"/>
      <c r="C478" s="277"/>
      <c r="D478" s="277"/>
      <c r="E478" s="277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  <c r="AA478" s="277"/>
      <c r="AB478" s="277"/>
      <c r="AC478" s="277"/>
      <c r="AD478" s="277"/>
      <c r="AE478" s="277"/>
      <c r="AF478" s="277"/>
      <c r="AG478" s="277"/>
      <c r="AH478" s="277"/>
      <c r="AI478" s="277"/>
      <c r="AJ478" s="277"/>
      <c r="AK478" s="277"/>
    </row>
    <row r="479" spans="1:37" s="289" customFormat="1">
      <c r="A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  <c r="AA479" s="277"/>
      <c r="AB479" s="277"/>
      <c r="AC479" s="277"/>
      <c r="AD479" s="277"/>
      <c r="AE479" s="277"/>
      <c r="AF479" s="277"/>
      <c r="AG479" s="277"/>
      <c r="AH479" s="277"/>
      <c r="AI479" s="277"/>
      <c r="AJ479" s="277"/>
      <c r="AK479" s="277"/>
    </row>
    <row r="480" spans="1:37" s="289" customFormat="1">
      <c r="A480" s="277"/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  <c r="AA480" s="277"/>
      <c r="AB480" s="277"/>
      <c r="AC480" s="277"/>
      <c r="AD480" s="277"/>
      <c r="AE480" s="277"/>
      <c r="AF480" s="277"/>
      <c r="AG480" s="277"/>
      <c r="AH480" s="277"/>
      <c r="AI480" s="277"/>
      <c r="AJ480" s="277"/>
      <c r="AK480" s="277"/>
    </row>
    <row r="481" spans="1:37" s="289" customFormat="1">
      <c r="A481" s="277"/>
      <c r="C481" s="277"/>
      <c r="D481" s="277"/>
      <c r="E481" s="277"/>
      <c r="F481" s="277"/>
      <c r="G481" s="277"/>
      <c r="H481" s="277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  <c r="AA481" s="277"/>
      <c r="AB481" s="277"/>
      <c r="AC481" s="277"/>
      <c r="AD481" s="277"/>
      <c r="AE481" s="277"/>
      <c r="AF481" s="277"/>
      <c r="AG481" s="277"/>
      <c r="AH481" s="277"/>
      <c r="AI481" s="277"/>
      <c r="AJ481" s="277"/>
      <c r="AK481" s="277"/>
    </row>
    <row r="482" spans="1:37" s="289" customFormat="1">
      <c r="A482" s="277"/>
      <c r="C482" s="277"/>
      <c r="D482" s="277"/>
      <c r="E482" s="277"/>
      <c r="F482" s="277"/>
      <c r="G482" s="277"/>
      <c r="H482" s="277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  <c r="AA482" s="277"/>
      <c r="AB482" s="277"/>
      <c r="AC482" s="277"/>
      <c r="AD482" s="277"/>
      <c r="AE482" s="277"/>
      <c r="AF482" s="277"/>
      <c r="AG482" s="277"/>
      <c r="AH482" s="277"/>
      <c r="AI482" s="277"/>
      <c r="AJ482" s="277"/>
      <c r="AK482" s="277"/>
    </row>
    <row r="483" spans="1:37" s="289" customFormat="1">
      <c r="A483" s="277"/>
      <c r="C483" s="277"/>
      <c r="D483" s="277"/>
      <c r="E483" s="277"/>
      <c r="F483" s="277"/>
      <c r="G483" s="277"/>
      <c r="H483" s="277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  <c r="AA483" s="277"/>
      <c r="AB483" s="277"/>
      <c r="AC483" s="277"/>
      <c r="AD483" s="277"/>
      <c r="AE483" s="277"/>
      <c r="AF483" s="277"/>
      <c r="AG483" s="277"/>
      <c r="AH483" s="277"/>
      <c r="AI483" s="277"/>
      <c r="AJ483" s="277"/>
      <c r="AK483" s="277"/>
    </row>
    <row r="484" spans="1:37" s="289" customFormat="1">
      <c r="A484" s="277"/>
      <c r="C484" s="277"/>
      <c r="D484" s="277"/>
      <c r="E484" s="277"/>
      <c r="F484" s="277"/>
      <c r="G484" s="277"/>
      <c r="H484" s="277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  <c r="AA484" s="277"/>
      <c r="AB484" s="277"/>
      <c r="AC484" s="277"/>
      <c r="AD484" s="277"/>
      <c r="AE484" s="277"/>
      <c r="AF484" s="277"/>
      <c r="AG484" s="277"/>
      <c r="AH484" s="277"/>
      <c r="AI484" s="277"/>
      <c r="AJ484" s="277"/>
      <c r="AK484" s="277"/>
    </row>
    <row r="485" spans="1:37" s="289" customFormat="1">
      <c r="A485" s="277"/>
      <c r="C485" s="277"/>
      <c r="D485" s="277"/>
      <c r="E485" s="277"/>
      <c r="F485" s="277"/>
      <c r="G485" s="277"/>
      <c r="H485" s="277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  <c r="AA485" s="277"/>
      <c r="AB485" s="277"/>
      <c r="AC485" s="277"/>
      <c r="AD485" s="277"/>
      <c r="AE485" s="277"/>
      <c r="AF485" s="277"/>
      <c r="AG485" s="277"/>
      <c r="AH485" s="277"/>
      <c r="AI485" s="277"/>
      <c r="AJ485" s="277"/>
      <c r="AK485" s="277"/>
    </row>
    <row r="486" spans="1:37" s="289" customFormat="1">
      <c r="A486" s="277"/>
      <c r="C486" s="277"/>
      <c r="D486" s="277"/>
      <c r="E486" s="277"/>
      <c r="F486" s="277"/>
      <c r="G486" s="277"/>
      <c r="H486" s="277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  <c r="AA486" s="277"/>
      <c r="AB486" s="277"/>
      <c r="AC486" s="277"/>
      <c r="AD486" s="277"/>
      <c r="AE486" s="277"/>
      <c r="AF486" s="277"/>
      <c r="AG486" s="277"/>
      <c r="AH486" s="277"/>
      <c r="AI486" s="277"/>
      <c r="AJ486" s="277"/>
      <c r="AK486" s="277"/>
    </row>
    <row r="487" spans="1:37" s="289" customFormat="1">
      <c r="A487" s="277"/>
      <c r="C487" s="277"/>
      <c r="D487" s="277"/>
      <c r="E487" s="277"/>
      <c r="F487" s="277"/>
      <c r="G487" s="277"/>
      <c r="H487" s="277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  <c r="AA487" s="277"/>
      <c r="AB487" s="277"/>
      <c r="AC487" s="277"/>
      <c r="AD487" s="277"/>
      <c r="AE487" s="277"/>
      <c r="AF487" s="277"/>
      <c r="AG487" s="277"/>
      <c r="AH487" s="277"/>
      <c r="AI487" s="277"/>
      <c r="AJ487" s="277"/>
      <c r="AK487" s="277"/>
    </row>
    <row r="488" spans="1:37" s="289" customFormat="1">
      <c r="A488" s="277"/>
      <c r="C488" s="277"/>
      <c r="D488" s="277"/>
      <c r="E488" s="277"/>
      <c r="F488" s="277"/>
      <c r="G488" s="277"/>
      <c r="H488" s="277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  <c r="AA488" s="277"/>
      <c r="AB488" s="277"/>
      <c r="AC488" s="277"/>
      <c r="AD488" s="277"/>
      <c r="AE488" s="277"/>
      <c r="AF488" s="277"/>
      <c r="AG488" s="277"/>
      <c r="AH488" s="277"/>
      <c r="AI488" s="277"/>
      <c r="AJ488" s="277"/>
      <c r="AK488" s="277"/>
    </row>
    <row r="489" spans="1:37" s="289" customFormat="1">
      <c r="A489" s="277"/>
      <c r="C489" s="277"/>
      <c r="D489" s="277"/>
      <c r="E489" s="277"/>
      <c r="F489" s="277"/>
      <c r="G489" s="277"/>
      <c r="H489" s="277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  <c r="AA489" s="277"/>
      <c r="AB489" s="277"/>
      <c r="AC489" s="277"/>
      <c r="AD489" s="277"/>
      <c r="AE489" s="277"/>
      <c r="AF489" s="277"/>
      <c r="AG489" s="277"/>
      <c r="AH489" s="277"/>
      <c r="AI489" s="277"/>
      <c r="AJ489" s="277"/>
      <c r="AK489" s="277"/>
    </row>
    <row r="490" spans="1:37" s="289" customFormat="1">
      <c r="A490" s="277"/>
      <c r="C490" s="277"/>
      <c r="D490" s="277"/>
      <c r="E490" s="277"/>
      <c r="F490" s="277"/>
      <c r="G490" s="277"/>
      <c r="H490" s="277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  <c r="AA490" s="277"/>
      <c r="AB490" s="277"/>
      <c r="AC490" s="277"/>
      <c r="AD490" s="277"/>
      <c r="AE490" s="277"/>
      <c r="AF490" s="277"/>
      <c r="AG490" s="277"/>
      <c r="AH490" s="277"/>
      <c r="AI490" s="277"/>
      <c r="AJ490" s="277"/>
      <c r="AK490" s="277"/>
    </row>
    <row r="491" spans="1:37" s="289" customFormat="1">
      <c r="A491" s="277"/>
      <c r="C491" s="277"/>
      <c r="D491" s="277"/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  <c r="AF491" s="277"/>
      <c r="AG491" s="277"/>
      <c r="AH491" s="277"/>
      <c r="AI491" s="277"/>
      <c r="AJ491" s="277"/>
      <c r="AK491" s="277"/>
    </row>
    <row r="492" spans="1:37" s="289" customFormat="1">
      <c r="A492" s="277"/>
      <c r="C492" s="277"/>
      <c r="D492" s="277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</row>
    <row r="493" spans="1:37" s="289" customFormat="1">
      <c r="A493" s="277"/>
      <c r="C493" s="277"/>
      <c r="D493" s="277"/>
      <c r="E493" s="277"/>
      <c r="F493" s="277"/>
      <c r="G493" s="277"/>
      <c r="H493" s="277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  <c r="AA493" s="277"/>
      <c r="AB493" s="277"/>
      <c r="AC493" s="277"/>
      <c r="AD493" s="277"/>
      <c r="AE493" s="277"/>
      <c r="AF493" s="277"/>
      <c r="AG493" s="277"/>
      <c r="AH493" s="277"/>
      <c r="AI493" s="277"/>
      <c r="AJ493" s="277"/>
      <c r="AK493" s="277"/>
    </row>
    <row r="494" spans="1:37" s="289" customFormat="1">
      <c r="A494" s="277"/>
      <c r="C494" s="277"/>
      <c r="D494" s="277"/>
      <c r="E494" s="277"/>
      <c r="F494" s="277"/>
      <c r="G494" s="277"/>
      <c r="H494" s="277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  <c r="AA494" s="277"/>
      <c r="AB494" s="277"/>
      <c r="AC494" s="277"/>
      <c r="AD494" s="277"/>
      <c r="AE494" s="277"/>
      <c r="AF494" s="277"/>
      <c r="AG494" s="277"/>
      <c r="AH494" s="277"/>
      <c r="AI494" s="277"/>
      <c r="AJ494" s="277"/>
      <c r="AK494" s="277"/>
    </row>
    <row r="495" spans="1:37" s="289" customFormat="1">
      <c r="A495" s="277"/>
      <c r="C495" s="277"/>
      <c r="D495" s="277"/>
      <c r="E495" s="277"/>
      <c r="F495" s="277"/>
      <c r="G495" s="277"/>
      <c r="H495" s="277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  <c r="AA495" s="277"/>
      <c r="AB495" s="277"/>
      <c r="AC495" s="277"/>
      <c r="AD495" s="277"/>
      <c r="AE495" s="277"/>
      <c r="AF495" s="277"/>
      <c r="AG495" s="277"/>
      <c r="AH495" s="277"/>
      <c r="AI495" s="277"/>
      <c r="AJ495" s="277"/>
      <c r="AK495" s="277"/>
    </row>
    <row r="496" spans="1:37" s="289" customFormat="1">
      <c r="A496" s="277"/>
      <c r="C496" s="277"/>
      <c r="D496" s="277"/>
      <c r="E496" s="277"/>
      <c r="F496" s="277"/>
      <c r="G496" s="277"/>
      <c r="H496" s="277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  <c r="AA496" s="277"/>
      <c r="AB496" s="277"/>
      <c r="AC496" s="277"/>
      <c r="AD496" s="277"/>
      <c r="AE496" s="277"/>
      <c r="AF496" s="277"/>
      <c r="AG496" s="277"/>
      <c r="AH496" s="277"/>
      <c r="AI496" s="277"/>
      <c r="AJ496" s="277"/>
      <c r="AK496" s="277"/>
    </row>
    <row r="497" spans="1:37" s="289" customFormat="1">
      <c r="A497" s="277"/>
      <c r="C497" s="277"/>
      <c r="D497" s="277"/>
      <c r="E497" s="277"/>
      <c r="F497" s="277"/>
      <c r="G497" s="277"/>
      <c r="H497" s="277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  <c r="AA497" s="277"/>
      <c r="AB497" s="277"/>
      <c r="AC497" s="277"/>
      <c r="AD497" s="277"/>
      <c r="AE497" s="277"/>
      <c r="AF497" s="277"/>
      <c r="AG497" s="277"/>
      <c r="AH497" s="277"/>
      <c r="AI497" s="277"/>
      <c r="AJ497" s="277"/>
      <c r="AK497" s="277"/>
    </row>
    <row r="498" spans="1:37" s="289" customFormat="1">
      <c r="A498" s="277"/>
      <c r="C498" s="277"/>
      <c r="D498" s="277"/>
      <c r="E498" s="277"/>
      <c r="F498" s="277"/>
      <c r="G498" s="277"/>
      <c r="H498" s="277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  <c r="AA498" s="277"/>
      <c r="AB498" s="277"/>
      <c r="AC498" s="277"/>
      <c r="AD498" s="277"/>
      <c r="AE498" s="277"/>
      <c r="AF498" s="277"/>
      <c r="AG498" s="277"/>
      <c r="AH498" s="277"/>
      <c r="AI498" s="277"/>
      <c r="AJ498" s="277"/>
      <c r="AK498" s="277"/>
    </row>
    <row r="499" spans="1:37" s="289" customFormat="1">
      <c r="A499" s="277"/>
      <c r="C499" s="277"/>
      <c r="D499" s="277"/>
      <c r="E499" s="277"/>
      <c r="F499" s="277"/>
      <c r="G499" s="277"/>
      <c r="H499" s="277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  <c r="AA499" s="277"/>
      <c r="AB499" s="277"/>
      <c r="AC499" s="277"/>
      <c r="AD499" s="277"/>
      <c r="AE499" s="277"/>
      <c r="AF499" s="277"/>
      <c r="AG499" s="277"/>
      <c r="AH499" s="277"/>
      <c r="AI499" s="277"/>
      <c r="AJ499" s="277"/>
      <c r="AK499" s="277"/>
    </row>
    <row r="500" spans="1:37" s="289" customFormat="1">
      <c r="A500" s="277"/>
      <c r="C500" s="277"/>
      <c r="D500" s="277"/>
      <c r="E500" s="277"/>
      <c r="F500" s="277"/>
      <c r="G500" s="277"/>
      <c r="H500" s="277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  <c r="AA500" s="277"/>
      <c r="AB500" s="277"/>
      <c r="AC500" s="277"/>
      <c r="AD500" s="277"/>
      <c r="AE500" s="277"/>
      <c r="AF500" s="277"/>
      <c r="AG500" s="277"/>
      <c r="AH500" s="277"/>
      <c r="AI500" s="277"/>
      <c r="AJ500" s="277"/>
      <c r="AK500" s="277"/>
    </row>
    <row r="501" spans="1:37" s="289" customFormat="1">
      <c r="A501" s="277"/>
      <c r="C501" s="277"/>
      <c r="D501" s="277"/>
      <c r="E501" s="277"/>
      <c r="F501" s="277"/>
      <c r="G501" s="277"/>
      <c r="H501" s="277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  <c r="AA501" s="277"/>
      <c r="AB501" s="277"/>
      <c r="AC501" s="277"/>
      <c r="AD501" s="277"/>
      <c r="AE501" s="277"/>
      <c r="AF501" s="277"/>
      <c r="AG501" s="277"/>
      <c r="AH501" s="277"/>
      <c r="AI501" s="277"/>
      <c r="AJ501" s="277"/>
      <c r="AK501" s="277"/>
    </row>
    <row r="502" spans="1:37" s="289" customFormat="1">
      <c r="A502" s="277"/>
      <c r="C502" s="277"/>
      <c r="D502" s="277"/>
      <c r="E502" s="277"/>
      <c r="F502" s="277"/>
      <c r="G502" s="277"/>
      <c r="H502" s="277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  <c r="AA502" s="277"/>
      <c r="AB502" s="277"/>
      <c r="AC502" s="277"/>
      <c r="AD502" s="277"/>
      <c r="AE502" s="277"/>
      <c r="AF502" s="277"/>
      <c r="AG502" s="277"/>
      <c r="AH502" s="277"/>
      <c r="AI502" s="277"/>
      <c r="AJ502" s="277"/>
      <c r="AK502" s="277"/>
    </row>
    <row r="503" spans="1:37" s="289" customFormat="1">
      <c r="A503" s="277"/>
      <c r="C503" s="277"/>
      <c r="D503" s="277"/>
      <c r="E503" s="277"/>
      <c r="F503" s="277"/>
      <c r="G503" s="277"/>
      <c r="H503" s="277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  <c r="AA503" s="277"/>
      <c r="AB503" s="277"/>
      <c r="AC503" s="277"/>
      <c r="AD503" s="277"/>
      <c r="AE503" s="277"/>
      <c r="AF503" s="277"/>
      <c r="AG503" s="277"/>
      <c r="AH503" s="277"/>
      <c r="AI503" s="277"/>
      <c r="AJ503" s="277"/>
      <c r="AK503" s="277"/>
    </row>
    <row r="504" spans="1:37" s="289" customFormat="1">
      <c r="A504" s="277"/>
      <c r="C504" s="277"/>
      <c r="D504" s="277"/>
      <c r="E504" s="277"/>
      <c r="F504" s="277"/>
      <c r="G504" s="277"/>
      <c r="H504" s="277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  <c r="AA504" s="277"/>
      <c r="AB504" s="277"/>
      <c r="AC504" s="277"/>
      <c r="AD504" s="277"/>
      <c r="AE504" s="277"/>
      <c r="AF504" s="277"/>
      <c r="AG504" s="277"/>
      <c r="AH504" s="277"/>
      <c r="AI504" s="277"/>
      <c r="AJ504" s="277"/>
      <c r="AK504" s="277"/>
    </row>
    <row r="505" spans="1:37" s="289" customFormat="1">
      <c r="A505" s="277"/>
      <c r="C505" s="277"/>
      <c r="D505" s="277"/>
      <c r="E505" s="277"/>
      <c r="F505" s="277"/>
      <c r="G505" s="277"/>
      <c r="H505" s="277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  <c r="AA505" s="277"/>
      <c r="AB505" s="277"/>
      <c r="AC505" s="277"/>
      <c r="AD505" s="277"/>
      <c r="AE505" s="277"/>
      <c r="AF505" s="277"/>
      <c r="AG505" s="277"/>
      <c r="AH505" s="277"/>
      <c r="AI505" s="277"/>
      <c r="AJ505" s="277"/>
      <c r="AK505" s="277"/>
    </row>
    <row r="506" spans="1:37" s="289" customFormat="1">
      <c r="A506" s="277"/>
      <c r="C506" s="277"/>
      <c r="D506" s="277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77"/>
      <c r="AB506" s="277"/>
      <c r="AC506" s="277"/>
      <c r="AD506" s="277"/>
      <c r="AE506" s="277"/>
      <c r="AF506" s="277"/>
      <c r="AG506" s="277"/>
      <c r="AH506" s="277"/>
      <c r="AI506" s="277"/>
      <c r="AJ506" s="277"/>
      <c r="AK506" s="277"/>
    </row>
    <row r="507" spans="1:37" s="289" customFormat="1">
      <c r="A507" s="277"/>
      <c r="C507" s="277"/>
      <c r="D507" s="277"/>
      <c r="E507" s="277"/>
      <c r="F507" s="277"/>
      <c r="G507" s="277"/>
      <c r="H507" s="277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  <c r="AA507" s="277"/>
      <c r="AB507" s="277"/>
      <c r="AC507" s="277"/>
      <c r="AD507" s="277"/>
      <c r="AE507" s="277"/>
      <c r="AF507" s="277"/>
      <c r="AG507" s="277"/>
      <c r="AH507" s="277"/>
      <c r="AI507" s="277"/>
      <c r="AJ507" s="277"/>
      <c r="AK507" s="277"/>
    </row>
    <row r="508" spans="1:37" s="289" customFormat="1">
      <c r="A508" s="277"/>
      <c r="C508" s="277"/>
      <c r="D508" s="277"/>
      <c r="E508" s="277"/>
      <c r="F508" s="277"/>
      <c r="G508" s="277"/>
      <c r="H508" s="277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  <c r="AA508" s="277"/>
      <c r="AB508" s="277"/>
      <c r="AC508" s="277"/>
      <c r="AD508" s="277"/>
      <c r="AE508" s="277"/>
      <c r="AF508" s="277"/>
      <c r="AG508" s="277"/>
      <c r="AH508" s="277"/>
      <c r="AI508" s="277"/>
      <c r="AJ508" s="277"/>
      <c r="AK508" s="277"/>
    </row>
    <row r="509" spans="1:37" s="289" customFormat="1">
      <c r="A509" s="277"/>
      <c r="C509" s="277"/>
      <c r="D509" s="277"/>
      <c r="E509" s="277"/>
      <c r="F509" s="277"/>
      <c r="G509" s="277"/>
      <c r="H509" s="277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  <c r="AA509" s="277"/>
      <c r="AB509" s="277"/>
      <c r="AC509" s="277"/>
      <c r="AD509" s="277"/>
      <c r="AE509" s="277"/>
      <c r="AF509" s="277"/>
      <c r="AG509" s="277"/>
      <c r="AH509" s="277"/>
      <c r="AI509" s="277"/>
      <c r="AJ509" s="277"/>
      <c r="AK509" s="277"/>
    </row>
    <row r="510" spans="1:37" s="289" customFormat="1">
      <c r="A510" s="277"/>
      <c r="C510" s="277"/>
      <c r="D510" s="277"/>
      <c r="E510" s="277"/>
      <c r="F510" s="277"/>
      <c r="G510" s="277"/>
      <c r="H510" s="277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  <c r="AA510" s="277"/>
      <c r="AB510" s="277"/>
      <c r="AC510" s="277"/>
      <c r="AD510" s="277"/>
      <c r="AE510" s="277"/>
      <c r="AF510" s="277"/>
      <c r="AG510" s="277"/>
      <c r="AH510" s="277"/>
      <c r="AI510" s="277"/>
      <c r="AJ510" s="277"/>
      <c r="AK510" s="277"/>
    </row>
    <row r="511" spans="1:37" s="289" customFormat="1">
      <c r="A511" s="277"/>
      <c r="C511" s="277"/>
      <c r="D511" s="277"/>
      <c r="E511" s="277"/>
      <c r="F511" s="277"/>
      <c r="G511" s="277"/>
      <c r="H511" s="277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  <c r="AA511" s="277"/>
      <c r="AB511" s="277"/>
      <c r="AC511" s="277"/>
      <c r="AD511" s="277"/>
      <c r="AE511" s="277"/>
      <c r="AF511" s="277"/>
      <c r="AG511" s="277"/>
      <c r="AH511" s="277"/>
      <c r="AI511" s="277"/>
      <c r="AJ511" s="277"/>
      <c r="AK511" s="277"/>
    </row>
    <row r="512" spans="1:37" s="289" customFormat="1">
      <c r="A512" s="277"/>
      <c r="C512" s="277"/>
      <c r="D512" s="277"/>
      <c r="E512" s="277"/>
      <c r="F512" s="277"/>
      <c r="G512" s="277"/>
      <c r="H512" s="277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  <c r="AA512" s="277"/>
      <c r="AB512" s="277"/>
      <c r="AC512" s="277"/>
      <c r="AD512" s="277"/>
      <c r="AE512" s="277"/>
      <c r="AF512" s="277"/>
      <c r="AG512" s="277"/>
      <c r="AH512" s="277"/>
      <c r="AI512" s="277"/>
      <c r="AJ512" s="277"/>
      <c r="AK512" s="277"/>
    </row>
    <row r="513" spans="1:37" s="289" customFormat="1">
      <c r="A513" s="277"/>
      <c r="C513" s="277"/>
      <c r="D513" s="277"/>
      <c r="E513" s="277"/>
      <c r="F513" s="277"/>
      <c r="G513" s="277"/>
      <c r="H513" s="277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  <c r="AA513" s="277"/>
      <c r="AB513" s="277"/>
      <c r="AC513" s="277"/>
      <c r="AD513" s="277"/>
      <c r="AE513" s="277"/>
      <c r="AF513" s="277"/>
      <c r="AG513" s="277"/>
      <c r="AH513" s="277"/>
      <c r="AI513" s="277"/>
      <c r="AJ513" s="277"/>
      <c r="AK513" s="277"/>
    </row>
    <row r="514" spans="1:37" s="289" customFormat="1">
      <c r="A514" s="277"/>
      <c r="C514" s="277"/>
      <c r="D514" s="277"/>
      <c r="E514" s="277"/>
      <c r="F514" s="277"/>
      <c r="G514" s="277"/>
      <c r="H514" s="277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  <c r="AA514" s="277"/>
      <c r="AB514" s="277"/>
      <c r="AC514" s="277"/>
      <c r="AD514" s="277"/>
      <c r="AE514" s="277"/>
      <c r="AF514" s="277"/>
      <c r="AG514" s="277"/>
      <c r="AH514" s="277"/>
      <c r="AI514" s="277"/>
      <c r="AJ514" s="277"/>
      <c r="AK514" s="277"/>
    </row>
    <row r="515" spans="1:37" s="289" customFormat="1">
      <c r="A515" s="277"/>
      <c r="C515" s="277"/>
      <c r="D515" s="277"/>
      <c r="E515" s="277"/>
      <c r="F515" s="277"/>
      <c r="G515" s="277"/>
      <c r="H515" s="277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  <c r="AA515" s="277"/>
      <c r="AB515" s="277"/>
      <c r="AC515" s="277"/>
      <c r="AD515" s="277"/>
      <c r="AE515" s="277"/>
      <c r="AF515" s="277"/>
      <c r="AG515" s="277"/>
      <c r="AH515" s="277"/>
      <c r="AI515" s="277"/>
      <c r="AJ515" s="277"/>
      <c r="AK515" s="277"/>
    </row>
    <row r="516" spans="1:37" s="289" customFormat="1">
      <c r="A516" s="277"/>
      <c r="C516" s="277"/>
      <c r="D516" s="277"/>
      <c r="E516" s="277"/>
      <c r="F516" s="277"/>
      <c r="G516" s="277"/>
      <c r="H516" s="277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  <c r="AA516" s="277"/>
      <c r="AB516" s="277"/>
      <c r="AC516" s="277"/>
      <c r="AD516" s="277"/>
      <c r="AE516" s="277"/>
      <c r="AF516" s="277"/>
      <c r="AG516" s="277"/>
      <c r="AH516" s="277"/>
      <c r="AI516" s="277"/>
      <c r="AJ516" s="277"/>
      <c r="AK516" s="277"/>
    </row>
    <row r="517" spans="1:37" s="289" customFormat="1">
      <c r="A517" s="277"/>
      <c r="C517" s="277"/>
      <c r="D517" s="277"/>
      <c r="E517" s="277"/>
      <c r="F517" s="277"/>
      <c r="G517" s="277"/>
      <c r="H517" s="277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  <c r="AA517" s="277"/>
      <c r="AB517" s="277"/>
      <c r="AC517" s="277"/>
      <c r="AD517" s="277"/>
      <c r="AE517" s="277"/>
      <c r="AF517" s="277"/>
      <c r="AG517" s="277"/>
      <c r="AH517" s="277"/>
      <c r="AI517" s="277"/>
      <c r="AJ517" s="277"/>
      <c r="AK517" s="277"/>
    </row>
    <row r="518" spans="1:37" s="289" customFormat="1">
      <c r="A518" s="277"/>
      <c r="C518" s="277"/>
      <c r="D518" s="277"/>
      <c r="E518" s="277"/>
      <c r="F518" s="277"/>
      <c r="G518" s="277"/>
      <c r="H518" s="277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  <c r="AA518" s="277"/>
      <c r="AB518" s="277"/>
      <c r="AC518" s="277"/>
      <c r="AD518" s="277"/>
      <c r="AE518" s="277"/>
      <c r="AF518" s="277"/>
      <c r="AG518" s="277"/>
      <c r="AH518" s="277"/>
      <c r="AI518" s="277"/>
      <c r="AJ518" s="277"/>
      <c r="AK518" s="277"/>
    </row>
    <row r="519" spans="1:37" s="289" customFormat="1">
      <c r="A519" s="277"/>
      <c r="C519" s="277"/>
      <c r="D519" s="277"/>
      <c r="E519" s="277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  <c r="AA519" s="277"/>
      <c r="AB519" s="277"/>
      <c r="AC519" s="277"/>
      <c r="AD519" s="277"/>
      <c r="AE519" s="277"/>
      <c r="AF519" s="277"/>
      <c r="AG519" s="277"/>
      <c r="AH519" s="277"/>
      <c r="AI519" s="277"/>
      <c r="AJ519" s="277"/>
      <c r="AK519" s="277"/>
    </row>
    <row r="520" spans="1:37" s="289" customFormat="1">
      <c r="A520" s="277"/>
      <c r="C520" s="277"/>
      <c r="D520" s="277"/>
      <c r="E520" s="277"/>
      <c r="F520" s="277"/>
      <c r="G520" s="277"/>
      <c r="H520" s="277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  <c r="AA520" s="277"/>
      <c r="AB520" s="277"/>
      <c r="AC520" s="277"/>
      <c r="AD520" s="277"/>
      <c r="AE520" s="277"/>
      <c r="AF520" s="277"/>
      <c r="AG520" s="277"/>
      <c r="AH520" s="277"/>
      <c r="AI520" s="277"/>
      <c r="AJ520" s="277"/>
      <c r="AK520" s="277"/>
    </row>
    <row r="521" spans="1:37" s="289" customFormat="1">
      <c r="A521" s="277"/>
      <c r="C521" s="277"/>
      <c r="D521" s="277"/>
      <c r="E521" s="277"/>
      <c r="F521" s="277"/>
      <c r="G521" s="277"/>
      <c r="H521" s="277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  <c r="AA521" s="277"/>
      <c r="AB521" s="277"/>
      <c r="AC521" s="277"/>
      <c r="AD521" s="277"/>
      <c r="AE521" s="277"/>
      <c r="AF521" s="277"/>
      <c r="AG521" s="277"/>
      <c r="AH521" s="277"/>
      <c r="AI521" s="277"/>
      <c r="AJ521" s="277"/>
      <c r="AK521" s="277"/>
    </row>
    <row r="522" spans="1:37" s="289" customFormat="1">
      <c r="A522" s="277"/>
      <c r="C522" s="277"/>
      <c r="D522" s="277"/>
      <c r="E522" s="277"/>
      <c r="F522" s="277"/>
      <c r="G522" s="277"/>
      <c r="H522" s="277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  <c r="AA522" s="277"/>
      <c r="AB522" s="277"/>
      <c r="AC522" s="277"/>
      <c r="AD522" s="277"/>
      <c r="AE522" s="277"/>
      <c r="AF522" s="277"/>
      <c r="AG522" s="277"/>
      <c r="AH522" s="277"/>
      <c r="AI522" s="277"/>
      <c r="AJ522" s="277"/>
      <c r="AK522" s="277"/>
    </row>
    <row r="523" spans="1:37" s="289" customFormat="1">
      <c r="A523" s="277"/>
      <c r="C523" s="277"/>
      <c r="D523" s="277"/>
      <c r="E523" s="277"/>
      <c r="F523" s="277"/>
      <c r="G523" s="277"/>
      <c r="H523" s="277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  <c r="AA523" s="277"/>
      <c r="AB523" s="277"/>
      <c r="AC523" s="277"/>
      <c r="AD523" s="277"/>
      <c r="AE523" s="277"/>
      <c r="AF523" s="277"/>
      <c r="AG523" s="277"/>
      <c r="AH523" s="277"/>
      <c r="AI523" s="277"/>
      <c r="AJ523" s="277"/>
      <c r="AK523" s="277"/>
    </row>
    <row r="524" spans="1:37" s="289" customFormat="1">
      <c r="A524" s="277"/>
      <c r="C524" s="277"/>
      <c r="D524" s="277"/>
      <c r="E524" s="277"/>
      <c r="F524" s="277"/>
      <c r="G524" s="277"/>
      <c r="H524" s="277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  <c r="AA524" s="277"/>
      <c r="AB524" s="277"/>
      <c r="AC524" s="277"/>
      <c r="AD524" s="277"/>
      <c r="AE524" s="277"/>
      <c r="AF524" s="277"/>
      <c r="AG524" s="277"/>
      <c r="AH524" s="277"/>
      <c r="AI524" s="277"/>
      <c r="AJ524" s="277"/>
      <c r="AK524" s="277"/>
    </row>
    <row r="525" spans="1:37" s="289" customFormat="1">
      <c r="A525" s="277"/>
      <c r="C525" s="277"/>
      <c r="D525" s="277"/>
      <c r="E525" s="277"/>
      <c r="F525" s="277"/>
      <c r="G525" s="277"/>
      <c r="H525" s="277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  <c r="AA525" s="277"/>
      <c r="AB525" s="277"/>
      <c r="AC525" s="277"/>
      <c r="AD525" s="277"/>
      <c r="AE525" s="277"/>
      <c r="AF525" s="277"/>
      <c r="AG525" s="277"/>
      <c r="AH525" s="277"/>
      <c r="AI525" s="277"/>
      <c r="AJ525" s="277"/>
      <c r="AK525" s="277"/>
    </row>
    <row r="526" spans="1:37" s="289" customFormat="1">
      <c r="A526" s="277"/>
      <c r="C526" s="277"/>
      <c r="D526" s="277"/>
      <c r="E526" s="277"/>
      <c r="F526" s="277"/>
      <c r="G526" s="277"/>
      <c r="H526" s="277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  <c r="AA526" s="277"/>
      <c r="AB526" s="277"/>
      <c r="AC526" s="277"/>
      <c r="AD526" s="277"/>
      <c r="AE526" s="277"/>
      <c r="AF526" s="277"/>
      <c r="AG526" s="277"/>
      <c r="AH526" s="277"/>
      <c r="AI526" s="277"/>
      <c r="AJ526" s="277"/>
      <c r="AK526" s="277"/>
    </row>
    <row r="527" spans="1:37" s="289" customFormat="1">
      <c r="A527" s="277"/>
      <c r="C527" s="277"/>
      <c r="D527" s="277"/>
      <c r="E527" s="277"/>
      <c r="F527" s="277"/>
      <c r="G527" s="277"/>
      <c r="H527" s="277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  <c r="AA527" s="277"/>
      <c r="AB527" s="277"/>
      <c r="AC527" s="277"/>
      <c r="AD527" s="277"/>
      <c r="AE527" s="277"/>
      <c r="AF527" s="277"/>
      <c r="AG527" s="277"/>
      <c r="AH527" s="277"/>
      <c r="AI527" s="277"/>
      <c r="AJ527" s="277"/>
      <c r="AK527" s="277"/>
    </row>
    <row r="528" spans="1:37" s="289" customFormat="1">
      <c r="A528" s="277"/>
      <c r="C528" s="277"/>
      <c r="D528" s="277"/>
      <c r="E528" s="277"/>
      <c r="F528" s="277"/>
      <c r="G528" s="277"/>
      <c r="H528" s="277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  <c r="AA528" s="277"/>
      <c r="AB528" s="277"/>
      <c r="AC528" s="277"/>
      <c r="AD528" s="277"/>
      <c r="AE528" s="277"/>
      <c r="AF528" s="277"/>
      <c r="AG528" s="277"/>
      <c r="AH528" s="277"/>
      <c r="AI528" s="277"/>
      <c r="AJ528" s="277"/>
      <c r="AK528" s="277"/>
    </row>
    <row r="529" spans="1:37" s="289" customFormat="1">
      <c r="A529" s="277"/>
      <c r="C529" s="277"/>
      <c r="D529" s="277"/>
      <c r="E529" s="277"/>
      <c r="F529" s="277"/>
      <c r="G529" s="277"/>
      <c r="H529" s="277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  <c r="AA529" s="277"/>
      <c r="AB529" s="277"/>
      <c r="AC529" s="277"/>
      <c r="AD529" s="277"/>
      <c r="AE529" s="277"/>
      <c r="AF529" s="277"/>
      <c r="AG529" s="277"/>
      <c r="AH529" s="277"/>
      <c r="AI529" s="277"/>
      <c r="AJ529" s="277"/>
      <c r="AK529" s="277"/>
    </row>
    <row r="530" spans="1:37" s="289" customFormat="1">
      <c r="A530" s="277"/>
      <c r="C530" s="277"/>
      <c r="D530" s="277"/>
      <c r="E530" s="277"/>
      <c r="F530" s="277"/>
      <c r="G530" s="277"/>
      <c r="H530" s="277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  <c r="AA530" s="277"/>
      <c r="AB530" s="277"/>
      <c r="AC530" s="277"/>
      <c r="AD530" s="277"/>
      <c r="AE530" s="277"/>
      <c r="AF530" s="277"/>
      <c r="AG530" s="277"/>
      <c r="AH530" s="277"/>
      <c r="AI530" s="277"/>
      <c r="AJ530" s="277"/>
      <c r="AK530" s="277"/>
    </row>
    <row r="531" spans="1:37" s="289" customFormat="1">
      <c r="A531" s="277"/>
      <c r="C531" s="277"/>
      <c r="D531" s="277"/>
      <c r="E531" s="277"/>
      <c r="F531" s="277"/>
      <c r="G531" s="277"/>
      <c r="H531" s="277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  <c r="AA531" s="277"/>
      <c r="AB531" s="277"/>
      <c r="AC531" s="277"/>
      <c r="AD531" s="277"/>
      <c r="AE531" s="277"/>
      <c r="AF531" s="277"/>
      <c r="AG531" s="277"/>
      <c r="AH531" s="277"/>
      <c r="AI531" s="277"/>
      <c r="AJ531" s="277"/>
      <c r="AK531" s="277"/>
    </row>
    <row r="532" spans="1:37" s="289" customFormat="1">
      <c r="A532" s="277"/>
      <c r="C532" s="277"/>
      <c r="D532" s="277"/>
      <c r="E532" s="277"/>
      <c r="F532" s="277"/>
      <c r="G532" s="277"/>
      <c r="H532" s="277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  <c r="AA532" s="277"/>
      <c r="AB532" s="277"/>
      <c r="AC532" s="277"/>
      <c r="AD532" s="277"/>
      <c r="AE532" s="277"/>
      <c r="AF532" s="277"/>
      <c r="AG532" s="277"/>
      <c r="AH532" s="277"/>
      <c r="AI532" s="277"/>
      <c r="AJ532" s="277"/>
      <c r="AK532" s="277"/>
    </row>
    <row r="533" spans="1:37" s="289" customFormat="1">
      <c r="A533" s="277"/>
      <c r="C533" s="277"/>
      <c r="D533" s="277"/>
      <c r="E533" s="277"/>
      <c r="F533" s="277"/>
      <c r="G533" s="277"/>
      <c r="H533" s="277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  <c r="AA533" s="277"/>
      <c r="AB533" s="277"/>
      <c r="AC533" s="277"/>
      <c r="AD533" s="277"/>
      <c r="AE533" s="277"/>
      <c r="AF533" s="277"/>
      <c r="AG533" s="277"/>
      <c r="AH533" s="277"/>
      <c r="AI533" s="277"/>
      <c r="AJ533" s="277"/>
      <c r="AK533" s="277"/>
    </row>
    <row r="534" spans="1:37" s="289" customFormat="1">
      <c r="A534" s="277"/>
      <c r="C534" s="277"/>
      <c r="D534" s="277"/>
      <c r="E534" s="277"/>
      <c r="F534" s="277"/>
      <c r="G534" s="277"/>
      <c r="H534" s="277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  <c r="AA534" s="277"/>
      <c r="AB534" s="277"/>
      <c r="AC534" s="277"/>
      <c r="AD534" s="277"/>
      <c r="AE534" s="277"/>
      <c r="AF534" s="277"/>
      <c r="AG534" s="277"/>
      <c r="AH534" s="277"/>
      <c r="AI534" s="277"/>
      <c r="AJ534" s="277"/>
      <c r="AK534" s="277"/>
    </row>
    <row r="535" spans="1:37" s="289" customFormat="1">
      <c r="A535" s="277"/>
      <c r="C535" s="277"/>
      <c r="D535" s="277"/>
      <c r="E535" s="277"/>
      <c r="F535" s="277"/>
      <c r="G535" s="277"/>
      <c r="H535" s="277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  <c r="AA535" s="277"/>
      <c r="AB535" s="277"/>
      <c r="AC535" s="277"/>
      <c r="AD535" s="277"/>
      <c r="AE535" s="277"/>
      <c r="AF535" s="277"/>
      <c r="AG535" s="277"/>
      <c r="AH535" s="277"/>
      <c r="AI535" s="277"/>
      <c r="AJ535" s="277"/>
      <c r="AK535" s="277"/>
    </row>
    <row r="536" spans="1:37" s="289" customFormat="1">
      <c r="A536" s="277"/>
      <c r="C536" s="277"/>
      <c r="D536" s="277"/>
      <c r="E536" s="277"/>
      <c r="F536" s="277"/>
      <c r="G536" s="277"/>
      <c r="H536" s="277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  <c r="AA536" s="277"/>
      <c r="AB536" s="277"/>
      <c r="AC536" s="277"/>
      <c r="AD536" s="277"/>
      <c r="AE536" s="277"/>
      <c r="AF536" s="277"/>
      <c r="AG536" s="277"/>
      <c r="AH536" s="277"/>
      <c r="AI536" s="277"/>
      <c r="AJ536" s="277"/>
      <c r="AK536" s="277"/>
    </row>
    <row r="537" spans="1:37" s="289" customFormat="1">
      <c r="A537" s="277"/>
      <c r="C537" s="277"/>
      <c r="D537" s="277"/>
      <c r="E537" s="277"/>
      <c r="F537" s="277"/>
      <c r="G537" s="277"/>
      <c r="H537" s="277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  <c r="AA537" s="277"/>
      <c r="AB537" s="277"/>
      <c r="AC537" s="277"/>
      <c r="AD537" s="277"/>
      <c r="AE537" s="277"/>
      <c r="AF537" s="277"/>
      <c r="AG537" s="277"/>
      <c r="AH537" s="277"/>
      <c r="AI537" s="277"/>
      <c r="AJ537" s="277"/>
      <c r="AK537" s="277"/>
    </row>
    <row r="538" spans="1:37" s="289" customFormat="1">
      <c r="A538" s="277"/>
      <c r="C538" s="277"/>
      <c r="D538" s="277"/>
      <c r="E538" s="277"/>
      <c r="F538" s="277"/>
      <c r="G538" s="277"/>
      <c r="H538" s="277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  <c r="AA538" s="277"/>
      <c r="AB538" s="277"/>
      <c r="AC538" s="277"/>
      <c r="AD538" s="277"/>
      <c r="AE538" s="277"/>
      <c r="AF538" s="277"/>
      <c r="AG538" s="277"/>
      <c r="AH538" s="277"/>
      <c r="AI538" s="277"/>
      <c r="AJ538" s="277"/>
      <c r="AK538" s="277"/>
    </row>
    <row r="539" spans="1:37" s="289" customFormat="1">
      <c r="A539" s="277"/>
      <c r="C539" s="277"/>
      <c r="D539" s="277"/>
      <c r="E539" s="277"/>
      <c r="F539" s="277"/>
      <c r="G539" s="277"/>
      <c r="H539" s="277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  <c r="AA539" s="277"/>
      <c r="AB539" s="277"/>
      <c r="AC539" s="277"/>
      <c r="AD539" s="277"/>
      <c r="AE539" s="277"/>
      <c r="AF539" s="277"/>
      <c r="AG539" s="277"/>
      <c r="AH539" s="277"/>
      <c r="AI539" s="277"/>
      <c r="AJ539" s="277"/>
      <c r="AK539" s="277"/>
    </row>
    <row r="540" spans="1:37" s="289" customFormat="1">
      <c r="A540" s="277"/>
      <c r="C540" s="277"/>
      <c r="D540" s="277"/>
      <c r="E540" s="277"/>
      <c r="F540" s="277"/>
      <c r="G540" s="277"/>
      <c r="H540" s="277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  <c r="AA540" s="277"/>
      <c r="AB540" s="277"/>
      <c r="AC540" s="277"/>
      <c r="AD540" s="277"/>
      <c r="AE540" s="277"/>
      <c r="AF540" s="277"/>
      <c r="AG540" s="277"/>
      <c r="AH540" s="277"/>
      <c r="AI540" s="277"/>
      <c r="AJ540" s="277"/>
      <c r="AK540" s="277"/>
    </row>
    <row r="541" spans="1:37" s="289" customFormat="1">
      <c r="A541" s="277"/>
      <c r="C541" s="277"/>
      <c r="D541" s="277"/>
      <c r="E541" s="277"/>
      <c r="F541" s="277"/>
      <c r="G541" s="277"/>
      <c r="H541" s="277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  <c r="AA541" s="277"/>
      <c r="AB541" s="277"/>
      <c r="AC541" s="277"/>
      <c r="AD541" s="277"/>
      <c r="AE541" s="277"/>
      <c r="AF541" s="277"/>
      <c r="AG541" s="277"/>
      <c r="AH541" s="277"/>
      <c r="AI541" s="277"/>
      <c r="AJ541" s="277"/>
      <c r="AK541" s="277"/>
    </row>
    <row r="542" spans="1:37" s="289" customFormat="1">
      <c r="A542" s="277"/>
      <c r="C542" s="277"/>
      <c r="D542" s="277"/>
      <c r="E542" s="277"/>
      <c r="F542" s="277"/>
      <c r="G542" s="277"/>
      <c r="H542" s="277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  <c r="AA542" s="277"/>
      <c r="AB542" s="277"/>
      <c r="AC542" s="277"/>
      <c r="AD542" s="277"/>
      <c r="AE542" s="277"/>
      <c r="AF542" s="277"/>
      <c r="AG542" s="277"/>
      <c r="AH542" s="277"/>
      <c r="AI542" s="277"/>
      <c r="AJ542" s="277"/>
      <c r="AK542" s="277"/>
    </row>
    <row r="543" spans="1:37" s="289" customFormat="1">
      <c r="A543" s="277"/>
      <c r="C543" s="277"/>
      <c r="D543" s="277"/>
      <c r="E543" s="277"/>
      <c r="F543" s="277"/>
      <c r="G543" s="277"/>
      <c r="H543" s="277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  <c r="AA543" s="277"/>
      <c r="AB543" s="277"/>
      <c r="AC543" s="277"/>
      <c r="AD543" s="277"/>
      <c r="AE543" s="277"/>
      <c r="AF543" s="277"/>
      <c r="AG543" s="277"/>
      <c r="AH543" s="277"/>
      <c r="AI543" s="277"/>
      <c r="AJ543" s="277"/>
      <c r="AK543" s="277"/>
    </row>
    <row r="544" spans="1:37" s="289" customFormat="1">
      <c r="A544" s="277"/>
      <c r="C544" s="277"/>
      <c r="D544" s="277"/>
      <c r="E544" s="277"/>
      <c r="F544" s="277"/>
      <c r="G544" s="277"/>
      <c r="H544" s="277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  <c r="AA544" s="277"/>
      <c r="AB544" s="277"/>
      <c r="AC544" s="277"/>
      <c r="AD544" s="277"/>
      <c r="AE544" s="277"/>
      <c r="AF544" s="277"/>
      <c r="AG544" s="277"/>
      <c r="AH544" s="277"/>
      <c r="AI544" s="277"/>
      <c r="AJ544" s="277"/>
      <c r="AK544" s="277"/>
    </row>
    <row r="545" spans="1:37" s="289" customFormat="1">
      <c r="A545" s="277"/>
      <c r="C545" s="277"/>
      <c r="D545" s="277"/>
      <c r="E545" s="277"/>
      <c r="F545" s="277"/>
      <c r="G545" s="277"/>
      <c r="H545" s="277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  <c r="AA545" s="277"/>
      <c r="AB545" s="277"/>
      <c r="AC545" s="277"/>
      <c r="AD545" s="277"/>
      <c r="AE545" s="277"/>
      <c r="AF545" s="277"/>
      <c r="AG545" s="277"/>
      <c r="AH545" s="277"/>
      <c r="AI545" s="277"/>
      <c r="AJ545" s="277"/>
      <c r="AK545" s="277"/>
    </row>
    <row r="546" spans="1:37" s="289" customFormat="1">
      <c r="A546" s="277"/>
      <c r="C546" s="277"/>
      <c r="D546" s="277"/>
      <c r="E546" s="277"/>
      <c r="F546" s="277"/>
      <c r="G546" s="277"/>
      <c r="H546" s="277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  <c r="AA546" s="277"/>
      <c r="AB546" s="277"/>
      <c r="AC546" s="277"/>
      <c r="AD546" s="277"/>
      <c r="AE546" s="277"/>
      <c r="AF546" s="277"/>
      <c r="AG546" s="277"/>
      <c r="AH546" s="277"/>
      <c r="AI546" s="277"/>
      <c r="AJ546" s="277"/>
      <c r="AK546" s="277"/>
    </row>
    <row r="547" spans="1:37" s="289" customFormat="1">
      <c r="A547" s="277"/>
      <c r="C547" s="277"/>
      <c r="D547" s="277"/>
      <c r="E547" s="277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  <c r="AA547" s="277"/>
      <c r="AB547" s="277"/>
      <c r="AC547" s="277"/>
      <c r="AD547" s="277"/>
      <c r="AE547" s="277"/>
      <c r="AF547" s="277"/>
      <c r="AG547" s="277"/>
      <c r="AH547" s="277"/>
      <c r="AI547" s="277"/>
      <c r="AJ547" s="277"/>
      <c r="AK547" s="277"/>
    </row>
    <row r="548" spans="1:37" s="289" customFormat="1">
      <c r="A548" s="277"/>
      <c r="C548" s="277"/>
      <c r="D548" s="277"/>
      <c r="E548" s="277"/>
      <c r="F548" s="277"/>
      <c r="G548" s="277"/>
      <c r="H548" s="277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  <c r="AA548" s="277"/>
      <c r="AB548" s="277"/>
      <c r="AC548" s="277"/>
      <c r="AD548" s="277"/>
      <c r="AE548" s="277"/>
      <c r="AF548" s="277"/>
      <c r="AG548" s="277"/>
      <c r="AH548" s="277"/>
      <c r="AI548" s="277"/>
      <c r="AJ548" s="277"/>
      <c r="AK548" s="277"/>
    </row>
    <row r="549" spans="1:37" s="289" customFormat="1">
      <c r="A549" s="277"/>
      <c r="C549" s="277"/>
      <c r="D549" s="277"/>
      <c r="E549" s="277"/>
      <c r="F549" s="277"/>
      <c r="G549" s="277"/>
      <c r="H549" s="277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  <c r="AA549" s="277"/>
      <c r="AB549" s="277"/>
      <c r="AC549" s="277"/>
      <c r="AD549" s="277"/>
      <c r="AE549" s="277"/>
      <c r="AF549" s="277"/>
      <c r="AG549" s="277"/>
      <c r="AH549" s="277"/>
      <c r="AI549" s="277"/>
      <c r="AJ549" s="277"/>
      <c r="AK549" s="277"/>
    </row>
    <row r="550" spans="1:37" s="289" customFormat="1">
      <c r="A550" s="277"/>
      <c r="C550" s="277"/>
      <c r="D550" s="277"/>
      <c r="E550" s="277"/>
      <c r="F550" s="277"/>
      <c r="G550" s="277"/>
      <c r="H550" s="277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  <c r="AA550" s="277"/>
      <c r="AB550" s="277"/>
      <c r="AC550" s="277"/>
      <c r="AD550" s="277"/>
      <c r="AE550" s="277"/>
      <c r="AF550" s="277"/>
      <c r="AG550" s="277"/>
      <c r="AH550" s="277"/>
      <c r="AI550" s="277"/>
      <c r="AJ550" s="277"/>
      <c r="AK550" s="277"/>
    </row>
    <row r="551" spans="1:37" s="289" customFormat="1">
      <c r="A551" s="277"/>
      <c r="C551" s="277"/>
      <c r="D551" s="277"/>
      <c r="E551" s="277"/>
      <c r="F551" s="277"/>
      <c r="G551" s="277"/>
      <c r="H551" s="277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  <c r="AA551" s="277"/>
      <c r="AB551" s="277"/>
      <c r="AC551" s="277"/>
      <c r="AD551" s="277"/>
      <c r="AE551" s="277"/>
      <c r="AF551" s="277"/>
      <c r="AG551" s="277"/>
      <c r="AH551" s="277"/>
      <c r="AI551" s="277"/>
      <c r="AJ551" s="277"/>
      <c r="AK551" s="277"/>
    </row>
    <row r="552" spans="1:37" s="289" customFormat="1">
      <c r="A552" s="277"/>
      <c r="C552" s="277"/>
      <c r="D552" s="277"/>
      <c r="E552" s="277"/>
      <c r="F552" s="277"/>
      <c r="G552" s="277"/>
      <c r="H552" s="277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  <c r="AA552" s="277"/>
      <c r="AB552" s="277"/>
      <c r="AC552" s="277"/>
      <c r="AD552" s="277"/>
      <c r="AE552" s="277"/>
      <c r="AF552" s="277"/>
      <c r="AG552" s="277"/>
      <c r="AH552" s="277"/>
      <c r="AI552" s="277"/>
      <c r="AJ552" s="277"/>
      <c r="AK552" s="277"/>
    </row>
    <row r="553" spans="1:37" s="289" customFormat="1">
      <c r="A553" s="277"/>
      <c r="C553" s="277"/>
      <c r="D553" s="277"/>
      <c r="E553" s="277"/>
      <c r="F553" s="277"/>
      <c r="G553" s="277"/>
      <c r="H553" s="277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  <c r="AA553" s="277"/>
      <c r="AB553" s="277"/>
      <c r="AC553" s="277"/>
      <c r="AD553" s="277"/>
      <c r="AE553" s="277"/>
      <c r="AF553" s="277"/>
      <c r="AG553" s="277"/>
      <c r="AH553" s="277"/>
      <c r="AI553" s="277"/>
      <c r="AJ553" s="277"/>
      <c r="AK553" s="277"/>
    </row>
    <row r="554" spans="1:37" s="289" customFormat="1">
      <c r="A554" s="277"/>
      <c r="C554" s="277"/>
      <c r="D554" s="277"/>
      <c r="E554" s="277"/>
      <c r="F554" s="277"/>
      <c r="G554" s="277"/>
      <c r="H554" s="277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  <c r="AA554" s="277"/>
      <c r="AB554" s="277"/>
      <c r="AC554" s="277"/>
      <c r="AD554" s="277"/>
      <c r="AE554" s="277"/>
      <c r="AF554" s="277"/>
      <c r="AG554" s="277"/>
      <c r="AH554" s="277"/>
      <c r="AI554" s="277"/>
      <c r="AJ554" s="277"/>
      <c r="AK554" s="277"/>
    </row>
    <row r="555" spans="1:37" s="289" customFormat="1">
      <c r="A555" s="277"/>
      <c r="C555" s="277"/>
      <c r="D555" s="277"/>
      <c r="E555" s="277"/>
      <c r="F555" s="277"/>
      <c r="G555" s="277"/>
      <c r="H555" s="277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  <c r="AA555" s="277"/>
      <c r="AB555" s="277"/>
      <c r="AC555" s="277"/>
      <c r="AD555" s="277"/>
      <c r="AE555" s="277"/>
      <c r="AF555" s="277"/>
      <c r="AG555" s="277"/>
      <c r="AH555" s="277"/>
      <c r="AI555" s="277"/>
      <c r="AJ555" s="277"/>
      <c r="AK555" s="277"/>
    </row>
    <row r="556" spans="1:37" s="289" customFormat="1">
      <c r="A556" s="277"/>
      <c r="C556" s="277"/>
      <c r="D556" s="277"/>
      <c r="E556" s="277"/>
      <c r="F556" s="277"/>
      <c r="G556" s="277"/>
      <c r="H556" s="277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  <c r="AA556" s="277"/>
      <c r="AB556" s="277"/>
      <c r="AC556" s="277"/>
      <c r="AD556" s="277"/>
      <c r="AE556" s="277"/>
      <c r="AF556" s="277"/>
      <c r="AG556" s="277"/>
      <c r="AH556" s="277"/>
      <c r="AI556" s="277"/>
      <c r="AJ556" s="277"/>
      <c r="AK556" s="277"/>
    </row>
    <row r="557" spans="1:37" s="289" customFormat="1">
      <c r="A557" s="277"/>
      <c r="C557" s="277"/>
      <c r="D557" s="277"/>
      <c r="E557" s="277"/>
      <c r="F557" s="277"/>
      <c r="G557" s="277"/>
      <c r="H557" s="277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  <c r="AA557" s="277"/>
      <c r="AB557" s="277"/>
      <c r="AC557" s="277"/>
      <c r="AD557" s="277"/>
      <c r="AE557" s="277"/>
      <c r="AF557" s="277"/>
      <c r="AG557" s="277"/>
      <c r="AH557" s="277"/>
      <c r="AI557" s="277"/>
      <c r="AJ557" s="277"/>
      <c r="AK557" s="277"/>
    </row>
    <row r="558" spans="1:37" s="289" customFormat="1">
      <c r="A558" s="277"/>
      <c r="C558" s="277"/>
      <c r="D558" s="277"/>
      <c r="E558" s="277"/>
      <c r="F558" s="277"/>
      <c r="G558" s="277"/>
      <c r="H558" s="277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  <c r="AA558" s="277"/>
      <c r="AB558" s="277"/>
      <c r="AC558" s="277"/>
      <c r="AD558" s="277"/>
      <c r="AE558" s="277"/>
      <c r="AF558" s="277"/>
      <c r="AG558" s="277"/>
      <c r="AH558" s="277"/>
      <c r="AI558" s="277"/>
      <c r="AJ558" s="277"/>
      <c r="AK558" s="277"/>
    </row>
    <row r="559" spans="1:37" s="289" customFormat="1">
      <c r="A559" s="277"/>
      <c r="C559" s="277"/>
      <c r="D559" s="277"/>
      <c r="E559" s="277"/>
      <c r="F559" s="277"/>
      <c r="G559" s="277"/>
      <c r="H559" s="277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  <c r="AA559" s="277"/>
      <c r="AB559" s="277"/>
      <c r="AC559" s="277"/>
      <c r="AD559" s="277"/>
      <c r="AE559" s="277"/>
      <c r="AF559" s="277"/>
      <c r="AG559" s="277"/>
      <c r="AH559" s="277"/>
      <c r="AI559" s="277"/>
      <c r="AJ559" s="277"/>
      <c r="AK559" s="277"/>
    </row>
    <row r="560" spans="1:37" s="289" customFormat="1">
      <c r="A560" s="277"/>
      <c r="C560" s="277"/>
      <c r="D560" s="277"/>
      <c r="E560" s="277"/>
      <c r="F560" s="277"/>
      <c r="G560" s="277"/>
      <c r="H560" s="277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  <c r="AA560" s="277"/>
      <c r="AB560" s="277"/>
      <c r="AC560" s="277"/>
      <c r="AD560" s="277"/>
      <c r="AE560" s="277"/>
      <c r="AF560" s="277"/>
      <c r="AG560" s="277"/>
      <c r="AH560" s="277"/>
      <c r="AI560" s="277"/>
      <c r="AJ560" s="277"/>
      <c r="AK560" s="277"/>
    </row>
    <row r="561" spans="1:37" s="289" customFormat="1">
      <c r="A561" s="277"/>
      <c r="C561" s="277"/>
      <c r="D561" s="277"/>
      <c r="E561" s="277"/>
      <c r="F561" s="277"/>
      <c r="G561" s="277"/>
      <c r="H561" s="277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  <c r="AA561" s="277"/>
      <c r="AB561" s="277"/>
      <c r="AC561" s="277"/>
      <c r="AD561" s="277"/>
      <c r="AE561" s="277"/>
      <c r="AF561" s="277"/>
      <c r="AG561" s="277"/>
      <c r="AH561" s="277"/>
      <c r="AI561" s="277"/>
      <c r="AJ561" s="277"/>
      <c r="AK561" s="277"/>
    </row>
    <row r="562" spans="1:37" s="289" customFormat="1">
      <c r="A562" s="277"/>
      <c r="C562" s="277"/>
      <c r="D562" s="277"/>
      <c r="E562" s="277"/>
      <c r="F562" s="277"/>
      <c r="G562" s="277"/>
      <c r="H562" s="277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  <c r="AA562" s="277"/>
      <c r="AB562" s="277"/>
      <c r="AC562" s="277"/>
      <c r="AD562" s="277"/>
      <c r="AE562" s="277"/>
      <c r="AF562" s="277"/>
      <c r="AG562" s="277"/>
      <c r="AH562" s="277"/>
      <c r="AI562" s="277"/>
      <c r="AJ562" s="277"/>
      <c r="AK562" s="277"/>
    </row>
    <row r="563" spans="1:37" s="289" customFormat="1">
      <c r="A563" s="277"/>
      <c r="C563" s="277"/>
      <c r="D563" s="277"/>
      <c r="E563" s="277"/>
      <c r="F563" s="277"/>
      <c r="G563" s="277"/>
      <c r="H563" s="277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  <c r="AA563" s="277"/>
      <c r="AB563" s="277"/>
      <c r="AC563" s="277"/>
      <c r="AD563" s="277"/>
      <c r="AE563" s="277"/>
      <c r="AF563" s="277"/>
      <c r="AG563" s="277"/>
      <c r="AH563" s="277"/>
      <c r="AI563" s="277"/>
      <c r="AJ563" s="277"/>
      <c r="AK563" s="277"/>
    </row>
    <row r="564" spans="1:37" s="289" customFormat="1">
      <c r="A564" s="277"/>
      <c r="C564" s="277"/>
      <c r="D564" s="277"/>
      <c r="E564" s="277"/>
      <c r="F564" s="277"/>
      <c r="G564" s="277"/>
      <c r="H564" s="277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  <c r="AA564" s="277"/>
      <c r="AB564" s="277"/>
      <c r="AC564" s="277"/>
      <c r="AD564" s="277"/>
      <c r="AE564" s="277"/>
      <c r="AF564" s="277"/>
      <c r="AG564" s="277"/>
      <c r="AH564" s="277"/>
      <c r="AI564" s="277"/>
      <c r="AJ564" s="277"/>
      <c r="AK564" s="277"/>
    </row>
    <row r="565" spans="1:37" s="289" customFormat="1">
      <c r="A565" s="277"/>
      <c r="C565" s="277"/>
      <c r="D565" s="277"/>
      <c r="E565" s="277"/>
      <c r="F565" s="277"/>
      <c r="G565" s="277"/>
      <c r="H565" s="277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  <c r="AA565" s="277"/>
      <c r="AB565" s="277"/>
      <c r="AC565" s="277"/>
      <c r="AD565" s="277"/>
      <c r="AE565" s="277"/>
      <c r="AF565" s="277"/>
      <c r="AG565" s="277"/>
      <c r="AH565" s="277"/>
      <c r="AI565" s="277"/>
      <c r="AJ565" s="277"/>
      <c r="AK565" s="277"/>
    </row>
    <row r="566" spans="1:37" s="289" customFormat="1">
      <c r="A566" s="277"/>
      <c r="C566" s="277"/>
      <c r="D566" s="277"/>
      <c r="E566" s="277"/>
      <c r="F566" s="277"/>
      <c r="G566" s="277"/>
      <c r="H566" s="277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  <c r="AA566" s="277"/>
      <c r="AB566" s="277"/>
      <c r="AC566" s="277"/>
      <c r="AD566" s="277"/>
      <c r="AE566" s="277"/>
      <c r="AF566" s="277"/>
      <c r="AG566" s="277"/>
      <c r="AH566" s="277"/>
      <c r="AI566" s="277"/>
      <c r="AJ566" s="277"/>
      <c r="AK566" s="277"/>
    </row>
    <row r="567" spans="1:37" s="289" customFormat="1">
      <c r="A567" s="277"/>
      <c r="C567" s="277"/>
      <c r="D567" s="277"/>
      <c r="E567" s="277"/>
      <c r="F567" s="277"/>
      <c r="G567" s="277"/>
      <c r="H567" s="277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  <c r="AA567" s="277"/>
      <c r="AB567" s="277"/>
      <c r="AC567" s="277"/>
      <c r="AD567" s="277"/>
      <c r="AE567" s="277"/>
      <c r="AF567" s="277"/>
      <c r="AG567" s="277"/>
      <c r="AH567" s="277"/>
      <c r="AI567" s="277"/>
      <c r="AJ567" s="277"/>
      <c r="AK567" s="277"/>
    </row>
    <row r="568" spans="1:37" s="289" customFormat="1">
      <c r="A568" s="277"/>
      <c r="C568" s="277"/>
      <c r="D568" s="277"/>
      <c r="E568" s="277"/>
      <c r="F568" s="277"/>
      <c r="G568" s="277"/>
      <c r="H568" s="277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  <c r="AA568" s="277"/>
      <c r="AB568" s="277"/>
      <c r="AC568" s="277"/>
      <c r="AD568" s="277"/>
      <c r="AE568" s="277"/>
      <c r="AF568" s="277"/>
      <c r="AG568" s="277"/>
      <c r="AH568" s="277"/>
      <c r="AI568" s="277"/>
      <c r="AJ568" s="277"/>
      <c r="AK568" s="277"/>
    </row>
    <row r="569" spans="1:37" s="289" customFormat="1">
      <c r="A569" s="277"/>
      <c r="C569" s="277"/>
      <c r="D569" s="277"/>
      <c r="E569" s="277"/>
      <c r="F569" s="277"/>
      <c r="G569" s="277"/>
      <c r="H569" s="277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  <c r="AA569" s="277"/>
      <c r="AB569" s="277"/>
      <c r="AC569" s="277"/>
      <c r="AD569" s="277"/>
      <c r="AE569" s="277"/>
      <c r="AF569" s="277"/>
      <c r="AG569" s="277"/>
      <c r="AH569" s="277"/>
      <c r="AI569" s="277"/>
      <c r="AJ569" s="277"/>
      <c r="AK569" s="277"/>
    </row>
    <row r="570" spans="1:37" s="289" customFormat="1">
      <c r="A570" s="277"/>
      <c r="C570" s="277"/>
      <c r="D570" s="277"/>
      <c r="E570" s="277"/>
      <c r="F570" s="277"/>
      <c r="G570" s="277"/>
      <c r="H570" s="277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  <c r="AA570" s="277"/>
      <c r="AB570" s="277"/>
      <c r="AC570" s="277"/>
      <c r="AD570" s="277"/>
      <c r="AE570" s="277"/>
      <c r="AF570" s="277"/>
      <c r="AG570" s="277"/>
      <c r="AH570" s="277"/>
      <c r="AI570" s="277"/>
      <c r="AJ570" s="277"/>
      <c r="AK570" s="277"/>
    </row>
    <row r="571" spans="1:37" s="289" customFormat="1">
      <c r="A571" s="277"/>
      <c r="C571" s="277"/>
      <c r="D571" s="277"/>
      <c r="E571" s="277"/>
      <c r="F571" s="277"/>
      <c r="G571" s="277"/>
      <c r="H571" s="277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  <c r="AA571" s="277"/>
      <c r="AB571" s="277"/>
      <c r="AC571" s="277"/>
      <c r="AD571" s="277"/>
      <c r="AE571" s="277"/>
      <c r="AF571" s="277"/>
      <c r="AG571" s="277"/>
      <c r="AH571" s="277"/>
      <c r="AI571" s="277"/>
      <c r="AJ571" s="277"/>
      <c r="AK571" s="277"/>
    </row>
    <row r="572" spans="1:37" s="289" customFormat="1">
      <c r="A572" s="277"/>
      <c r="C572" s="277"/>
      <c r="D572" s="277"/>
      <c r="E572" s="277"/>
      <c r="F572" s="277"/>
      <c r="G572" s="277"/>
      <c r="H572" s="277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  <c r="AA572" s="277"/>
      <c r="AB572" s="277"/>
      <c r="AC572" s="277"/>
      <c r="AD572" s="277"/>
      <c r="AE572" s="277"/>
      <c r="AF572" s="277"/>
      <c r="AG572" s="277"/>
      <c r="AH572" s="277"/>
      <c r="AI572" s="277"/>
      <c r="AJ572" s="277"/>
      <c r="AK572" s="277"/>
    </row>
    <row r="573" spans="1:37" s="289" customFormat="1">
      <c r="A573" s="277"/>
      <c r="C573" s="277"/>
      <c r="D573" s="277"/>
      <c r="E573" s="277"/>
      <c r="F573" s="277"/>
      <c r="G573" s="277"/>
      <c r="H573" s="277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  <c r="AA573" s="277"/>
      <c r="AB573" s="277"/>
      <c r="AC573" s="277"/>
      <c r="AD573" s="277"/>
      <c r="AE573" s="277"/>
      <c r="AF573" s="277"/>
      <c r="AG573" s="277"/>
      <c r="AH573" s="277"/>
      <c r="AI573" s="277"/>
      <c r="AJ573" s="277"/>
      <c r="AK573" s="277"/>
    </row>
    <row r="574" spans="1:37" s="289" customFormat="1">
      <c r="A574" s="277"/>
      <c r="C574" s="277"/>
      <c r="D574" s="277"/>
      <c r="E574" s="277"/>
      <c r="F574" s="277"/>
      <c r="G574" s="277"/>
      <c r="H574" s="277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  <c r="AA574" s="277"/>
      <c r="AB574" s="277"/>
      <c r="AC574" s="277"/>
      <c r="AD574" s="277"/>
      <c r="AE574" s="277"/>
      <c r="AF574" s="277"/>
      <c r="AG574" s="277"/>
      <c r="AH574" s="277"/>
      <c r="AI574" s="277"/>
      <c r="AJ574" s="277"/>
      <c r="AK574" s="277"/>
    </row>
    <row r="575" spans="1:37" s="289" customFormat="1">
      <c r="A575" s="277"/>
      <c r="C575" s="277"/>
      <c r="D575" s="277"/>
      <c r="E575" s="277"/>
      <c r="F575" s="277"/>
      <c r="G575" s="277"/>
      <c r="H575" s="277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  <c r="AA575" s="277"/>
      <c r="AB575" s="277"/>
      <c r="AC575" s="277"/>
      <c r="AD575" s="277"/>
      <c r="AE575" s="277"/>
      <c r="AF575" s="277"/>
      <c r="AG575" s="277"/>
      <c r="AH575" s="277"/>
      <c r="AI575" s="277"/>
      <c r="AJ575" s="277"/>
      <c r="AK575" s="277"/>
    </row>
    <row r="576" spans="1:37" s="289" customFormat="1">
      <c r="A576" s="277"/>
      <c r="C576" s="277"/>
      <c r="D576" s="277"/>
      <c r="E576" s="277"/>
      <c r="F576" s="277"/>
      <c r="G576" s="277"/>
      <c r="H576" s="277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  <c r="AA576" s="277"/>
      <c r="AB576" s="277"/>
      <c r="AC576" s="277"/>
      <c r="AD576" s="277"/>
      <c r="AE576" s="277"/>
      <c r="AF576" s="277"/>
      <c r="AG576" s="277"/>
      <c r="AH576" s="277"/>
      <c r="AI576" s="277"/>
      <c r="AJ576" s="277"/>
      <c r="AK576" s="277"/>
    </row>
    <row r="577" spans="1:37" s="289" customFormat="1">
      <c r="A577" s="277"/>
      <c r="C577" s="277"/>
      <c r="D577" s="277"/>
      <c r="E577" s="277"/>
      <c r="F577" s="277"/>
      <c r="G577" s="277"/>
      <c r="H577" s="277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  <c r="AA577" s="277"/>
      <c r="AB577" s="277"/>
      <c r="AC577" s="277"/>
      <c r="AD577" s="277"/>
      <c r="AE577" s="277"/>
      <c r="AF577" s="277"/>
      <c r="AG577" s="277"/>
      <c r="AH577" s="277"/>
      <c r="AI577" s="277"/>
      <c r="AJ577" s="277"/>
      <c r="AK577" s="277"/>
    </row>
    <row r="578" spans="1:37" s="289" customFormat="1">
      <c r="A578" s="277"/>
      <c r="C578" s="277"/>
      <c r="D578" s="277"/>
      <c r="E578" s="277"/>
      <c r="F578" s="277"/>
      <c r="G578" s="277"/>
      <c r="H578" s="277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  <c r="AA578" s="277"/>
      <c r="AB578" s="277"/>
      <c r="AC578" s="277"/>
      <c r="AD578" s="277"/>
      <c r="AE578" s="277"/>
      <c r="AF578" s="277"/>
      <c r="AG578" s="277"/>
      <c r="AH578" s="277"/>
      <c r="AI578" s="277"/>
      <c r="AJ578" s="277"/>
      <c r="AK578" s="277"/>
    </row>
    <row r="579" spans="1:37" s="289" customFormat="1">
      <c r="A579" s="277"/>
      <c r="C579" s="277"/>
      <c r="D579" s="277"/>
      <c r="E579" s="277"/>
      <c r="F579" s="277"/>
      <c r="G579" s="277"/>
      <c r="H579" s="277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  <c r="AA579" s="277"/>
      <c r="AB579" s="277"/>
      <c r="AC579" s="277"/>
      <c r="AD579" s="277"/>
      <c r="AE579" s="277"/>
      <c r="AF579" s="277"/>
      <c r="AG579" s="277"/>
      <c r="AH579" s="277"/>
      <c r="AI579" s="277"/>
      <c r="AJ579" s="277"/>
      <c r="AK579" s="277"/>
    </row>
    <row r="580" spans="1:37" s="289" customFormat="1">
      <c r="A580" s="277"/>
      <c r="C580" s="277"/>
      <c r="D580" s="277"/>
      <c r="E580" s="277"/>
      <c r="F580" s="277"/>
      <c r="G580" s="277"/>
      <c r="H580" s="277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  <c r="AA580" s="277"/>
      <c r="AB580" s="277"/>
      <c r="AC580" s="277"/>
      <c r="AD580" s="277"/>
      <c r="AE580" s="277"/>
      <c r="AF580" s="277"/>
      <c r="AG580" s="277"/>
      <c r="AH580" s="277"/>
      <c r="AI580" s="277"/>
      <c r="AJ580" s="277"/>
      <c r="AK580" s="277"/>
    </row>
    <row r="581" spans="1:37" s="289" customFormat="1">
      <c r="A581" s="277"/>
      <c r="C581" s="277"/>
      <c r="D581" s="277"/>
      <c r="E581" s="277"/>
      <c r="F581" s="277"/>
      <c r="G581" s="277"/>
      <c r="H581" s="277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  <c r="AA581" s="277"/>
      <c r="AB581" s="277"/>
      <c r="AC581" s="277"/>
      <c r="AD581" s="277"/>
      <c r="AE581" s="277"/>
      <c r="AF581" s="277"/>
      <c r="AG581" s="277"/>
      <c r="AH581" s="277"/>
      <c r="AI581" s="277"/>
      <c r="AJ581" s="277"/>
      <c r="AK581" s="277"/>
    </row>
    <row r="582" spans="1:37" s="289" customFormat="1">
      <c r="A582" s="277"/>
      <c r="C582" s="277"/>
      <c r="D582" s="277"/>
      <c r="E582" s="277"/>
      <c r="F582" s="277"/>
      <c r="G582" s="277"/>
      <c r="H582" s="277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  <c r="AA582" s="277"/>
      <c r="AB582" s="277"/>
      <c r="AC582" s="277"/>
      <c r="AD582" s="277"/>
      <c r="AE582" s="277"/>
      <c r="AF582" s="277"/>
      <c r="AG582" s="277"/>
      <c r="AH582" s="277"/>
      <c r="AI582" s="277"/>
      <c r="AJ582" s="277"/>
      <c r="AK582" s="277"/>
    </row>
    <row r="583" spans="1:37" s="289" customFormat="1">
      <c r="A583" s="277"/>
      <c r="C583" s="277"/>
      <c r="D583" s="277"/>
      <c r="E583" s="277"/>
      <c r="F583" s="277"/>
      <c r="G583" s="277"/>
      <c r="H583" s="277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  <c r="AA583" s="277"/>
      <c r="AB583" s="277"/>
      <c r="AC583" s="277"/>
      <c r="AD583" s="277"/>
      <c r="AE583" s="277"/>
      <c r="AF583" s="277"/>
      <c r="AG583" s="277"/>
      <c r="AH583" s="277"/>
      <c r="AI583" s="277"/>
      <c r="AJ583" s="277"/>
      <c r="AK583" s="277"/>
    </row>
    <row r="584" spans="1:37" s="289" customFormat="1">
      <c r="A584" s="277"/>
      <c r="C584" s="277"/>
      <c r="D584" s="277"/>
      <c r="E584" s="277"/>
      <c r="F584" s="277"/>
      <c r="G584" s="277"/>
      <c r="H584" s="277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  <c r="AA584" s="277"/>
      <c r="AB584" s="277"/>
      <c r="AC584" s="277"/>
      <c r="AD584" s="277"/>
      <c r="AE584" s="277"/>
      <c r="AF584" s="277"/>
      <c r="AG584" s="277"/>
      <c r="AH584" s="277"/>
      <c r="AI584" s="277"/>
      <c r="AJ584" s="277"/>
      <c r="AK584" s="277"/>
    </row>
    <row r="585" spans="1:37" s="289" customFormat="1">
      <c r="A585" s="277"/>
      <c r="C585" s="277"/>
      <c r="D585" s="277"/>
      <c r="E585" s="277"/>
      <c r="F585" s="277"/>
      <c r="G585" s="277"/>
      <c r="H585" s="277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  <c r="AA585" s="277"/>
      <c r="AB585" s="277"/>
      <c r="AC585" s="277"/>
      <c r="AD585" s="277"/>
      <c r="AE585" s="277"/>
      <c r="AF585" s="277"/>
      <c r="AG585" s="277"/>
      <c r="AH585" s="277"/>
      <c r="AI585" s="277"/>
      <c r="AJ585" s="277"/>
      <c r="AK585" s="277"/>
    </row>
    <row r="586" spans="1:37" s="289" customFormat="1">
      <c r="A586" s="277"/>
      <c r="C586" s="277"/>
      <c r="D586" s="277"/>
      <c r="E586" s="277"/>
      <c r="F586" s="277"/>
      <c r="G586" s="277"/>
      <c r="H586" s="277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  <c r="AA586" s="277"/>
      <c r="AB586" s="277"/>
      <c r="AC586" s="277"/>
      <c r="AD586" s="277"/>
      <c r="AE586" s="277"/>
      <c r="AF586" s="277"/>
      <c r="AG586" s="277"/>
      <c r="AH586" s="277"/>
      <c r="AI586" s="277"/>
      <c r="AJ586" s="277"/>
      <c r="AK586" s="277"/>
    </row>
    <row r="587" spans="1:37" s="289" customFormat="1">
      <c r="A587" s="277"/>
      <c r="C587" s="277"/>
      <c r="D587" s="277"/>
      <c r="E587" s="277"/>
      <c r="F587" s="277"/>
      <c r="G587" s="277"/>
      <c r="H587" s="277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  <c r="AA587" s="277"/>
      <c r="AB587" s="277"/>
      <c r="AC587" s="277"/>
      <c r="AD587" s="277"/>
      <c r="AE587" s="277"/>
      <c r="AF587" s="277"/>
      <c r="AG587" s="277"/>
      <c r="AH587" s="277"/>
      <c r="AI587" s="277"/>
      <c r="AJ587" s="277"/>
      <c r="AK587" s="277"/>
    </row>
    <row r="588" spans="1:37" s="289" customFormat="1">
      <c r="A588" s="277"/>
      <c r="C588" s="277"/>
      <c r="D588" s="277"/>
      <c r="E588" s="277"/>
      <c r="F588" s="277"/>
      <c r="G588" s="277"/>
      <c r="H588" s="277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  <c r="AA588" s="277"/>
      <c r="AB588" s="277"/>
      <c r="AC588" s="277"/>
      <c r="AD588" s="277"/>
      <c r="AE588" s="277"/>
      <c r="AF588" s="277"/>
      <c r="AG588" s="277"/>
      <c r="AH588" s="277"/>
      <c r="AI588" s="277"/>
      <c r="AJ588" s="277"/>
      <c r="AK588" s="277"/>
    </row>
    <row r="589" spans="1:37" s="289" customFormat="1">
      <c r="A589" s="277"/>
      <c r="C589" s="277"/>
      <c r="D589" s="277"/>
      <c r="E589" s="277"/>
      <c r="F589" s="277"/>
      <c r="G589" s="277"/>
      <c r="H589" s="277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  <c r="AA589" s="277"/>
      <c r="AB589" s="277"/>
      <c r="AC589" s="277"/>
      <c r="AD589" s="277"/>
      <c r="AE589" s="277"/>
      <c r="AF589" s="277"/>
      <c r="AG589" s="277"/>
      <c r="AH589" s="277"/>
      <c r="AI589" s="277"/>
      <c r="AJ589" s="277"/>
      <c r="AK589" s="277"/>
    </row>
    <row r="590" spans="1:37" s="289" customFormat="1">
      <c r="A590" s="277"/>
      <c r="C590" s="277"/>
      <c r="D590" s="277"/>
      <c r="E590" s="277"/>
      <c r="F590" s="277"/>
      <c r="G590" s="277"/>
      <c r="H590" s="277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  <c r="AA590" s="277"/>
      <c r="AB590" s="277"/>
      <c r="AC590" s="277"/>
      <c r="AD590" s="277"/>
      <c r="AE590" s="277"/>
      <c r="AF590" s="277"/>
      <c r="AG590" s="277"/>
      <c r="AH590" s="277"/>
      <c r="AI590" s="277"/>
      <c r="AJ590" s="277"/>
      <c r="AK590" s="277"/>
    </row>
    <row r="591" spans="1:37" s="289" customFormat="1">
      <c r="A591" s="277"/>
      <c r="C591" s="277"/>
      <c r="D591" s="277"/>
      <c r="E591" s="277"/>
      <c r="F591" s="277"/>
      <c r="G591" s="277"/>
      <c r="H591" s="277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  <c r="AA591" s="277"/>
      <c r="AB591" s="277"/>
      <c r="AC591" s="277"/>
      <c r="AD591" s="277"/>
      <c r="AE591" s="277"/>
      <c r="AF591" s="277"/>
      <c r="AG591" s="277"/>
      <c r="AH591" s="277"/>
      <c r="AI591" s="277"/>
      <c r="AJ591" s="277"/>
      <c r="AK591" s="277"/>
    </row>
    <row r="592" spans="1:37" s="289" customFormat="1">
      <c r="A592" s="277"/>
      <c r="C592" s="277"/>
      <c r="D592" s="277"/>
      <c r="E592" s="277"/>
      <c r="F592" s="277"/>
      <c r="G592" s="277"/>
      <c r="H592" s="277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  <c r="AA592" s="277"/>
      <c r="AB592" s="277"/>
      <c r="AC592" s="277"/>
      <c r="AD592" s="277"/>
      <c r="AE592" s="277"/>
      <c r="AF592" s="277"/>
      <c r="AG592" s="277"/>
      <c r="AH592" s="277"/>
      <c r="AI592" s="277"/>
      <c r="AJ592" s="277"/>
      <c r="AK592" s="277"/>
    </row>
    <row r="593" spans="1:37" s="289" customFormat="1">
      <c r="A593" s="277"/>
      <c r="C593" s="277"/>
      <c r="D593" s="277"/>
      <c r="E593" s="277"/>
      <c r="F593" s="277"/>
      <c r="G593" s="277"/>
      <c r="H593" s="277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  <c r="AA593" s="277"/>
      <c r="AB593" s="277"/>
      <c r="AC593" s="277"/>
      <c r="AD593" s="277"/>
      <c r="AE593" s="277"/>
      <c r="AF593" s="277"/>
      <c r="AG593" s="277"/>
      <c r="AH593" s="277"/>
      <c r="AI593" s="277"/>
      <c r="AJ593" s="277"/>
      <c r="AK593" s="277"/>
    </row>
    <row r="594" spans="1:37" s="289" customFormat="1">
      <c r="A594" s="277"/>
      <c r="C594" s="277"/>
      <c r="D594" s="277"/>
      <c r="E594" s="277"/>
      <c r="F594" s="277"/>
      <c r="G594" s="277"/>
      <c r="H594" s="277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  <c r="AA594" s="277"/>
      <c r="AB594" s="277"/>
      <c r="AC594" s="277"/>
      <c r="AD594" s="277"/>
      <c r="AE594" s="277"/>
      <c r="AF594" s="277"/>
      <c r="AG594" s="277"/>
      <c r="AH594" s="277"/>
      <c r="AI594" s="277"/>
      <c r="AJ594" s="277"/>
      <c r="AK594" s="277"/>
    </row>
    <row r="595" spans="1:37" s="289" customFormat="1">
      <c r="A595" s="277"/>
      <c r="C595" s="277"/>
      <c r="D595" s="277"/>
      <c r="E595" s="277"/>
      <c r="F595" s="277"/>
      <c r="G595" s="277"/>
      <c r="H595" s="277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  <c r="AA595" s="277"/>
      <c r="AB595" s="277"/>
      <c r="AC595" s="277"/>
      <c r="AD595" s="277"/>
      <c r="AE595" s="277"/>
      <c r="AF595" s="277"/>
      <c r="AG595" s="277"/>
      <c r="AH595" s="277"/>
      <c r="AI595" s="277"/>
      <c r="AJ595" s="277"/>
      <c r="AK595" s="277"/>
    </row>
    <row r="596" spans="1:37" s="289" customFormat="1">
      <c r="A596" s="277"/>
      <c r="C596" s="277"/>
      <c r="D596" s="277"/>
      <c r="E596" s="277"/>
      <c r="F596" s="277"/>
      <c r="G596" s="277"/>
      <c r="H596" s="277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  <c r="AA596" s="277"/>
      <c r="AB596" s="277"/>
      <c r="AC596" s="277"/>
      <c r="AD596" s="277"/>
      <c r="AE596" s="277"/>
      <c r="AF596" s="277"/>
      <c r="AG596" s="277"/>
      <c r="AH596" s="277"/>
      <c r="AI596" s="277"/>
      <c r="AJ596" s="277"/>
      <c r="AK596" s="277"/>
    </row>
    <row r="597" spans="1:37" s="289" customFormat="1">
      <c r="A597" s="277"/>
      <c r="C597" s="277"/>
      <c r="D597" s="277"/>
      <c r="E597" s="277"/>
      <c r="F597" s="277"/>
      <c r="G597" s="277"/>
      <c r="H597" s="277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  <c r="AA597" s="277"/>
      <c r="AB597" s="277"/>
      <c r="AC597" s="277"/>
      <c r="AD597" s="277"/>
      <c r="AE597" s="277"/>
      <c r="AF597" s="277"/>
      <c r="AG597" s="277"/>
      <c r="AH597" s="277"/>
      <c r="AI597" s="277"/>
      <c r="AJ597" s="277"/>
      <c r="AK597" s="277"/>
    </row>
    <row r="598" spans="1:37" s="289" customFormat="1">
      <c r="A598" s="277"/>
      <c r="C598" s="277"/>
      <c r="D598" s="277"/>
      <c r="E598" s="277"/>
      <c r="F598" s="277"/>
      <c r="G598" s="277"/>
      <c r="H598" s="277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  <c r="AA598" s="277"/>
      <c r="AB598" s="277"/>
      <c r="AC598" s="277"/>
      <c r="AD598" s="277"/>
      <c r="AE598" s="277"/>
      <c r="AF598" s="277"/>
      <c r="AG598" s="277"/>
      <c r="AH598" s="277"/>
      <c r="AI598" s="277"/>
      <c r="AJ598" s="277"/>
      <c r="AK598" s="277"/>
    </row>
    <row r="599" spans="1:37" s="289" customFormat="1">
      <c r="A599" s="277"/>
      <c r="C599" s="277"/>
      <c r="D599" s="277"/>
      <c r="E599" s="277"/>
      <c r="F599" s="277"/>
      <c r="G599" s="277"/>
      <c r="H599" s="277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  <c r="AA599" s="277"/>
      <c r="AB599" s="277"/>
      <c r="AC599" s="277"/>
      <c r="AD599" s="277"/>
      <c r="AE599" s="277"/>
      <c r="AF599" s="277"/>
      <c r="AG599" s="277"/>
      <c r="AH599" s="277"/>
      <c r="AI599" s="277"/>
      <c r="AJ599" s="277"/>
      <c r="AK599" s="277"/>
    </row>
    <row r="600" spans="1:37" s="289" customFormat="1">
      <c r="A600" s="277"/>
      <c r="C600" s="277"/>
      <c r="D600" s="277"/>
      <c r="E600" s="277"/>
      <c r="F600" s="277"/>
      <c r="G600" s="277"/>
      <c r="H600" s="277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  <c r="AA600" s="277"/>
      <c r="AB600" s="277"/>
      <c r="AC600" s="277"/>
      <c r="AD600" s="277"/>
      <c r="AE600" s="277"/>
      <c r="AF600" s="277"/>
      <c r="AG600" s="277"/>
      <c r="AH600" s="277"/>
      <c r="AI600" s="277"/>
      <c r="AJ600" s="277"/>
      <c r="AK600" s="277"/>
    </row>
    <row r="601" spans="1:37" s="289" customFormat="1">
      <c r="A601" s="277"/>
      <c r="C601" s="277"/>
      <c r="D601" s="277"/>
      <c r="E601" s="277"/>
      <c r="F601" s="277"/>
      <c r="G601" s="277"/>
      <c r="H601" s="277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  <c r="AA601" s="277"/>
      <c r="AB601" s="277"/>
      <c r="AC601" s="277"/>
      <c r="AD601" s="277"/>
      <c r="AE601" s="277"/>
      <c r="AF601" s="277"/>
      <c r="AG601" s="277"/>
      <c r="AH601" s="277"/>
      <c r="AI601" s="277"/>
      <c r="AJ601" s="277"/>
      <c r="AK601" s="277"/>
    </row>
    <row r="602" spans="1:37" s="289" customFormat="1">
      <c r="A602" s="277"/>
      <c r="C602" s="277"/>
      <c r="D602" s="277"/>
      <c r="E602" s="277"/>
      <c r="F602" s="277"/>
      <c r="G602" s="277"/>
      <c r="H602" s="277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  <c r="AA602" s="277"/>
      <c r="AB602" s="277"/>
      <c r="AC602" s="277"/>
      <c r="AD602" s="277"/>
      <c r="AE602" s="277"/>
      <c r="AF602" s="277"/>
      <c r="AG602" s="277"/>
      <c r="AH602" s="277"/>
      <c r="AI602" s="277"/>
      <c r="AJ602" s="277"/>
      <c r="AK602" s="277"/>
    </row>
    <row r="603" spans="1:37" s="289" customFormat="1">
      <c r="A603" s="277"/>
      <c r="C603" s="277"/>
      <c r="D603" s="277"/>
      <c r="E603" s="277"/>
      <c r="F603" s="277"/>
      <c r="G603" s="277"/>
      <c r="H603" s="277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  <c r="AA603" s="277"/>
      <c r="AB603" s="277"/>
      <c r="AC603" s="277"/>
      <c r="AD603" s="277"/>
      <c r="AE603" s="277"/>
      <c r="AF603" s="277"/>
      <c r="AG603" s="277"/>
      <c r="AH603" s="277"/>
      <c r="AI603" s="277"/>
      <c r="AJ603" s="277"/>
      <c r="AK603" s="277"/>
    </row>
    <row r="604" spans="1:37" s="289" customFormat="1">
      <c r="A604" s="277"/>
      <c r="C604" s="277"/>
      <c r="D604" s="277"/>
      <c r="E604" s="277"/>
      <c r="F604" s="277"/>
      <c r="G604" s="277"/>
      <c r="H604" s="277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  <c r="AA604" s="277"/>
      <c r="AB604" s="277"/>
      <c r="AC604" s="277"/>
      <c r="AD604" s="277"/>
      <c r="AE604" s="277"/>
      <c r="AF604" s="277"/>
      <c r="AG604" s="277"/>
      <c r="AH604" s="277"/>
      <c r="AI604" s="277"/>
      <c r="AJ604" s="277"/>
      <c r="AK604" s="277"/>
    </row>
    <row r="605" spans="1:37" s="289" customFormat="1">
      <c r="A605" s="277"/>
      <c r="C605" s="277"/>
      <c r="D605" s="277"/>
      <c r="E605" s="277"/>
      <c r="F605" s="277"/>
      <c r="G605" s="277"/>
      <c r="H605" s="277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  <c r="AA605" s="277"/>
      <c r="AB605" s="277"/>
      <c r="AC605" s="277"/>
      <c r="AD605" s="277"/>
      <c r="AE605" s="277"/>
      <c r="AF605" s="277"/>
      <c r="AG605" s="277"/>
      <c r="AH605" s="277"/>
      <c r="AI605" s="277"/>
      <c r="AJ605" s="277"/>
      <c r="AK605" s="277"/>
    </row>
    <row r="606" spans="1:37" s="289" customFormat="1">
      <c r="A606" s="277"/>
      <c r="C606" s="277"/>
      <c r="D606" s="277"/>
      <c r="E606" s="277"/>
      <c r="F606" s="277"/>
      <c r="G606" s="277"/>
      <c r="H606" s="277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  <c r="AA606" s="277"/>
      <c r="AB606" s="277"/>
      <c r="AC606" s="277"/>
      <c r="AD606" s="277"/>
      <c r="AE606" s="277"/>
      <c r="AF606" s="277"/>
      <c r="AG606" s="277"/>
      <c r="AH606" s="277"/>
      <c r="AI606" s="277"/>
      <c r="AJ606" s="277"/>
      <c r="AK606" s="277"/>
    </row>
    <row r="607" spans="1:37" s="289" customFormat="1">
      <c r="A607" s="277"/>
      <c r="C607" s="277"/>
      <c r="D607" s="277"/>
      <c r="E607" s="277"/>
      <c r="F607" s="277"/>
      <c r="G607" s="277"/>
      <c r="H607" s="277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  <c r="AA607" s="277"/>
      <c r="AB607" s="277"/>
      <c r="AC607" s="277"/>
      <c r="AD607" s="277"/>
      <c r="AE607" s="277"/>
      <c r="AF607" s="277"/>
      <c r="AG607" s="277"/>
      <c r="AH607" s="277"/>
      <c r="AI607" s="277"/>
      <c r="AJ607" s="277"/>
      <c r="AK607" s="277"/>
    </row>
    <row r="608" spans="1:37" s="289" customFormat="1">
      <c r="A608" s="277"/>
      <c r="C608" s="277"/>
      <c r="D608" s="277"/>
      <c r="E608" s="277"/>
      <c r="F608" s="277"/>
      <c r="G608" s="277"/>
      <c r="H608" s="277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  <c r="AA608" s="277"/>
      <c r="AB608" s="277"/>
      <c r="AC608" s="277"/>
      <c r="AD608" s="277"/>
      <c r="AE608" s="277"/>
      <c r="AF608" s="277"/>
      <c r="AG608" s="277"/>
      <c r="AH608" s="277"/>
      <c r="AI608" s="277"/>
      <c r="AJ608" s="277"/>
      <c r="AK608" s="277"/>
    </row>
    <row r="609" spans="1:37" s="289" customFormat="1">
      <c r="A609" s="277"/>
      <c r="C609" s="277"/>
      <c r="D609" s="277"/>
      <c r="E609" s="277"/>
      <c r="F609" s="277"/>
      <c r="G609" s="277"/>
      <c r="H609" s="277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  <c r="AA609" s="277"/>
      <c r="AB609" s="277"/>
      <c r="AC609" s="277"/>
      <c r="AD609" s="277"/>
      <c r="AE609" s="277"/>
      <c r="AF609" s="277"/>
      <c r="AG609" s="277"/>
      <c r="AH609" s="277"/>
      <c r="AI609" s="277"/>
      <c r="AJ609" s="277"/>
      <c r="AK609" s="277"/>
    </row>
    <row r="610" spans="1:37" s="289" customFormat="1">
      <c r="A610" s="277"/>
      <c r="C610" s="277"/>
      <c r="D610" s="277"/>
      <c r="E610" s="277"/>
      <c r="F610" s="277"/>
      <c r="G610" s="277"/>
      <c r="H610" s="277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  <c r="AA610" s="277"/>
      <c r="AB610" s="277"/>
      <c r="AC610" s="277"/>
      <c r="AD610" s="277"/>
      <c r="AE610" s="277"/>
      <c r="AF610" s="277"/>
      <c r="AG610" s="277"/>
      <c r="AH610" s="277"/>
      <c r="AI610" s="277"/>
      <c r="AJ610" s="277"/>
      <c r="AK610" s="277"/>
    </row>
    <row r="611" spans="1:37" s="289" customFormat="1">
      <c r="A611" s="277"/>
      <c r="C611" s="277"/>
      <c r="D611" s="277"/>
      <c r="E611" s="277"/>
      <c r="F611" s="277"/>
      <c r="G611" s="277"/>
      <c r="H611" s="277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  <c r="AA611" s="277"/>
      <c r="AB611" s="277"/>
      <c r="AC611" s="277"/>
      <c r="AD611" s="277"/>
      <c r="AE611" s="277"/>
      <c r="AF611" s="277"/>
      <c r="AG611" s="277"/>
      <c r="AH611" s="277"/>
      <c r="AI611" s="277"/>
      <c r="AJ611" s="277"/>
      <c r="AK611" s="277"/>
    </row>
    <row r="612" spans="1:37" s="289" customFormat="1">
      <c r="A612" s="277"/>
      <c r="C612" s="277"/>
      <c r="D612" s="277"/>
      <c r="E612" s="277"/>
      <c r="F612" s="277"/>
      <c r="G612" s="277"/>
      <c r="H612" s="277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  <c r="AA612" s="277"/>
      <c r="AB612" s="277"/>
      <c r="AC612" s="277"/>
      <c r="AD612" s="277"/>
      <c r="AE612" s="277"/>
      <c r="AF612" s="277"/>
      <c r="AG612" s="277"/>
      <c r="AH612" s="277"/>
      <c r="AI612" s="277"/>
      <c r="AJ612" s="277"/>
      <c r="AK612" s="277"/>
    </row>
    <row r="613" spans="1:37" s="289" customFormat="1">
      <c r="A613" s="277"/>
      <c r="C613" s="277"/>
      <c r="D613" s="277"/>
      <c r="E613" s="277"/>
      <c r="F613" s="277"/>
      <c r="G613" s="277"/>
      <c r="H613" s="277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  <c r="AA613" s="277"/>
      <c r="AB613" s="277"/>
      <c r="AC613" s="277"/>
      <c r="AD613" s="277"/>
      <c r="AE613" s="277"/>
      <c r="AF613" s="277"/>
      <c r="AG613" s="277"/>
      <c r="AH613" s="277"/>
      <c r="AI613" s="277"/>
      <c r="AJ613" s="277"/>
      <c r="AK613" s="277"/>
    </row>
    <row r="614" spans="1:37" s="289" customFormat="1">
      <c r="A614" s="277"/>
      <c r="C614" s="277"/>
      <c r="D614" s="277"/>
      <c r="E614" s="277"/>
      <c r="F614" s="277"/>
      <c r="G614" s="277"/>
      <c r="H614" s="277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  <c r="AA614" s="277"/>
      <c r="AB614" s="277"/>
      <c r="AC614" s="277"/>
      <c r="AD614" s="277"/>
      <c r="AE614" s="277"/>
      <c r="AF614" s="277"/>
      <c r="AG614" s="277"/>
      <c r="AH614" s="277"/>
      <c r="AI614" s="277"/>
      <c r="AJ614" s="277"/>
      <c r="AK614" s="277"/>
    </row>
    <row r="615" spans="1:37" s="289" customFormat="1">
      <c r="A615" s="277"/>
      <c r="C615" s="277"/>
      <c r="D615" s="277"/>
      <c r="E615" s="277"/>
      <c r="F615" s="277"/>
      <c r="G615" s="277"/>
      <c r="H615" s="277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  <c r="AA615" s="277"/>
      <c r="AB615" s="277"/>
      <c r="AC615" s="277"/>
      <c r="AD615" s="277"/>
      <c r="AE615" s="277"/>
      <c r="AF615" s="277"/>
      <c r="AG615" s="277"/>
      <c r="AH615" s="277"/>
      <c r="AI615" s="277"/>
      <c r="AJ615" s="277"/>
      <c r="AK615" s="277"/>
    </row>
    <row r="616" spans="1:37" s="289" customFormat="1">
      <c r="A616" s="277"/>
      <c r="C616" s="277"/>
      <c r="D616" s="277"/>
      <c r="E616" s="277"/>
      <c r="F616" s="277"/>
      <c r="G616" s="277"/>
      <c r="H616" s="277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  <c r="AA616" s="277"/>
      <c r="AB616" s="277"/>
      <c r="AC616" s="277"/>
      <c r="AD616" s="277"/>
      <c r="AE616" s="277"/>
      <c r="AF616" s="277"/>
      <c r="AG616" s="277"/>
      <c r="AH616" s="277"/>
      <c r="AI616" s="277"/>
      <c r="AJ616" s="277"/>
      <c r="AK616" s="277"/>
    </row>
    <row r="617" spans="1:37" s="289" customFormat="1">
      <c r="A617" s="277"/>
      <c r="C617" s="277"/>
      <c r="D617" s="277"/>
      <c r="E617" s="277"/>
      <c r="F617" s="277"/>
      <c r="G617" s="277"/>
      <c r="H617" s="277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  <c r="AA617" s="277"/>
      <c r="AB617" s="277"/>
      <c r="AC617" s="277"/>
      <c r="AD617" s="277"/>
      <c r="AE617" s="277"/>
      <c r="AF617" s="277"/>
      <c r="AG617" s="277"/>
      <c r="AH617" s="277"/>
      <c r="AI617" s="277"/>
      <c r="AJ617" s="277"/>
      <c r="AK617" s="277"/>
    </row>
    <row r="618" spans="1:37" s="289" customFormat="1">
      <c r="A618" s="277"/>
      <c r="C618" s="277"/>
      <c r="D618" s="277"/>
      <c r="E618" s="277"/>
      <c r="F618" s="277"/>
      <c r="G618" s="277"/>
      <c r="H618" s="277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  <c r="AA618" s="277"/>
      <c r="AB618" s="277"/>
      <c r="AC618" s="277"/>
      <c r="AD618" s="277"/>
      <c r="AE618" s="277"/>
      <c r="AF618" s="277"/>
      <c r="AG618" s="277"/>
      <c r="AH618" s="277"/>
      <c r="AI618" s="277"/>
      <c r="AJ618" s="277"/>
      <c r="AK618" s="277"/>
    </row>
    <row r="619" spans="1:37" s="289" customFormat="1">
      <c r="A619" s="277"/>
      <c r="C619" s="277"/>
      <c r="D619" s="277"/>
      <c r="E619" s="277"/>
      <c r="F619" s="277"/>
      <c r="G619" s="277"/>
      <c r="H619" s="277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  <c r="AA619" s="277"/>
      <c r="AB619" s="277"/>
      <c r="AC619" s="277"/>
      <c r="AD619" s="277"/>
      <c r="AE619" s="277"/>
      <c r="AF619" s="277"/>
      <c r="AG619" s="277"/>
      <c r="AH619" s="277"/>
      <c r="AI619" s="277"/>
      <c r="AJ619" s="277"/>
      <c r="AK619" s="277"/>
    </row>
    <row r="620" spans="1:37" s="289" customFormat="1">
      <c r="A620" s="277"/>
      <c r="C620" s="277"/>
      <c r="D620" s="277"/>
      <c r="E620" s="277"/>
      <c r="F620" s="277"/>
      <c r="G620" s="277"/>
      <c r="H620" s="277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  <c r="AA620" s="277"/>
      <c r="AB620" s="277"/>
      <c r="AC620" s="277"/>
      <c r="AD620" s="277"/>
      <c r="AE620" s="277"/>
      <c r="AF620" s="277"/>
      <c r="AG620" s="277"/>
      <c r="AH620" s="277"/>
      <c r="AI620" s="277"/>
      <c r="AJ620" s="277"/>
      <c r="AK620" s="277"/>
    </row>
    <row r="621" spans="1:37" s="289" customFormat="1">
      <c r="A621" s="277"/>
      <c r="C621" s="277"/>
      <c r="D621" s="277"/>
      <c r="E621" s="277"/>
      <c r="F621" s="277"/>
      <c r="G621" s="277"/>
      <c r="H621" s="277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  <c r="AA621" s="277"/>
      <c r="AB621" s="277"/>
      <c r="AC621" s="277"/>
      <c r="AD621" s="277"/>
      <c r="AE621" s="277"/>
      <c r="AF621" s="277"/>
      <c r="AG621" s="277"/>
      <c r="AH621" s="277"/>
      <c r="AI621" s="277"/>
      <c r="AJ621" s="277"/>
      <c r="AK621" s="277"/>
    </row>
    <row r="622" spans="1:37" s="289" customFormat="1">
      <c r="A622" s="277"/>
      <c r="C622" s="277"/>
      <c r="D622" s="277"/>
      <c r="E622" s="277"/>
      <c r="F622" s="277"/>
      <c r="G622" s="277"/>
      <c r="H622" s="277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  <c r="AA622" s="277"/>
      <c r="AB622" s="277"/>
      <c r="AC622" s="277"/>
      <c r="AD622" s="277"/>
      <c r="AE622" s="277"/>
      <c r="AF622" s="277"/>
      <c r="AG622" s="277"/>
      <c r="AH622" s="277"/>
      <c r="AI622" s="277"/>
      <c r="AJ622" s="277"/>
      <c r="AK622" s="277"/>
    </row>
    <row r="623" spans="1:37" s="289" customFormat="1">
      <c r="A623" s="277"/>
      <c r="C623" s="277"/>
      <c r="D623" s="277"/>
      <c r="E623" s="277"/>
      <c r="F623" s="277"/>
      <c r="G623" s="277"/>
      <c r="H623" s="277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  <c r="AA623" s="277"/>
      <c r="AB623" s="277"/>
      <c r="AC623" s="277"/>
      <c r="AD623" s="277"/>
      <c r="AE623" s="277"/>
      <c r="AF623" s="277"/>
      <c r="AG623" s="277"/>
      <c r="AH623" s="277"/>
      <c r="AI623" s="277"/>
      <c r="AJ623" s="277"/>
      <c r="AK623" s="277"/>
    </row>
    <row r="624" spans="1:37" s="289" customFormat="1">
      <c r="A624" s="277"/>
      <c r="C624" s="277"/>
      <c r="D624" s="277"/>
      <c r="E624" s="277"/>
      <c r="F624" s="277"/>
      <c r="G624" s="277"/>
      <c r="H624" s="277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  <c r="AA624" s="277"/>
      <c r="AB624" s="277"/>
      <c r="AC624" s="277"/>
      <c r="AD624" s="277"/>
      <c r="AE624" s="277"/>
      <c r="AF624" s="277"/>
      <c r="AG624" s="277"/>
      <c r="AH624" s="277"/>
      <c r="AI624" s="277"/>
      <c r="AJ624" s="277"/>
      <c r="AK624" s="277"/>
    </row>
    <row r="625" spans="1:37" s="289" customFormat="1">
      <c r="A625" s="277"/>
      <c r="C625" s="277"/>
      <c r="D625" s="277"/>
      <c r="E625" s="277"/>
      <c r="F625" s="277"/>
      <c r="G625" s="277"/>
      <c r="H625" s="277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  <c r="AA625" s="277"/>
      <c r="AB625" s="277"/>
      <c r="AC625" s="277"/>
      <c r="AD625" s="277"/>
      <c r="AE625" s="277"/>
      <c r="AF625" s="277"/>
      <c r="AG625" s="277"/>
      <c r="AH625" s="277"/>
      <c r="AI625" s="277"/>
      <c r="AJ625" s="277"/>
      <c r="AK625" s="277"/>
    </row>
    <row r="626" spans="1:37" s="289" customFormat="1">
      <c r="A626" s="277"/>
      <c r="C626" s="277"/>
      <c r="D626" s="277"/>
      <c r="E626" s="277"/>
      <c r="F626" s="277"/>
      <c r="G626" s="277"/>
      <c r="H626" s="277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  <c r="AA626" s="277"/>
      <c r="AB626" s="277"/>
      <c r="AC626" s="277"/>
      <c r="AD626" s="277"/>
      <c r="AE626" s="277"/>
      <c r="AF626" s="277"/>
      <c r="AG626" s="277"/>
      <c r="AH626" s="277"/>
      <c r="AI626" s="277"/>
      <c r="AJ626" s="277"/>
      <c r="AK626" s="277"/>
    </row>
    <row r="627" spans="1:37" s="289" customFormat="1">
      <c r="A627" s="277"/>
      <c r="C627" s="277"/>
      <c r="D627" s="277"/>
      <c r="E627" s="277"/>
      <c r="F627" s="277"/>
      <c r="G627" s="277"/>
      <c r="H627" s="277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  <c r="AA627" s="277"/>
      <c r="AB627" s="277"/>
      <c r="AC627" s="277"/>
      <c r="AD627" s="277"/>
      <c r="AE627" s="277"/>
      <c r="AF627" s="277"/>
      <c r="AG627" s="277"/>
      <c r="AH627" s="277"/>
      <c r="AI627" s="277"/>
      <c r="AJ627" s="277"/>
      <c r="AK627" s="277"/>
    </row>
    <row r="628" spans="1:37" s="289" customFormat="1">
      <c r="A628" s="277"/>
      <c r="C628" s="277"/>
      <c r="D628" s="277"/>
      <c r="E628" s="277"/>
      <c r="F628" s="277"/>
      <c r="G628" s="277"/>
      <c r="H628" s="277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  <c r="AA628" s="277"/>
      <c r="AB628" s="277"/>
      <c r="AC628" s="277"/>
      <c r="AD628" s="277"/>
      <c r="AE628" s="277"/>
      <c r="AF628" s="277"/>
      <c r="AG628" s="277"/>
      <c r="AH628" s="277"/>
      <c r="AI628" s="277"/>
      <c r="AJ628" s="277"/>
      <c r="AK628" s="277"/>
    </row>
    <row r="629" spans="1:37" s="289" customFormat="1">
      <c r="A629" s="277"/>
      <c r="C629" s="277"/>
      <c r="D629" s="277"/>
      <c r="E629" s="277"/>
      <c r="F629" s="277"/>
      <c r="G629" s="277"/>
      <c r="H629" s="277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  <c r="AA629" s="277"/>
      <c r="AB629" s="277"/>
      <c r="AC629" s="277"/>
      <c r="AD629" s="277"/>
      <c r="AE629" s="277"/>
      <c r="AF629" s="277"/>
      <c r="AG629" s="277"/>
      <c r="AH629" s="277"/>
      <c r="AI629" s="277"/>
      <c r="AJ629" s="277"/>
      <c r="AK629" s="277"/>
    </row>
    <row r="630" spans="1:37" s="289" customFormat="1">
      <c r="A630" s="277"/>
      <c r="C630" s="277"/>
      <c r="D630" s="277"/>
      <c r="E630" s="277"/>
      <c r="F630" s="277"/>
      <c r="G630" s="277"/>
      <c r="H630" s="277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  <c r="AA630" s="277"/>
      <c r="AB630" s="277"/>
      <c r="AC630" s="277"/>
      <c r="AD630" s="277"/>
      <c r="AE630" s="277"/>
      <c r="AF630" s="277"/>
      <c r="AG630" s="277"/>
      <c r="AH630" s="277"/>
      <c r="AI630" s="277"/>
      <c r="AJ630" s="277"/>
      <c r="AK630" s="277"/>
    </row>
    <row r="631" spans="1:37" s="289" customFormat="1">
      <c r="A631" s="277"/>
      <c r="C631" s="277"/>
      <c r="D631" s="277"/>
      <c r="E631" s="277"/>
      <c r="F631" s="277"/>
      <c r="G631" s="277"/>
      <c r="H631" s="277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  <c r="AA631" s="277"/>
      <c r="AB631" s="277"/>
      <c r="AC631" s="277"/>
      <c r="AD631" s="277"/>
      <c r="AE631" s="277"/>
      <c r="AF631" s="277"/>
      <c r="AG631" s="277"/>
      <c r="AH631" s="277"/>
      <c r="AI631" s="277"/>
      <c r="AJ631" s="277"/>
      <c r="AK631" s="277"/>
    </row>
    <row r="632" spans="1:37" s="289" customFormat="1">
      <c r="A632" s="277"/>
      <c r="C632" s="277"/>
      <c r="D632" s="277"/>
      <c r="E632" s="277"/>
      <c r="F632" s="277"/>
      <c r="G632" s="277"/>
      <c r="H632" s="277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  <c r="AA632" s="277"/>
      <c r="AB632" s="277"/>
      <c r="AC632" s="277"/>
      <c r="AD632" s="277"/>
      <c r="AE632" s="277"/>
      <c r="AF632" s="277"/>
      <c r="AG632" s="277"/>
      <c r="AH632" s="277"/>
      <c r="AI632" s="277"/>
      <c r="AJ632" s="277"/>
      <c r="AK632" s="277"/>
    </row>
    <row r="633" spans="1:37" s="289" customFormat="1">
      <c r="A633" s="277"/>
      <c r="C633" s="277"/>
      <c r="D633" s="277"/>
      <c r="E633" s="277"/>
      <c r="F633" s="277"/>
      <c r="G633" s="277"/>
      <c r="H633" s="277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  <c r="AA633" s="277"/>
      <c r="AB633" s="277"/>
      <c r="AC633" s="277"/>
      <c r="AD633" s="277"/>
      <c r="AE633" s="277"/>
      <c r="AF633" s="277"/>
      <c r="AG633" s="277"/>
      <c r="AH633" s="277"/>
      <c r="AI633" s="277"/>
      <c r="AJ633" s="277"/>
      <c r="AK633" s="277"/>
    </row>
    <row r="634" spans="1:37" s="289" customFormat="1">
      <c r="A634" s="277"/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  <c r="AA634" s="277"/>
      <c r="AB634" s="277"/>
      <c r="AC634" s="277"/>
      <c r="AD634" s="277"/>
      <c r="AE634" s="277"/>
      <c r="AF634" s="277"/>
      <c r="AG634" s="277"/>
      <c r="AH634" s="277"/>
      <c r="AI634" s="277"/>
      <c r="AJ634" s="277"/>
      <c r="AK634" s="277"/>
    </row>
    <row r="635" spans="1:37" s="289" customFormat="1">
      <c r="A635" s="277"/>
      <c r="C635" s="277"/>
      <c r="D635" s="277"/>
      <c r="E635" s="277"/>
      <c r="F635" s="277"/>
      <c r="G635" s="277"/>
      <c r="H635" s="277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  <c r="AA635" s="277"/>
      <c r="AB635" s="277"/>
      <c r="AC635" s="277"/>
      <c r="AD635" s="277"/>
      <c r="AE635" s="277"/>
      <c r="AF635" s="277"/>
      <c r="AG635" s="277"/>
      <c r="AH635" s="277"/>
      <c r="AI635" s="277"/>
      <c r="AJ635" s="277"/>
      <c r="AK635" s="277"/>
    </row>
    <row r="636" spans="1:37" s="289" customFormat="1">
      <c r="A636" s="277"/>
      <c r="C636" s="277"/>
      <c r="D636" s="277"/>
      <c r="E636" s="277"/>
      <c r="F636" s="277"/>
      <c r="G636" s="277"/>
      <c r="H636" s="277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  <c r="AA636" s="277"/>
      <c r="AB636" s="277"/>
      <c r="AC636" s="277"/>
      <c r="AD636" s="277"/>
      <c r="AE636" s="277"/>
      <c r="AF636" s="277"/>
      <c r="AG636" s="277"/>
      <c r="AH636" s="277"/>
      <c r="AI636" s="277"/>
      <c r="AJ636" s="277"/>
      <c r="AK636" s="277"/>
    </row>
    <row r="637" spans="1:37" s="289" customFormat="1">
      <c r="A637" s="277"/>
      <c r="C637" s="277"/>
      <c r="D637" s="277"/>
      <c r="E637" s="277"/>
      <c r="F637" s="277"/>
      <c r="G637" s="277"/>
      <c r="H637" s="277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  <c r="AA637" s="277"/>
      <c r="AB637" s="277"/>
      <c r="AC637" s="277"/>
      <c r="AD637" s="277"/>
      <c r="AE637" s="277"/>
      <c r="AF637" s="277"/>
      <c r="AG637" s="277"/>
      <c r="AH637" s="277"/>
      <c r="AI637" s="277"/>
      <c r="AJ637" s="277"/>
      <c r="AK637" s="277"/>
    </row>
    <row r="638" spans="1:37" s="289" customFormat="1">
      <c r="A638" s="277"/>
      <c r="C638" s="277"/>
      <c r="D638" s="277"/>
      <c r="E638" s="277"/>
      <c r="F638" s="277"/>
      <c r="G638" s="277"/>
      <c r="H638" s="277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  <c r="AA638" s="277"/>
      <c r="AB638" s="277"/>
      <c r="AC638" s="277"/>
      <c r="AD638" s="277"/>
      <c r="AE638" s="277"/>
      <c r="AF638" s="277"/>
      <c r="AG638" s="277"/>
      <c r="AH638" s="277"/>
      <c r="AI638" s="277"/>
      <c r="AJ638" s="277"/>
      <c r="AK638" s="277"/>
    </row>
    <row r="639" spans="1:37" s="289" customFormat="1">
      <c r="A639" s="277"/>
      <c r="C639" s="277"/>
      <c r="D639" s="277"/>
      <c r="E639" s="277"/>
      <c r="F639" s="277"/>
      <c r="G639" s="277"/>
      <c r="H639" s="277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  <c r="AA639" s="277"/>
      <c r="AB639" s="277"/>
      <c r="AC639" s="277"/>
      <c r="AD639" s="277"/>
      <c r="AE639" s="277"/>
      <c r="AF639" s="277"/>
      <c r="AG639" s="277"/>
      <c r="AH639" s="277"/>
      <c r="AI639" s="277"/>
      <c r="AJ639" s="277"/>
      <c r="AK639" s="277"/>
    </row>
    <row r="640" spans="1:37" s="289" customFormat="1">
      <c r="A640" s="277"/>
      <c r="C640" s="277"/>
      <c r="D640" s="277"/>
      <c r="E640" s="277"/>
      <c r="F640" s="277"/>
      <c r="G640" s="277"/>
      <c r="H640" s="277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  <c r="AA640" s="277"/>
      <c r="AB640" s="277"/>
      <c r="AC640" s="277"/>
      <c r="AD640" s="277"/>
      <c r="AE640" s="277"/>
      <c r="AF640" s="277"/>
      <c r="AG640" s="277"/>
      <c r="AH640" s="277"/>
      <c r="AI640" s="277"/>
      <c r="AJ640" s="277"/>
      <c r="AK640" s="277"/>
    </row>
    <row r="641" spans="1:37" s="289" customFormat="1">
      <c r="A641" s="277"/>
      <c r="C641" s="277"/>
      <c r="D641" s="277"/>
      <c r="E641" s="277"/>
      <c r="F641" s="277"/>
      <c r="G641" s="277"/>
      <c r="H641" s="277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  <c r="AA641" s="277"/>
      <c r="AB641" s="277"/>
      <c r="AC641" s="277"/>
      <c r="AD641" s="277"/>
      <c r="AE641" s="277"/>
      <c r="AF641" s="277"/>
      <c r="AG641" s="277"/>
      <c r="AH641" s="277"/>
      <c r="AI641" s="277"/>
      <c r="AJ641" s="277"/>
      <c r="AK641" s="277"/>
    </row>
    <row r="642" spans="1:37" s="289" customFormat="1">
      <c r="A642" s="277"/>
      <c r="C642" s="277"/>
      <c r="D642" s="277"/>
      <c r="E642" s="277"/>
      <c r="F642" s="277"/>
      <c r="G642" s="277"/>
      <c r="H642" s="277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  <c r="AA642" s="277"/>
      <c r="AB642" s="277"/>
      <c r="AC642" s="277"/>
      <c r="AD642" s="277"/>
      <c r="AE642" s="277"/>
      <c r="AF642" s="277"/>
      <c r="AG642" s="277"/>
      <c r="AH642" s="277"/>
      <c r="AI642" s="277"/>
      <c r="AJ642" s="277"/>
      <c r="AK642" s="277"/>
    </row>
    <row r="643" spans="1:37" s="289" customFormat="1">
      <c r="A643" s="277"/>
      <c r="C643" s="277"/>
      <c r="D643" s="277"/>
      <c r="E643" s="277"/>
      <c r="F643" s="277"/>
      <c r="G643" s="277"/>
      <c r="H643" s="277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  <c r="AA643" s="277"/>
      <c r="AB643" s="277"/>
      <c r="AC643" s="277"/>
      <c r="AD643" s="277"/>
      <c r="AE643" s="277"/>
      <c r="AF643" s="277"/>
      <c r="AG643" s="277"/>
      <c r="AH643" s="277"/>
      <c r="AI643" s="277"/>
      <c r="AJ643" s="277"/>
      <c r="AK643" s="277"/>
    </row>
    <row r="644" spans="1:37" s="289" customFormat="1">
      <c r="A644" s="277"/>
      <c r="C644" s="277"/>
      <c r="D644" s="277"/>
      <c r="E644" s="277"/>
      <c r="F644" s="277"/>
      <c r="G644" s="277"/>
      <c r="H644" s="277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  <c r="AA644" s="277"/>
      <c r="AB644" s="277"/>
      <c r="AC644" s="277"/>
      <c r="AD644" s="277"/>
      <c r="AE644" s="277"/>
      <c r="AF644" s="277"/>
      <c r="AG644" s="277"/>
      <c r="AH644" s="277"/>
      <c r="AI644" s="277"/>
      <c r="AJ644" s="277"/>
      <c r="AK644" s="277"/>
    </row>
    <row r="645" spans="1:37" s="289" customFormat="1">
      <c r="A645" s="277"/>
      <c r="C645" s="277"/>
      <c r="D645" s="277"/>
      <c r="E645" s="277"/>
      <c r="F645" s="277"/>
      <c r="G645" s="277"/>
      <c r="H645" s="277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  <c r="AA645" s="277"/>
      <c r="AB645" s="277"/>
      <c r="AC645" s="277"/>
      <c r="AD645" s="277"/>
      <c r="AE645" s="277"/>
      <c r="AF645" s="277"/>
      <c r="AG645" s="277"/>
      <c r="AH645" s="277"/>
      <c r="AI645" s="277"/>
      <c r="AJ645" s="277"/>
      <c r="AK645" s="277"/>
    </row>
    <row r="646" spans="1:37" s="289" customFormat="1">
      <c r="A646" s="277"/>
      <c r="C646" s="277"/>
      <c r="D646" s="277"/>
      <c r="E646" s="277"/>
      <c r="F646" s="277"/>
      <c r="G646" s="277"/>
      <c r="H646" s="277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  <c r="AA646" s="277"/>
      <c r="AB646" s="277"/>
      <c r="AC646" s="277"/>
      <c r="AD646" s="277"/>
      <c r="AE646" s="277"/>
      <c r="AF646" s="277"/>
      <c r="AG646" s="277"/>
      <c r="AH646" s="277"/>
      <c r="AI646" s="277"/>
      <c r="AJ646" s="277"/>
      <c r="AK646" s="277"/>
    </row>
    <row r="647" spans="1:37" s="289" customFormat="1">
      <c r="A647" s="277"/>
      <c r="C647" s="277"/>
      <c r="D647" s="277"/>
      <c r="E647" s="277"/>
      <c r="F647" s="277"/>
      <c r="G647" s="277"/>
      <c r="H647" s="277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  <c r="AA647" s="277"/>
      <c r="AB647" s="277"/>
      <c r="AC647" s="277"/>
      <c r="AD647" s="277"/>
      <c r="AE647" s="277"/>
      <c r="AF647" s="277"/>
      <c r="AG647" s="277"/>
      <c r="AH647" s="277"/>
      <c r="AI647" s="277"/>
      <c r="AJ647" s="277"/>
      <c r="AK647" s="277"/>
    </row>
    <row r="648" spans="1:37" s="289" customFormat="1">
      <c r="A648" s="277"/>
      <c r="C648" s="277"/>
      <c r="D648" s="277"/>
      <c r="E648" s="277"/>
      <c r="F648" s="277"/>
      <c r="G648" s="277"/>
      <c r="H648" s="277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  <c r="AA648" s="277"/>
      <c r="AB648" s="277"/>
      <c r="AC648" s="277"/>
      <c r="AD648" s="277"/>
      <c r="AE648" s="277"/>
      <c r="AF648" s="277"/>
      <c r="AG648" s="277"/>
      <c r="AH648" s="277"/>
      <c r="AI648" s="277"/>
      <c r="AJ648" s="277"/>
      <c r="AK648" s="277"/>
    </row>
    <row r="649" spans="1:37" s="289" customFormat="1">
      <c r="A649" s="277"/>
      <c r="C649" s="277"/>
      <c r="D649" s="277"/>
      <c r="E649" s="277"/>
      <c r="F649" s="277"/>
      <c r="G649" s="27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</row>
    <row r="650" spans="1:37" s="289" customFormat="1">
      <c r="A650" s="277"/>
      <c r="C650" s="277"/>
      <c r="D650" s="277"/>
      <c r="E650" s="277"/>
      <c r="F650" s="277"/>
      <c r="G650" s="277"/>
      <c r="H650" s="277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  <c r="AA650" s="277"/>
      <c r="AB650" s="277"/>
      <c r="AC650" s="277"/>
      <c r="AD650" s="277"/>
      <c r="AE650" s="277"/>
      <c r="AF650" s="277"/>
      <c r="AG650" s="277"/>
      <c r="AH650" s="277"/>
      <c r="AI650" s="277"/>
      <c r="AJ650" s="277"/>
      <c r="AK650" s="277"/>
    </row>
    <row r="651" spans="1:37" s="289" customFormat="1">
      <c r="A651" s="277"/>
      <c r="C651" s="277"/>
      <c r="D651" s="277"/>
      <c r="E651" s="277"/>
      <c r="F651" s="277"/>
      <c r="G651" s="277"/>
      <c r="H651" s="277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  <c r="AA651" s="277"/>
      <c r="AB651" s="277"/>
      <c r="AC651" s="277"/>
      <c r="AD651" s="277"/>
      <c r="AE651" s="277"/>
      <c r="AF651" s="277"/>
      <c r="AG651" s="277"/>
      <c r="AH651" s="277"/>
      <c r="AI651" s="277"/>
      <c r="AJ651" s="277"/>
      <c r="AK651" s="277"/>
    </row>
    <row r="652" spans="1:37" s="289" customFormat="1">
      <c r="A652" s="277"/>
      <c r="C652" s="277"/>
      <c r="D652" s="277"/>
      <c r="E652" s="277"/>
      <c r="F652" s="277"/>
      <c r="G652" s="277"/>
      <c r="H652" s="277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  <c r="AA652" s="277"/>
      <c r="AB652" s="277"/>
      <c r="AC652" s="277"/>
      <c r="AD652" s="277"/>
      <c r="AE652" s="277"/>
      <c r="AF652" s="277"/>
      <c r="AG652" s="277"/>
      <c r="AH652" s="277"/>
      <c r="AI652" s="277"/>
      <c r="AJ652" s="277"/>
      <c r="AK652" s="277"/>
    </row>
    <row r="653" spans="1:37" s="289" customFormat="1">
      <c r="A653" s="277"/>
      <c r="C653" s="277"/>
      <c r="D653" s="277"/>
      <c r="E653" s="277"/>
      <c r="F653" s="277"/>
      <c r="G653" s="277"/>
      <c r="H653" s="277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  <c r="AA653" s="277"/>
      <c r="AB653" s="277"/>
      <c r="AC653" s="277"/>
      <c r="AD653" s="277"/>
      <c r="AE653" s="277"/>
      <c r="AF653" s="277"/>
      <c r="AG653" s="277"/>
      <c r="AH653" s="277"/>
      <c r="AI653" s="277"/>
      <c r="AJ653" s="277"/>
      <c r="AK653" s="277"/>
    </row>
    <row r="654" spans="1:37" s="289" customFormat="1">
      <c r="A654" s="277"/>
      <c r="C654" s="277"/>
      <c r="D654" s="277"/>
      <c r="E654" s="277"/>
      <c r="F654" s="277"/>
      <c r="G654" s="277"/>
      <c r="H654" s="277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  <c r="AA654" s="277"/>
      <c r="AB654" s="277"/>
      <c r="AC654" s="277"/>
      <c r="AD654" s="277"/>
      <c r="AE654" s="277"/>
      <c r="AF654" s="277"/>
      <c r="AG654" s="277"/>
      <c r="AH654" s="277"/>
      <c r="AI654" s="277"/>
      <c r="AJ654" s="277"/>
      <c r="AK654" s="277"/>
    </row>
    <row r="655" spans="1:37" s="289" customFormat="1">
      <c r="A655" s="277"/>
      <c r="C655" s="277"/>
      <c r="D655" s="277"/>
      <c r="E655" s="277"/>
      <c r="F655" s="277"/>
      <c r="G655" s="277"/>
      <c r="H655" s="277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  <c r="AA655" s="277"/>
      <c r="AB655" s="277"/>
      <c r="AC655" s="277"/>
      <c r="AD655" s="277"/>
      <c r="AE655" s="277"/>
      <c r="AF655" s="277"/>
      <c r="AG655" s="277"/>
      <c r="AH655" s="277"/>
      <c r="AI655" s="277"/>
      <c r="AJ655" s="277"/>
      <c r="AK655" s="277"/>
    </row>
    <row r="656" spans="1:37" s="289" customFormat="1">
      <c r="A656" s="277"/>
      <c r="C656" s="277"/>
      <c r="D656" s="277"/>
      <c r="E656" s="277"/>
      <c r="F656" s="277"/>
      <c r="G656" s="277"/>
      <c r="H656" s="277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  <c r="AA656" s="277"/>
      <c r="AB656" s="277"/>
      <c r="AC656" s="277"/>
      <c r="AD656" s="277"/>
      <c r="AE656" s="277"/>
      <c r="AF656" s="277"/>
      <c r="AG656" s="277"/>
      <c r="AH656" s="277"/>
      <c r="AI656" s="277"/>
      <c r="AJ656" s="277"/>
      <c r="AK656" s="277"/>
    </row>
    <row r="657" spans="1:37" s="289" customFormat="1">
      <c r="A657" s="277"/>
      <c r="C657" s="277"/>
      <c r="D657" s="277"/>
      <c r="E657" s="277"/>
      <c r="F657" s="277"/>
      <c r="G657" s="277"/>
      <c r="H657" s="277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  <c r="AA657" s="277"/>
      <c r="AB657" s="277"/>
      <c r="AC657" s="277"/>
      <c r="AD657" s="277"/>
      <c r="AE657" s="277"/>
      <c r="AF657" s="277"/>
      <c r="AG657" s="277"/>
      <c r="AH657" s="277"/>
      <c r="AI657" s="277"/>
      <c r="AJ657" s="277"/>
      <c r="AK657" s="277"/>
    </row>
    <row r="658" spans="1:37" s="289" customFormat="1">
      <c r="A658" s="277"/>
      <c r="C658" s="277"/>
      <c r="D658" s="277"/>
      <c r="E658" s="277"/>
      <c r="F658" s="277"/>
      <c r="G658" s="277"/>
      <c r="H658" s="277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  <c r="AA658" s="277"/>
      <c r="AB658" s="277"/>
      <c r="AC658" s="277"/>
      <c r="AD658" s="277"/>
      <c r="AE658" s="277"/>
      <c r="AF658" s="277"/>
      <c r="AG658" s="277"/>
      <c r="AH658" s="277"/>
      <c r="AI658" s="277"/>
      <c r="AJ658" s="277"/>
      <c r="AK658" s="277"/>
    </row>
    <row r="659" spans="1:37" s="289" customFormat="1">
      <c r="A659" s="277"/>
      <c r="C659" s="277"/>
      <c r="D659" s="277"/>
      <c r="E659" s="277"/>
      <c r="F659" s="277"/>
      <c r="G659" s="277"/>
      <c r="H659" s="277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  <c r="AA659" s="277"/>
      <c r="AB659" s="277"/>
      <c r="AC659" s="277"/>
      <c r="AD659" s="277"/>
      <c r="AE659" s="277"/>
      <c r="AF659" s="277"/>
      <c r="AG659" s="277"/>
      <c r="AH659" s="277"/>
      <c r="AI659" s="277"/>
      <c r="AJ659" s="277"/>
      <c r="AK659" s="277"/>
    </row>
    <row r="660" spans="1:37" s="289" customFormat="1">
      <c r="A660" s="277"/>
      <c r="C660" s="277"/>
      <c r="D660" s="277"/>
      <c r="E660" s="277"/>
      <c r="F660" s="277"/>
      <c r="G660" s="277"/>
      <c r="H660" s="277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  <c r="AA660" s="277"/>
      <c r="AB660" s="277"/>
      <c r="AC660" s="277"/>
      <c r="AD660" s="277"/>
      <c r="AE660" s="277"/>
      <c r="AF660" s="277"/>
      <c r="AG660" s="277"/>
      <c r="AH660" s="277"/>
      <c r="AI660" s="277"/>
      <c r="AJ660" s="277"/>
      <c r="AK660" s="277"/>
    </row>
    <row r="661" spans="1:37" s="289" customFormat="1">
      <c r="A661" s="277"/>
      <c r="C661" s="277"/>
      <c r="D661" s="277"/>
      <c r="E661" s="277"/>
      <c r="F661" s="277"/>
      <c r="G661" s="277"/>
      <c r="H661" s="277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  <c r="AA661" s="277"/>
      <c r="AB661" s="277"/>
      <c r="AC661" s="277"/>
      <c r="AD661" s="277"/>
      <c r="AE661" s="277"/>
      <c r="AF661" s="277"/>
      <c r="AG661" s="277"/>
      <c r="AH661" s="277"/>
      <c r="AI661" s="277"/>
      <c r="AJ661" s="277"/>
      <c r="AK661" s="277"/>
    </row>
    <row r="662" spans="1:37" s="289" customFormat="1">
      <c r="A662" s="277"/>
      <c r="C662" s="277"/>
      <c r="D662" s="277"/>
      <c r="E662" s="277"/>
      <c r="F662" s="277"/>
      <c r="G662" s="277"/>
      <c r="H662" s="277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  <c r="AA662" s="277"/>
      <c r="AB662" s="277"/>
      <c r="AC662" s="277"/>
      <c r="AD662" s="277"/>
      <c r="AE662" s="277"/>
      <c r="AF662" s="277"/>
      <c r="AG662" s="277"/>
      <c r="AH662" s="277"/>
      <c r="AI662" s="277"/>
      <c r="AJ662" s="277"/>
      <c r="AK662" s="277"/>
    </row>
    <row r="663" spans="1:37" s="289" customFormat="1">
      <c r="A663" s="277"/>
      <c r="C663" s="277"/>
      <c r="D663" s="277"/>
      <c r="E663" s="277"/>
      <c r="F663" s="277"/>
      <c r="G663" s="277"/>
      <c r="H663" s="277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  <c r="AA663" s="277"/>
      <c r="AB663" s="277"/>
      <c r="AC663" s="277"/>
      <c r="AD663" s="277"/>
      <c r="AE663" s="277"/>
      <c r="AF663" s="277"/>
      <c r="AG663" s="277"/>
      <c r="AH663" s="277"/>
      <c r="AI663" s="277"/>
      <c r="AJ663" s="277"/>
      <c r="AK663" s="277"/>
    </row>
    <row r="664" spans="1:37" s="289" customFormat="1">
      <c r="A664" s="277"/>
      <c r="C664" s="277"/>
      <c r="D664" s="277"/>
      <c r="E664" s="277"/>
      <c r="F664" s="277"/>
      <c r="G664" s="277"/>
      <c r="H664" s="277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  <c r="AA664" s="277"/>
      <c r="AB664" s="277"/>
      <c r="AC664" s="277"/>
      <c r="AD664" s="277"/>
      <c r="AE664" s="277"/>
      <c r="AF664" s="277"/>
      <c r="AG664" s="277"/>
      <c r="AH664" s="277"/>
      <c r="AI664" s="277"/>
      <c r="AJ664" s="277"/>
      <c r="AK664" s="277"/>
    </row>
    <row r="665" spans="1:37" s="289" customFormat="1">
      <c r="A665" s="277"/>
      <c r="C665" s="277"/>
      <c r="D665" s="277"/>
      <c r="E665" s="277"/>
      <c r="F665" s="277"/>
      <c r="G665" s="277"/>
      <c r="H665" s="277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  <c r="AA665" s="277"/>
      <c r="AB665" s="277"/>
      <c r="AC665" s="277"/>
      <c r="AD665" s="277"/>
      <c r="AE665" s="277"/>
      <c r="AF665" s="277"/>
      <c r="AG665" s="277"/>
      <c r="AH665" s="277"/>
      <c r="AI665" s="277"/>
      <c r="AJ665" s="277"/>
      <c r="AK665" s="277"/>
    </row>
    <row r="666" spans="1:37" s="289" customFormat="1">
      <c r="A666" s="277"/>
      <c r="C666" s="277"/>
      <c r="D666" s="277"/>
      <c r="E666" s="277"/>
      <c r="F666" s="277"/>
      <c r="G666" s="27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</row>
    <row r="667" spans="1:37" s="289" customFormat="1">
      <c r="A667" s="277"/>
      <c r="C667" s="277"/>
      <c r="D667" s="277"/>
      <c r="E667" s="277"/>
      <c r="F667" s="277"/>
      <c r="G667" s="277"/>
      <c r="H667" s="277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  <c r="AA667" s="277"/>
      <c r="AB667" s="277"/>
      <c r="AC667" s="277"/>
      <c r="AD667" s="277"/>
      <c r="AE667" s="277"/>
      <c r="AF667" s="277"/>
      <c r="AG667" s="277"/>
      <c r="AH667" s="277"/>
      <c r="AI667" s="277"/>
      <c r="AJ667" s="277"/>
      <c r="AK667" s="277"/>
    </row>
    <row r="668" spans="1:37" s="289" customFormat="1">
      <c r="A668" s="277"/>
      <c r="C668" s="277"/>
      <c r="D668" s="277"/>
      <c r="E668" s="277"/>
      <c r="F668" s="277"/>
      <c r="G668" s="277"/>
      <c r="H668" s="277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  <c r="AA668" s="277"/>
      <c r="AB668" s="277"/>
      <c r="AC668" s="277"/>
      <c r="AD668" s="277"/>
      <c r="AE668" s="277"/>
      <c r="AF668" s="277"/>
      <c r="AG668" s="277"/>
      <c r="AH668" s="277"/>
      <c r="AI668" s="277"/>
      <c r="AJ668" s="277"/>
      <c r="AK668" s="277"/>
    </row>
    <row r="669" spans="1:37" s="289" customFormat="1">
      <c r="A669" s="277"/>
      <c r="C669" s="277"/>
      <c r="D669" s="277"/>
      <c r="E669" s="277"/>
      <c r="F669" s="277"/>
      <c r="G669" s="277"/>
      <c r="H669" s="277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  <c r="AA669" s="277"/>
      <c r="AB669" s="277"/>
      <c r="AC669" s="277"/>
      <c r="AD669" s="277"/>
      <c r="AE669" s="277"/>
      <c r="AF669" s="277"/>
      <c r="AG669" s="277"/>
      <c r="AH669" s="277"/>
      <c r="AI669" s="277"/>
      <c r="AJ669" s="277"/>
      <c r="AK669" s="277"/>
    </row>
    <row r="670" spans="1:37" s="289" customFormat="1">
      <c r="A670" s="277"/>
      <c r="C670" s="277"/>
      <c r="D670" s="277"/>
      <c r="E670" s="277"/>
      <c r="F670" s="277"/>
      <c r="G670" s="277"/>
      <c r="H670" s="277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  <c r="AA670" s="277"/>
      <c r="AB670" s="277"/>
      <c r="AC670" s="277"/>
      <c r="AD670" s="277"/>
      <c r="AE670" s="277"/>
      <c r="AF670" s="277"/>
      <c r="AG670" s="277"/>
      <c r="AH670" s="277"/>
      <c r="AI670" s="277"/>
      <c r="AJ670" s="277"/>
      <c r="AK670" s="277"/>
    </row>
    <row r="671" spans="1:37" s="289" customFormat="1">
      <c r="A671" s="277"/>
      <c r="C671" s="277"/>
      <c r="D671" s="277"/>
      <c r="E671" s="277"/>
      <c r="F671" s="277"/>
      <c r="G671" s="277"/>
      <c r="H671" s="277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  <c r="AA671" s="277"/>
      <c r="AB671" s="277"/>
      <c r="AC671" s="277"/>
      <c r="AD671" s="277"/>
      <c r="AE671" s="277"/>
      <c r="AF671" s="277"/>
      <c r="AG671" s="277"/>
      <c r="AH671" s="277"/>
      <c r="AI671" s="277"/>
      <c r="AJ671" s="277"/>
      <c r="AK671" s="277"/>
    </row>
    <row r="672" spans="1:37" s="289" customFormat="1">
      <c r="A672" s="277"/>
      <c r="C672" s="277"/>
      <c r="D672" s="277"/>
      <c r="E672" s="277"/>
      <c r="F672" s="277"/>
      <c r="G672" s="277"/>
      <c r="H672" s="277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  <c r="AA672" s="277"/>
      <c r="AB672" s="277"/>
      <c r="AC672" s="277"/>
      <c r="AD672" s="277"/>
      <c r="AE672" s="277"/>
      <c r="AF672" s="277"/>
      <c r="AG672" s="277"/>
      <c r="AH672" s="277"/>
      <c r="AI672" s="277"/>
      <c r="AJ672" s="277"/>
      <c r="AK672" s="277"/>
    </row>
    <row r="673" spans="1:37" s="289" customFormat="1">
      <c r="A673" s="277"/>
      <c r="C673" s="277"/>
      <c r="D673" s="277"/>
      <c r="E673" s="277"/>
      <c r="F673" s="277"/>
      <c r="G673" s="277"/>
      <c r="H673" s="277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  <c r="AA673" s="277"/>
      <c r="AB673" s="277"/>
      <c r="AC673" s="277"/>
      <c r="AD673" s="277"/>
      <c r="AE673" s="277"/>
      <c r="AF673" s="277"/>
      <c r="AG673" s="277"/>
      <c r="AH673" s="277"/>
      <c r="AI673" s="277"/>
      <c r="AJ673" s="277"/>
      <c r="AK673" s="277"/>
    </row>
    <row r="674" spans="1:37" s="289" customFormat="1">
      <c r="A674" s="277"/>
      <c r="C674" s="277"/>
      <c r="D674" s="277"/>
      <c r="E674" s="277"/>
      <c r="F674" s="277"/>
      <c r="G674" s="277"/>
      <c r="H674" s="277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  <c r="AA674" s="277"/>
      <c r="AB674" s="277"/>
      <c r="AC674" s="277"/>
      <c r="AD674" s="277"/>
      <c r="AE674" s="277"/>
      <c r="AF674" s="277"/>
      <c r="AG674" s="277"/>
      <c r="AH674" s="277"/>
      <c r="AI674" s="277"/>
      <c r="AJ674" s="277"/>
      <c r="AK674" s="277"/>
    </row>
    <row r="675" spans="1:37" s="289" customFormat="1">
      <c r="A675" s="277"/>
      <c r="C675" s="277"/>
      <c r="D675" s="277"/>
      <c r="E675" s="277"/>
      <c r="F675" s="277"/>
      <c r="G675" s="277"/>
      <c r="H675" s="277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  <c r="AA675" s="277"/>
      <c r="AB675" s="277"/>
      <c r="AC675" s="277"/>
      <c r="AD675" s="277"/>
      <c r="AE675" s="277"/>
      <c r="AF675" s="277"/>
      <c r="AG675" s="277"/>
      <c r="AH675" s="277"/>
      <c r="AI675" s="277"/>
      <c r="AJ675" s="277"/>
      <c r="AK675" s="277"/>
    </row>
    <row r="676" spans="1:37" s="289" customFormat="1">
      <c r="A676" s="277"/>
      <c r="C676" s="277"/>
      <c r="D676" s="277"/>
      <c r="E676" s="277"/>
      <c r="F676" s="277"/>
      <c r="G676" s="277"/>
      <c r="H676" s="277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  <c r="AA676" s="277"/>
      <c r="AB676" s="277"/>
      <c r="AC676" s="277"/>
      <c r="AD676" s="277"/>
      <c r="AE676" s="277"/>
      <c r="AF676" s="277"/>
      <c r="AG676" s="277"/>
      <c r="AH676" s="277"/>
      <c r="AI676" s="277"/>
      <c r="AJ676" s="277"/>
      <c r="AK676" s="277"/>
    </row>
    <row r="677" spans="1:37" s="289" customFormat="1">
      <c r="A677" s="277"/>
      <c r="C677" s="277"/>
      <c r="D677" s="277"/>
      <c r="E677" s="277"/>
      <c r="F677" s="277"/>
      <c r="G677" s="277"/>
      <c r="H677" s="277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  <c r="AA677" s="277"/>
      <c r="AB677" s="277"/>
      <c r="AC677" s="277"/>
      <c r="AD677" s="277"/>
      <c r="AE677" s="277"/>
      <c r="AF677" s="277"/>
      <c r="AG677" s="277"/>
      <c r="AH677" s="277"/>
      <c r="AI677" s="277"/>
      <c r="AJ677" s="277"/>
      <c r="AK677" s="277"/>
    </row>
    <row r="678" spans="1:37" s="289" customFormat="1">
      <c r="A678" s="277"/>
      <c r="C678" s="277"/>
      <c r="D678" s="277"/>
      <c r="E678" s="277"/>
      <c r="F678" s="277"/>
      <c r="G678" s="277"/>
      <c r="H678" s="277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  <c r="AA678" s="277"/>
      <c r="AB678" s="277"/>
      <c r="AC678" s="277"/>
      <c r="AD678" s="277"/>
      <c r="AE678" s="277"/>
      <c r="AF678" s="277"/>
      <c r="AG678" s="277"/>
      <c r="AH678" s="277"/>
      <c r="AI678" s="277"/>
      <c r="AJ678" s="277"/>
      <c r="AK678" s="277"/>
    </row>
    <row r="679" spans="1:37" s="289" customFormat="1">
      <c r="A679" s="277"/>
      <c r="C679" s="277"/>
      <c r="D679" s="277"/>
      <c r="E679" s="277"/>
      <c r="F679" s="277"/>
      <c r="G679" s="277"/>
      <c r="H679" s="277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  <c r="AA679" s="277"/>
      <c r="AB679" s="277"/>
      <c r="AC679" s="277"/>
      <c r="AD679" s="277"/>
      <c r="AE679" s="277"/>
      <c r="AF679" s="277"/>
      <c r="AG679" s="277"/>
      <c r="AH679" s="277"/>
      <c r="AI679" s="277"/>
      <c r="AJ679" s="277"/>
      <c r="AK679" s="277"/>
    </row>
    <row r="680" spans="1:37" s="289" customFormat="1">
      <c r="A680" s="277"/>
      <c r="C680" s="277"/>
      <c r="D680" s="277"/>
      <c r="E680" s="277"/>
      <c r="F680" s="277"/>
      <c r="G680" s="277"/>
      <c r="H680" s="277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  <c r="AA680" s="277"/>
      <c r="AB680" s="277"/>
      <c r="AC680" s="277"/>
      <c r="AD680" s="277"/>
      <c r="AE680" s="277"/>
      <c r="AF680" s="277"/>
      <c r="AG680" s="277"/>
      <c r="AH680" s="277"/>
      <c r="AI680" s="277"/>
      <c r="AJ680" s="277"/>
      <c r="AK680" s="277"/>
    </row>
    <row r="681" spans="1:37" s="289" customFormat="1">
      <c r="A681" s="277"/>
      <c r="C681" s="277"/>
      <c r="D681" s="277"/>
      <c r="E681" s="277"/>
      <c r="F681" s="277"/>
      <c r="G681" s="277"/>
      <c r="H681" s="277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  <c r="AA681" s="277"/>
      <c r="AB681" s="277"/>
      <c r="AC681" s="277"/>
      <c r="AD681" s="277"/>
      <c r="AE681" s="277"/>
      <c r="AF681" s="277"/>
      <c r="AG681" s="277"/>
      <c r="AH681" s="277"/>
      <c r="AI681" s="277"/>
      <c r="AJ681" s="277"/>
      <c r="AK681" s="277"/>
    </row>
    <row r="682" spans="1:37" s="289" customFormat="1">
      <c r="A682" s="277"/>
      <c r="C682" s="277"/>
      <c r="D682" s="277"/>
      <c r="E682" s="277"/>
      <c r="F682" s="277"/>
      <c r="G682" s="277"/>
      <c r="H682" s="277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  <c r="AA682" s="277"/>
      <c r="AB682" s="277"/>
      <c r="AC682" s="277"/>
      <c r="AD682" s="277"/>
      <c r="AE682" s="277"/>
      <c r="AF682" s="277"/>
      <c r="AG682" s="277"/>
      <c r="AH682" s="277"/>
      <c r="AI682" s="277"/>
      <c r="AJ682" s="277"/>
      <c r="AK682" s="277"/>
    </row>
    <row r="683" spans="1:37" s="289" customFormat="1">
      <c r="A683" s="277"/>
      <c r="C683" s="277"/>
      <c r="D683" s="277"/>
      <c r="E683" s="277"/>
      <c r="F683" s="277"/>
      <c r="G683" s="277"/>
      <c r="H683" s="277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  <c r="AA683" s="277"/>
      <c r="AB683" s="277"/>
      <c r="AC683" s="277"/>
      <c r="AD683" s="277"/>
      <c r="AE683" s="277"/>
      <c r="AF683" s="277"/>
      <c r="AG683" s="277"/>
      <c r="AH683" s="277"/>
      <c r="AI683" s="277"/>
      <c r="AJ683" s="277"/>
      <c r="AK683" s="277"/>
    </row>
    <row r="684" spans="1:37" s="289" customFormat="1">
      <c r="A684" s="277"/>
      <c r="C684" s="277"/>
      <c r="D684" s="277"/>
      <c r="E684" s="277"/>
      <c r="F684" s="277"/>
      <c r="G684" s="277"/>
      <c r="H684" s="277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  <c r="AA684" s="277"/>
      <c r="AB684" s="277"/>
      <c r="AC684" s="277"/>
      <c r="AD684" s="277"/>
      <c r="AE684" s="277"/>
      <c r="AF684" s="277"/>
      <c r="AG684" s="277"/>
      <c r="AH684" s="277"/>
      <c r="AI684" s="277"/>
      <c r="AJ684" s="277"/>
      <c r="AK684" s="277"/>
    </row>
    <row r="685" spans="1:37" s="289" customFormat="1">
      <c r="A685" s="277"/>
      <c r="C685" s="277"/>
      <c r="D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  <c r="AA685" s="277"/>
      <c r="AB685" s="277"/>
      <c r="AC685" s="277"/>
      <c r="AD685" s="277"/>
      <c r="AE685" s="277"/>
      <c r="AF685" s="277"/>
      <c r="AG685" s="277"/>
      <c r="AH685" s="277"/>
      <c r="AI685" s="277"/>
      <c r="AJ685" s="277"/>
      <c r="AK685" s="277"/>
    </row>
    <row r="686" spans="1:37" s="289" customFormat="1">
      <c r="A686" s="277"/>
      <c r="C686" s="277"/>
      <c r="D686" s="277"/>
      <c r="E686" s="277"/>
      <c r="F686" s="277"/>
      <c r="G686" s="277"/>
      <c r="H686" s="277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  <c r="AA686" s="277"/>
      <c r="AB686" s="277"/>
      <c r="AC686" s="277"/>
      <c r="AD686" s="277"/>
      <c r="AE686" s="277"/>
      <c r="AF686" s="277"/>
      <c r="AG686" s="277"/>
      <c r="AH686" s="277"/>
      <c r="AI686" s="277"/>
      <c r="AJ686" s="277"/>
      <c r="AK686" s="277"/>
    </row>
    <row r="687" spans="1:37" s="289" customFormat="1">
      <c r="A687" s="277"/>
      <c r="C687" s="277"/>
      <c r="D687" s="277"/>
      <c r="E687" s="277"/>
      <c r="F687" s="277"/>
      <c r="G687" s="277"/>
      <c r="H687" s="277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  <c r="AA687" s="277"/>
      <c r="AB687" s="277"/>
      <c r="AC687" s="277"/>
      <c r="AD687" s="277"/>
      <c r="AE687" s="277"/>
      <c r="AF687" s="277"/>
      <c r="AG687" s="277"/>
      <c r="AH687" s="277"/>
      <c r="AI687" s="277"/>
      <c r="AJ687" s="277"/>
      <c r="AK687" s="277"/>
    </row>
    <row r="688" spans="1:37" s="289" customFormat="1">
      <c r="A688" s="277"/>
      <c r="C688" s="277"/>
      <c r="D688" s="277"/>
      <c r="E688" s="277"/>
      <c r="F688" s="277"/>
      <c r="G688" s="277"/>
      <c r="H688" s="277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  <c r="AA688" s="277"/>
      <c r="AB688" s="277"/>
      <c r="AC688" s="277"/>
      <c r="AD688" s="277"/>
      <c r="AE688" s="277"/>
      <c r="AF688" s="277"/>
      <c r="AG688" s="277"/>
      <c r="AH688" s="277"/>
      <c r="AI688" s="277"/>
      <c r="AJ688" s="277"/>
      <c r="AK688" s="277"/>
    </row>
    <row r="689" spans="1:37" s="289" customFormat="1">
      <c r="A689" s="277"/>
      <c r="C689" s="277"/>
      <c r="D689" s="277"/>
      <c r="E689" s="277"/>
      <c r="F689" s="277"/>
      <c r="G689" s="277"/>
      <c r="H689" s="277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  <c r="AA689" s="277"/>
      <c r="AB689" s="277"/>
      <c r="AC689" s="277"/>
      <c r="AD689" s="277"/>
      <c r="AE689" s="277"/>
      <c r="AF689" s="277"/>
      <c r="AG689" s="277"/>
      <c r="AH689" s="277"/>
      <c r="AI689" s="277"/>
      <c r="AJ689" s="277"/>
      <c r="AK689" s="277"/>
    </row>
    <row r="690" spans="1:37" s="289" customFormat="1">
      <c r="A690" s="277"/>
      <c r="C690" s="277"/>
      <c r="D690" s="277"/>
      <c r="E690" s="277"/>
      <c r="F690" s="277"/>
      <c r="G690" s="277"/>
      <c r="H690" s="277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  <c r="AA690" s="277"/>
      <c r="AB690" s="277"/>
      <c r="AC690" s="277"/>
      <c r="AD690" s="277"/>
      <c r="AE690" s="277"/>
      <c r="AF690" s="277"/>
      <c r="AG690" s="277"/>
      <c r="AH690" s="277"/>
      <c r="AI690" s="277"/>
      <c r="AJ690" s="277"/>
      <c r="AK690" s="277"/>
    </row>
    <row r="691" spans="1:37" s="289" customFormat="1">
      <c r="A691" s="277"/>
      <c r="C691" s="277"/>
      <c r="D691" s="277"/>
      <c r="E691" s="277"/>
      <c r="F691" s="277"/>
      <c r="G691" s="277"/>
      <c r="H691" s="277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  <c r="AA691" s="277"/>
      <c r="AB691" s="277"/>
      <c r="AC691" s="277"/>
      <c r="AD691" s="277"/>
      <c r="AE691" s="277"/>
      <c r="AF691" s="277"/>
      <c r="AG691" s="277"/>
      <c r="AH691" s="277"/>
      <c r="AI691" s="277"/>
      <c r="AJ691" s="277"/>
      <c r="AK691" s="277"/>
    </row>
    <row r="692" spans="1:37" s="289" customFormat="1">
      <c r="A692" s="277"/>
      <c r="C692" s="277"/>
      <c r="D692" s="277"/>
      <c r="E692" s="277"/>
      <c r="F692" s="277"/>
      <c r="G692" s="277"/>
      <c r="H692" s="277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  <c r="AA692" s="277"/>
      <c r="AB692" s="277"/>
      <c r="AC692" s="277"/>
      <c r="AD692" s="277"/>
      <c r="AE692" s="277"/>
      <c r="AF692" s="277"/>
      <c r="AG692" s="277"/>
      <c r="AH692" s="277"/>
      <c r="AI692" s="277"/>
      <c r="AJ692" s="277"/>
      <c r="AK692" s="277"/>
    </row>
    <row r="693" spans="1:37" s="289" customFormat="1">
      <c r="A693" s="277"/>
      <c r="C693" s="277"/>
      <c r="D693" s="277"/>
      <c r="E693" s="277"/>
      <c r="F693" s="277"/>
      <c r="G693" s="277"/>
      <c r="H693" s="277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  <c r="AA693" s="277"/>
      <c r="AB693" s="277"/>
      <c r="AC693" s="277"/>
      <c r="AD693" s="277"/>
      <c r="AE693" s="277"/>
      <c r="AF693" s="277"/>
      <c r="AG693" s="277"/>
      <c r="AH693" s="277"/>
      <c r="AI693" s="277"/>
      <c r="AJ693" s="277"/>
      <c r="AK693" s="277"/>
    </row>
    <row r="694" spans="1:37" s="289" customFormat="1">
      <c r="A694" s="277"/>
      <c r="C694" s="277"/>
      <c r="D694" s="277"/>
      <c r="E694" s="277"/>
      <c r="F694" s="277"/>
      <c r="G694" s="277"/>
      <c r="H694" s="277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  <c r="AA694" s="277"/>
      <c r="AB694" s="277"/>
      <c r="AC694" s="277"/>
      <c r="AD694" s="277"/>
      <c r="AE694" s="277"/>
      <c r="AF694" s="277"/>
      <c r="AG694" s="277"/>
      <c r="AH694" s="277"/>
      <c r="AI694" s="277"/>
      <c r="AJ694" s="277"/>
      <c r="AK694" s="277"/>
    </row>
    <row r="695" spans="1:37" s="289" customFormat="1">
      <c r="A695" s="277"/>
      <c r="C695" s="277"/>
      <c r="D695" s="277"/>
      <c r="E695" s="277"/>
      <c r="F695" s="277"/>
      <c r="G695" s="277"/>
      <c r="H695" s="277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  <c r="AA695" s="277"/>
      <c r="AB695" s="277"/>
      <c r="AC695" s="277"/>
      <c r="AD695" s="277"/>
      <c r="AE695" s="277"/>
      <c r="AF695" s="277"/>
      <c r="AG695" s="277"/>
      <c r="AH695" s="277"/>
      <c r="AI695" s="277"/>
      <c r="AJ695" s="277"/>
      <c r="AK695" s="277"/>
    </row>
    <row r="696" spans="1:37" s="289" customFormat="1">
      <c r="A696" s="277"/>
      <c r="C696" s="277"/>
      <c r="D696" s="277"/>
      <c r="E696" s="277"/>
      <c r="F696" s="277"/>
      <c r="G696" s="277"/>
      <c r="H696" s="277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  <c r="AA696" s="277"/>
      <c r="AB696" s="277"/>
      <c r="AC696" s="277"/>
      <c r="AD696" s="277"/>
      <c r="AE696" s="277"/>
      <c r="AF696" s="277"/>
      <c r="AG696" s="277"/>
      <c r="AH696" s="277"/>
      <c r="AI696" s="277"/>
      <c r="AJ696" s="277"/>
      <c r="AK696" s="277"/>
    </row>
    <row r="697" spans="1:37" s="289" customFormat="1">
      <c r="A697" s="277"/>
      <c r="C697" s="277"/>
      <c r="D697" s="277"/>
      <c r="E697" s="277"/>
      <c r="F697" s="277"/>
      <c r="G697" s="277"/>
      <c r="H697" s="277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  <c r="AA697" s="277"/>
      <c r="AB697" s="277"/>
      <c r="AC697" s="277"/>
      <c r="AD697" s="277"/>
      <c r="AE697" s="277"/>
      <c r="AF697" s="277"/>
      <c r="AG697" s="277"/>
      <c r="AH697" s="277"/>
      <c r="AI697" s="277"/>
      <c r="AJ697" s="277"/>
      <c r="AK697" s="277"/>
    </row>
    <row r="698" spans="1:37" s="289" customFormat="1">
      <c r="A698" s="277"/>
      <c r="C698" s="277"/>
      <c r="D698" s="277"/>
      <c r="E698" s="277"/>
      <c r="F698" s="277"/>
      <c r="G698" s="277"/>
      <c r="H698" s="277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  <c r="AA698" s="277"/>
      <c r="AB698" s="277"/>
      <c r="AC698" s="277"/>
      <c r="AD698" s="277"/>
      <c r="AE698" s="277"/>
      <c r="AF698" s="277"/>
      <c r="AG698" s="277"/>
      <c r="AH698" s="277"/>
      <c r="AI698" s="277"/>
      <c r="AJ698" s="277"/>
      <c r="AK698" s="277"/>
    </row>
    <row r="699" spans="1:37" s="289" customFormat="1">
      <c r="A699" s="277"/>
      <c r="C699" s="277"/>
      <c r="D699" s="277"/>
      <c r="E699" s="277"/>
      <c r="F699" s="277"/>
      <c r="G699" s="277"/>
      <c r="H699" s="277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  <c r="AA699" s="277"/>
      <c r="AB699" s="277"/>
      <c r="AC699" s="277"/>
      <c r="AD699" s="277"/>
      <c r="AE699" s="277"/>
      <c r="AF699" s="277"/>
      <c r="AG699" s="277"/>
      <c r="AH699" s="277"/>
      <c r="AI699" s="277"/>
      <c r="AJ699" s="277"/>
      <c r="AK699" s="277"/>
    </row>
    <row r="700" spans="1:37" s="289" customFormat="1">
      <c r="A700" s="277"/>
      <c r="C700" s="277"/>
      <c r="D700" s="277"/>
      <c r="E700" s="277"/>
      <c r="F700" s="277"/>
      <c r="G700" s="277"/>
      <c r="H700" s="277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  <c r="AA700" s="277"/>
      <c r="AB700" s="277"/>
      <c r="AC700" s="277"/>
      <c r="AD700" s="277"/>
      <c r="AE700" s="277"/>
      <c r="AF700" s="277"/>
      <c r="AG700" s="277"/>
      <c r="AH700" s="277"/>
      <c r="AI700" s="277"/>
      <c r="AJ700" s="277"/>
      <c r="AK700" s="277"/>
    </row>
    <row r="701" spans="1:37" s="289" customFormat="1">
      <c r="A701" s="277"/>
      <c r="C701" s="277"/>
      <c r="D701" s="277"/>
      <c r="E701" s="277"/>
      <c r="F701" s="277"/>
      <c r="G701" s="277"/>
      <c r="H701" s="277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  <c r="AA701" s="277"/>
      <c r="AB701" s="277"/>
      <c r="AC701" s="277"/>
      <c r="AD701" s="277"/>
      <c r="AE701" s="277"/>
      <c r="AF701" s="277"/>
      <c r="AG701" s="277"/>
      <c r="AH701" s="277"/>
      <c r="AI701" s="277"/>
      <c r="AJ701" s="277"/>
      <c r="AK701" s="277"/>
    </row>
    <row r="702" spans="1:37" s="289" customFormat="1">
      <c r="A702" s="277"/>
      <c r="C702" s="277"/>
      <c r="D702" s="277"/>
      <c r="E702" s="277"/>
      <c r="F702" s="277"/>
      <c r="G702" s="277"/>
      <c r="H702" s="277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  <c r="AA702" s="277"/>
      <c r="AB702" s="277"/>
      <c r="AC702" s="277"/>
      <c r="AD702" s="277"/>
      <c r="AE702" s="277"/>
      <c r="AF702" s="277"/>
      <c r="AG702" s="277"/>
      <c r="AH702" s="277"/>
      <c r="AI702" s="277"/>
      <c r="AJ702" s="277"/>
      <c r="AK702" s="277"/>
    </row>
    <row r="703" spans="1:37" s="289" customFormat="1">
      <c r="A703" s="277"/>
      <c r="C703" s="277"/>
      <c r="D703" s="277"/>
      <c r="E703" s="277"/>
      <c r="F703" s="277"/>
      <c r="G703" s="277"/>
      <c r="H703" s="277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  <c r="AA703" s="277"/>
      <c r="AB703" s="277"/>
      <c r="AC703" s="277"/>
      <c r="AD703" s="277"/>
      <c r="AE703" s="277"/>
      <c r="AF703" s="277"/>
      <c r="AG703" s="277"/>
      <c r="AH703" s="277"/>
      <c r="AI703" s="277"/>
      <c r="AJ703" s="277"/>
      <c r="AK703" s="277"/>
    </row>
    <row r="704" spans="1:37" s="289" customFormat="1">
      <c r="A704" s="277"/>
      <c r="C704" s="277"/>
      <c r="D704" s="277"/>
      <c r="E704" s="277"/>
      <c r="F704" s="277"/>
      <c r="G704" s="277"/>
      <c r="H704" s="277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  <c r="AA704" s="277"/>
      <c r="AB704" s="277"/>
      <c r="AC704" s="277"/>
      <c r="AD704" s="277"/>
      <c r="AE704" s="277"/>
      <c r="AF704" s="277"/>
      <c r="AG704" s="277"/>
      <c r="AH704" s="277"/>
      <c r="AI704" s="277"/>
      <c r="AJ704" s="277"/>
      <c r="AK704" s="277"/>
    </row>
    <row r="705" spans="1:37" s="289" customFormat="1">
      <c r="A705" s="277"/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  <c r="AA705" s="277"/>
      <c r="AB705" s="277"/>
      <c r="AC705" s="277"/>
      <c r="AD705" s="277"/>
      <c r="AE705" s="277"/>
      <c r="AF705" s="277"/>
      <c r="AG705" s="277"/>
      <c r="AH705" s="277"/>
      <c r="AI705" s="277"/>
      <c r="AJ705" s="277"/>
      <c r="AK705" s="277"/>
    </row>
    <row r="706" spans="1:37" s="289" customFormat="1">
      <c r="A706" s="277"/>
      <c r="C706" s="277"/>
      <c r="D706" s="277"/>
      <c r="E706" s="277"/>
      <c r="F706" s="277"/>
      <c r="G706" s="277"/>
      <c r="H706" s="277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  <c r="AA706" s="277"/>
      <c r="AB706" s="277"/>
      <c r="AC706" s="277"/>
      <c r="AD706" s="277"/>
      <c r="AE706" s="277"/>
      <c r="AF706" s="277"/>
      <c r="AG706" s="277"/>
      <c r="AH706" s="277"/>
      <c r="AI706" s="277"/>
      <c r="AJ706" s="277"/>
      <c r="AK706" s="277"/>
    </row>
    <row r="707" spans="1:37" s="289" customFormat="1">
      <c r="A707" s="277"/>
      <c r="C707" s="277"/>
      <c r="D707" s="277"/>
      <c r="E707" s="277"/>
      <c r="F707" s="277"/>
      <c r="G707" s="277"/>
      <c r="H707" s="277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  <c r="AA707" s="277"/>
      <c r="AB707" s="277"/>
      <c r="AC707" s="277"/>
      <c r="AD707" s="277"/>
      <c r="AE707" s="277"/>
      <c r="AF707" s="277"/>
      <c r="AG707" s="277"/>
      <c r="AH707" s="277"/>
      <c r="AI707" s="277"/>
      <c r="AJ707" s="277"/>
      <c r="AK707" s="277"/>
    </row>
    <row r="708" spans="1:37" s="289" customFormat="1">
      <c r="A708" s="277"/>
      <c r="C708" s="277"/>
      <c r="D708" s="277"/>
      <c r="E708" s="277"/>
      <c r="F708" s="277"/>
      <c r="G708" s="277"/>
      <c r="H708" s="277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  <c r="AA708" s="277"/>
      <c r="AB708" s="277"/>
      <c r="AC708" s="277"/>
      <c r="AD708" s="277"/>
      <c r="AE708" s="277"/>
      <c r="AF708" s="277"/>
      <c r="AG708" s="277"/>
      <c r="AH708" s="277"/>
      <c r="AI708" s="277"/>
      <c r="AJ708" s="277"/>
      <c r="AK708" s="277"/>
    </row>
    <row r="709" spans="1:37" s="289" customFormat="1">
      <c r="A709" s="277"/>
      <c r="C709" s="277"/>
      <c r="D709" s="277"/>
      <c r="E709" s="277"/>
      <c r="F709" s="277"/>
      <c r="G709" s="277"/>
      <c r="H709" s="277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  <c r="AA709" s="277"/>
      <c r="AB709" s="277"/>
      <c r="AC709" s="277"/>
      <c r="AD709" s="277"/>
      <c r="AE709" s="277"/>
      <c r="AF709" s="277"/>
      <c r="AG709" s="277"/>
      <c r="AH709" s="277"/>
      <c r="AI709" s="277"/>
      <c r="AJ709" s="277"/>
      <c r="AK709" s="277"/>
    </row>
    <row r="710" spans="1:37" s="289" customFormat="1">
      <c r="A710" s="277"/>
      <c r="C710" s="277"/>
      <c r="D710" s="277"/>
      <c r="E710" s="277"/>
      <c r="F710" s="277"/>
      <c r="G710" s="277"/>
      <c r="H710" s="277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  <c r="AA710" s="277"/>
      <c r="AB710" s="277"/>
      <c r="AC710" s="277"/>
      <c r="AD710" s="277"/>
      <c r="AE710" s="277"/>
      <c r="AF710" s="277"/>
      <c r="AG710" s="277"/>
      <c r="AH710" s="277"/>
      <c r="AI710" s="277"/>
      <c r="AJ710" s="277"/>
      <c r="AK710" s="277"/>
    </row>
    <row r="711" spans="1:37" s="289" customFormat="1">
      <c r="A711" s="277"/>
      <c r="C711" s="277"/>
      <c r="D711" s="277"/>
      <c r="E711" s="277"/>
      <c r="F711" s="277"/>
      <c r="G711" s="277"/>
      <c r="H711" s="277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  <c r="AA711" s="277"/>
      <c r="AB711" s="277"/>
      <c r="AC711" s="277"/>
      <c r="AD711" s="277"/>
      <c r="AE711" s="277"/>
      <c r="AF711" s="277"/>
      <c r="AG711" s="277"/>
      <c r="AH711" s="277"/>
      <c r="AI711" s="277"/>
      <c r="AJ711" s="277"/>
      <c r="AK711" s="277"/>
    </row>
    <row r="712" spans="1:37" s="289" customFormat="1">
      <c r="A712" s="277"/>
      <c r="C712" s="277"/>
      <c r="D712" s="277"/>
      <c r="E712" s="277"/>
      <c r="F712" s="277"/>
      <c r="G712" s="277"/>
      <c r="H712" s="277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  <c r="AA712" s="277"/>
      <c r="AB712" s="277"/>
      <c r="AC712" s="277"/>
      <c r="AD712" s="277"/>
      <c r="AE712" s="277"/>
      <c r="AF712" s="277"/>
      <c r="AG712" s="277"/>
      <c r="AH712" s="277"/>
      <c r="AI712" s="277"/>
      <c r="AJ712" s="277"/>
      <c r="AK712" s="277"/>
    </row>
    <row r="713" spans="1:37" s="289" customFormat="1">
      <c r="A713" s="277"/>
      <c r="C713" s="277"/>
      <c r="D713" s="277"/>
      <c r="E713" s="277"/>
      <c r="F713" s="277"/>
      <c r="G713" s="277"/>
      <c r="H713" s="277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  <c r="AA713" s="277"/>
      <c r="AB713" s="277"/>
      <c r="AC713" s="277"/>
      <c r="AD713" s="277"/>
      <c r="AE713" s="277"/>
      <c r="AF713" s="277"/>
      <c r="AG713" s="277"/>
      <c r="AH713" s="277"/>
      <c r="AI713" s="277"/>
      <c r="AJ713" s="277"/>
      <c r="AK713" s="277"/>
    </row>
    <row r="714" spans="1:37" s="289" customFormat="1">
      <c r="A714" s="277"/>
      <c r="C714" s="277"/>
      <c r="D714" s="277"/>
      <c r="E714" s="277"/>
      <c r="F714" s="277"/>
      <c r="G714" s="277"/>
      <c r="H714" s="277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  <c r="AA714" s="277"/>
      <c r="AB714" s="277"/>
      <c r="AC714" s="277"/>
      <c r="AD714" s="277"/>
      <c r="AE714" s="277"/>
      <c r="AF714" s="277"/>
      <c r="AG714" s="277"/>
      <c r="AH714" s="277"/>
      <c r="AI714" s="277"/>
      <c r="AJ714" s="277"/>
      <c r="AK714" s="277"/>
    </row>
    <row r="715" spans="1:37" s="289" customFormat="1">
      <c r="A715" s="277"/>
      <c r="C715" s="277"/>
      <c r="D715" s="277"/>
      <c r="E715" s="277"/>
      <c r="F715" s="277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</row>
    <row r="716" spans="1:37" s="289" customFormat="1">
      <c r="A716" s="277"/>
      <c r="C716" s="277"/>
      <c r="D716" s="277"/>
      <c r="E716" s="277"/>
      <c r="F716" s="277"/>
      <c r="G716" s="277"/>
      <c r="H716" s="277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  <c r="AA716" s="277"/>
      <c r="AB716" s="277"/>
      <c r="AC716" s="277"/>
      <c r="AD716" s="277"/>
      <c r="AE716" s="277"/>
      <c r="AF716" s="277"/>
      <c r="AG716" s="277"/>
      <c r="AH716" s="277"/>
      <c r="AI716" s="277"/>
      <c r="AJ716" s="277"/>
      <c r="AK716" s="277"/>
    </row>
    <row r="717" spans="1:37" s="289" customFormat="1">
      <c r="A717" s="277"/>
      <c r="C717" s="277"/>
      <c r="D717" s="277"/>
      <c r="E717" s="277"/>
      <c r="F717" s="277"/>
      <c r="G717" s="277"/>
      <c r="H717" s="277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  <c r="AA717" s="277"/>
      <c r="AB717" s="277"/>
      <c r="AC717" s="277"/>
      <c r="AD717" s="277"/>
      <c r="AE717" s="277"/>
      <c r="AF717" s="277"/>
      <c r="AG717" s="277"/>
      <c r="AH717" s="277"/>
      <c r="AI717" s="277"/>
      <c r="AJ717" s="277"/>
      <c r="AK717" s="277"/>
    </row>
    <row r="718" spans="1:37" s="289" customFormat="1">
      <c r="A718" s="277"/>
      <c r="C718" s="277"/>
      <c r="D718" s="277"/>
      <c r="E718" s="277"/>
      <c r="F718" s="277"/>
      <c r="G718" s="277"/>
      <c r="H718" s="277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  <c r="AA718" s="277"/>
      <c r="AB718" s="277"/>
      <c r="AC718" s="277"/>
      <c r="AD718" s="277"/>
      <c r="AE718" s="277"/>
      <c r="AF718" s="277"/>
      <c r="AG718" s="277"/>
      <c r="AH718" s="277"/>
      <c r="AI718" s="277"/>
      <c r="AJ718" s="277"/>
      <c r="AK718" s="277"/>
    </row>
    <row r="719" spans="1:37" s="289" customFormat="1">
      <c r="A719" s="277"/>
      <c r="C719" s="277"/>
      <c r="D719" s="277"/>
      <c r="E719" s="277"/>
      <c r="F719" s="277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</row>
    <row r="720" spans="1:37" s="289" customFormat="1">
      <c r="A720" s="277"/>
      <c r="C720" s="277"/>
      <c r="D720" s="277"/>
      <c r="E720" s="277"/>
      <c r="F720" s="277"/>
      <c r="G720" s="277"/>
      <c r="H720" s="277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  <c r="AA720" s="277"/>
      <c r="AB720" s="277"/>
      <c r="AC720" s="277"/>
      <c r="AD720" s="277"/>
      <c r="AE720" s="277"/>
      <c r="AF720" s="277"/>
      <c r="AG720" s="277"/>
      <c r="AH720" s="277"/>
      <c r="AI720" s="277"/>
      <c r="AJ720" s="277"/>
      <c r="AK720" s="277"/>
    </row>
    <row r="721" spans="1:37" s="289" customFormat="1">
      <c r="A721" s="277"/>
      <c r="C721" s="277"/>
      <c r="D721" s="277"/>
      <c r="E721" s="277"/>
      <c r="F721" s="277"/>
      <c r="G721" s="277"/>
      <c r="H721" s="277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  <c r="AA721" s="277"/>
      <c r="AB721" s="277"/>
      <c r="AC721" s="277"/>
      <c r="AD721" s="277"/>
      <c r="AE721" s="277"/>
      <c r="AF721" s="277"/>
      <c r="AG721" s="277"/>
      <c r="AH721" s="277"/>
      <c r="AI721" s="277"/>
      <c r="AJ721" s="277"/>
      <c r="AK721" s="277"/>
    </row>
    <row r="722" spans="1:37" s="289" customFormat="1">
      <c r="A722" s="277"/>
      <c r="C722" s="277"/>
      <c r="D722" s="277"/>
      <c r="E722" s="277"/>
      <c r="F722" s="277"/>
      <c r="G722" s="277"/>
      <c r="H722" s="277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  <c r="AA722" s="277"/>
      <c r="AB722" s="277"/>
      <c r="AC722" s="277"/>
      <c r="AD722" s="277"/>
      <c r="AE722" s="277"/>
      <c r="AF722" s="277"/>
      <c r="AG722" s="277"/>
      <c r="AH722" s="277"/>
      <c r="AI722" s="277"/>
      <c r="AJ722" s="277"/>
      <c r="AK722" s="277"/>
    </row>
    <row r="723" spans="1:37" s="289" customFormat="1">
      <c r="A723" s="277"/>
      <c r="C723" s="277"/>
      <c r="D723" s="277"/>
      <c r="E723" s="277"/>
      <c r="F723" s="277"/>
      <c r="G723" s="277"/>
      <c r="H723" s="277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  <c r="AA723" s="277"/>
      <c r="AB723" s="277"/>
      <c r="AC723" s="277"/>
      <c r="AD723" s="277"/>
      <c r="AE723" s="277"/>
      <c r="AF723" s="277"/>
      <c r="AG723" s="277"/>
      <c r="AH723" s="277"/>
      <c r="AI723" s="277"/>
      <c r="AJ723" s="277"/>
      <c r="AK723" s="277"/>
    </row>
    <row r="724" spans="1:37" s="289" customFormat="1">
      <c r="A724" s="277"/>
      <c r="C724" s="277"/>
      <c r="D724" s="277"/>
      <c r="E724" s="277"/>
      <c r="F724" s="277"/>
      <c r="G724" s="277"/>
      <c r="H724" s="277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  <c r="AA724" s="277"/>
      <c r="AB724" s="277"/>
      <c r="AC724" s="277"/>
      <c r="AD724" s="277"/>
      <c r="AE724" s="277"/>
      <c r="AF724" s="277"/>
      <c r="AG724" s="277"/>
      <c r="AH724" s="277"/>
      <c r="AI724" s="277"/>
      <c r="AJ724" s="277"/>
      <c r="AK724" s="277"/>
    </row>
    <row r="725" spans="1:37" s="289" customFormat="1">
      <c r="A725" s="277"/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</row>
    <row r="726" spans="1:37" s="289" customFormat="1">
      <c r="A726" s="277"/>
      <c r="C726" s="277"/>
      <c r="D726" s="277"/>
      <c r="E726" s="277"/>
      <c r="F726" s="277"/>
      <c r="G726" s="277"/>
      <c r="H726" s="277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  <c r="AA726" s="277"/>
      <c r="AB726" s="277"/>
      <c r="AC726" s="277"/>
      <c r="AD726" s="277"/>
      <c r="AE726" s="277"/>
      <c r="AF726" s="277"/>
      <c r="AG726" s="277"/>
      <c r="AH726" s="277"/>
      <c r="AI726" s="277"/>
      <c r="AJ726" s="277"/>
      <c r="AK726" s="277"/>
    </row>
    <row r="727" spans="1:37" s="289" customFormat="1">
      <c r="A727" s="277"/>
      <c r="C727" s="277"/>
      <c r="D727" s="277"/>
      <c r="E727" s="277"/>
      <c r="F727" s="277"/>
      <c r="G727" s="277"/>
      <c r="H727" s="277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  <c r="AA727" s="277"/>
      <c r="AB727" s="277"/>
      <c r="AC727" s="277"/>
      <c r="AD727" s="277"/>
      <c r="AE727" s="277"/>
      <c r="AF727" s="277"/>
      <c r="AG727" s="277"/>
      <c r="AH727" s="277"/>
      <c r="AI727" s="277"/>
      <c r="AJ727" s="277"/>
      <c r="AK727" s="277"/>
    </row>
    <row r="728" spans="1:37" s="289" customFormat="1">
      <c r="A728" s="277"/>
      <c r="C728" s="277"/>
      <c r="D728" s="277"/>
      <c r="E728" s="277"/>
      <c r="F728" s="277"/>
      <c r="G728" s="277"/>
      <c r="H728" s="277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  <c r="AA728" s="277"/>
      <c r="AB728" s="277"/>
      <c r="AC728" s="277"/>
      <c r="AD728" s="277"/>
      <c r="AE728" s="277"/>
      <c r="AF728" s="277"/>
      <c r="AG728" s="277"/>
      <c r="AH728" s="277"/>
      <c r="AI728" s="277"/>
      <c r="AJ728" s="277"/>
      <c r="AK728" s="277"/>
    </row>
    <row r="729" spans="1:37" s="289" customFormat="1">
      <c r="A729" s="277"/>
      <c r="C729" s="277"/>
      <c r="D729" s="277"/>
      <c r="E729" s="277"/>
      <c r="F729" s="277"/>
      <c r="G729" s="277"/>
      <c r="H729" s="277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  <c r="AA729" s="277"/>
      <c r="AB729" s="277"/>
      <c r="AC729" s="277"/>
      <c r="AD729" s="277"/>
      <c r="AE729" s="277"/>
      <c r="AF729" s="277"/>
      <c r="AG729" s="277"/>
      <c r="AH729" s="277"/>
      <c r="AI729" s="277"/>
      <c r="AJ729" s="277"/>
      <c r="AK729" s="277"/>
    </row>
    <row r="730" spans="1:37" s="289" customFormat="1">
      <c r="A730" s="277"/>
      <c r="C730" s="277"/>
      <c r="D730" s="277"/>
      <c r="E730" s="277"/>
      <c r="F730" s="277"/>
      <c r="G730" s="277"/>
      <c r="H730" s="277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  <c r="AA730" s="277"/>
      <c r="AB730" s="277"/>
      <c r="AC730" s="277"/>
      <c r="AD730" s="277"/>
      <c r="AE730" s="277"/>
      <c r="AF730" s="277"/>
      <c r="AG730" s="277"/>
      <c r="AH730" s="277"/>
      <c r="AI730" s="277"/>
      <c r="AJ730" s="277"/>
      <c r="AK730" s="277"/>
    </row>
    <row r="731" spans="1:37" s="289" customFormat="1">
      <c r="A731" s="277"/>
      <c r="C731" s="277"/>
      <c r="D731" s="277"/>
      <c r="E731" s="277"/>
      <c r="F731" s="277"/>
      <c r="G731" s="277"/>
      <c r="H731" s="277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  <c r="AA731" s="277"/>
      <c r="AB731" s="277"/>
      <c r="AC731" s="277"/>
      <c r="AD731" s="277"/>
      <c r="AE731" s="277"/>
      <c r="AF731" s="277"/>
      <c r="AG731" s="277"/>
      <c r="AH731" s="277"/>
      <c r="AI731" s="277"/>
      <c r="AJ731" s="277"/>
      <c r="AK731" s="277"/>
    </row>
    <row r="732" spans="1:37" s="289" customFormat="1">
      <c r="A732" s="277"/>
      <c r="C732" s="277"/>
      <c r="D732" s="277"/>
      <c r="E732" s="277"/>
      <c r="F732" s="277"/>
      <c r="G732" s="277"/>
      <c r="H732" s="277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  <c r="AA732" s="277"/>
      <c r="AB732" s="277"/>
      <c r="AC732" s="277"/>
      <c r="AD732" s="277"/>
      <c r="AE732" s="277"/>
      <c r="AF732" s="277"/>
      <c r="AG732" s="277"/>
      <c r="AH732" s="277"/>
      <c r="AI732" s="277"/>
      <c r="AJ732" s="277"/>
      <c r="AK732" s="277"/>
    </row>
    <row r="733" spans="1:37" s="289" customFormat="1">
      <c r="A733" s="277"/>
      <c r="C733" s="277"/>
      <c r="D733" s="277"/>
      <c r="E733" s="277"/>
      <c r="F733" s="277"/>
      <c r="G733" s="277"/>
      <c r="H733" s="277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  <c r="AA733" s="277"/>
      <c r="AB733" s="277"/>
      <c r="AC733" s="277"/>
      <c r="AD733" s="277"/>
      <c r="AE733" s="277"/>
      <c r="AF733" s="277"/>
      <c r="AG733" s="277"/>
      <c r="AH733" s="277"/>
      <c r="AI733" s="277"/>
      <c r="AJ733" s="277"/>
      <c r="AK733" s="277"/>
    </row>
    <row r="734" spans="1:37" s="289" customFormat="1">
      <c r="A734" s="277"/>
      <c r="C734" s="277"/>
      <c r="D734" s="277"/>
      <c r="E734" s="277"/>
      <c r="F734" s="277"/>
      <c r="G734" s="277"/>
      <c r="H734" s="277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  <c r="AA734" s="277"/>
      <c r="AB734" s="277"/>
      <c r="AC734" s="277"/>
      <c r="AD734" s="277"/>
      <c r="AE734" s="277"/>
      <c r="AF734" s="277"/>
      <c r="AG734" s="277"/>
      <c r="AH734" s="277"/>
      <c r="AI734" s="277"/>
      <c r="AJ734" s="277"/>
      <c r="AK734" s="277"/>
    </row>
    <row r="735" spans="1:37" s="289" customFormat="1">
      <c r="A735" s="277"/>
      <c r="C735" s="277"/>
      <c r="D735" s="277"/>
      <c r="E735" s="277"/>
      <c r="F735" s="277"/>
      <c r="G735" s="277"/>
      <c r="H735" s="277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  <c r="AA735" s="277"/>
      <c r="AB735" s="277"/>
      <c r="AC735" s="277"/>
      <c r="AD735" s="277"/>
      <c r="AE735" s="277"/>
      <c r="AF735" s="277"/>
      <c r="AG735" s="277"/>
      <c r="AH735" s="277"/>
      <c r="AI735" s="277"/>
      <c r="AJ735" s="277"/>
      <c r="AK735" s="277"/>
    </row>
    <row r="736" spans="1:37" s="289" customFormat="1">
      <c r="A736" s="277"/>
      <c r="C736" s="277"/>
      <c r="D736" s="277"/>
      <c r="E736" s="277"/>
      <c r="F736" s="277"/>
      <c r="G736" s="277"/>
      <c r="H736" s="277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  <c r="AA736" s="277"/>
      <c r="AB736" s="277"/>
      <c r="AC736" s="277"/>
      <c r="AD736" s="277"/>
      <c r="AE736" s="277"/>
      <c r="AF736" s="277"/>
      <c r="AG736" s="277"/>
      <c r="AH736" s="277"/>
      <c r="AI736" s="277"/>
      <c r="AJ736" s="277"/>
      <c r="AK736" s="277"/>
    </row>
    <row r="737" spans="1:37" s="289" customFormat="1">
      <c r="A737" s="277"/>
      <c r="C737" s="277"/>
      <c r="D737" s="277"/>
      <c r="E737" s="277"/>
      <c r="F737" s="277"/>
      <c r="G737" s="277"/>
      <c r="H737" s="277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  <c r="AA737" s="277"/>
      <c r="AB737" s="277"/>
      <c r="AC737" s="277"/>
      <c r="AD737" s="277"/>
      <c r="AE737" s="277"/>
      <c r="AF737" s="277"/>
      <c r="AG737" s="277"/>
      <c r="AH737" s="277"/>
      <c r="AI737" s="277"/>
      <c r="AJ737" s="277"/>
      <c r="AK737" s="277"/>
    </row>
    <row r="738" spans="1:37" s="289" customFormat="1">
      <c r="A738" s="277"/>
      <c r="C738" s="277"/>
      <c r="D738" s="277"/>
      <c r="E738" s="277"/>
      <c r="F738" s="277"/>
      <c r="G738" s="277"/>
      <c r="H738" s="277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  <c r="AA738" s="277"/>
      <c r="AB738" s="277"/>
      <c r="AC738" s="277"/>
      <c r="AD738" s="277"/>
      <c r="AE738" s="277"/>
      <c r="AF738" s="277"/>
      <c r="AG738" s="277"/>
      <c r="AH738" s="277"/>
      <c r="AI738" s="277"/>
      <c r="AJ738" s="277"/>
      <c r="AK738" s="277"/>
    </row>
    <row r="739" spans="1:37" s="289" customFormat="1">
      <c r="A739" s="277"/>
      <c r="C739" s="277"/>
      <c r="D739" s="277"/>
      <c r="E739" s="277"/>
      <c r="F739" s="277"/>
      <c r="G739" s="277"/>
      <c r="H739" s="277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  <c r="AA739" s="277"/>
      <c r="AB739" s="277"/>
      <c r="AC739" s="277"/>
      <c r="AD739" s="277"/>
      <c r="AE739" s="277"/>
      <c r="AF739" s="277"/>
      <c r="AG739" s="277"/>
      <c r="AH739" s="277"/>
      <c r="AI739" s="277"/>
      <c r="AJ739" s="277"/>
      <c r="AK739" s="277"/>
    </row>
    <row r="740" spans="1:37" s="289" customFormat="1">
      <c r="A740" s="277"/>
      <c r="C740" s="277"/>
      <c r="D740" s="277"/>
      <c r="E740" s="277"/>
      <c r="F740" s="277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</row>
    <row r="741" spans="1:37" s="289" customFormat="1">
      <c r="A741" s="277"/>
      <c r="C741" s="277"/>
      <c r="D741" s="277"/>
      <c r="E741" s="277"/>
      <c r="F741" s="277"/>
      <c r="G741" s="277"/>
      <c r="H741" s="277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  <c r="AA741" s="277"/>
      <c r="AB741" s="277"/>
      <c r="AC741" s="277"/>
      <c r="AD741" s="277"/>
      <c r="AE741" s="277"/>
      <c r="AF741" s="277"/>
      <c r="AG741" s="277"/>
      <c r="AH741" s="277"/>
      <c r="AI741" s="277"/>
      <c r="AJ741" s="277"/>
      <c r="AK741" s="277"/>
    </row>
    <row r="742" spans="1:37" s="289" customFormat="1">
      <c r="A742" s="277"/>
      <c r="C742" s="277"/>
      <c r="D742" s="277"/>
      <c r="E742" s="277"/>
      <c r="F742" s="277"/>
      <c r="G742" s="277"/>
      <c r="H742" s="277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  <c r="AA742" s="277"/>
      <c r="AB742" s="277"/>
      <c r="AC742" s="277"/>
      <c r="AD742" s="277"/>
      <c r="AE742" s="277"/>
      <c r="AF742" s="277"/>
      <c r="AG742" s="277"/>
      <c r="AH742" s="277"/>
      <c r="AI742" s="277"/>
      <c r="AJ742" s="277"/>
      <c r="AK742" s="277"/>
    </row>
    <row r="743" spans="1:37" s="289" customFormat="1">
      <c r="A743" s="277"/>
      <c r="C743" s="277"/>
      <c r="D743" s="277"/>
      <c r="E743" s="277"/>
      <c r="F743" s="277"/>
      <c r="G743" s="277"/>
      <c r="H743" s="277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  <c r="AA743" s="277"/>
      <c r="AB743" s="277"/>
      <c r="AC743" s="277"/>
      <c r="AD743" s="277"/>
      <c r="AE743" s="277"/>
      <c r="AF743" s="277"/>
      <c r="AG743" s="277"/>
      <c r="AH743" s="277"/>
      <c r="AI743" s="277"/>
      <c r="AJ743" s="277"/>
      <c r="AK743" s="277"/>
    </row>
    <row r="744" spans="1:37" s="289" customFormat="1">
      <c r="A744" s="277"/>
      <c r="C744" s="277"/>
      <c r="D744" s="277"/>
      <c r="E744" s="277"/>
      <c r="F744" s="277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</row>
    <row r="745" spans="1:37" s="289" customFormat="1">
      <c r="A745" s="277"/>
      <c r="C745" s="277"/>
      <c r="D745" s="277"/>
      <c r="E745" s="277"/>
      <c r="F745" s="277"/>
      <c r="G745" s="277"/>
      <c r="H745" s="277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  <c r="AA745" s="277"/>
      <c r="AB745" s="277"/>
      <c r="AC745" s="277"/>
      <c r="AD745" s="277"/>
      <c r="AE745" s="277"/>
      <c r="AF745" s="277"/>
      <c r="AG745" s="277"/>
      <c r="AH745" s="277"/>
      <c r="AI745" s="277"/>
      <c r="AJ745" s="277"/>
      <c r="AK745" s="277"/>
    </row>
    <row r="746" spans="1:37" s="289" customFormat="1">
      <c r="A746" s="277"/>
      <c r="C746" s="277"/>
      <c r="D746" s="277"/>
      <c r="E746" s="277"/>
      <c r="F746" s="277"/>
      <c r="G746" s="277"/>
      <c r="H746" s="277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  <c r="AA746" s="277"/>
      <c r="AB746" s="277"/>
      <c r="AC746" s="277"/>
      <c r="AD746" s="277"/>
      <c r="AE746" s="277"/>
      <c r="AF746" s="277"/>
      <c r="AG746" s="277"/>
      <c r="AH746" s="277"/>
      <c r="AI746" s="277"/>
      <c r="AJ746" s="277"/>
      <c r="AK746" s="277"/>
    </row>
    <row r="747" spans="1:37" s="289" customFormat="1">
      <c r="A747" s="277"/>
      <c r="C747" s="277"/>
      <c r="D747" s="277"/>
      <c r="E747" s="277"/>
      <c r="F747" s="277"/>
      <c r="G747" s="277"/>
      <c r="H747" s="277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  <c r="AA747" s="277"/>
      <c r="AB747" s="277"/>
      <c r="AC747" s="277"/>
      <c r="AD747" s="277"/>
      <c r="AE747" s="277"/>
      <c r="AF747" s="277"/>
      <c r="AG747" s="277"/>
      <c r="AH747" s="277"/>
      <c r="AI747" s="277"/>
      <c r="AJ747" s="277"/>
      <c r="AK747" s="277"/>
    </row>
    <row r="748" spans="1:37" s="289" customFormat="1">
      <c r="A748" s="277"/>
      <c r="C748" s="277"/>
      <c r="D748" s="277"/>
      <c r="E748" s="277"/>
      <c r="F748" s="277"/>
      <c r="G748" s="277"/>
      <c r="H748" s="277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  <c r="AA748" s="277"/>
      <c r="AB748" s="277"/>
      <c r="AC748" s="277"/>
      <c r="AD748" s="277"/>
      <c r="AE748" s="277"/>
      <c r="AF748" s="277"/>
      <c r="AG748" s="277"/>
      <c r="AH748" s="277"/>
      <c r="AI748" s="277"/>
      <c r="AJ748" s="277"/>
      <c r="AK748" s="277"/>
    </row>
    <row r="749" spans="1:37" s="289" customFormat="1">
      <c r="A749" s="277"/>
      <c r="C749" s="277"/>
      <c r="D749" s="277"/>
      <c r="E749" s="277"/>
      <c r="F749" s="277"/>
      <c r="G749" s="277"/>
      <c r="H749" s="277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  <c r="AA749" s="277"/>
      <c r="AB749" s="277"/>
      <c r="AC749" s="277"/>
      <c r="AD749" s="277"/>
      <c r="AE749" s="277"/>
      <c r="AF749" s="277"/>
      <c r="AG749" s="277"/>
      <c r="AH749" s="277"/>
      <c r="AI749" s="277"/>
      <c r="AJ749" s="277"/>
      <c r="AK749" s="277"/>
    </row>
    <row r="750" spans="1:37" s="289" customFormat="1">
      <c r="A750" s="277"/>
      <c r="C750" s="277"/>
      <c r="D750" s="277"/>
      <c r="E750" s="277"/>
      <c r="F750" s="277"/>
      <c r="G750" s="277"/>
      <c r="H750" s="277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  <c r="AA750" s="277"/>
      <c r="AB750" s="277"/>
      <c r="AC750" s="277"/>
      <c r="AD750" s="277"/>
      <c r="AE750" s="277"/>
      <c r="AF750" s="277"/>
      <c r="AG750" s="277"/>
      <c r="AH750" s="277"/>
      <c r="AI750" s="277"/>
      <c r="AJ750" s="277"/>
      <c r="AK750" s="277"/>
    </row>
    <row r="751" spans="1:37" s="289" customFormat="1">
      <c r="A751" s="277"/>
      <c r="C751" s="277"/>
      <c r="D751" s="277"/>
      <c r="E751" s="277"/>
      <c r="F751" s="277"/>
      <c r="G751" s="277"/>
      <c r="H751" s="277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  <c r="AA751" s="277"/>
      <c r="AB751" s="277"/>
      <c r="AC751" s="277"/>
      <c r="AD751" s="277"/>
      <c r="AE751" s="277"/>
      <c r="AF751" s="277"/>
      <c r="AG751" s="277"/>
      <c r="AH751" s="277"/>
      <c r="AI751" s="277"/>
      <c r="AJ751" s="277"/>
      <c r="AK751" s="277"/>
    </row>
    <row r="752" spans="1:37" s="289" customFormat="1">
      <c r="A752" s="277"/>
      <c r="C752" s="277"/>
      <c r="D752" s="277"/>
      <c r="E752" s="277"/>
      <c r="F752" s="277"/>
      <c r="G752" s="277"/>
      <c r="H752" s="277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  <c r="AA752" s="277"/>
      <c r="AB752" s="277"/>
      <c r="AC752" s="277"/>
      <c r="AD752" s="277"/>
      <c r="AE752" s="277"/>
      <c r="AF752" s="277"/>
      <c r="AG752" s="277"/>
      <c r="AH752" s="277"/>
      <c r="AI752" s="277"/>
      <c r="AJ752" s="277"/>
      <c r="AK752" s="277"/>
    </row>
    <row r="753" spans="1:37" s="289" customFormat="1">
      <c r="A753" s="277"/>
      <c r="C753" s="277"/>
      <c r="D753" s="277"/>
      <c r="E753" s="277"/>
      <c r="F753" s="277"/>
      <c r="G753" s="277"/>
      <c r="H753" s="277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  <c r="AA753" s="277"/>
      <c r="AB753" s="277"/>
      <c r="AC753" s="277"/>
      <c r="AD753" s="277"/>
      <c r="AE753" s="277"/>
      <c r="AF753" s="277"/>
      <c r="AG753" s="277"/>
      <c r="AH753" s="277"/>
      <c r="AI753" s="277"/>
      <c r="AJ753" s="277"/>
      <c r="AK753" s="277"/>
    </row>
    <row r="754" spans="1:37" s="289" customFormat="1">
      <c r="A754" s="277"/>
      <c r="C754" s="277"/>
      <c r="D754" s="277"/>
      <c r="E754" s="277"/>
      <c r="F754" s="277"/>
      <c r="G754" s="277"/>
      <c r="H754" s="277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  <c r="AA754" s="277"/>
      <c r="AB754" s="277"/>
      <c r="AC754" s="277"/>
      <c r="AD754" s="277"/>
      <c r="AE754" s="277"/>
      <c r="AF754" s="277"/>
      <c r="AG754" s="277"/>
      <c r="AH754" s="277"/>
      <c r="AI754" s="277"/>
      <c r="AJ754" s="277"/>
      <c r="AK754" s="277"/>
    </row>
    <row r="755" spans="1:37" s="289" customFormat="1">
      <c r="A755" s="277"/>
      <c r="C755" s="277"/>
      <c r="D755" s="277"/>
      <c r="E755" s="277"/>
      <c r="F755" s="277"/>
      <c r="G755" s="277"/>
      <c r="H755" s="277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  <c r="AA755" s="277"/>
      <c r="AB755" s="277"/>
      <c r="AC755" s="277"/>
      <c r="AD755" s="277"/>
      <c r="AE755" s="277"/>
      <c r="AF755" s="277"/>
      <c r="AG755" s="277"/>
      <c r="AH755" s="277"/>
      <c r="AI755" s="277"/>
      <c r="AJ755" s="277"/>
      <c r="AK755" s="277"/>
    </row>
    <row r="756" spans="1:37" s="289" customFormat="1">
      <c r="A756" s="277"/>
      <c r="C756" s="277"/>
      <c r="D756" s="277"/>
      <c r="E756" s="277"/>
      <c r="F756" s="277"/>
      <c r="G756" s="277"/>
      <c r="H756" s="277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  <c r="AA756" s="277"/>
      <c r="AB756" s="277"/>
      <c r="AC756" s="277"/>
      <c r="AD756" s="277"/>
      <c r="AE756" s="277"/>
      <c r="AF756" s="277"/>
      <c r="AG756" s="277"/>
      <c r="AH756" s="277"/>
      <c r="AI756" s="277"/>
      <c r="AJ756" s="277"/>
      <c r="AK756" s="277"/>
    </row>
    <row r="757" spans="1:37" s="289" customFormat="1">
      <c r="A757" s="277"/>
      <c r="C757" s="277"/>
      <c r="D757" s="277"/>
      <c r="E757" s="277"/>
      <c r="F757" s="277"/>
      <c r="G757" s="277"/>
      <c r="H757" s="277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  <c r="AA757" s="277"/>
      <c r="AB757" s="277"/>
      <c r="AC757" s="277"/>
      <c r="AD757" s="277"/>
      <c r="AE757" s="277"/>
      <c r="AF757" s="277"/>
      <c r="AG757" s="277"/>
      <c r="AH757" s="277"/>
      <c r="AI757" s="277"/>
      <c r="AJ757" s="277"/>
      <c r="AK757" s="277"/>
    </row>
    <row r="758" spans="1:37" s="289" customFormat="1">
      <c r="A758" s="277"/>
      <c r="C758" s="277"/>
      <c r="D758" s="277"/>
      <c r="E758" s="277"/>
      <c r="F758" s="277"/>
      <c r="G758" s="277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</row>
    <row r="759" spans="1:37" s="289" customFormat="1">
      <c r="A759" s="277"/>
      <c r="C759" s="277"/>
      <c r="D759" s="277"/>
      <c r="E759" s="277"/>
      <c r="F759" s="277"/>
      <c r="G759" s="277"/>
      <c r="H759" s="277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  <c r="AA759" s="277"/>
      <c r="AB759" s="277"/>
      <c r="AC759" s="277"/>
      <c r="AD759" s="277"/>
      <c r="AE759" s="277"/>
      <c r="AF759" s="277"/>
      <c r="AG759" s="277"/>
      <c r="AH759" s="277"/>
      <c r="AI759" s="277"/>
      <c r="AJ759" s="277"/>
      <c r="AK759" s="277"/>
    </row>
    <row r="760" spans="1:37" s="289" customFormat="1">
      <c r="A760" s="277"/>
      <c r="C760" s="277"/>
      <c r="D760" s="277"/>
      <c r="E760" s="277"/>
      <c r="F760" s="277"/>
      <c r="G760" s="277"/>
      <c r="H760" s="277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  <c r="AA760" s="277"/>
      <c r="AB760" s="277"/>
      <c r="AC760" s="277"/>
      <c r="AD760" s="277"/>
      <c r="AE760" s="277"/>
      <c r="AF760" s="277"/>
      <c r="AG760" s="277"/>
      <c r="AH760" s="277"/>
      <c r="AI760" s="277"/>
      <c r="AJ760" s="277"/>
      <c r="AK760" s="277"/>
    </row>
    <row r="761" spans="1:37" s="289" customFormat="1">
      <c r="A761" s="277"/>
      <c r="C761" s="277"/>
      <c r="D761" s="277"/>
      <c r="E761" s="277"/>
      <c r="F761" s="277"/>
      <c r="G761" s="277"/>
      <c r="H761" s="277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  <c r="AA761" s="277"/>
      <c r="AB761" s="277"/>
      <c r="AC761" s="277"/>
      <c r="AD761" s="277"/>
      <c r="AE761" s="277"/>
      <c r="AF761" s="277"/>
      <c r="AG761" s="277"/>
      <c r="AH761" s="277"/>
      <c r="AI761" s="277"/>
      <c r="AJ761" s="277"/>
      <c r="AK761" s="277"/>
    </row>
    <row r="762" spans="1:37" s="289" customFormat="1">
      <c r="A762" s="277"/>
      <c r="C762" s="277"/>
      <c r="D762" s="277"/>
      <c r="E762" s="277"/>
      <c r="F762" s="277"/>
      <c r="G762" s="277"/>
      <c r="H762" s="277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  <c r="AA762" s="277"/>
      <c r="AB762" s="277"/>
      <c r="AC762" s="277"/>
      <c r="AD762" s="277"/>
      <c r="AE762" s="277"/>
      <c r="AF762" s="277"/>
      <c r="AG762" s="277"/>
      <c r="AH762" s="277"/>
      <c r="AI762" s="277"/>
      <c r="AJ762" s="277"/>
      <c r="AK762" s="277"/>
    </row>
    <row r="763" spans="1:37" s="289" customFormat="1">
      <c r="A763" s="277"/>
      <c r="C763" s="277"/>
      <c r="D763" s="277"/>
      <c r="E763" s="277"/>
      <c r="F763" s="277"/>
      <c r="G763" s="277"/>
      <c r="H763" s="277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  <c r="AA763" s="277"/>
      <c r="AB763" s="277"/>
      <c r="AC763" s="277"/>
      <c r="AD763" s="277"/>
      <c r="AE763" s="277"/>
      <c r="AF763" s="277"/>
      <c r="AG763" s="277"/>
      <c r="AH763" s="277"/>
      <c r="AI763" s="277"/>
      <c r="AJ763" s="277"/>
      <c r="AK763" s="277"/>
    </row>
    <row r="764" spans="1:37" s="289" customFormat="1">
      <c r="A764" s="277"/>
      <c r="C764" s="277"/>
      <c r="D764" s="277"/>
      <c r="E764" s="277"/>
      <c r="F764" s="277"/>
      <c r="G764" s="277"/>
      <c r="H764" s="277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  <c r="AA764" s="277"/>
      <c r="AB764" s="277"/>
      <c r="AC764" s="277"/>
      <c r="AD764" s="277"/>
      <c r="AE764" s="277"/>
      <c r="AF764" s="277"/>
      <c r="AG764" s="277"/>
      <c r="AH764" s="277"/>
      <c r="AI764" s="277"/>
      <c r="AJ764" s="277"/>
      <c r="AK764" s="277"/>
    </row>
    <row r="765" spans="1:37" s="289" customFormat="1">
      <c r="A765" s="277"/>
      <c r="C765" s="277"/>
      <c r="D765" s="277"/>
      <c r="E765" s="277"/>
      <c r="F765" s="277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</row>
    <row r="766" spans="1:37" s="289" customFormat="1">
      <c r="A766" s="277"/>
      <c r="C766" s="277"/>
      <c r="D766" s="277"/>
      <c r="E766" s="277"/>
      <c r="F766" s="277"/>
      <c r="G766" s="277"/>
      <c r="H766" s="277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  <c r="AA766" s="277"/>
      <c r="AB766" s="277"/>
      <c r="AC766" s="277"/>
      <c r="AD766" s="277"/>
      <c r="AE766" s="277"/>
      <c r="AF766" s="277"/>
      <c r="AG766" s="277"/>
      <c r="AH766" s="277"/>
      <c r="AI766" s="277"/>
      <c r="AJ766" s="277"/>
      <c r="AK766" s="277"/>
    </row>
    <row r="767" spans="1:37" s="289" customFormat="1">
      <c r="A767" s="277"/>
      <c r="C767" s="277"/>
      <c r="D767" s="277"/>
      <c r="E767" s="277"/>
      <c r="F767" s="277"/>
      <c r="G767" s="277"/>
      <c r="H767" s="277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  <c r="AA767" s="277"/>
      <c r="AB767" s="277"/>
      <c r="AC767" s="277"/>
      <c r="AD767" s="277"/>
      <c r="AE767" s="277"/>
      <c r="AF767" s="277"/>
      <c r="AG767" s="277"/>
      <c r="AH767" s="277"/>
      <c r="AI767" s="277"/>
      <c r="AJ767" s="277"/>
      <c r="AK767" s="277"/>
    </row>
    <row r="768" spans="1:37" s="289" customFormat="1">
      <c r="A768" s="277"/>
      <c r="C768" s="277"/>
      <c r="D768" s="277"/>
      <c r="E768" s="277"/>
      <c r="F768" s="277"/>
      <c r="G768" s="277"/>
      <c r="H768" s="277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  <c r="AA768" s="277"/>
      <c r="AB768" s="277"/>
      <c r="AC768" s="277"/>
      <c r="AD768" s="277"/>
      <c r="AE768" s="277"/>
      <c r="AF768" s="277"/>
      <c r="AG768" s="277"/>
      <c r="AH768" s="277"/>
      <c r="AI768" s="277"/>
      <c r="AJ768" s="277"/>
      <c r="AK768" s="277"/>
    </row>
    <row r="769" spans="1:37" s="289" customFormat="1">
      <c r="A769" s="277"/>
      <c r="C769" s="277"/>
      <c r="D769" s="277"/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</row>
    <row r="770" spans="1:37" s="289" customFormat="1">
      <c r="A770" s="277"/>
      <c r="C770" s="277"/>
      <c r="D770" s="277"/>
      <c r="E770" s="277"/>
      <c r="F770" s="277"/>
      <c r="G770" s="277"/>
      <c r="H770" s="277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  <c r="AA770" s="277"/>
      <c r="AB770" s="277"/>
      <c r="AC770" s="277"/>
      <c r="AD770" s="277"/>
      <c r="AE770" s="277"/>
      <c r="AF770" s="277"/>
      <c r="AG770" s="277"/>
      <c r="AH770" s="277"/>
      <c r="AI770" s="277"/>
      <c r="AJ770" s="277"/>
      <c r="AK770" s="277"/>
    </row>
    <row r="771" spans="1:37" s="289" customFormat="1">
      <c r="A771" s="277"/>
      <c r="C771" s="277"/>
      <c r="D771" s="277"/>
      <c r="E771" s="277"/>
      <c r="F771" s="277"/>
      <c r="G771" s="277"/>
      <c r="H771" s="277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  <c r="AA771" s="277"/>
      <c r="AB771" s="277"/>
      <c r="AC771" s="277"/>
      <c r="AD771" s="277"/>
      <c r="AE771" s="277"/>
      <c r="AF771" s="277"/>
      <c r="AG771" s="277"/>
      <c r="AH771" s="277"/>
      <c r="AI771" s="277"/>
      <c r="AJ771" s="277"/>
      <c r="AK771" s="277"/>
    </row>
    <row r="772" spans="1:37" s="289" customFormat="1">
      <c r="A772" s="277"/>
      <c r="C772" s="277"/>
      <c r="D772" s="277"/>
      <c r="E772" s="277"/>
      <c r="F772" s="277"/>
      <c r="G772" s="277"/>
      <c r="H772" s="277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  <c r="AA772" s="277"/>
      <c r="AB772" s="277"/>
      <c r="AC772" s="277"/>
      <c r="AD772" s="277"/>
      <c r="AE772" s="277"/>
      <c r="AF772" s="277"/>
      <c r="AG772" s="277"/>
      <c r="AH772" s="277"/>
      <c r="AI772" s="277"/>
      <c r="AJ772" s="277"/>
      <c r="AK772" s="277"/>
    </row>
    <row r="773" spans="1:37" s="289" customFormat="1">
      <c r="A773" s="277"/>
      <c r="C773" s="277"/>
      <c r="D773" s="277"/>
      <c r="E773" s="277"/>
      <c r="F773" s="277"/>
      <c r="G773" s="277"/>
      <c r="H773" s="277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  <c r="AA773" s="277"/>
      <c r="AB773" s="277"/>
      <c r="AC773" s="277"/>
      <c r="AD773" s="277"/>
      <c r="AE773" s="277"/>
      <c r="AF773" s="277"/>
      <c r="AG773" s="277"/>
      <c r="AH773" s="277"/>
      <c r="AI773" s="277"/>
      <c r="AJ773" s="277"/>
      <c r="AK773" s="277"/>
    </row>
    <row r="774" spans="1:37" s="289" customFormat="1">
      <c r="A774" s="277"/>
      <c r="C774" s="277"/>
      <c r="D774" s="277"/>
      <c r="E774" s="277"/>
      <c r="F774" s="277"/>
      <c r="G774" s="277"/>
      <c r="H774" s="277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  <c r="AA774" s="277"/>
      <c r="AB774" s="277"/>
      <c r="AC774" s="277"/>
      <c r="AD774" s="277"/>
      <c r="AE774" s="277"/>
      <c r="AF774" s="277"/>
      <c r="AG774" s="277"/>
      <c r="AH774" s="277"/>
      <c r="AI774" s="277"/>
      <c r="AJ774" s="277"/>
      <c r="AK774" s="277"/>
    </row>
    <row r="775" spans="1:37" s="289" customFormat="1">
      <c r="A775" s="277"/>
      <c r="C775" s="277"/>
      <c r="D775" s="277"/>
      <c r="E775" s="277"/>
      <c r="F775" s="277"/>
      <c r="G775" s="277"/>
      <c r="H775" s="277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  <c r="AA775" s="277"/>
      <c r="AB775" s="277"/>
      <c r="AC775" s="277"/>
      <c r="AD775" s="277"/>
      <c r="AE775" s="277"/>
      <c r="AF775" s="277"/>
      <c r="AG775" s="277"/>
      <c r="AH775" s="277"/>
      <c r="AI775" s="277"/>
      <c r="AJ775" s="277"/>
      <c r="AK775" s="277"/>
    </row>
    <row r="776" spans="1:37" s="289" customFormat="1">
      <c r="A776" s="277"/>
      <c r="C776" s="277"/>
      <c r="D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  <c r="AA776" s="277"/>
      <c r="AB776" s="277"/>
      <c r="AC776" s="277"/>
      <c r="AD776" s="277"/>
      <c r="AE776" s="277"/>
      <c r="AF776" s="277"/>
      <c r="AG776" s="277"/>
      <c r="AH776" s="277"/>
      <c r="AI776" s="277"/>
      <c r="AJ776" s="277"/>
      <c r="AK776" s="277"/>
    </row>
    <row r="777" spans="1:37" s="289" customFormat="1">
      <c r="A777" s="277"/>
      <c r="C777" s="277"/>
      <c r="D777" s="277"/>
      <c r="E777" s="277"/>
      <c r="F777" s="277"/>
      <c r="G777" s="277"/>
      <c r="H777" s="277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  <c r="AA777" s="277"/>
      <c r="AB777" s="277"/>
      <c r="AC777" s="277"/>
      <c r="AD777" s="277"/>
      <c r="AE777" s="277"/>
      <c r="AF777" s="277"/>
      <c r="AG777" s="277"/>
      <c r="AH777" s="277"/>
      <c r="AI777" s="277"/>
      <c r="AJ777" s="277"/>
      <c r="AK777" s="277"/>
    </row>
    <row r="778" spans="1:37" s="289" customFormat="1">
      <c r="A778" s="277"/>
      <c r="C778" s="277"/>
      <c r="D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  <c r="AA778" s="277"/>
      <c r="AB778" s="277"/>
      <c r="AC778" s="277"/>
      <c r="AD778" s="277"/>
      <c r="AE778" s="277"/>
      <c r="AF778" s="277"/>
      <c r="AG778" s="277"/>
      <c r="AH778" s="277"/>
      <c r="AI778" s="277"/>
      <c r="AJ778" s="277"/>
      <c r="AK778" s="277"/>
    </row>
    <row r="779" spans="1:37" s="289" customFormat="1">
      <c r="A779" s="277"/>
      <c r="C779" s="277"/>
      <c r="D779" s="277"/>
      <c r="E779" s="277"/>
      <c r="F779" s="277"/>
      <c r="G779" s="277"/>
      <c r="H779" s="277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  <c r="AA779" s="277"/>
      <c r="AB779" s="277"/>
      <c r="AC779" s="277"/>
      <c r="AD779" s="277"/>
      <c r="AE779" s="277"/>
      <c r="AF779" s="277"/>
      <c r="AG779" s="277"/>
      <c r="AH779" s="277"/>
      <c r="AI779" s="277"/>
      <c r="AJ779" s="277"/>
      <c r="AK779" s="277"/>
    </row>
    <row r="780" spans="1:37" s="289" customFormat="1">
      <c r="A780" s="277"/>
      <c r="C780" s="277"/>
      <c r="D780" s="277"/>
      <c r="E780" s="277"/>
      <c r="F780" s="277"/>
      <c r="G780" s="277"/>
      <c r="H780" s="277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  <c r="AA780" s="277"/>
      <c r="AB780" s="277"/>
      <c r="AC780" s="277"/>
      <c r="AD780" s="277"/>
      <c r="AE780" s="277"/>
      <c r="AF780" s="277"/>
      <c r="AG780" s="277"/>
      <c r="AH780" s="277"/>
      <c r="AI780" s="277"/>
      <c r="AJ780" s="277"/>
      <c r="AK780" s="277"/>
    </row>
    <row r="781" spans="1:37" s="289" customFormat="1">
      <c r="A781" s="277"/>
      <c r="C781" s="277"/>
      <c r="D781" s="277"/>
      <c r="E781" s="277"/>
      <c r="F781" s="277"/>
      <c r="G781" s="277"/>
      <c r="H781" s="277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  <c r="AA781" s="277"/>
      <c r="AB781" s="277"/>
      <c r="AC781" s="277"/>
      <c r="AD781" s="277"/>
      <c r="AE781" s="277"/>
      <c r="AF781" s="277"/>
      <c r="AG781" s="277"/>
      <c r="AH781" s="277"/>
      <c r="AI781" s="277"/>
      <c r="AJ781" s="277"/>
      <c r="AK781" s="277"/>
    </row>
    <row r="782" spans="1:37" s="289" customFormat="1">
      <c r="A782" s="277"/>
      <c r="C782" s="277"/>
      <c r="D782" s="277"/>
      <c r="E782" s="277"/>
      <c r="F782" s="277"/>
      <c r="G782" s="277"/>
      <c r="H782" s="277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  <c r="AA782" s="277"/>
      <c r="AB782" s="277"/>
      <c r="AC782" s="277"/>
      <c r="AD782" s="277"/>
      <c r="AE782" s="277"/>
      <c r="AF782" s="277"/>
      <c r="AG782" s="277"/>
      <c r="AH782" s="277"/>
      <c r="AI782" s="277"/>
      <c r="AJ782" s="277"/>
      <c r="AK782" s="277"/>
    </row>
    <row r="783" spans="1:37" s="289" customFormat="1">
      <c r="A783" s="277"/>
      <c r="C783" s="277"/>
      <c r="D783" s="277"/>
      <c r="E783" s="277"/>
      <c r="F783" s="277"/>
      <c r="G783" s="277"/>
      <c r="H783" s="277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  <c r="AA783" s="277"/>
      <c r="AB783" s="277"/>
      <c r="AC783" s="277"/>
      <c r="AD783" s="277"/>
      <c r="AE783" s="277"/>
      <c r="AF783" s="277"/>
      <c r="AG783" s="277"/>
      <c r="AH783" s="277"/>
      <c r="AI783" s="277"/>
      <c r="AJ783" s="277"/>
      <c r="AK783" s="277"/>
    </row>
    <row r="784" spans="1:37" s="289" customFormat="1">
      <c r="A784" s="277"/>
      <c r="C784" s="277"/>
      <c r="D784" s="277"/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  <c r="AA784" s="277"/>
      <c r="AB784" s="277"/>
      <c r="AC784" s="277"/>
      <c r="AD784" s="277"/>
      <c r="AE784" s="277"/>
      <c r="AF784" s="277"/>
      <c r="AG784" s="277"/>
      <c r="AH784" s="277"/>
      <c r="AI784" s="277"/>
      <c r="AJ784" s="277"/>
      <c r="AK784" s="277"/>
    </row>
    <row r="785" spans="1:37" s="289" customFormat="1">
      <c r="A785" s="277"/>
      <c r="C785" s="277"/>
      <c r="D785" s="277"/>
      <c r="E785" s="277"/>
      <c r="F785" s="277"/>
      <c r="G785" s="277"/>
      <c r="H785" s="277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  <c r="AA785" s="277"/>
      <c r="AB785" s="277"/>
      <c r="AC785" s="277"/>
      <c r="AD785" s="277"/>
      <c r="AE785" s="277"/>
      <c r="AF785" s="277"/>
      <c r="AG785" s="277"/>
      <c r="AH785" s="277"/>
      <c r="AI785" s="277"/>
      <c r="AJ785" s="277"/>
      <c r="AK785" s="277"/>
    </row>
    <row r="786" spans="1:37" s="289" customFormat="1">
      <c r="A786" s="277"/>
      <c r="C786" s="277"/>
      <c r="D786" s="277"/>
      <c r="E786" s="277"/>
      <c r="F786" s="277"/>
      <c r="G786" s="277"/>
      <c r="H786" s="277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  <c r="AA786" s="277"/>
      <c r="AB786" s="277"/>
      <c r="AC786" s="277"/>
      <c r="AD786" s="277"/>
      <c r="AE786" s="277"/>
      <c r="AF786" s="277"/>
      <c r="AG786" s="277"/>
      <c r="AH786" s="277"/>
      <c r="AI786" s="277"/>
      <c r="AJ786" s="277"/>
      <c r="AK786" s="277"/>
    </row>
    <row r="787" spans="1:37" s="289" customFormat="1">
      <c r="A787" s="277"/>
      <c r="C787" s="277"/>
      <c r="D787" s="277"/>
      <c r="E787" s="277"/>
      <c r="F787" s="277"/>
      <c r="G787" s="277"/>
      <c r="H787" s="277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  <c r="AA787" s="277"/>
      <c r="AB787" s="277"/>
      <c r="AC787" s="277"/>
      <c r="AD787" s="277"/>
      <c r="AE787" s="277"/>
      <c r="AF787" s="277"/>
      <c r="AG787" s="277"/>
      <c r="AH787" s="277"/>
      <c r="AI787" s="277"/>
      <c r="AJ787" s="277"/>
      <c r="AK787" s="277"/>
    </row>
    <row r="788" spans="1:37" s="289" customFormat="1">
      <c r="A788" s="277"/>
      <c r="C788" s="277"/>
      <c r="D788" s="277"/>
      <c r="E788" s="277"/>
      <c r="F788" s="277"/>
      <c r="G788" s="277"/>
      <c r="H788" s="277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  <c r="AA788" s="277"/>
      <c r="AB788" s="277"/>
      <c r="AC788" s="277"/>
      <c r="AD788" s="277"/>
      <c r="AE788" s="277"/>
      <c r="AF788" s="277"/>
      <c r="AG788" s="277"/>
      <c r="AH788" s="277"/>
      <c r="AI788" s="277"/>
      <c r="AJ788" s="277"/>
      <c r="AK788" s="277"/>
    </row>
    <row r="789" spans="1:37" s="289" customFormat="1">
      <c r="A789" s="277"/>
      <c r="C789" s="277"/>
      <c r="D789" s="277"/>
      <c r="E789" s="277"/>
      <c r="F789" s="277"/>
      <c r="G789" s="277"/>
      <c r="H789" s="277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  <c r="AA789" s="277"/>
      <c r="AB789" s="277"/>
      <c r="AC789" s="277"/>
      <c r="AD789" s="277"/>
      <c r="AE789" s="277"/>
      <c r="AF789" s="277"/>
      <c r="AG789" s="277"/>
      <c r="AH789" s="277"/>
      <c r="AI789" s="277"/>
      <c r="AJ789" s="277"/>
      <c r="AK789" s="277"/>
    </row>
    <row r="790" spans="1:37" s="289" customFormat="1">
      <c r="A790" s="277"/>
      <c r="C790" s="277"/>
      <c r="D790" s="277"/>
      <c r="E790" s="277"/>
      <c r="F790" s="277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</row>
    <row r="791" spans="1:37" s="289" customFormat="1">
      <c r="A791" s="277"/>
      <c r="C791" s="277"/>
      <c r="D791" s="277"/>
      <c r="E791" s="277"/>
      <c r="F791" s="277"/>
      <c r="G791" s="277"/>
      <c r="H791" s="277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  <c r="AA791" s="277"/>
      <c r="AB791" s="277"/>
      <c r="AC791" s="277"/>
      <c r="AD791" s="277"/>
      <c r="AE791" s="277"/>
      <c r="AF791" s="277"/>
      <c r="AG791" s="277"/>
      <c r="AH791" s="277"/>
      <c r="AI791" s="277"/>
      <c r="AJ791" s="277"/>
      <c r="AK791" s="277"/>
    </row>
    <row r="792" spans="1:37" s="289" customFormat="1">
      <c r="A792" s="277"/>
      <c r="C792" s="277"/>
      <c r="D792" s="277"/>
      <c r="E792" s="277"/>
      <c r="F792" s="277"/>
      <c r="G792" s="277"/>
      <c r="H792" s="277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  <c r="AA792" s="277"/>
      <c r="AB792" s="277"/>
      <c r="AC792" s="277"/>
      <c r="AD792" s="277"/>
      <c r="AE792" s="277"/>
      <c r="AF792" s="277"/>
      <c r="AG792" s="277"/>
      <c r="AH792" s="277"/>
      <c r="AI792" s="277"/>
      <c r="AJ792" s="277"/>
      <c r="AK792" s="277"/>
    </row>
    <row r="793" spans="1:37" s="289" customFormat="1">
      <c r="A793" s="277"/>
      <c r="C793" s="277"/>
      <c r="D793" s="277"/>
      <c r="E793" s="277"/>
      <c r="F793" s="277"/>
      <c r="G793" s="277"/>
      <c r="H793" s="277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  <c r="AA793" s="277"/>
      <c r="AB793" s="277"/>
      <c r="AC793" s="277"/>
      <c r="AD793" s="277"/>
      <c r="AE793" s="277"/>
      <c r="AF793" s="277"/>
      <c r="AG793" s="277"/>
      <c r="AH793" s="277"/>
      <c r="AI793" s="277"/>
      <c r="AJ793" s="277"/>
      <c r="AK793" s="277"/>
    </row>
    <row r="794" spans="1:37" s="289" customFormat="1">
      <c r="A794" s="277"/>
      <c r="C794" s="277"/>
      <c r="D794" s="277"/>
      <c r="E794" s="277"/>
      <c r="F794" s="277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</row>
    <row r="795" spans="1:37" s="289" customFormat="1">
      <c r="A795" s="277"/>
      <c r="C795" s="277"/>
      <c r="D795" s="277"/>
      <c r="E795" s="277"/>
      <c r="F795" s="277"/>
      <c r="G795" s="277"/>
      <c r="H795" s="277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  <c r="AA795" s="277"/>
      <c r="AB795" s="277"/>
      <c r="AC795" s="277"/>
      <c r="AD795" s="277"/>
      <c r="AE795" s="277"/>
      <c r="AF795" s="277"/>
      <c r="AG795" s="277"/>
      <c r="AH795" s="277"/>
      <c r="AI795" s="277"/>
      <c r="AJ795" s="277"/>
      <c r="AK795" s="277"/>
    </row>
    <row r="796" spans="1:37" s="289" customFormat="1">
      <c r="A796" s="277"/>
      <c r="C796" s="277"/>
      <c r="D796" s="277"/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  <c r="AA796" s="277"/>
      <c r="AB796" s="277"/>
      <c r="AC796" s="277"/>
      <c r="AD796" s="277"/>
      <c r="AE796" s="277"/>
      <c r="AF796" s="277"/>
      <c r="AG796" s="277"/>
      <c r="AH796" s="277"/>
      <c r="AI796" s="277"/>
      <c r="AJ796" s="277"/>
      <c r="AK796" s="277"/>
    </row>
    <row r="797" spans="1:37" s="289" customFormat="1">
      <c r="A797" s="277"/>
      <c r="C797" s="277"/>
      <c r="D797" s="277"/>
      <c r="E797" s="277"/>
      <c r="F797" s="277"/>
      <c r="G797" s="277"/>
      <c r="H797" s="277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  <c r="AA797" s="277"/>
      <c r="AB797" s="277"/>
      <c r="AC797" s="277"/>
      <c r="AD797" s="277"/>
      <c r="AE797" s="277"/>
      <c r="AF797" s="277"/>
      <c r="AG797" s="277"/>
      <c r="AH797" s="277"/>
      <c r="AI797" s="277"/>
      <c r="AJ797" s="277"/>
      <c r="AK797" s="277"/>
    </row>
    <row r="798" spans="1:37" s="289" customFormat="1">
      <c r="A798" s="277"/>
      <c r="C798" s="277"/>
      <c r="D798" s="277"/>
      <c r="E798" s="277"/>
      <c r="F798" s="277"/>
      <c r="G798" s="277"/>
      <c r="H798" s="277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  <c r="AA798" s="277"/>
      <c r="AB798" s="277"/>
      <c r="AC798" s="277"/>
      <c r="AD798" s="277"/>
      <c r="AE798" s="277"/>
      <c r="AF798" s="277"/>
      <c r="AG798" s="277"/>
      <c r="AH798" s="277"/>
      <c r="AI798" s="277"/>
      <c r="AJ798" s="277"/>
      <c r="AK798" s="277"/>
    </row>
    <row r="799" spans="1:37" s="289" customFormat="1">
      <c r="A799" s="277"/>
      <c r="C799" s="277"/>
      <c r="D799" s="277"/>
      <c r="E799" s="277"/>
      <c r="F799" s="277"/>
      <c r="G799" s="277"/>
      <c r="H799" s="277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  <c r="AA799" s="277"/>
      <c r="AB799" s="277"/>
      <c r="AC799" s="277"/>
      <c r="AD799" s="277"/>
      <c r="AE799" s="277"/>
      <c r="AF799" s="277"/>
      <c r="AG799" s="277"/>
      <c r="AH799" s="277"/>
      <c r="AI799" s="277"/>
      <c r="AJ799" s="277"/>
      <c r="AK799" s="277"/>
    </row>
    <row r="800" spans="1:37" s="289" customFormat="1">
      <c r="A800" s="277"/>
      <c r="C800" s="277"/>
      <c r="D800" s="277"/>
      <c r="E800" s="277"/>
      <c r="F800" s="277"/>
      <c r="G800" s="277"/>
      <c r="H800" s="277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  <c r="AA800" s="277"/>
      <c r="AB800" s="277"/>
      <c r="AC800" s="277"/>
      <c r="AD800" s="277"/>
      <c r="AE800" s="277"/>
      <c r="AF800" s="277"/>
      <c r="AG800" s="277"/>
      <c r="AH800" s="277"/>
      <c r="AI800" s="277"/>
      <c r="AJ800" s="277"/>
      <c r="AK800" s="277"/>
    </row>
    <row r="801" spans="1:37" s="289" customFormat="1">
      <c r="A801" s="277"/>
      <c r="C801" s="277"/>
      <c r="D801" s="277"/>
      <c r="E801" s="277"/>
      <c r="F801" s="277"/>
      <c r="G801" s="277"/>
      <c r="H801" s="277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  <c r="AA801" s="277"/>
      <c r="AB801" s="277"/>
      <c r="AC801" s="277"/>
      <c r="AD801" s="277"/>
      <c r="AE801" s="277"/>
      <c r="AF801" s="277"/>
      <c r="AG801" s="277"/>
      <c r="AH801" s="277"/>
      <c r="AI801" s="277"/>
      <c r="AJ801" s="277"/>
      <c r="AK801" s="277"/>
    </row>
    <row r="802" spans="1:37" s="289" customFormat="1">
      <c r="A802" s="277"/>
      <c r="C802" s="277"/>
      <c r="D802" s="277"/>
      <c r="E802" s="277"/>
      <c r="F802" s="277"/>
      <c r="G802" s="277"/>
      <c r="H802" s="277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  <c r="AA802" s="277"/>
      <c r="AB802" s="277"/>
      <c r="AC802" s="277"/>
      <c r="AD802" s="277"/>
      <c r="AE802" s="277"/>
      <c r="AF802" s="277"/>
      <c r="AG802" s="277"/>
      <c r="AH802" s="277"/>
      <c r="AI802" s="277"/>
      <c r="AJ802" s="277"/>
      <c r="AK802" s="277"/>
    </row>
    <row r="803" spans="1:37" s="289" customFormat="1">
      <c r="A803" s="277"/>
      <c r="C803" s="277"/>
      <c r="D803" s="277"/>
      <c r="E803" s="277"/>
      <c r="F803" s="277"/>
      <c r="G803" s="277"/>
      <c r="H803" s="277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  <c r="AA803" s="277"/>
      <c r="AB803" s="277"/>
      <c r="AC803" s="277"/>
      <c r="AD803" s="277"/>
      <c r="AE803" s="277"/>
      <c r="AF803" s="277"/>
      <c r="AG803" s="277"/>
      <c r="AH803" s="277"/>
      <c r="AI803" s="277"/>
      <c r="AJ803" s="277"/>
      <c r="AK803" s="277"/>
    </row>
    <row r="804" spans="1:37" s="289" customFormat="1">
      <c r="A804" s="277"/>
      <c r="C804" s="277"/>
      <c r="D804" s="277"/>
      <c r="E804" s="277"/>
      <c r="F804" s="277"/>
      <c r="G804" s="277"/>
      <c r="H804" s="277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  <c r="AA804" s="277"/>
      <c r="AB804" s="277"/>
      <c r="AC804" s="277"/>
      <c r="AD804" s="277"/>
      <c r="AE804" s="277"/>
      <c r="AF804" s="277"/>
      <c r="AG804" s="277"/>
      <c r="AH804" s="277"/>
      <c r="AI804" s="277"/>
      <c r="AJ804" s="277"/>
      <c r="AK804" s="277"/>
    </row>
    <row r="805" spans="1:37" s="289" customFormat="1">
      <c r="A805" s="277"/>
      <c r="C805" s="277"/>
      <c r="D805" s="277"/>
      <c r="E805" s="277"/>
      <c r="F805" s="277"/>
      <c r="G805" s="277"/>
      <c r="H805" s="277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  <c r="AA805" s="277"/>
      <c r="AB805" s="277"/>
      <c r="AC805" s="277"/>
      <c r="AD805" s="277"/>
      <c r="AE805" s="277"/>
      <c r="AF805" s="277"/>
      <c r="AG805" s="277"/>
      <c r="AH805" s="277"/>
      <c r="AI805" s="277"/>
      <c r="AJ805" s="277"/>
      <c r="AK805" s="277"/>
    </row>
    <row r="806" spans="1:37" s="289" customFormat="1">
      <c r="A806" s="277"/>
      <c r="C806" s="277"/>
      <c r="D806" s="277"/>
      <c r="E806" s="277"/>
      <c r="F806" s="277"/>
      <c r="G806" s="277"/>
      <c r="H806" s="277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  <c r="AA806" s="277"/>
      <c r="AB806" s="277"/>
      <c r="AC806" s="277"/>
      <c r="AD806" s="277"/>
      <c r="AE806" s="277"/>
      <c r="AF806" s="277"/>
      <c r="AG806" s="277"/>
      <c r="AH806" s="277"/>
      <c r="AI806" s="277"/>
      <c r="AJ806" s="277"/>
      <c r="AK806" s="277"/>
    </row>
    <row r="807" spans="1:37" s="289" customFormat="1">
      <c r="A807" s="277"/>
      <c r="C807" s="277"/>
      <c r="D807" s="277"/>
      <c r="E807" s="277"/>
      <c r="F807" s="277"/>
      <c r="G807" s="277"/>
      <c r="H807" s="277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  <c r="AA807" s="277"/>
      <c r="AB807" s="277"/>
      <c r="AC807" s="277"/>
      <c r="AD807" s="277"/>
      <c r="AE807" s="277"/>
      <c r="AF807" s="277"/>
      <c r="AG807" s="277"/>
      <c r="AH807" s="277"/>
      <c r="AI807" s="277"/>
      <c r="AJ807" s="277"/>
      <c r="AK807" s="277"/>
    </row>
    <row r="808" spans="1:37" s="289" customFormat="1">
      <c r="A808" s="277"/>
      <c r="C808" s="277"/>
      <c r="D808" s="277"/>
      <c r="E808" s="277"/>
      <c r="F808" s="277"/>
      <c r="G808" s="277"/>
      <c r="H808" s="277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  <c r="AA808" s="277"/>
      <c r="AB808" s="277"/>
      <c r="AC808" s="277"/>
      <c r="AD808" s="277"/>
      <c r="AE808" s="277"/>
      <c r="AF808" s="277"/>
      <c r="AG808" s="277"/>
      <c r="AH808" s="277"/>
      <c r="AI808" s="277"/>
      <c r="AJ808" s="277"/>
      <c r="AK808" s="277"/>
    </row>
    <row r="809" spans="1:37" s="289" customFormat="1">
      <c r="A809" s="277"/>
      <c r="C809" s="277"/>
      <c r="D809" s="277"/>
      <c r="E809" s="277"/>
      <c r="F809" s="277"/>
      <c r="G809" s="277"/>
      <c r="H809" s="277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  <c r="AA809" s="277"/>
      <c r="AB809" s="277"/>
      <c r="AC809" s="277"/>
      <c r="AD809" s="277"/>
      <c r="AE809" s="277"/>
      <c r="AF809" s="277"/>
      <c r="AG809" s="277"/>
      <c r="AH809" s="277"/>
      <c r="AI809" s="277"/>
      <c r="AJ809" s="277"/>
      <c r="AK809" s="277"/>
    </row>
    <row r="810" spans="1:37" s="289" customFormat="1">
      <c r="A810" s="277"/>
      <c r="C810" s="277"/>
      <c r="D810" s="277"/>
      <c r="E810" s="277"/>
      <c r="F810" s="277"/>
      <c r="G810" s="277"/>
      <c r="H810" s="277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  <c r="AA810" s="277"/>
      <c r="AB810" s="277"/>
      <c r="AC810" s="277"/>
      <c r="AD810" s="277"/>
      <c r="AE810" s="277"/>
      <c r="AF810" s="277"/>
      <c r="AG810" s="277"/>
      <c r="AH810" s="277"/>
      <c r="AI810" s="277"/>
      <c r="AJ810" s="277"/>
      <c r="AK810" s="277"/>
    </row>
    <row r="811" spans="1:37" s="289" customFormat="1">
      <c r="A811" s="277"/>
      <c r="C811" s="277"/>
      <c r="D811" s="277"/>
      <c r="E811" s="277"/>
      <c r="F811" s="277"/>
      <c r="G811" s="277"/>
      <c r="H811" s="277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  <c r="AA811" s="277"/>
      <c r="AB811" s="277"/>
      <c r="AC811" s="277"/>
      <c r="AD811" s="277"/>
      <c r="AE811" s="277"/>
      <c r="AF811" s="277"/>
      <c r="AG811" s="277"/>
      <c r="AH811" s="277"/>
      <c r="AI811" s="277"/>
      <c r="AJ811" s="277"/>
      <c r="AK811" s="277"/>
    </row>
    <row r="812" spans="1:37" s="289" customFormat="1">
      <c r="A812" s="277"/>
      <c r="C812" s="277"/>
      <c r="D812" s="277"/>
      <c r="E812" s="277"/>
      <c r="F812" s="277"/>
      <c r="G812" s="277"/>
      <c r="H812" s="277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  <c r="AA812" s="277"/>
      <c r="AB812" s="277"/>
      <c r="AC812" s="277"/>
      <c r="AD812" s="277"/>
      <c r="AE812" s="277"/>
      <c r="AF812" s="277"/>
      <c r="AG812" s="277"/>
      <c r="AH812" s="277"/>
      <c r="AI812" s="277"/>
      <c r="AJ812" s="277"/>
      <c r="AK812" s="277"/>
    </row>
    <row r="813" spans="1:37" s="289" customFormat="1">
      <c r="A813" s="277"/>
      <c r="C813" s="277"/>
      <c r="D813" s="277"/>
      <c r="E813" s="277"/>
      <c r="F813" s="277"/>
      <c r="G813" s="277"/>
      <c r="H813" s="277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  <c r="AA813" s="277"/>
      <c r="AB813" s="277"/>
      <c r="AC813" s="277"/>
      <c r="AD813" s="277"/>
      <c r="AE813" s="277"/>
      <c r="AF813" s="277"/>
      <c r="AG813" s="277"/>
      <c r="AH813" s="277"/>
      <c r="AI813" s="277"/>
      <c r="AJ813" s="277"/>
      <c r="AK813" s="277"/>
    </row>
    <row r="814" spans="1:37" s="289" customFormat="1">
      <c r="A814" s="277"/>
      <c r="C814" s="277"/>
      <c r="D814" s="277"/>
      <c r="E814" s="277"/>
      <c r="F814" s="277"/>
      <c r="G814" s="277"/>
      <c r="H814" s="277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  <c r="AA814" s="277"/>
      <c r="AB814" s="277"/>
      <c r="AC814" s="277"/>
      <c r="AD814" s="277"/>
      <c r="AE814" s="277"/>
      <c r="AF814" s="277"/>
      <c r="AG814" s="277"/>
      <c r="AH814" s="277"/>
      <c r="AI814" s="277"/>
      <c r="AJ814" s="277"/>
      <c r="AK814" s="277"/>
    </row>
    <row r="815" spans="1:37" s="289" customFormat="1">
      <c r="A815" s="277"/>
      <c r="C815" s="277"/>
      <c r="D815" s="277"/>
      <c r="E815" s="277"/>
      <c r="F815" s="277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</row>
    <row r="816" spans="1:37" s="289" customFormat="1">
      <c r="A816" s="277"/>
      <c r="C816" s="277"/>
      <c r="D816" s="277"/>
      <c r="E816" s="277"/>
      <c r="F816" s="277"/>
      <c r="G816" s="277"/>
      <c r="H816" s="277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  <c r="AA816" s="277"/>
      <c r="AB816" s="277"/>
      <c r="AC816" s="277"/>
      <c r="AD816" s="277"/>
      <c r="AE816" s="277"/>
      <c r="AF816" s="277"/>
      <c r="AG816" s="277"/>
      <c r="AH816" s="277"/>
      <c r="AI816" s="277"/>
      <c r="AJ816" s="277"/>
      <c r="AK816" s="277"/>
    </row>
    <row r="817" spans="1:37" s="289" customFormat="1">
      <c r="A817" s="277"/>
      <c r="C817" s="277"/>
      <c r="D817" s="277"/>
      <c r="E817" s="277"/>
      <c r="F817" s="277"/>
      <c r="G817" s="277"/>
      <c r="H817" s="277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  <c r="AA817" s="277"/>
      <c r="AB817" s="277"/>
      <c r="AC817" s="277"/>
      <c r="AD817" s="277"/>
      <c r="AE817" s="277"/>
      <c r="AF817" s="277"/>
      <c r="AG817" s="277"/>
      <c r="AH817" s="277"/>
      <c r="AI817" s="277"/>
      <c r="AJ817" s="277"/>
      <c r="AK817" s="277"/>
    </row>
    <row r="818" spans="1:37" s="289" customFormat="1">
      <c r="A818" s="277"/>
      <c r="C818" s="277"/>
      <c r="D818" s="277"/>
      <c r="E818" s="277"/>
      <c r="F818" s="277"/>
      <c r="G818" s="277"/>
      <c r="H818" s="277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  <c r="AA818" s="277"/>
      <c r="AB818" s="277"/>
      <c r="AC818" s="277"/>
      <c r="AD818" s="277"/>
      <c r="AE818" s="277"/>
      <c r="AF818" s="277"/>
      <c r="AG818" s="277"/>
      <c r="AH818" s="277"/>
      <c r="AI818" s="277"/>
      <c r="AJ818" s="277"/>
      <c r="AK818" s="277"/>
    </row>
    <row r="819" spans="1:37" s="289" customFormat="1">
      <c r="A819" s="277"/>
      <c r="C819" s="277"/>
      <c r="D819" s="277"/>
      <c r="E819" s="277"/>
      <c r="F819" s="277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</row>
    <row r="820" spans="1:37" s="289" customFormat="1">
      <c r="A820" s="277"/>
      <c r="C820" s="277"/>
      <c r="D820" s="277"/>
      <c r="E820" s="277"/>
      <c r="F820" s="277"/>
      <c r="G820" s="277"/>
      <c r="H820" s="277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  <c r="AA820" s="277"/>
      <c r="AB820" s="277"/>
      <c r="AC820" s="277"/>
      <c r="AD820" s="277"/>
      <c r="AE820" s="277"/>
      <c r="AF820" s="277"/>
      <c r="AG820" s="277"/>
      <c r="AH820" s="277"/>
      <c r="AI820" s="277"/>
      <c r="AJ820" s="277"/>
      <c r="AK820" s="277"/>
    </row>
    <row r="821" spans="1:37" s="289" customFormat="1">
      <c r="A821" s="277"/>
      <c r="C821" s="277"/>
      <c r="D821" s="277"/>
      <c r="E821" s="277"/>
      <c r="F821" s="277"/>
      <c r="G821" s="277"/>
      <c r="H821" s="277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  <c r="AA821" s="277"/>
      <c r="AB821" s="277"/>
      <c r="AC821" s="277"/>
      <c r="AD821" s="277"/>
      <c r="AE821" s="277"/>
      <c r="AF821" s="277"/>
      <c r="AG821" s="277"/>
      <c r="AH821" s="277"/>
      <c r="AI821" s="277"/>
      <c r="AJ821" s="277"/>
      <c r="AK821" s="277"/>
    </row>
    <row r="822" spans="1:37" s="289" customFormat="1">
      <c r="A822" s="277"/>
      <c r="C822" s="277"/>
      <c r="D822" s="277"/>
      <c r="E822" s="277"/>
      <c r="F822" s="277"/>
      <c r="G822" s="277"/>
      <c r="H822" s="277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  <c r="AA822" s="277"/>
      <c r="AB822" s="277"/>
      <c r="AC822" s="277"/>
      <c r="AD822" s="277"/>
      <c r="AE822" s="277"/>
      <c r="AF822" s="277"/>
      <c r="AG822" s="277"/>
      <c r="AH822" s="277"/>
      <c r="AI822" s="277"/>
      <c r="AJ822" s="277"/>
      <c r="AK822" s="277"/>
    </row>
    <row r="823" spans="1:37" s="289" customFormat="1">
      <c r="A823" s="277"/>
      <c r="C823" s="277"/>
      <c r="D823" s="277"/>
      <c r="E823" s="277"/>
      <c r="F823" s="277"/>
      <c r="G823" s="277"/>
      <c r="H823" s="277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  <c r="AA823" s="277"/>
      <c r="AB823" s="277"/>
      <c r="AC823" s="277"/>
      <c r="AD823" s="277"/>
      <c r="AE823" s="277"/>
      <c r="AF823" s="277"/>
      <c r="AG823" s="277"/>
      <c r="AH823" s="277"/>
      <c r="AI823" s="277"/>
      <c r="AJ823" s="277"/>
      <c r="AK823" s="277"/>
    </row>
    <row r="824" spans="1:37" s="289" customFormat="1">
      <c r="A824" s="277"/>
      <c r="C824" s="277"/>
      <c r="D824" s="277"/>
      <c r="E824" s="277"/>
      <c r="F824" s="277"/>
      <c r="G824" s="277"/>
      <c r="H824" s="277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  <c r="AA824" s="277"/>
      <c r="AB824" s="277"/>
      <c r="AC824" s="277"/>
      <c r="AD824" s="277"/>
      <c r="AE824" s="277"/>
      <c r="AF824" s="277"/>
      <c r="AG824" s="277"/>
      <c r="AH824" s="277"/>
      <c r="AI824" s="277"/>
      <c r="AJ824" s="277"/>
      <c r="AK824" s="277"/>
    </row>
    <row r="825" spans="1:37" s="289" customFormat="1">
      <c r="A825" s="277"/>
      <c r="C825" s="277"/>
      <c r="D825" s="277"/>
      <c r="E825" s="277"/>
      <c r="F825" s="277"/>
      <c r="G825" s="277"/>
      <c r="H825" s="277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  <c r="AA825" s="277"/>
      <c r="AB825" s="277"/>
      <c r="AC825" s="277"/>
      <c r="AD825" s="277"/>
      <c r="AE825" s="277"/>
      <c r="AF825" s="277"/>
      <c r="AG825" s="277"/>
      <c r="AH825" s="277"/>
      <c r="AI825" s="277"/>
      <c r="AJ825" s="277"/>
      <c r="AK825" s="277"/>
    </row>
    <row r="826" spans="1:37" s="289" customFormat="1">
      <c r="A826" s="277"/>
      <c r="C826" s="277"/>
      <c r="D826" s="277"/>
      <c r="E826" s="277"/>
      <c r="F826" s="277"/>
      <c r="G826" s="277"/>
      <c r="H826" s="277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  <c r="AA826" s="277"/>
      <c r="AB826" s="277"/>
      <c r="AC826" s="277"/>
      <c r="AD826" s="277"/>
      <c r="AE826" s="277"/>
      <c r="AF826" s="277"/>
      <c r="AG826" s="277"/>
      <c r="AH826" s="277"/>
      <c r="AI826" s="277"/>
      <c r="AJ826" s="277"/>
      <c r="AK826" s="277"/>
    </row>
    <row r="827" spans="1:37" s="289" customFormat="1">
      <c r="A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  <c r="AA827" s="277"/>
      <c r="AB827" s="277"/>
      <c r="AC827" s="277"/>
      <c r="AD827" s="277"/>
      <c r="AE827" s="277"/>
      <c r="AF827" s="277"/>
      <c r="AG827" s="277"/>
      <c r="AH827" s="277"/>
      <c r="AI827" s="277"/>
      <c r="AJ827" s="277"/>
      <c r="AK827" s="277"/>
    </row>
    <row r="828" spans="1:37" s="289" customFormat="1">
      <c r="A828" s="277"/>
      <c r="C828" s="277"/>
      <c r="D828" s="277"/>
      <c r="E828" s="277"/>
      <c r="F828" s="277"/>
      <c r="G828" s="277"/>
      <c r="H828" s="277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  <c r="AA828" s="277"/>
      <c r="AB828" s="277"/>
      <c r="AC828" s="277"/>
      <c r="AD828" s="277"/>
      <c r="AE828" s="277"/>
      <c r="AF828" s="277"/>
      <c r="AG828" s="277"/>
      <c r="AH828" s="277"/>
      <c r="AI828" s="277"/>
      <c r="AJ828" s="277"/>
      <c r="AK828" s="277"/>
    </row>
    <row r="829" spans="1:37" s="289" customFormat="1">
      <c r="A829" s="277"/>
      <c r="C829" s="277"/>
      <c r="D829" s="277"/>
      <c r="E829" s="277"/>
      <c r="F829" s="277"/>
      <c r="G829" s="277"/>
      <c r="H829" s="277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  <c r="AA829" s="277"/>
      <c r="AB829" s="277"/>
      <c r="AC829" s="277"/>
      <c r="AD829" s="277"/>
      <c r="AE829" s="277"/>
      <c r="AF829" s="277"/>
      <c r="AG829" s="277"/>
      <c r="AH829" s="277"/>
      <c r="AI829" s="277"/>
      <c r="AJ829" s="277"/>
      <c r="AK829" s="277"/>
    </row>
    <row r="830" spans="1:37" s="289" customFormat="1">
      <c r="A830" s="277"/>
      <c r="C830" s="277"/>
      <c r="D830" s="277"/>
      <c r="E830" s="277"/>
      <c r="F830" s="277"/>
      <c r="G830" s="277"/>
      <c r="H830" s="277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  <c r="AA830" s="277"/>
      <c r="AB830" s="277"/>
      <c r="AC830" s="277"/>
      <c r="AD830" s="277"/>
      <c r="AE830" s="277"/>
      <c r="AF830" s="277"/>
      <c r="AG830" s="277"/>
      <c r="AH830" s="277"/>
      <c r="AI830" s="277"/>
      <c r="AJ830" s="277"/>
      <c r="AK830" s="277"/>
    </row>
    <row r="831" spans="1:37" s="289" customFormat="1">
      <c r="A831" s="277"/>
      <c r="C831" s="277"/>
      <c r="D831" s="277"/>
      <c r="E831" s="277"/>
      <c r="F831" s="277"/>
      <c r="G831" s="277"/>
      <c r="H831" s="277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  <c r="AA831" s="277"/>
      <c r="AB831" s="277"/>
      <c r="AC831" s="277"/>
      <c r="AD831" s="277"/>
      <c r="AE831" s="277"/>
      <c r="AF831" s="277"/>
      <c r="AG831" s="277"/>
      <c r="AH831" s="277"/>
      <c r="AI831" s="277"/>
      <c r="AJ831" s="277"/>
      <c r="AK831" s="277"/>
    </row>
    <row r="832" spans="1:37" s="289" customFormat="1">
      <c r="A832" s="277"/>
      <c r="C832" s="277"/>
      <c r="D832" s="277"/>
      <c r="E832" s="277"/>
      <c r="F832" s="277"/>
      <c r="G832" s="277"/>
      <c r="H832" s="277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  <c r="AA832" s="277"/>
      <c r="AB832" s="277"/>
      <c r="AC832" s="277"/>
      <c r="AD832" s="277"/>
      <c r="AE832" s="277"/>
      <c r="AF832" s="277"/>
      <c r="AG832" s="277"/>
      <c r="AH832" s="277"/>
      <c r="AI832" s="277"/>
      <c r="AJ832" s="277"/>
      <c r="AK832" s="277"/>
    </row>
    <row r="833" spans="1:37" s="289" customFormat="1">
      <c r="A833" s="277"/>
      <c r="C833" s="277"/>
      <c r="D833" s="277"/>
      <c r="E833" s="277"/>
      <c r="F833" s="277"/>
      <c r="G833" s="277"/>
      <c r="H833" s="277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  <c r="AA833" s="277"/>
      <c r="AB833" s="277"/>
      <c r="AC833" s="277"/>
      <c r="AD833" s="277"/>
      <c r="AE833" s="277"/>
      <c r="AF833" s="277"/>
      <c r="AG833" s="277"/>
      <c r="AH833" s="277"/>
      <c r="AI833" s="277"/>
      <c r="AJ833" s="277"/>
      <c r="AK833" s="277"/>
    </row>
    <row r="834" spans="1:37" s="289" customFormat="1">
      <c r="A834" s="277"/>
      <c r="C834" s="277"/>
      <c r="D834" s="277"/>
      <c r="E834" s="277"/>
      <c r="F834" s="277"/>
      <c r="G834" s="277"/>
      <c r="H834" s="277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  <c r="AA834" s="277"/>
      <c r="AB834" s="277"/>
      <c r="AC834" s="277"/>
      <c r="AD834" s="277"/>
      <c r="AE834" s="277"/>
      <c r="AF834" s="277"/>
      <c r="AG834" s="277"/>
      <c r="AH834" s="277"/>
      <c r="AI834" s="277"/>
      <c r="AJ834" s="277"/>
      <c r="AK834" s="277"/>
    </row>
    <row r="835" spans="1:37" s="289" customFormat="1">
      <c r="A835" s="277"/>
      <c r="C835" s="277"/>
      <c r="D835" s="277"/>
      <c r="E835" s="277"/>
      <c r="F835" s="277"/>
      <c r="G835" s="277"/>
      <c r="H835" s="277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  <c r="AA835" s="277"/>
      <c r="AB835" s="277"/>
      <c r="AC835" s="277"/>
      <c r="AD835" s="277"/>
      <c r="AE835" s="277"/>
      <c r="AF835" s="277"/>
      <c r="AG835" s="277"/>
      <c r="AH835" s="277"/>
      <c r="AI835" s="277"/>
      <c r="AJ835" s="277"/>
      <c r="AK835" s="277"/>
    </row>
    <row r="836" spans="1:37" s="289" customFormat="1">
      <c r="A836" s="277"/>
      <c r="C836" s="277"/>
      <c r="D836" s="277"/>
      <c r="E836" s="277"/>
      <c r="F836" s="277"/>
      <c r="G836" s="277"/>
      <c r="H836" s="277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  <c r="AA836" s="277"/>
      <c r="AB836" s="277"/>
      <c r="AC836" s="277"/>
      <c r="AD836" s="277"/>
      <c r="AE836" s="277"/>
      <c r="AF836" s="277"/>
      <c r="AG836" s="277"/>
      <c r="AH836" s="277"/>
      <c r="AI836" s="277"/>
      <c r="AJ836" s="277"/>
      <c r="AK836" s="277"/>
    </row>
    <row r="837" spans="1:37" s="289" customFormat="1">
      <c r="A837" s="277"/>
      <c r="C837" s="277"/>
      <c r="D837" s="277"/>
      <c r="E837" s="277"/>
      <c r="F837" s="277"/>
      <c r="G837" s="277"/>
      <c r="H837" s="277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  <c r="AA837" s="277"/>
      <c r="AB837" s="277"/>
      <c r="AC837" s="277"/>
      <c r="AD837" s="277"/>
      <c r="AE837" s="277"/>
      <c r="AF837" s="277"/>
      <c r="AG837" s="277"/>
      <c r="AH837" s="277"/>
      <c r="AI837" s="277"/>
      <c r="AJ837" s="277"/>
      <c r="AK837" s="277"/>
    </row>
    <row r="838" spans="1:37" s="289" customFormat="1">
      <c r="A838" s="277"/>
      <c r="C838" s="277"/>
      <c r="D838" s="277"/>
      <c r="E838" s="277"/>
      <c r="F838" s="277"/>
      <c r="G838" s="277"/>
      <c r="H838" s="277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  <c r="AA838" s="277"/>
      <c r="AB838" s="277"/>
      <c r="AC838" s="277"/>
      <c r="AD838" s="277"/>
      <c r="AE838" s="277"/>
      <c r="AF838" s="277"/>
      <c r="AG838" s="277"/>
      <c r="AH838" s="277"/>
      <c r="AI838" s="277"/>
      <c r="AJ838" s="277"/>
      <c r="AK838" s="277"/>
    </row>
    <row r="839" spans="1:37" s="289" customFormat="1">
      <c r="A839" s="277"/>
      <c r="C839" s="277"/>
      <c r="D839" s="277"/>
      <c r="E839" s="277"/>
      <c r="F839" s="277"/>
      <c r="G839" s="277"/>
      <c r="H839" s="277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  <c r="AA839" s="277"/>
      <c r="AB839" s="277"/>
      <c r="AC839" s="277"/>
      <c r="AD839" s="277"/>
      <c r="AE839" s="277"/>
      <c r="AF839" s="277"/>
      <c r="AG839" s="277"/>
      <c r="AH839" s="277"/>
      <c r="AI839" s="277"/>
      <c r="AJ839" s="277"/>
      <c r="AK839" s="277"/>
    </row>
    <row r="840" spans="1:37" s="289" customFormat="1">
      <c r="A840" s="277"/>
      <c r="C840" s="277"/>
      <c r="D840" s="277"/>
      <c r="E840" s="277"/>
      <c r="F840" s="277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</row>
    <row r="841" spans="1:37" s="289" customFormat="1">
      <c r="A841" s="277"/>
      <c r="C841" s="277"/>
      <c r="D841" s="277"/>
      <c r="E841" s="277"/>
      <c r="F841" s="277"/>
      <c r="G841" s="277"/>
      <c r="H841" s="277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  <c r="AA841" s="277"/>
      <c r="AB841" s="277"/>
      <c r="AC841" s="277"/>
      <c r="AD841" s="277"/>
      <c r="AE841" s="277"/>
      <c r="AF841" s="277"/>
      <c r="AG841" s="277"/>
      <c r="AH841" s="277"/>
      <c r="AI841" s="277"/>
      <c r="AJ841" s="277"/>
      <c r="AK841" s="277"/>
    </row>
    <row r="842" spans="1:37" s="289" customFormat="1">
      <c r="A842" s="277"/>
      <c r="C842" s="277"/>
      <c r="D842" s="277"/>
      <c r="E842" s="277"/>
      <c r="F842" s="277"/>
      <c r="G842" s="277"/>
      <c r="H842" s="277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  <c r="AA842" s="277"/>
      <c r="AB842" s="277"/>
      <c r="AC842" s="277"/>
      <c r="AD842" s="277"/>
      <c r="AE842" s="277"/>
      <c r="AF842" s="277"/>
      <c r="AG842" s="277"/>
      <c r="AH842" s="277"/>
      <c r="AI842" s="277"/>
      <c r="AJ842" s="277"/>
      <c r="AK842" s="277"/>
    </row>
    <row r="843" spans="1:37" s="289" customFormat="1">
      <c r="A843" s="277"/>
      <c r="C843" s="277"/>
      <c r="D843" s="277"/>
      <c r="E843" s="277"/>
      <c r="F843" s="277"/>
      <c r="G843" s="277"/>
      <c r="H843" s="277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  <c r="AA843" s="277"/>
      <c r="AB843" s="277"/>
      <c r="AC843" s="277"/>
      <c r="AD843" s="277"/>
      <c r="AE843" s="277"/>
      <c r="AF843" s="277"/>
      <c r="AG843" s="277"/>
      <c r="AH843" s="277"/>
      <c r="AI843" s="277"/>
      <c r="AJ843" s="277"/>
      <c r="AK843" s="277"/>
    </row>
    <row r="844" spans="1:37" s="289" customFormat="1">
      <c r="A844" s="277"/>
      <c r="C844" s="277"/>
      <c r="D844" s="277"/>
      <c r="E844" s="277"/>
      <c r="F844" s="277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</row>
    <row r="845" spans="1:37" s="289" customFormat="1">
      <c r="A845" s="277"/>
      <c r="C845" s="277"/>
      <c r="D845" s="277"/>
      <c r="E845" s="277"/>
      <c r="F845" s="277"/>
      <c r="G845" s="277"/>
      <c r="H845" s="277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  <c r="AA845" s="277"/>
      <c r="AB845" s="277"/>
      <c r="AC845" s="277"/>
      <c r="AD845" s="277"/>
      <c r="AE845" s="277"/>
      <c r="AF845" s="277"/>
      <c r="AG845" s="277"/>
      <c r="AH845" s="277"/>
      <c r="AI845" s="277"/>
      <c r="AJ845" s="277"/>
      <c r="AK845" s="277"/>
    </row>
    <row r="846" spans="1:37" s="289" customFormat="1">
      <c r="A846" s="277"/>
      <c r="C846" s="277"/>
      <c r="D846" s="277"/>
      <c r="E846" s="277"/>
      <c r="F846" s="277"/>
      <c r="G846" s="277"/>
      <c r="H846" s="277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  <c r="AA846" s="277"/>
      <c r="AB846" s="277"/>
      <c r="AC846" s="277"/>
      <c r="AD846" s="277"/>
      <c r="AE846" s="277"/>
      <c r="AF846" s="277"/>
      <c r="AG846" s="277"/>
      <c r="AH846" s="277"/>
      <c r="AI846" s="277"/>
      <c r="AJ846" s="277"/>
      <c r="AK846" s="277"/>
    </row>
    <row r="847" spans="1:37" s="289" customFormat="1">
      <c r="A847" s="277"/>
      <c r="C847" s="277"/>
      <c r="D847" s="277"/>
      <c r="E847" s="277"/>
      <c r="F847" s="277"/>
      <c r="G847" s="277"/>
      <c r="H847" s="277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  <c r="AA847" s="277"/>
      <c r="AB847" s="277"/>
      <c r="AC847" s="277"/>
      <c r="AD847" s="277"/>
      <c r="AE847" s="277"/>
      <c r="AF847" s="277"/>
      <c r="AG847" s="277"/>
      <c r="AH847" s="277"/>
      <c r="AI847" s="277"/>
      <c r="AJ847" s="277"/>
      <c r="AK847" s="277"/>
    </row>
    <row r="848" spans="1:37" s="289" customFormat="1">
      <c r="A848" s="277"/>
      <c r="C848" s="277"/>
      <c r="D848" s="277"/>
      <c r="E848" s="277"/>
      <c r="F848" s="277"/>
      <c r="G848" s="277"/>
      <c r="H848" s="277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  <c r="AA848" s="277"/>
      <c r="AB848" s="277"/>
      <c r="AC848" s="277"/>
      <c r="AD848" s="277"/>
      <c r="AE848" s="277"/>
      <c r="AF848" s="277"/>
      <c r="AG848" s="277"/>
      <c r="AH848" s="277"/>
      <c r="AI848" s="277"/>
      <c r="AJ848" s="277"/>
      <c r="AK848" s="277"/>
    </row>
    <row r="849" spans="1:37" s="289" customFormat="1">
      <c r="A849" s="277"/>
      <c r="C849" s="277"/>
      <c r="D849" s="277"/>
      <c r="E849" s="277"/>
      <c r="F849" s="277"/>
      <c r="G849" s="277"/>
      <c r="H849" s="277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  <c r="AA849" s="277"/>
      <c r="AB849" s="277"/>
      <c r="AC849" s="277"/>
      <c r="AD849" s="277"/>
      <c r="AE849" s="277"/>
      <c r="AF849" s="277"/>
      <c r="AG849" s="277"/>
      <c r="AH849" s="277"/>
      <c r="AI849" s="277"/>
      <c r="AJ849" s="277"/>
      <c r="AK849" s="277"/>
    </row>
    <row r="850" spans="1:37" s="289" customFormat="1">
      <c r="A850" s="277"/>
      <c r="C850" s="277"/>
      <c r="D850" s="277"/>
      <c r="E850" s="277"/>
      <c r="F850" s="277"/>
      <c r="G850" s="277"/>
      <c r="H850" s="277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  <c r="AA850" s="277"/>
      <c r="AB850" s="277"/>
      <c r="AC850" s="277"/>
      <c r="AD850" s="277"/>
      <c r="AE850" s="277"/>
      <c r="AF850" s="277"/>
      <c r="AG850" s="277"/>
      <c r="AH850" s="277"/>
      <c r="AI850" s="277"/>
      <c r="AJ850" s="277"/>
      <c r="AK850" s="277"/>
    </row>
    <row r="851" spans="1:37" s="289" customFormat="1">
      <c r="A851" s="277"/>
      <c r="C851" s="277"/>
      <c r="D851" s="277"/>
      <c r="E851" s="277"/>
      <c r="F851" s="277"/>
      <c r="G851" s="277"/>
      <c r="H851" s="277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  <c r="AA851" s="277"/>
      <c r="AB851" s="277"/>
      <c r="AC851" s="277"/>
      <c r="AD851" s="277"/>
      <c r="AE851" s="277"/>
      <c r="AF851" s="277"/>
      <c r="AG851" s="277"/>
      <c r="AH851" s="277"/>
      <c r="AI851" s="277"/>
      <c r="AJ851" s="277"/>
      <c r="AK851" s="277"/>
    </row>
    <row r="852" spans="1:37" s="289" customFormat="1">
      <c r="A852" s="277"/>
      <c r="C852" s="277"/>
      <c r="D852" s="277"/>
      <c r="E852" s="277"/>
      <c r="F852" s="277"/>
      <c r="G852" s="277"/>
      <c r="H852" s="277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277"/>
    </row>
    <row r="853" spans="1:37" s="289" customFormat="1">
      <c r="A853" s="277"/>
      <c r="C853" s="277"/>
      <c r="D853" s="277"/>
      <c r="E853" s="277"/>
      <c r="F853" s="277"/>
      <c r="G853" s="277"/>
      <c r="H853" s="277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  <c r="AA853" s="277"/>
      <c r="AB853" s="277"/>
      <c r="AC853" s="277"/>
      <c r="AD853" s="277"/>
      <c r="AE853" s="277"/>
      <c r="AF853" s="277"/>
      <c r="AG853" s="277"/>
      <c r="AH853" s="277"/>
      <c r="AI853" s="277"/>
      <c r="AJ853" s="277"/>
      <c r="AK853" s="277"/>
    </row>
    <row r="854" spans="1:37" s="289" customFormat="1">
      <c r="A854" s="277"/>
      <c r="C854" s="277"/>
      <c r="D854" s="277"/>
      <c r="E854" s="277"/>
      <c r="F854" s="277"/>
      <c r="G854" s="277"/>
      <c r="H854" s="277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  <c r="AA854" s="277"/>
      <c r="AB854" s="277"/>
      <c r="AC854" s="277"/>
      <c r="AD854" s="277"/>
      <c r="AE854" s="277"/>
      <c r="AF854" s="277"/>
      <c r="AG854" s="277"/>
      <c r="AH854" s="277"/>
      <c r="AI854" s="277"/>
      <c r="AJ854" s="277"/>
      <c r="AK854" s="277"/>
    </row>
    <row r="855" spans="1:37" s="289" customFormat="1">
      <c r="A855" s="277"/>
      <c r="C855" s="277"/>
      <c r="D855" s="277"/>
      <c r="E855" s="277"/>
      <c r="F855" s="277"/>
      <c r="G855" s="277"/>
      <c r="H855" s="277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  <c r="AA855" s="277"/>
      <c r="AB855" s="277"/>
      <c r="AC855" s="277"/>
      <c r="AD855" s="277"/>
      <c r="AE855" s="277"/>
      <c r="AF855" s="277"/>
      <c r="AG855" s="277"/>
      <c r="AH855" s="277"/>
      <c r="AI855" s="277"/>
      <c r="AJ855" s="277"/>
      <c r="AK855" s="277"/>
    </row>
    <row r="856" spans="1:37" s="289" customFormat="1">
      <c r="A856" s="277"/>
      <c r="C856" s="277"/>
      <c r="D856" s="277"/>
      <c r="E856" s="277"/>
      <c r="F856" s="277"/>
      <c r="G856" s="277"/>
      <c r="H856" s="277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  <c r="AA856" s="277"/>
      <c r="AB856" s="277"/>
      <c r="AC856" s="277"/>
      <c r="AD856" s="277"/>
      <c r="AE856" s="277"/>
      <c r="AF856" s="277"/>
      <c r="AG856" s="277"/>
      <c r="AH856" s="277"/>
      <c r="AI856" s="277"/>
      <c r="AJ856" s="277"/>
      <c r="AK856" s="277"/>
    </row>
    <row r="857" spans="1:37" s="289" customFormat="1">
      <c r="A857" s="277"/>
      <c r="C857" s="277"/>
      <c r="D857" s="277"/>
      <c r="E857" s="277"/>
      <c r="F857" s="277"/>
      <c r="G857" s="277"/>
      <c r="H857" s="277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  <c r="AA857" s="277"/>
      <c r="AB857" s="277"/>
      <c r="AC857" s="277"/>
      <c r="AD857" s="277"/>
      <c r="AE857" s="277"/>
      <c r="AF857" s="277"/>
      <c r="AG857" s="277"/>
      <c r="AH857" s="277"/>
      <c r="AI857" s="277"/>
      <c r="AJ857" s="277"/>
      <c r="AK857" s="277"/>
    </row>
    <row r="858" spans="1:37" s="289" customFormat="1">
      <c r="A858" s="277"/>
      <c r="C858" s="277"/>
      <c r="D858" s="277"/>
      <c r="E858" s="277"/>
      <c r="F858" s="277"/>
      <c r="G858" s="277"/>
      <c r="H858" s="277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  <c r="AA858" s="277"/>
      <c r="AB858" s="277"/>
      <c r="AC858" s="277"/>
      <c r="AD858" s="277"/>
      <c r="AE858" s="277"/>
      <c r="AF858" s="277"/>
      <c r="AG858" s="277"/>
      <c r="AH858" s="277"/>
      <c r="AI858" s="277"/>
      <c r="AJ858" s="277"/>
      <c r="AK858" s="277"/>
    </row>
    <row r="859" spans="1:37" s="289" customFormat="1">
      <c r="A859" s="277"/>
      <c r="C859" s="277"/>
      <c r="D859" s="277"/>
      <c r="E859" s="277"/>
      <c r="F859" s="277"/>
      <c r="G859" s="277"/>
      <c r="H859" s="277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  <c r="AA859" s="277"/>
      <c r="AB859" s="277"/>
      <c r="AC859" s="277"/>
      <c r="AD859" s="277"/>
      <c r="AE859" s="277"/>
      <c r="AF859" s="277"/>
      <c r="AG859" s="277"/>
      <c r="AH859" s="277"/>
      <c r="AI859" s="277"/>
      <c r="AJ859" s="277"/>
      <c r="AK859" s="277"/>
    </row>
    <row r="860" spans="1:37" s="289" customFormat="1">
      <c r="A860" s="277"/>
      <c r="C860" s="277"/>
      <c r="D860" s="277"/>
      <c r="E860" s="277"/>
      <c r="F860" s="277"/>
      <c r="G860" s="277"/>
      <c r="H860" s="277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  <c r="AA860" s="277"/>
      <c r="AB860" s="277"/>
      <c r="AC860" s="277"/>
      <c r="AD860" s="277"/>
      <c r="AE860" s="277"/>
      <c r="AF860" s="277"/>
      <c r="AG860" s="277"/>
      <c r="AH860" s="277"/>
      <c r="AI860" s="277"/>
      <c r="AJ860" s="277"/>
      <c r="AK860" s="277"/>
    </row>
    <row r="861" spans="1:37" s="289" customFormat="1">
      <c r="A861" s="277"/>
      <c r="C861" s="277"/>
      <c r="D861" s="277"/>
      <c r="E861" s="277"/>
      <c r="F861" s="277"/>
      <c r="G861" s="277"/>
      <c r="H861" s="277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  <c r="AA861" s="277"/>
      <c r="AB861" s="277"/>
      <c r="AC861" s="277"/>
      <c r="AD861" s="277"/>
      <c r="AE861" s="277"/>
      <c r="AF861" s="277"/>
      <c r="AG861" s="277"/>
      <c r="AH861" s="277"/>
      <c r="AI861" s="277"/>
      <c r="AJ861" s="277"/>
      <c r="AK861" s="277"/>
    </row>
    <row r="862" spans="1:37" s="289" customFormat="1">
      <c r="A862" s="277"/>
      <c r="C862" s="277"/>
      <c r="D862" s="277"/>
      <c r="E862" s="277"/>
      <c r="F862" s="277"/>
      <c r="G862" s="277"/>
      <c r="H862" s="277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  <c r="AA862" s="277"/>
      <c r="AB862" s="277"/>
      <c r="AC862" s="277"/>
      <c r="AD862" s="277"/>
      <c r="AE862" s="277"/>
      <c r="AF862" s="277"/>
      <c r="AG862" s="277"/>
      <c r="AH862" s="277"/>
      <c r="AI862" s="277"/>
      <c r="AJ862" s="277"/>
      <c r="AK862" s="277"/>
    </row>
    <row r="863" spans="1:37" s="289" customFormat="1">
      <c r="A863" s="277"/>
      <c r="C863" s="277"/>
      <c r="D863" s="277"/>
      <c r="E863" s="277"/>
      <c r="F863" s="277"/>
      <c r="G863" s="277"/>
      <c r="H863" s="277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  <c r="AA863" s="277"/>
      <c r="AB863" s="277"/>
      <c r="AC863" s="277"/>
      <c r="AD863" s="277"/>
      <c r="AE863" s="277"/>
      <c r="AF863" s="277"/>
      <c r="AG863" s="277"/>
      <c r="AH863" s="277"/>
      <c r="AI863" s="277"/>
      <c r="AJ863" s="277"/>
      <c r="AK863" s="277"/>
    </row>
    <row r="864" spans="1:37" s="289" customFormat="1">
      <c r="A864" s="277"/>
      <c r="C864" s="277"/>
      <c r="D864" s="277"/>
      <c r="E864" s="277"/>
      <c r="F864" s="277"/>
      <c r="G864" s="277"/>
      <c r="H864" s="277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  <c r="AA864" s="277"/>
      <c r="AB864" s="277"/>
      <c r="AC864" s="277"/>
      <c r="AD864" s="277"/>
      <c r="AE864" s="277"/>
      <c r="AF864" s="277"/>
      <c r="AG864" s="277"/>
      <c r="AH864" s="277"/>
      <c r="AI864" s="277"/>
      <c r="AJ864" s="277"/>
      <c r="AK864" s="277"/>
    </row>
    <row r="865" spans="1:37" s="289" customFormat="1">
      <c r="A865" s="277"/>
      <c r="C865" s="277"/>
      <c r="D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</row>
    <row r="866" spans="1:37" s="289" customFormat="1">
      <c r="A866" s="277"/>
      <c r="C866" s="277"/>
      <c r="D866" s="277"/>
      <c r="E866" s="277"/>
      <c r="F866" s="277"/>
      <c r="G866" s="277"/>
      <c r="H866" s="277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  <c r="AA866" s="277"/>
      <c r="AB866" s="277"/>
      <c r="AC866" s="277"/>
      <c r="AD866" s="277"/>
      <c r="AE866" s="277"/>
      <c r="AF866" s="277"/>
      <c r="AG866" s="277"/>
      <c r="AH866" s="277"/>
      <c r="AI866" s="277"/>
      <c r="AJ866" s="277"/>
      <c r="AK866" s="277"/>
    </row>
    <row r="867" spans="1:37" s="289" customFormat="1">
      <c r="A867" s="277"/>
      <c r="C867" s="277"/>
      <c r="D867" s="277"/>
      <c r="E867" s="277"/>
      <c r="F867" s="277"/>
      <c r="G867" s="277"/>
      <c r="H867" s="277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  <c r="AA867" s="277"/>
      <c r="AB867" s="277"/>
      <c r="AC867" s="277"/>
      <c r="AD867" s="277"/>
      <c r="AE867" s="277"/>
      <c r="AF867" s="277"/>
      <c r="AG867" s="277"/>
      <c r="AH867" s="277"/>
      <c r="AI867" s="277"/>
      <c r="AJ867" s="277"/>
      <c r="AK867" s="277"/>
    </row>
    <row r="868" spans="1:37" s="289" customFormat="1">
      <c r="A868" s="277"/>
      <c r="C868" s="277"/>
      <c r="D868" s="277"/>
      <c r="E868" s="277"/>
      <c r="F868" s="277"/>
      <c r="G868" s="277"/>
      <c r="H868" s="277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  <c r="AA868" s="277"/>
      <c r="AB868" s="277"/>
      <c r="AC868" s="277"/>
      <c r="AD868" s="277"/>
      <c r="AE868" s="277"/>
      <c r="AF868" s="277"/>
      <c r="AG868" s="277"/>
      <c r="AH868" s="277"/>
      <c r="AI868" s="277"/>
      <c r="AJ868" s="277"/>
      <c r="AK868" s="277"/>
    </row>
    <row r="869" spans="1:37" s="289" customFormat="1">
      <c r="A869" s="277"/>
      <c r="C869" s="277"/>
      <c r="D869" s="277"/>
      <c r="E869" s="277"/>
      <c r="F869" s="277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</row>
    <row r="870" spans="1:37" s="289" customFormat="1">
      <c r="A870" s="277"/>
      <c r="C870" s="277"/>
      <c r="D870" s="277"/>
      <c r="E870" s="277"/>
      <c r="F870" s="277"/>
      <c r="G870" s="277"/>
      <c r="H870" s="277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  <c r="AA870" s="277"/>
      <c r="AB870" s="277"/>
      <c r="AC870" s="277"/>
      <c r="AD870" s="277"/>
      <c r="AE870" s="277"/>
      <c r="AF870" s="277"/>
      <c r="AG870" s="277"/>
      <c r="AH870" s="277"/>
      <c r="AI870" s="277"/>
      <c r="AJ870" s="277"/>
      <c r="AK870" s="277"/>
    </row>
    <row r="871" spans="1:37" s="289" customFormat="1">
      <c r="A871" s="277"/>
      <c r="C871" s="277"/>
      <c r="D871" s="277"/>
      <c r="E871" s="277"/>
      <c r="F871" s="277"/>
      <c r="G871" s="277"/>
      <c r="H871" s="277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  <c r="AA871" s="277"/>
      <c r="AB871" s="277"/>
      <c r="AC871" s="277"/>
      <c r="AD871" s="277"/>
      <c r="AE871" s="277"/>
      <c r="AF871" s="277"/>
      <c r="AG871" s="277"/>
      <c r="AH871" s="277"/>
      <c r="AI871" s="277"/>
      <c r="AJ871" s="277"/>
      <c r="AK871" s="277"/>
    </row>
    <row r="872" spans="1:37" s="289" customFormat="1">
      <c r="A872" s="277"/>
      <c r="C872" s="277"/>
      <c r="D872" s="277"/>
      <c r="E872" s="277"/>
      <c r="F872" s="277"/>
      <c r="G872" s="277"/>
      <c r="H872" s="277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  <c r="AA872" s="277"/>
      <c r="AB872" s="277"/>
      <c r="AC872" s="277"/>
      <c r="AD872" s="277"/>
      <c r="AE872" s="277"/>
      <c r="AF872" s="277"/>
      <c r="AG872" s="277"/>
      <c r="AH872" s="277"/>
      <c r="AI872" s="277"/>
      <c r="AJ872" s="277"/>
      <c r="AK872" s="277"/>
    </row>
    <row r="873" spans="1:37" s="289" customFormat="1">
      <c r="A873" s="277"/>
      <c r="C873" s="277"/>
      <c r="D873" s="277"/>
      <c r="E873" s="277"/>
      <c r="F873" s="277"/>
      <c r="G873" s="277"/>
      <c r="H873" s="277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  <c r="AA873" s="277"/>
      <c r="AB873" s="277"/>
      <c r="AC873" s="277"/>
      <c r="AD873" s="277"/>
      <c r="AE873" s="277"/>
      <c r="AF873" s="277"/>
      <c r="AG873" s="277"/>
      <c r="AH873" s="277"/>
      <c r="AI873" s="277"/>
      <c r="AJ873" s="277"/>
      <c r="AK873" s="277"/>
    </row>
    <row r="874" spans="1:37" s="289" customFormat="1">
      <c r="A874" s="277"/>
      <c r="C874" s="277"/>
      <c r="D874" s="277"/>
      <c r="E874" s="277"/>
      <c r="F874" s="277"/>
      <c r="G874" s="277"/>
      <c r="H874" s="277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  <c r="AA874" s="277"/>
      <c r="AB874" s="277"/>
      <c r="AC874" s="277"/>
      <c r="AD874" s="277"/>
      <c r="AE874" s="277"/>
      <c r="AF874" s="277"/>
      <c r="AG874" s="277"/>
      <c r="AH874" s="277"/>
      <c r="AI874" s="277"/>
      <c r="AJ874" s="277"/>
      <c r="AK874" s="277"/>
    </row>
    <row r="875" spans="1:37" s="289" customFormat="1">
      <c r="A875" s="277"/>
      <c r="C875" s="277"/>
      <c r="D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  <c r="AA875" s="277"/>
      <c r="AB875" s="277"/>
      <c r="AC875" s="277"/>
      <c r="AD875" s="277"/>
      <c r="AE875" s="277"/>
      <c r="AF875" s="277"/>
      <c r="AG875" s="277"/>
      <c r="AH875" s="277"/>
      <c r="AI875" s="277"/>
      <c r="AJ875" s="277"/>
      <c r="AK875" s="277"/>
    </row>
    <row r="876" spans="1:37" s="289" customFormat="1">
      <c r="A876" s="277"/>
      <c r="C876" s="277"/>
      <c r="D876" s="277"/>
      <c r="E876" s="277"/>
      <c r="F876" s="277"/>
      <c r="G876" s="277"/>
      <c r="H876" s="277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  <c r="AA876" s="277"/>
      <c r="AB876" s="277"/>
      <c r="AC876" s="277"/>
      <c r="AD876" s="277"/>
      <c r="AE876" s="277"/>
      <c r="AF876" s="277"/>
      <c r="AG876" s="277"/>
      <c r="AH876" s="277"/>
      <c r="AI876" s="277"/>
      <c r="AJ876" s="277"/>
      <c r="AK876" s="277"/>
    </row>
    <row r="877" spans="1:37" s="289" customFormat="1">
      <c r="A877" s="277"/>
      <c r="C877" s="277"/>
      <c r="D877" s="277"/>
      <c r="E877" s="277"/>
      <c r="F877" s="277"/>
      <c r="G877" s="277"/>
      <c r="H877" s="277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  <c r="AA877" s="277"/>
      <c r="AB877" s="277"/>
      <c r="AC877" s="277"/>
      <c r="AD877" s="277"/>
      <c r="AE877" s="277"/>
      <c r="AF877" s="277"/>
      <c r="AG877" s="277"/>
      <c r="AH877" s="277"/>
      <c r="AI877" s="277"/>
      <c r="AJ877" s="277"/>
      <c r="AK877" s="277"/>
    </row>
    <row r="878" spans="1:37" s="289" customFormat="1">
      <c r="A878" s="277"/>
      <c r="C878" s="277"/>
      <c r="D878" s="277"/>
      <c r="E878" s="277"/>
      <c r="F878" s="277"/>
      <c r="G878" s="277"/>
      <c r="H878" s="277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  <c r="AA878" s="277"/>
      <c r="AB878" s="277"/>
      <c r="AC878" s="277"/>
      <c r="AD878" s="277"/>
      <c r="AE878" s="277"/>
      <c r="AF878" s="277"/>
      <c r="AG878" s="277"/>
      <c r="AH878" s="277"/>
      <c r="AI878" s="277"/>
      <c r="AJ878" s="277"/>
      <c r="AK878" s="277"/>
    </row>
    <row r="879" spans="1:37" s="289" customFormat="1">
      <c r="A879" s="277"/>
      <c r="C879" s="277"/>
      <c r="D879" s="277"/>
      <c r="E879" s="277"/>
      <c r="F879" s="277"/>
      <c r="G879" s="277"/>
      <c r="H879" s="277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  <c r="AA879" s="277"/>
      <c r="AB879" s="277"/>
      <c r="AC879" s="277"/>
      <c r="AD879" s="277"/>
      <c r="AE879" s="277"/>
      <c r="AF879" s="277"/>
      <c r="AG879" s="277"/>
      <c r="AH879" s="277"/>
      <c r="AI879" s="277"/>
      <c r="AJ879" s="277"/>
      <c r="AK879" s="277"/>
    </row>
    <row r="880" spans="1:37" s="289" customFormat="1">
      <c r="A880" s="277"/>
      <c r="C880" s="277"/>
      <c r="D880" s="277"/>
      <c r="E880" s="277"/>
      <c r="F880" s="277"/>
      <c r="G880" s="277"/>
      <c r="H880" s="277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  <c r="AA880" s="277"/>
      <c r="AB880" s="277"/>
      <c r="AC880" s="277"/>
      <c r="AD880" s="277"/>
      <c r="AE880" s="277"/>
      <c r="AF880" s="277"/>
      <c r="AG880" s="277"/>
      <c r="AH880" s="277"/>
      <c r="AI880" s="277"/>
      <c r="AJ880" s="277"/>
      <c r="AK880" s="277"/>
    </row>
    <row r="881" spans="1:37" s="289" customFormat="1">
      <c r="A881" s="277"/>
      <c r="C881" s="277"/>
      <c r="D881" s="277"/>
      <c r="E881" s="277"/>
      <c r="F881" s="277"/>
      <c r="G881" s="277"/>
      <c r="H881" s="277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  <c r="AA881" s="277"/>
      <c r="AB881" s="277"/>
      <c r="AC881" s="277"/>
      <c r="AD881" s="277"/>
      <c r="AE881" s="277"/>
      <c r="AF881" s="277"/>
      <c r="AG881" s="277"/>
      <c r="AH881" s="277"/>
      <c r="AI881" s="277"/>
      <c r="AJ881" s="277"/>
      <c r="AK881" s="277"/>
    </row>
    <row r="882" spans="1:37" s="289" customFormat="1">
      <c r="A882" s="277"/>
      <c r="C882" s="277"/>
      <c r="D882" s="277"/>
      <c r="E882" s="277"/>
      <c r="F882" s="277"/>
      <c r="G882" s="277"/>
      <c r="H882" s="277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  <c r="AA882" s="277"/>
      <c r="AB882" s="277"/>
      <c r="AC882" s="277"/>
      <c r="AD882" s="277"/>
      <c r="AE882" s="277"/>
      <c r="AF882" s="277"/>
      <c r="AG882" s="277"/>
      <c r="AH882" s="277"/>
      <c r="AI882" s="277"/>
      <c r="AJ882" s="277"/>
      <c r="AK882" s="277"/>
    </row>
    <row r="883" spans="1:37" s="289" customFormat="1">
      <c r="A883" s="277"/>
      <c r="C883" s="277"/>
      <c r="D883" s="277"/>
      <c r="E883" s="277"/>
      <c r="F883" s="277"/>
      <c r="G883" s="277"/>
      <c r="H883" s="277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  <c r="AA883" s="277"/>
      <c r="AB883" s="277"/>
      <c r="AC883" s="277"/>
      <c r="AD883" s="277"/>
      <c r="AE883" s="277"/>
      <c r="AF883" s="277"/>
      <c r="AG883" s="277"/>
      <c r="AH883" s="277"/>
      <c r="AI883" s="277"/>
      <c r="AJ883" s="277"/>
      <c r="AK883" s="277"/>
    </row>
    <row r="884" spans="1:37" s="289" customFormat="1">
      <c r="A884" s="277"/>
      <c r="C884" s="277"/>
      <c r="D884" s="277"/>
      <c r="E884" s="277"/>
      <c r="F884" s="277"/>
      <c r="G884" s="277"/>
      <c r="H884" s="277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  <c r="AA884" s="277"/>
      <c r="AB884" s="277"/>
      <c r="AC884" s="277"/>
      <c r="AD884" s="277"/>
      <c r="AE884" s="277"/>
      <c r="AF884" s="277"/>
      <c r="AG884" s="277"/>
      <c r="AH884" s="277"/>
      <c r="AI884" s="277"/>
      <c r="AJ884" s="277"/>
      <c r="AK884" s="277"/>
    </row>
    <row r="885" spans="1:37" s="289" customFormat="1">
      <c r="A885" s="277"/>
      <c r="C885" s="277"/>
      <c r="D885" s="277"/>
      <c r="E885" s="277"/>
      <c r="F885" s="277"/>
      <c r="G885" s="277"/>
      <c r="H885" s="277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  <c r="AA885" s="277"/>
      <c r="AB885" s="277"/>
      <c r="AC885" s="277"/>
      <c r="AD885" s="277"/>
      <c r="AE885" s="277"/>
      <c r="AF885" s="277"/>
      <c r="AG885" s="277"/>
      <c r="AH885" s="277"/>
      <c r="AI885" s="277"/>
      <c r="AJ885" s="277"/>
      <c r="AK885" s="277"/>
    </row>
    <row r="886" spans="1:37" s="289" customFormat="1">
      <c r="A886" s="277"/>
      <c r="C886" s="277"/>
      <c r="D886" s="277"/>
      <c r="E886" s="277"/>
      <c r="F886" s="277"/>
      <c r="G886" s="277"/>
      <c r="H886" s="277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  <c r="AA886" s="277"/>
      <c r="AB886" s="277"/>
      <c r="AC886" s="277"/>
      <c r="AD886" s="277"/>
      <c r="AE886" s="277"/>
      <c r="AF886" s="277"/>
      <c r="AG886" s="277"/>
      <c r="AH886" s="277"/>
      <c r="AI886" s="277"/>
      <c r="AJ886" s="277"/>
      <c r="AK886" s="277"/>
    </row>
    <row r="887" spans="1:37" s="289" customFormat="1">
      <c r="A887" s="277"/>
      <c r="C887" s="277"/>
      <c r="D887" s="277"/>
      <c r="E887" s="277"/>
      <c r="F887" s="277"/>
      <c r="G887" s="277"/>
      <c r="H887" s="277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  <c r="AA887" s="277"/>
      <c r="AB887" s="277"/>
      <c r="AC887" s="277"/>
      <c r="AD887" s="277"/>
      <c r="AE887" s="277"/>
      <c r="AF887" s="277"/>
      <c r="AG887" s="277"/>
      <c r="AH887" s="277"/>
      <c r="AI887" s="277"/>
      <c r="AJ887" s="277"/>
      <c r="AK887" s="277"/>
    </row>
    <row r="888" spans="1:37" s="289" customFormat="1">
      <c r="A888" s="277"/>
      <c r="C888" s="277"/>
      <c r="D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  <c r="AA888" s="277"/>
      <c r="AB888" s="277"/>
      <c r="AC888" s="277"/>
      <c r="AD888" s="277"/>
      <c r="AE888" s="277"/>
      <c r="AF888" s="277"/>
      <c r="AG888" s="277"/>
      <c r="AH888" s="277"/>
      <c r="AI888" s="277"/>
      <c r="AJ888" s="277"/>
      <c r="AK888" s="277"/>
    </row>
    <row r="889" spans="1:37" s="289" customFormat="1">
      <c r="A889" s="277"/>
      <c r="C889" s="277"/>
      <c r="D889" s="277"/>
      <c r="E889" s="277"/>
      <c r="F889" s="277"/>
      <c r="G889" s="277"/>
      <c r="H889" s="277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  <c r="AA889" s="277"/>
      <c r="AB889" s="277"/>
      <c r="AC889" s="277"/>
      <c r="AD889" s="277"/>
      <c r="AE889" s="277"/>
      <c r="AF889" s="277"/>
      <c r="AG889" s="277"/>
      <c r="AH889" s="277"/>
      <c r="AI889" s="277"/>
      <c r="AJ889" s="277"/>
      <c r="AK889" s="277"/>
    </row>
    <row r="890" spans="1:37" s="289" customFormat="1">
      <c r="A890" s="277"/>
      <c r="C890" s="277"/>
      <c r="D890" s="277"/>
      <c r="E890" s="277"/>
      <c r="F890" s="277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</row>
    <row r="891" spans="1:37" s="289" customFormat="1">
      <c r="A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  <c r="AA891" s="277"/>
      <c r="AB891" s="277"/>
      <c r="AC891" s="277"/>
      <c r="AD891" s="277"/>
      <c r="AE891" s="277"/>
      <c r="AF891" s="277"/>
      <c r="AG891" s="277"/>
      <c r="AH891" s="277"/>
      <c r="AI891" s="277"/>
      <c r="AJ891" s="277"/>
      <c r="AK891" s="277"/>
    </row>
    <row r="892" spans="1:37" s="289" customFormat="1">
      <c r="A892" s="277"/>
      <c r="C892" s="277"/>
      <c r="D892" s="277"/>
      <c r="E892" s="277"/>
      <c r="F892" s="277"/>
      <c r="G892" s="277"/>
      <c r="H892" s="277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  <c r="AA892" s="277"/>
      <c r="AB892" s="277"/>
      <c r="AC892" s="277"/>
      <c r="AD892" s="277"/>
      <c r="AE892" s="277"/>
      <c r="AF892" s="277"/>
      <c r="AG892" s="277"/>
      <c r="AH892" s="277"/>
      <c r="AI892" s="277"/>
      <c r="AJ892" s="277"/>
      <c r="AK892" s="277"/>
    </row>
    <row r="893" spans="1:37" s="289" customFormat="1">
      <c r="A893" s="277"/>
      <c r="C893" s="277"/>
      <c r="D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  <c r="AA893" s="277"/>
      <c r="AB893" s="277"/>
      <c r="AC893" s="277"/>
      <c r="AD893" s="277"/>
      <c r="AE893" s="277"/>
      <c r="AF893" s="277"/>
      <c r="AG893" s="277"/>
      <c r="AH893" s="277"/>
      <c r="AI893" s="277"/>
      <c r="AJ893" s="277"/>
      <c r="AK893" s="277"/>
    </row>
    <row r="894" spans="1:37" s="289" customFormat="1">
      <c r="A894" s="277"/>
      <c r="C894" s="277"/>
      <c r="D894" s="277"/>
      <c r="E894" s="277"/>
      <c r="F894" s="277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</row>
    <row r="895" spans="1:37" s="289" customFormat="1">
      <c r="A895" s="277"/>
      <c r="C895" s="277"/>
      <c r="D895" s="277"/>
      <c r="E895" s="277"/>
      <c r="F895" s="277"/>
      <c r="G895" s="277"/>
      <c r="H895" s="277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  <c r="AA895" s="277"/>
      <c r="AB895" s="277"/>
      <c r="AC895" s="277"/>
      <c r="AD895" s="277"/>
      <c r="AE895" s="277"/>
      <c r="AF895" s="277"/>
      <c r="AG895" s="277"/>
      <c r="AH895" s="277"/>
      <c r="AI895" s="277"/>
      <c r="AJ895" s="277"/>
      <c r="AK895" s="277"/>
    </row>
    <row r="896" spans="1:37" s="289" customFormat="1">
      <c r="A896" s="277"/>
      <c r="C896" s="277"/>
      <c r="D896" s="277"/>
      <c r="E896" s="277"/>
      <c r="F896" s="277"/>
      <c r="G896" s="277"/>
      <c r="H896" s="277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  <c r="AA896" s="277"/>
      <c r="AB896" s="277"/>
      <c r="AC896" s="277"/>
      <c r="AD896" s="277"/>
      <c r="AE896" s="277"/>
      <c r="AF896" s="277"/>
      <c r="AG896" s="277"/>
      <c r="AH896" s="277"/>
      <c r="AI896" s="277"/>
      <c r="AJ896" s="277"/>
      <c r="AK896" s="277"/>
    </row>
    <row r="897" spans="1:37" s="289" customFormat="1">
      <c r="A897" s="277"/>
      <c r="C897" s="277"/>
      <c r="D897" s="277"/>
      <c r="E897" s="277"/>
      <c r="F897" s="277"/>
      <c r="G897" s="277"/>
      <c r="H897" s="277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  <c r="AA897" s="277"/>
      <c r="AB897" s="277"/>
      <c r="AC897" s="277"/>
      <c r="AD897" s="277"/>
      <c r="AE897" s="277"/>
      <c r="AF897" s="277"/>
      <c r="AG897" s="277"/>
      <c r="AH897" s="277"/>
      <c r="AI897" s="277"/>
      <c r="AJ897" s="277"/>
      <c r="AK897" s="277"/>
    </row>
    <row r="898" spans="1:37" s="289" customFormat="1">
      <c r="A898" s="277"/>
      <c r="C898" s="277"/>
      <c r="D898" s="277"/>
      <c r="E898" s="277"/>
      <c r="F898" s="277"/>
      <c r="G898" s="277"/>
      <c r="H898" s="277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  <c r="AA898" s="277"/>
      <c r="AB898" s="277"/>
      <c r="AC898" s="277"/>
      <c r="AD898" s="277"/>
      <c r="AE898" s="277"/>
      <c r="AF898" s="277"/>
      <c r="AG898" s="277"/>
      <c r="AH898" s="277"/>
      <c r="AI898" s="277"/>
      <c r="AJ898" s="277"/>
      <c r="AK898" s="277"/>
    </row>
    <row r="899" spans="1:37" s="289" customFormat="1">
      <c r="A899" s="277"/>
      <c r="C899" s="277"/>
      <c r="D899" s="277"/>
      <c r="E899" s="277"/>
      <c r="F899" s="277"/>
      <c r="G899" s="277"/>
      <c r="H899" s="277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  <c r="AA899" s="277"/>
      <c r="AB899" s="277"/>
      <c r="AC899" s="277"/>
      <c r="AD899" s="277"/>
      <c r="AE899" s="277"/>
      <c r="AF899" s="277"/>
      <c r="AG899" s="277"/>
      <c r="AH899" s="277"/>
      <c r="AI899" s="277"/>
      <c r="AJ899" s="277"/>
      <c r="AK899" s="277"/>
    </row>
    <row r="900" spans="1:37" s="289" customFormat="1">
      <c r="A900" s="277"/>
      <c r="C900" s="277"/>
      <c r="D900" s="277"/>
      <c r="E900" s="277"/>
      <c r="F900" s="277"/>
      <c r="G900" s="277"/>
      <c r="H900" s="277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  <c r="AA900" s="277"/>
      <c r="AB900" s="277"/>
      <c r="AC900" s="277"/>
      <c r="AD900" s="277"/>
      <c r="AE900" s="277"/>
      <c r="AF900" s="277"/>
      <c r="AG900" s="277"/>
      <c r="AH900" s="277"/>
      <c r="AI900" s="277"/>
      <c r="AJ900" s="277"/>
      <c r="AK900" s="277"/>
    </row>
    <row r="901" spans="1:37" s="289" customFormat="1">
      <c r="A901" s="277"/>
      <c r="C901" s="277"/>
      <c r="D901" s="277"/>
      <c r="E901" s="277"/>
      <c r="F901" s="277"/>
      <c r="G901" s="277"/>
      <c r="H901" s="277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  <c r="AA901" s="277"/>
      <c r="AB901" s="277"/>
      <c r="AC901" s="277"/>
      <c r="AD901" s="277"/>
      <c r="AE901" s="277"/>
      <c r="AF901" s="277"/>
      <c r="AG901" s="277"/>
      <c r="AH901" s="277"/>
      <c r="AI901" s="277"/>
      <c r="AJ901" s="277"/>
      <c r="AK901" s="277"/>
    </row>
    <row r="902" spans="1:37" s="289" customFormat="1">
      <c r="A902" s="277"/>
      <c r="C902" s="277"/>
      <c r="D902" s="277"/>
      <c r="E902" s="277"/>
      <c r="F902" s="277"/>
      <c r="G902" s="277"/>
      <c r="H902" s="277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  <c r="AA902" s="277"/>
      <c r="AB902" s="277"/>
      <c r="AC902" s="277"/>
      <c r="AD902" s="277"/>
      <c r="AE902" s="277"/>
      <c r="AF902" s="277"/>
      <c r="AG902" s="277"/>
      <c r="AH902" s="277"/>
      <c r="AI902" s="277"/>
      <c r="AJ902" s="277"/>
      <c r="AK902" s="277"/>
    </row>
    <row r="903" spans="1:37" s="289" customFormat="1">
      <c r="A903" s="277"/>
      <c r="C903" s="277"/>
      <c r="D903" s="277"/>
      <c r="E903" s="277"/>
      <c r="F903" s="277"/>
      <c r="G903" s="277"/>
      <c r="H903" s="277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  <c r="AA903" s="277"/>
      <c r="AB903" s="277"/>
      <c r="AC903" s="277"/>
      <c r="AD903" s="277"/>
      <c r="AE903" s="277"/>
      <c r="AF903" s="277"/>
      <c r="AG903" s="277"/>
      <c r="AH903" s="277"/>
      <c r="AI903" s="277"/>
      <c r="AJ903" s="277"/>
      <c r="AK903" s="277"/>
    </row>
    <row r="904" spans="1:37" s="289" customFormat="1">
      <c r="A904" s="277"/>
      <c r="C904" s="277"/>
      <c r="D904" s="277"/>
      <c r="E904" s="277"/>
      <c r="F904" s="277"/>
      <c r="G904" s="277"/>
      <c r="H904" s="277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  <c r="AA904" s="277"/>
      <c r="AB904" s="277"/>
      <c r="AC904" s="277"/>
      <c r="AD904" s="277"/>
      <c r="AE904" s="277"/>
      <c r="AF904" s="277"/>
      <c r="AG904" s="277"/>
      <c r="AH904" s="277"/>
      <c r="AI904" s="277"/>
      <c r="AJ904" s="277"/>
      <c r="AK904" s="277"/>
    </row>
    <row r="905" spans="1:37" s="289" customFormat="1">
      <c r="A905" s="277"/>
      <c r="C905" s="277"/>
      <c r="D905" s="277"/>
      <c r="E905" s="277"/>
      <c r="F905" s="277"/>
      <c r="G905" s="277"/>
      <c r="H905" s="277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  <c r="AA905" s="277"/>
      <c r="AB905" s="277"/>
      <c r="AC905" s="277"/>
      <c r="AD905" s="277"/>
      <c r="AE905" s="277"/>
      <c r="AF905" s="277"/>
      <c r="AG905" s="277"/>
      <c r="AH905" s="277"/>
      <c r="AI905" s="277"/>
      <c r="AJ905" s="277"/>
      <c r="AK905" s="277"/>
    </row>
    <row r="906" spans="1:37" s="289" customFormat="1">
      <c r="A906" s="277"/>
      <c r="C906" s="277"/>
      <c r="D906" s="277"/>
      <c r="E906" s="277"/>
      <c r="F906" s="277"/>
      <c r="G906" s="277"/>
      <c r="H906" s="277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  <c r="AA906" s="277"/>
      <c r="AB906" s="277"/>
      <c r="AC906" s="277"/>
      <c r="AD906" s="277"/>
      <c r="AE906" s="277"/>
      <c r="AF906" s="277"/>
      <c r="AG906" s="277"/>
      <c r="AH906" s="277"/>
      <c r="AI906" s="277"/>
      <c r="AJ906" s="277"/>
      <c r="AK906" s="277"/>
    </row>
    <row r="907" spans="1:37" s="289" customFormat="1">
      <c r="A907" s="277"/>
      <c r="C907" s="277"/>
      <c r="D907" s="277"/>
      <c r="E907" s="277"/>
      <c r="F907" s="277"/>
      <c r="G907" s="277"/>
      <c r="H907" s="277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  <c r="AA907" s="277"/>
      <c r="AB907" s="277"/>
      <c r="AC907" s="277"/>
      <c r="AD907" s="277"/>
      <c r="AE907" s="277"/>
      <c r="AF907" s="277"/>
      <c r="AG907" s="277"/>
      <c r="AH907" s="277"/>
      <c r="AI907" s="277"/>
      <c r="AJ907" s="277"/>
      <c r="AK907" s="277"/>
    </row>
    <row r="908" spans="1:37" s="289" customFormat="1">
      <c r="A908" s="277"/>
      <c r="C908" s="277"/>
      <c r="D908" s="277"/>
      <c r="E908" s="277"/>
      <c r="F908" s="277"/>
      <c r="G908" s="277"/>
      <c r="H908" s="277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  <c r="AA908" s="277"/>
      <c r="AB908" s="277"/>
      <c r="AC908" s="277"/>
      <c r="AD908" s="277"/>
      <c r="AE908" s="277"/>
      <c r="AF908" s="277"/>
      <c r="AG908" s="277"/>
      <c r="AH908" s="277"/>
      <c r="AI908" s="277"/>
      <c r="AJ908" s="277"/>
      <c r="AK908" s="277"/>
    </row>
    <row r="909" spans="1:37" s="289" customFormat="1">
      <c r="A909" s="277"/>
      <c r="C909" s="277"/>
      <c r="D909" s="277"/>
      <c r="E909" s="277"/>
      <c r="F909" s="277"/>
      <c r="G909" s="277"/>
      <c r="H909" s="277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  <c r="AA909" s="277"/>
      <c r="AB909" s="277"/>
      <c r="AC909" s="277"/>
      <c r="AD909" s="277"/>
      <c r="AE909" s="277"/>
      <c r="AF909" s="277"/>
      <c r="AG909" s="277"/>
      <c r="AH909" s="277"/>
      <c r="AI909" s="277"/>
      <c r="AJ909" s="277"/>
      <c r="AK909" s="277"/>
    </row>
    <row r="910" spans="1:37" s="289" customFormat="1">
      <c r="A910" s="277"/>
      <c r="C910" s="277"/>
      <c r="D910" s="277"/>
      <c r="E910" s="277"/>
      <c r="F910" s="277"/>
      <c r="G910" s="277"/>
      <c r="H910" s="277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  <c r="AA910" s="277"/>
      <c r="AB910" s="277"/>
      <c r="AC910" s="277"/>
      <c r="AD910" s="277"/>
      <c r="AE910" s="277"/>
      <c r="AF910" s="277"/>
      <c r="AG910" s="277"/>
      <c r="AH910" s="277"/>
      <c r="AI910" s="277"/>
      <c r="AJ910" s="277"/>
      <c r="AK910" s="277"/>
    </row>
    <row r="911" spans="1:37" s="289" customFormat="1">
      <c r="A911" s="277"/>
      <c r="C911" s="277"/>
      <c r="D911" s="277"/>
      <c r="E911" s="277"/>
      <c r="F911" s="277"/>
      <c r="G911" s="277"/>
      <c r="H911" s="277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  <c r="AA911" s="277"/>
      <c r="AB911" s="277"/>
      <c r="AC911" s="277"/>
      <c r="AD911" s="277"/>
      <c r="AE911" s="277"/>
      <c r="AF911" s="277"/>
      <c r="AG911" s="277"/>
      <c r="AH911" s="277"/>
      <c r="AI911" s="277"/>
      <c r="AJ911" s="277"/>
      <c r="AK911" s="277"/>
    </row>
    <row r="912" spans="1:37" s="289" customFormat="1">
      <c r="A912" s="277"/>
      <c r="C912" s="277"/>
      <c r="D912" s="277"/>
      <c r="E912" s="277"/>
      <c r="F912" s="277"/>
      <c r="G912" s="277"/>
      <c r="H912" s="277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  <c r="AA912" s="277"/>
      <c r="AB912" s="277"/>
      <c r="AC912" s="277"/>
      <c r="AD912" s="277"/>
      <c r="AE912" s="277"/>
      <c r="AF912" s="277"/>
      <c r="AG912" s="277"/>
      <c r="AH912" s="277"/>
      <c r="AI912" s="277"/>
      <c r="AJ912" s="277"/>
      <c r="AK912" s="277"/>
    </row>
    <row r="913" spans="1:37" s="289" customFormat="1">
      <c r="A913" s="277"/>
      <c r="C913" s="277"/>
      <c r="D913" s="277"/>
      <c r="E913" s="277"/>
      <c r="F913" s="277"/>
      <c r="G913" s="277"/>
      <c r="H913" s="277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  <c r="AA913" s="277"/>
      <c r="AB913" s="277"/>
      <c r="AC913" s="277"/>
      <c r="AD913" s="277"/>
      <c r="AE913" s="277"/>
      <c r="AF913" s="277"/>
      <c r="AG913" s="277"/>
      <c r="AH913" s="277"/>
      <c r="AI913" s="277"/>
      <c r="AJ913" s="277"/>
      <c r="AK913" s="277"/>
    </row>
    <row r="914" spans="1:37" s="289" customFormat="1">
      <c r="A914" s="277"/>
      <c r="C914" s="277"/>
      <c r="D914" s="277"/>
      <c r="E914" s="277"/>
      <c r="F914" s="277"/>
      <c r="G914" s="277"/>
      <c r="H914" s="277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  <c r="AA914" s="277"/>
      <c r="AB914" s="277"/>
      <c r="AC914" s="277"/>
      <c r="AD914" s="277"/>
      <c r="AE914" s="277"/>
      <c r="AF914" s="277"/>
      <c r="AG914" s="277"/>
      <c r="AH914" s="277"/>
      <c r="AI914" s="277"/>
      <c r="AJ914" s="277"/>
      <c r="AK914" s="277"/>
    </row>
    <row r="915" spans="1:37" s="289" customFormat="1">
      <c r="A915" s="277"/>
      <c r="C915" s="277"/>
      <c r="D915" s="277"/>
      <c r="E915" s="277"/>
      <c r="F915" s="277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</row>
    <row r="916" spans="1:37" s="289" customFormat="1">
      <c r="A916" s="277"/>
      <c r="C916" s="277"/>
      <c r="D916" s="277"/>
      <c r="E916" s="277"/>
      <c r="F916" s="277"/>
      <c r="G916" s="277"/>
      <c r="H916" s="277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  <c r="AA916" s="277"/>
      <c r="AB916" s="277"/>
      <c r="AC916" s="277"/>
      <c r="AD916" s="277"/>
      <c r="AE916" s="277"/>
      <c r="AF916" s="277"/>
      <c r="AG916" s="277"/>
      <c r="AH916" s="277"/>
      <c r="AI916" s="277"/>
      <c r="AJ916" s="277"/>
      <c r="AK916" s="277"/>
    </row>
    <row r="917" spans="1:37" s="289" customFormat="1">
      <c r="A917" s="277"/>
      <c r="C917" s="277"/>
      <c r="D917" s="277"/>
      <c r="E917" s="277"/>
      <c r="F917" s="277"/>
      <c r="G917" s="277"/>
      <c r="H917" s="277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  <c r="AA917" s="277"/>
      <c r="AB917" s="277"/>
      <c r="AC917" s="277"/>
      <c r="AD917" s="277"/>
      <c r="AE917" s="277"/>
      <c r="AF917" s="277"/>
      <c r="AG917" s="277"/>
      <c r="AH917" s="277"/>
      <c r="AI917" s="277"/>
      <c r="AJ917" s="277"/>
      <c r="AK917" s="277"/>
    </row>
    <row r="918" spans="1:37" s="289" customFormat="1">
      <c r="A918" s="277"/>
      <c r="C918" s="277"/>
      <c r="D918" s="277"/>
      <c r="E918" s="277"/>
      <c r="F918" s="277"/>
      <c r="G918" s="277"/>
      <c r="H918" s="277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  <c r="AA918" s="277"/>
      <c r="AB918" s="277"/>
      <c r="AC918" s="277"/>
      <c r="AD918" s="277"/>
      <c r="AE918" s="277"/>
      <c r="AF918" s="277"/>
      <c r="AG918" s="277"/>
      <c r="AH918" s="277"/>
      <c r="AI918" s="277"/>
      <c r="AJ918" s="277"/>
      <c r="AK918" s="277"/>
    </row>
    <row r="919" spans="1:37" s="289" customFormat="1">
      <c r="A919" s="277"/>
      <c r="C919" s="277"/>
      <c r="D919" s="277"/>
      <c r="E919" s="277"/>
      <c r="F919" s="277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</row>
    <row r="920" spans="1:37" s="289" customFormat="1">
      <c r="A920" s="277"/>
      <c r="C920" s="277"/>
      <c r="D920" s="277"/>
      <c r="E920" s="277"/>
      <c r="F920" s="277"/>
      <c r="G920" s="277"/>
      <c r="H920" s="277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  <c r="AA920" s="277"/>
      <c r="AB920" s="277"/>
      <c r="AC920" s="277"/>
      <c r="AD920" s="277"/>
      <c r="AE920" s="277"/>
      <c r="AF920" s="277"/>
      <c r="AG920" s="277"/>
      <c r="AH920" s="277"/>
      <c r="AI920" s="277"/>
      <c r="AJ920" s="277"/>
      <c r="AK920" s="277"/>
    </row>
    <row r="921" spans="1:37" s="289" customFormat="1">
      <c r="A921" s="277"/>
      <c r="C921" s="277"/>
      <c r="D921" s="277"/>
      <c r="E921" s="277"/>
      <c r="F921" s="277"/>
      <c r="G921" s="277"/>
      <c r="H921" s="277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  <c r="AA921" s="277"/>
      <c r="AB921" s="277"/>
      <c r="AC921" s="277"/>
      <c r="AD921" s="277"/>
      <c r="AE921" s="277"/>
      <c r="AF921" s="277"/>
      <c r="AG921" s="277"/>
      <c r="AH921" s="277"/>
      <c r="AI921" s="277"/>
      <c r="AJ921" s="277"/>
      <c r="AK921" s="277"/>
    </row>
    <row r="922" spans="1:37" s="289" customFormat="1">
      <c r="A922" s="277"/>
      <c r="C922" s="277"/>
      <c r="D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  <c r="AA922" s="277"/>
      <c r="AB922" s="277"/>
      <c r="AC922" s="277"/>
      <c r="AD922" s="277"/>
      <c r="AE922" s="277"/>
      <c r="AF922" s="277"/>
      <c r="AG922" s="277"/>
      <c r="AH922" s="277"/>
      <c r="AI922" s="277"/>
      <c r="AJ922" s="277"/>
      <c r="AK922" s="277"/>
    </row>
    <row r="923" spans="1:37" s="289" customFormat="1">
      <c r="A923" s="277"/>
      <c r="C923" s="277"/>
      <c r="D923" s="277"/>
      <c r="E923" s="277"/>
      <c r="F923" s="277"/>
      <c r="G923" s="277"/>
      <c r="H923" s="277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  <c r="AA923" s="277"/>
      <c r="AB923" s="277"/>
      <c r="AC923" s="277"/>
      <c r="AD923" s="277"/>
      <c r="AE923" s="277"/>
      <c r="AF923" s="277"/>
      <c r="AG923" s="277"/>
      <c r="AH923" s="277"/>
      <c r="AI923" s="277"/>
      <c r="AJ923" s="277"/>
      <c r="AK923" s="277"/>
    </row>
    <row r="924" spans="1:37" s="289" customFormat="1">
      <c r="A924" s="277"/>
      <c r="C924" s="277"/>
      <c r="D924" s="277"/>
      <c r="E924" s="277"/>
      <c r="F924" s="277"/>
      <c r="G924" s="277"/>
      <c r="H924" s="277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  <c r="AA924" s="277"/>
      <c r="AB924" s="277"/>
      <c r="AC924" s="277"/>
      <c r="AD924" s="277"/>
      <c r="AE924" s="277"/>
      <c r="AF924" s="277"/>
      <c r="AG924" s="277"/>
      <c r="AH924" s="277"/>
      <c r="AI924" s="277"/>
      <c r="AJ924" s="277"/>
      <c r="AK924" s="277"/>
    </row>
    <row r="925" spans="1:37" s="289" customFormat="1">
      <c r="A925" s="277"/>
      <c r="C925" s="277"/>
      <c r="D925" s="277"/>
      <c r="E925" s="277"/>
      <c r="F925" s="277"/>
      <c r="G925" s="277"/>
      <c r="H925" s="277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  <c r="AA925" s="277"/>
      <c r="AB925" s="277"/>
      <c r="AC925" s="277"/>
      <c r="AD925" s="277"/>
      <c r="AE925" s="277"/>
      <c r="AF925" s="277"/>
      <c r="AG925" s="277"/>
      <c r="AH925" s="277"/>
      <c r="AI925" s="277"/>
      <c r="AJ925" s="277"/>
      <c r="AK925" s="277"/>
    </row>
    <row r="926" spans="1:37" s="289" customFormat="1">
      <c r="A926" s="277"/>
      <c r="C926" s="277"/>
      <c r="D926" s="277"/>
      <c r="E926" s="277"/>
      <c r="F926" s="277"/>
      <c r="G926" s="277"/>
      <c r="H926" s="277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  <c r="AA926" s="277"/>
      <c r="AB926" s="277"/>
      <c r="AC926" s="277"/>
      <c r="AD926" s="277"/>
      <c r="AE926" s="277"/>
      <c r="AF926" s="277"/>
      <c r="AG926" s="277"/>
      <c r="AH926" s="277"/>
      <c r="AI926" s="277"/>
      <c r="AJ926" s="277"/>
      <c r="AK926" s="277"/>
    </row>
    <row r="927" spans="1:37" s="289" customFormat="1">
      <c r="A927" s="277"/>
      <c r="C927" s="277"/>
      <c r="D927" s="277"/>
      <c r="E927" s="277"/>
      <c r="F927" s="277"/>
      <c r="G927" s="277"/>
      <c r="H927" s="277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  <c r="AA927" s="277"/>
      <c r="AB927" s="277"/>
      <c r="AC927" s="277"/>
      <c r="AD927" s="277"/>
      <c r="AE927" s="277"/>
      <c r="AF927" s="277"/>
      <c r="AG927" s="277"/>
      <c r="AH927" s="277"/>
      <c r="AI927" s="277"/>
      <c r="AJ927" s="277"/>
      <c r="AK927" s="277"/>
    </row>
    <row r="928" spans="1:37" s="289" customFormat="1">
      <c r="A928" s="277"/>
      <c r="C928" s="277"/>
      <c r="D928" s="277"/>
      <c r="E928" s="277"/>
      <c r="F928" s="277"/>
      <c r="G928" s="277"/>
      <c r="H928" s="277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  <c r="AA928" s="277"/>
      <c r="AB928" s="277"/>
      <c r="AC928" s="277"/>
      <c r="AD928" s="277"/>
      <c r="AE928" s="277"/>
      <c r="AF928" s="277"/>
      <c r="AG928" s="277"/>
      <c r="AH928" s="277"/>
      <c r="AI928" s="277"/>
      <c r="AJ928" s="277"/>
      <c r="AK928" s="277"/>
    </row>
    <row r="929" spans="1:37" s="289" customFormat="1">
      <c r="A929" s="277"/>
      <c r="C929" s="277"/>
      <c r="D929" s="277"/>
      <c r="E929" s="277"/>
      <c r="F929" s="277"/>
      <c r="G929" s="277"/>
      <c r="H929" s="277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  <c r="AA929" s="277"/>
      <c r="AB929" s="277"/>
      <c r="AC929" s="277"/>
      <c r="AD929" s="277"/>
      <c r="AE929" s="277"/>
      <c r="AF929" s="277"/>
      <c r="AG929" s="277"/>
      <c r="AH929" s="277"/>
      <c r="AI929" s="277"/>
      <c r="AJ929" s="277"/>
      <c r="AK929" s="277"/>
    </row>
    <row r="930" spans="1:37" s="289" customFormat="1">
      <c r="A930" s="277"/>
      <c r="C930" s="277"/>
      <c r="D930" s="277"/>
      <c r="E930" s="277"/>
      <c r="F930" s="277"/>
      <c r="G930" s="277"/>
      <c r="H930" s="277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  <c r="AA930" s="277"/>
      <c r="AB930" s="277"/>
      <c r="AC930" s="277"/>
      <c r="AD930" s="277"/>
      <c r="AE930" s="277"/>
      <c r="AF930" s="277"/>
      <c r="AG930" s="277"/>
      <c r="AH930" s="277"/>
      <c r="AI930" s="277"/>
      <c r="AJ930" s="277"/>
      <c r="AK930" s="277"/>
    </row>
    <row r="931" spans="1:37" s="289" customFormat="1">
      <c r="A931" s="277"/>
      <c r="C931" s="277"/>
      <c r="D931" s="277"/>
      <c r="E931" s="277"/>
      <c r="F931" s="277"/>
      <c r="G931" s="277"/>
      <c r="H931" s="277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  <c r="AA931" s="277"/>
      <c r="AB931" s="277"/>
      <c r="AC931" s="277"/>
      <c r="AD931" s="277"/>
      <c r="AE931" s="277"/>
      <c r="AF931" s="277"/>
      <c r="AG931" s="277"/>
      <c r="AH931" s="277"/>
      <c r="AI931" s="277"/>
      <c r="AJ931" s="277"/>
      <c r="AK931" s="277"/>
    </row>
    <row r="932" spans="1:37" s="289" customFormat="1">
      <c r="A932" s="277"/>
      <c r="C932" s="277"/>
      <c r="D932" s="277"/>
      <c r="E932" s="277"/>
      <c r="F932" s="277"/>
      <c r="G932" s="277"/>
      <c r="H932" s="277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  <c r="AA932" s="277"/>
      <c r="AB932" s="277"/>
      <c r="AC932" s="277"/>
      <c r="AD932" s="277"/>
      <c r="AE932" s="277"/>
      <c r="AF932" s="277"/>
      <c r="AG932" s="277"/>
      <c r="AH932" s="277"/>
      <c r="AI932" s="277"/>
      <c r="AJ932" s="277"/>
      <c r="AK932" s="277"/>
    </row>
    <row r="933" spans="1:37" s="289" customFormat="1">
      <c r="A933" s="277"/>
      <c r="C933" s="277"/>
      <c r="D933" s="277"/>
      <c r="E933" s="277"/>
      <c r="F933" s="277"/>
      <c r="G933" s="277"/>
      <c r="H933" s="277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  <c r="AA933" s="277"/>
      <c r="AB933" s="277"/>
      <c r="AC933" s="277"/>
      <c r="AD933" s="277"/>
      <c r="AE933" s="277"/>
      <c r="AF933" s="277"/>
      <c r="AG933" s="277"/>
      <c r="AH933" s="277"/>
      <c r="AI933" s="277"/>
      <c r="AJ933" s="277"/>
      <c r="AK933" s="277"/>
    </row>
    <row r="934" spans="1:37" s="289" customFormat="1">
      <c r="A934" s="277"/>
      <c r="C934" s="277"/>
      <c r="D934" s="277"/>
      <c r="E934" s="277"/>
      <c r="F934" s="277"/>
      <c r="G934" s="277"/>
      <c r="H934" s="277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  <c r="AA934" s="277"/>
      <c r="AB934" s="277"/>
      <c r="AC934" s="277"/>
      <c r="AD934" s="277"/>
      <c r="AE934" s="277"/>
      <c r="AF934" s="277"/>
      <c r="AG934" s="277"/>
      <c r="AH934" s="277"/>
      <c r="AI934" s="277"/>
      <c r="AJ934" s="277"/>
      <c r="AK934" s="277"/>
    </row>
    <row r="935" spans="1:37" s="289" customFormat="1">
      <c r="A935" s="277"/>
      <c r="C935" s="277"/>
      <c r="D935" s="277"/>
      <c r="E935" s="277"/>
      <c r="F935" s="277"/>
      <c r="G935" s="277"/>
      <c r="H935" s="277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  <c r="AA935" s="277"/>
      <c r="AB935" s="277"/>
      <c r="AC935" s="277"/>
      <c r="AD935" s="277"/>
      <c r="AE935" s="277"/>
      <c r="AF935" s="277"/>
      <c r="AG935" s="277"/>
      <c r="AH935" s="277"/>
      <c r="AI935" s="277"/>
      <c r="AJ935" s="277"/>
      <c r="AK935" s="277"/>
    </row>
    <row r="936" spans="1:37" s="289" customFormat="1">
      <c r="A936" s="277"/>
      <c r="C936" s="277"/>
      <c r="D936" s="277"/>
      <c r="E936" s="277"/>
      <c r="F936" s="277"/>
      <c r="G936" s="277"/>
      <c r="H936" s="277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  <c r="AA936" s="277"/>
      <c r="AB936" s="277"/>
      <c r="AC936" s="277"/>
      <c r="AD936" s="277"/>
      <c r="AE936" s="277"/>
      <c r="AF936" s="277"/>
      <c r="AG936" s="277"/>
      <c r="AH936" s="277"/>
      <c r="AI936" s="277"/>
      <c r="AJ936" s="277"/>
      <c r="AK936" s="277"/>
    </row>
    <row r="937" spans="1:37" s="289" customFormat="1">
      <c r="A937" s="277"/>
      <c r="C937" s="277"/>
      <c r="D937" s="277"/>
      <c r="E937" s="277"/>
      <c r="F937" s="277"/>
      <c r="G937" s="277"/>
      <c r="H937" s="277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  <c r="AA937" s="277"/>
      <c r="AB937" s="277"/>
      <c r="AC937" s="277"/>
      <c r="AD937" s="277"/>
      <c r="AE937" s="277"/>
      <c r="AF937" s="277"/>
      <c r="AG937" s="277"/>
      <c r="AH937" s="277"/>
      <c r="AI937" s="277"/>
      <c r="AJ937" s="277"/>
      <c r="AK937" s="277"/>
    </row>
    <row r="938" spans="1:37" s="289" customFormat="1">
      <c r="A938" s="277"/>
      <c r="C938" s="277"/>
      <c r="D938" s="277"/>
      <c r="E938" s="277"/>
      <c r="F938" s="277"/>
      <c r="G938" s="277"/>
      <c r="H938" s="277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  <c r="AA938" s="277"/>
      <c r="AB938" s="277"/>
      <c r="AC938" s="277"/>
      <c r="AD938" s="277"/>
      <c r="AE938" s="277"/>
      <c r="AF938" s="277"/>
      <c r="AG938" s="277"/>
      <c r="AH938" s="277"/>
      <c r="AI938" s="277"/>
      <c r="AJ938" s="277"/>
      <c r="AK938" s="277"/>
    </row>
    <row r="939" spans="1:37" s="289" customFormat="1">
      <c r="A939" s="277"/>
      <c r="C939" s="277"/>
      <c r="D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  <c r="AA939" s="277"/>
      <c r="AB939" s="277"/>
      <c r="AC939" s="277"/>
      <c r="AD939" s="277"/>
      <c r="AE939" s="277"/>
      <c r="AF939" s="277"/>
      <c r="AG939" s="277"/>
      <c r="AH939" s="277"/>
      <c r="AI939" s="277"/>
      <c r="AJ939" s="277"/>
      <c r="AK939" s="277"/>
    </row>
    <row r="940" spans="1:37" s="289" customFormat="1">
      <c r="A940" s="277"/>
      <c r="C940" s="277"/>
      <c r="D940" s="277"/>
      <c r="E940" s="277"/>
      <c r="F940" s="277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</row>
    <row r="941" spans="1:37" s="289" customFormat="1">
      <c r="A941" s="277"/>
      <c r="C941" s="277"/>
      <c r="D941" s="277"/>
      <c r="E941" s="277"/>
      <c r="F941" s="277"/>
      <c r="G941" s="277"/>
      <c r="H941" s="277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  <c r="AA941" s="277"/>
      <c r="AB941" s="277"/>
      <c r="AC941" s="277"/>
      <c r="AD941" s="277"/>
      <c r="AE941" s="277"/>
      <c r="AF941" s="277"/>
      <c r="AG941" s="277"/>
      <c r="AH941" s="277"/>
      <c r="AI941" s="277"/>
      <c r="AJ941" s="277"/>
      <c r="AK941" s="277"/>
    </row>
    <row r="942" spans="1:37" s="289" customFormat="1">
      <c r="A942" s="277"/>
      <c r="C942" s="277"/>
      <c r="D942" s="277"/>
      <c r="E942" s="277"/>
      <c r="F942" s="277"/>
      <c r="G942" s="277"/>
      <c r="H942" s="277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  <c r="AA942" s="277"/>
      <c r="AB942" s="277"/>
      <c r="AC942" s="277"/>
      <c r="AD942" s="277"/>
      <c r="AE942" s="277"/>
      <c r="AF942" s="277"/>
      <c r="AG942" s="277"/>
      <c r="AH942" s="277"/>
      <c r="AI942" s="277"/>
      <c r="AJ942" s="277"/>
      <c r="AK942" s="277"/>
    </row>
    <row r="943" spans="1:37" s="289" customFormat="1">
      <c r="A943" s="277"/>
      <c r="C943" s="277"/>
      <c r="D943" s="277"/>
      <c r="E943" s="277"/>
      <c r="F943" s="277"/>
      <c r="G943" s="277"/>
      <c r="H943" s="277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  <c r="AA943" s="277"/>
      <c r="AB943" s="277"/>
      <c r="AC943" s="277"/>
      <c r="AD943" s="277"/>
      <c r="AE943" s="277"/>
      <c r="AF943" s="277"/>
      <c r="AG943" s="277"/>
      <c r="AH943" s="277"/>
      <c r="AI943" s="277"/>
      <c r="AJ943" s="277"/>
      <c r="AK943" s="277"/>
    </row>
    <row r="944" spans="1:37" s="289" customFormat="1">
      <c r="A944" s="277"/>
      <c r="C944" s="277"/>
      <c r="D944" s="277"/>
      <c r="E944" s="277"/>
      <c r="F944" s="277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</row>
    <row r="945" spans="1:37" s="289" customFormat="1">
      <c r="A945" s="277"/>
      <c r="C945" s="277"/>
      <c r="D945" s="277"/>
      <c r="E945" s="277"/>
      <c r="F945" s="277"/>
      <c r="G945" s="277"/>
      <c r="H945" s="277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  <c r="AA945" s="277"/>
      <c r="AB945" s="277"/>
      <c r="AC945" s="277"/>
      <c r="AD945" s="277"/>
      <c r="AE945" s="277"/>
      <c r="AF945" s="277"/>
      <c r="AG945" s="277"/>
      <c r="AH945" s="277"/>
      <c r="AI945" s="277"/>
      <c r="AJ945" s="277"/>
      <c r="AK945" s="277"/>
    </row>
    <row r="946" spans="1:37" s="289" customFormat="1">
      <c r="A946" s="277"/>
      <c r="C946" s="277"/>
      <c r="D946" s="277"/>
      <c r="E946" s="277"/>
      <c r="F946" s="277"/>
      <c r="G946" s="277"/>
      <c r="H946" s="277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  <c r="AA946" s="277"/>
      <c r="AB946" s="277"/>
      <c r="AC946" s="277"/>
      <c r="AD946" s="277"/>
      <c r="AE946" s="277"/>
      <c r="AF946" s="277"/>
      <c r="AG946" s="277"/>
      <c r="AH946" s="277"/>
      <c r="AI946" s="277"/>
      <c r="AJ946" s="277"/>
      <c r="AK946" s="277"/>
    </row>
    <row r="947" spans="1:37" s="289" customFormat="1">
      <c r="A947" s="277"/>
      <c r="C947" s="277"/>
      <c r="D947" s="277"/>
      <c r="E947" s="277"/>
      <c r="F947" s="277"/>
      <c r="G947" s="277"/>
      <c r="H947" s="277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  <c r="AA947" s="277"/>
      <c r="AB947" s="277"/>
      <c r="AC947" s="277"/>
      <c r="AD947" s="277"/>
      <c r="AE947" s="277"/>
      <c r="AF947" s="277"/>
      <c r="AG947" s="277"/>
      <c r="AH947" s="277"/>
      <c r="AI947" s="277"/>
      <c r="AJ947" s="277"/>
      <c r="AK947" s="277"/>
    </row>
    <row r="948" spans="1:37" s="289" customFormat="1">
      <c r="A948" s="277"/>
      <c r="C948" s="277"/>
      <c r="D948" s="277"/>
      <c r="E948" s="277"/>
      <c r="F948" s="277"/>
      <c r="G948" s="277"/>
      <c r="H948" s="277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  <c r="AA948" s="277"/>
      <c r="AB948" s="277"/>
      <c r="AC948" s="277"/>
      <c r="AD948" s="277"/>
      <c r="AE948" s="277"/>
      <c r="AF948" s="277"/>
      <c r="AG948" s="277"/>
      <c r="AH948" s="277"/>
      <c r="AI948" s="277"/>
      <c r="AJ948" s="277"/>
      <c r="AK948" s="277"/>
    </row>
    <row r="949" spans="1:37" s="289" customFormat="1">
      <c r="A949" s="277"/>
      <c r="C949" s="277"/>
      <c r="D949" s="277"/>
      <c r="E949" s="277"/>
      <c r="F949" s="277"/>
      <c r="G949" s="277"/>
      <c r="H949" s="277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  <c r="AA949" s="277"/>
      <c r="AB949" s="277"/>
      <c r="AC949" s="277"/>
      <c r="AD949" s="277"/>
      <c r="AE949" s="277"/>
      <c r="AF949" s="277"/>
      <c r="AG949" s="277"/>
      <c r="AH949" s="277"/>
      <c r="AI949" s="277"/>
      <c r="AJ949" s="277"/>
      <c r="AK949" s="277"/>
    </row>
    <row r="950" spans="1:37" s="289" customFormat="1">
      <c r="A950" s="277"/>
      <c r="C950" s="277"/>
      <c r="D950" s="277"/>
      <c r="E950" s="277"/>
      <c r="F950" s="277"/>
      <c r="G950" s="277"/>
      <c r="H950" s="277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  <c r="AA950" s="277"/>
      <c r="AB950" s="277"/>
      <c r="AC950" s="277"/>
      <c r="AD950" s="277"/>
      <c r="AE950" s="277"/>
      <c r="AF950" s="277"/>
      <c r="AG950" s="277"/>
      <c r="AH950" s="277"/>
      <c r="AI950" s="277"/>
      <c r="AJ950" s="277"/>
      <c r="AK950" s="277"/>
    </row>
    <row r="951" spans="1:37" s="289" customFormat="1">
      <c r="A951" s="277"/>
      <c r="C951" s="277"/>
      <c r="D951" s="277"/>
      <c r="E951" s="277"/>
      <c r="F951" s="277"/>
      <c r="G951" s="277"/>
      <c r="H951" s="277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  <c r="AA951" s="277"/>
      <c r="AB951" s="277"/>
      <c r="AC951" s="277"/>
      <c r="AD951" s="277"/>
      <c r="AE951" s="277"/>
      <c r="AF951" s="277"/>
      <c r="AG951" s="277"/>
      <c r="AH951" s="277"/>
      <c r="AI951" s="277"/>
      <c r="AJ951" s="277"/>
      <c r="AK951" s="277"/>
    </row>
    <row r="952" spans="1:37" s="289" customFormat="1">
      <c r="A952" s="277"/>
      <c r="C952" s="277"/>
      <c r="D952" s="277"/>
      <c r="E952" s="277"/>
      <c r="F952" s="277"/>
      <c r="G952" s="277"/>
      <c r="H952" s="277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  <c r="AA952" s="277"/>
      <c r="AB952" s="277"/>
      <c r="AC952" s="277"/>
      <c r="AD952" s="277"/>
      <c r="AE952" s="277"/>
      <c r="AF952" s="277"/>
      <c r="AG952" s="277"/>
      <c r="AH952" s="277"/>
      <c r="AI952" s="277"/>
      <c r="AJ952" s="277"/>
      <c r="AK952" s="277"/>
    </row>
    <row r="953" spans="1:37" s="289" customFormat="1">
      <c r="A953" s="277"/>
      <c r="C953" s="277"/>
      <c r="D953" s="277"/>
      <c r="E953" s="277"/>
      <c r="F953" s="277"/>
      <c r="G953" s="277"/>
      <c r="H953" s="277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  <c r="AA953" s="277"/>
      <c r="AB953" s="277"/>
      <c r="AC953" s="277"/>
      <c r="AD953" s="277"/>
      <c r="AE953" s="277"/>
      <c r="AF953" s="277"/>
      <c r="AG953" s="277"/>
      <c r="AH953" s="277"/>
      <c r="AI953" s="277"/>
      <c r="AJ953" s="277"/>
      <c r="AK953" s="277"/>
    </row>
    <row r="954" spans="1:37" s="289" customFormat="1">
      <c r="A954" s="277"/>
      <c r="C954" s="277"/>
      <c r="D954" s="277"/>
      <c r="E954" s="277"/>
      <c r="F954" s="277"/>
      <c r="G954" s="277"/>
      <c r="H954" s="277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  <c r="AA954" s="277"/>
      <c r="AB954" s="277"/>
      <c r="AC954" s="277"/>
      <c r="AD954" s="277"/>
      <c r="AE954" s="277"/>
      <c r="AF954" s="277"/>
      <c r="AG954" s="277"/>
      <c r="AH954" s="277"/>
      <c r="AI954" s="277"/>
      <c r="AJ954" s="277"/>
      <c r="AK954" s="277"/>
    </row>
    <row r="955" spans="1:37" s="289" customFormat="1">
      <c r="A955" s="277"/>
      <c r="C955" s="277"/>
      <c r="D955" s="277"/>
      <c r="E955" s="277"/>
      <c r="F955" s="277"/>
      <c r="G955" s="277"/>
      <c r="H955" s="277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  <c r="AA955" s="277"/>
      <c r="AB955" s="277"/>
      <c r="AC955" s="277"/>
      <c r="AD955" s="277"/>
      <c r="AE955" s="277"/>
      <c r="AF955" s="277"/>
      <c r="AG955" s="277"/>
      <c r="AH955" s="277"/>
      <c r="AI955" s="277"/>
      <c r="AJ955" s="277"/>
      <c r="AK955" s="277"/>
    </row>
    <row r="956" spans="1:37" s="289" customFormat="1">
      <c r="A956" s="277"/>
      <c r="C956" s="277"/>
      <c r="D956" s="277"/>
      <c r="E956" s="277"/>
      <c r="F956" s="277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</row>
    <row r="957" spans="1:37" s="289" customFormat="1">
      <c r="A957" s="277"/>
      <c r="C957" s="277"/>
      <c r="D957" s="277"/>
      <c r="E957" s="277"/>
      <c r="F957" s="277"/>
      <c r="G957" s="277"/>
      <c r="H957" s="277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  <c r="AA957" s="277"/>
      <c r="AB957" s="277"/>
      <c r="AC957" s="277"/>
      <c r="AD957" s="277"/>
      <c r="AE957" s="277"/>
      <c r="AF957" s="277"/>
      <c r="AG957" s="277"/>
      <c r="AH957" s="277"/>
      <c r="AI957" s="277"/>
      <c r="AJ957" s="277"/>
      <c r="AK957" s="277"/>
    </row>
    <row r="958" spans="1:37" s="289" customFormat="1">
      <c r="A958" s="277"/>
      <c r="C958" s="277"/>
      <c r="D958" s="277"/>
      <c r="E958" s="277"/>
      <c r="F958" s="277"/>
      <c r="G958" s="277"/>
      <c r="H958" s="277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  <c r="AA958" s="277"/>
      <c r="AB958" s="277"/>
      <c r="AC958" s="277"/>
      <c r="AD958" s="277"/>
      <c r="AE958" s="277"/>
      <c r="AF958" s="277"/>
      <c r="AG958" s="277"/>
      <c r="AH958" s="277"/>
      <c r="AI958" s="277"/>
      <c r="AJ958" s="277"/>
      <c r="AK958" s="277"/>
    </row>
    <row r="959" spans="1:37" s="289" customFormat="1">
      <c r="A959" s="277"/>
      <c r="C959" s="277"/>
      <c r="D959" s="277"/>
      <c r="E959" s="277"/>
      <c r="F959" s="277"/>
      <c r="G959" s="277"/>
      <c r="H959" s="277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  <c r="AA959" s="277"/>
      <c r="AB959" s="277"/>
      <c r="AC959" s="277"/>
      <c r="AD959" s="277"/>
      <c r="AE959" s="277"/>
      <c r="AF959" s="277"/>
      <c r="AG959" s="277"/>
      <c r="AH959" s="277"/>
      <c r="AI959" s="277"/>
      <c r="AJ959" s="277"/>
      <c r="AK959" s="277"/>
    </row>
    <row r="960" spans="1:37" s="289" customFormat="1">
      <c r="A960" s="277"/>
      <c r="C960" s="277"/>
      <c r="D960" s="277"/>
      <c r="E960" s="277"/>
      <c r="F960" s="277"/>
      <c r="G960" s="277"/>
      <c r="H960" s="277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  <c r="AA960" s="277"/>
      <c r="AB960" s="277"/>
      <c r="AC960" s="277"/>
      <c r="AD960" s="277"/>
      <c r="AE960" s="277"/>
      <c r="AF960" s="277"/>
      <c r="AG960" s="277"/>
      <c r="AH960" s="277"/>
      <c r="AI960" s="277"/>
      <c r="AJ960" s="277"/>
      <c r="AK960" s="277"/>
    </row>
    <row r="961" spans="1:37" s="289" customFormat="1">
      <c r="A961" s="277"/>
      <c r="C961" s="277"/>
      <c r="D961" s="277"/>
      <c r="E961" s="277"/>
      <c r="F961" s="277"/>
      <c r="G961" s="277"/>
      <c r="H961" s="277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  <c r="AA961" s="277"/>
      <c r="AB961" s="277"/>
      <c r="AC961" s="277"/>
      <c r="AD961" s="277"/>
      <c r="AE961" s="277"/>
      <c r="AF961" s="277"/>
      <c r="AG961" s="277"/>
      <c r="AH961" s="277"/>
      <c r="AI961" s="277"/>
      <c r="AJ961" s="277"/>
      <c r="AK961" s="277"/>
    </row>
    <row r="962" spans="1:37" s="289" customFormat="1">
      <c r="A962" s="277"/>
      <c r="C962" s="277"/>
      <c r="D962" s="277"/>
      <c r="E962" s="277"/>
      <c r="F962" s="277"/>
      <c r="G962" s="277"/>
      <c r="H962" s="277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  <c r="AA962" s="277"/>
      <c r="AB962" s="277"/>
      <c r="AC962" s="277"/>
      <c r="AD962" s="277"/>
      <c r="AE962" s="277"/>
      <c r="AF962" s="277"/>
      <c r="AG962" s="277"/>
      <c r="AH962" s="277"/>
      <c r="AI962" s="277"/>
      <c r="AJ962" s="277"/>
      <c r="AK962" s="277"/>
    </row>
    <row r="963" spans="1:37" s="289" customFormat="1">
      <c r="A963" s="277"/>
      <c r="C963" s="277"/>
      <c r="D963" s="277"/>
      <c r="E963" s="277"/>
      <c r="F963" s="277"/>
      <c r="G963" s="277"/>
      <c r="H963" s="277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  <c r="AA963" s="277"/>
      <c r="AB963" s="277"/>
      <c r="AC963" s="277"/>
      <c r="AD963" s="277"/>
      <c r="AE963" s="277"/>
      <c r="AF963" s="277"/>
      <c r="AG963" s="277"/>
      <c r="AH963" s="277"/>
      <c r="AI963" s="277"/>
      <c r="AJ963" s="277"/>
      <c r="AK963" s="277"/>
    </row>
    <row r="964" spans="1:37" s="289" customFormat="1">
      <c r="A964" s="277"/>
      <c r="C964" s="277"/>
      <c r="D964" s="277"/>
      <c r="E964" s="277"/>
      <c r="F964" s="277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</row>
    <row r="965" spans="1:37" s="289" customFormat="1">
      <c r="A965" s="277"/>
      <c r="C965" s="277"/>
      <c r="D965" s="277"/>
      <c r="E965" s="277"/>
      <c r="F965" s="277"/>
      <c r="G965" s="277"/>
      <c r="H965" s="277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  <c r="AA965" s="277"/>
      <c r="AB965" s="277"/>
      <c r="AC965" s="277"/>
      <c r="AD965" s="277"/>
      <c r="AE965" s="277"/>
      <c r="AF965" s="277"/>
      <c r="AG965" s="277"/>
      <c r="AH965" s="277"/>
      <c r="AI965" s="277"/>
      <c r="AJ965" s="277"/>
      <c r="AK965" s="277"/>
    </row>
    <row r="966" spans="1:37" s="289" customFormat="1">
      <c r="A966" s="277"/>
      <c r="C966" s="277"/>
      <c r="D966" s="277"/>
      <c r="E966" s="277"/>
      <c r="F966" s="277"/>
      <c r="G966" s="277"/>
      <c r="H966" s="277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  <c r="AA966" s="277"/>
      <c r="AB966" s="277"/>
      <c r="AC966" s="277"/>
      <c r="AD966" s="277"/>
      <c r="AE966" s="277"/>
      <c r="AF966" s="277"/>
      <c r="AG966" s="277"/>
      <c r="AH966" s="277"/>
      <c r="AI966" s="277"/>
      <c r="AJ966" s="277"/>
      <c r="AK966" s="277"/>
    </row>
    <row r="967" spans="1:37" s="289" customFormat="1">
      <c r="A967" s="277"/>
      <c r="C967" s="277"/>
      <c r="D967" s="277"/>
      <c r="E967" s="277"/>
      <c r="F967" s="277"/>
      <c r="G967" s="277"/>
      <c r="H967" s="277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  <c r="AA967" s="277"/>
      <c r="AB967" s="277"/>
      <c r="AC967" s="277"/>
      <c r="AD967" s="277"/>
      <c r="AE967" s="277"/>
      <c r="AF967" s="277"/>
      <c r="AG967" s="277"/>
      <c r="AH967" s="277"/>
      <c r="AI967" s="277"/>
      <c r="AJ967" s="277"/>
      <c r="AK967" s="277"/>
    </row>
    <row r="968" spans="1:37" s="289" customFormat="1">
      <c r="A968" s="277"/>
      <c r="C968" s="277"/>
      <c r="D968" s="277"/>
      <c r="E968" s="277"/>
      <c r="F968" s="277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</row>
    <row r="969" spans="1:37" s="289" customFormat="1">
      <c r="A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  <c r="AA969" s="277"/>
      <c r="AB969" s="277"/>
      <c r="AC969" s="277"/>
      <c r="AD969" s="277"/>
      <c r="AE969" s="277"/>
      <c r="AF969" s="277"/>
      <c r="AG969" s="277"/>
      <c r="AH969" s="277"/>
      <c r="AI969" s="277"/>
      <c r="AJ969" s="277"/>
      <c r="AK969" s="277"/>
    </row>
    <row r="970" spans="1:37" s="289" customFormat="1">
      <c r="A970" s="277"/>
      <c r="C970" s="277"/>
      <c r="D970" s="277"/>
      <c r="E970" s="277"/>
      <c r="F970" s="277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</row>
    <row r="971" spans="1:37" s="289" customFormat="1">
      <c r="A971" s="277"/>
      <c r="C971" s="277"/>
      <c r="D971" s="277"/>
      <c r="E971" s="277"/>
      <c r="F971" s="277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</row>
    <row r="972" spans="1:37" s="289" customFormat="1">
      <c r="A972" s="277"/>
      <c r="C972" s="277"/>
      <c r="D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</row>
    <row r="973" spans="1:37" s="289" customFormat="1">
      <c r="A973" s="277"/>
      <c r="C973" s="277"/>
      <c r="D973" s="277"/>
      <c r="E973" s="277"/>
      <c r="F973" s="277"/>
      <c r="G973" s="277"/>
      <c r="H973" s="277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  <c r="AA973" s="277"/>
      <c r="AB973" s="277"/>
      <c r="AC973" s="277"/>
      <c r="AD973" s="277"/>
      <c r="AE973" s="277"/>
      <c r="AF973" s="277"/>
      <c r="AG973" s="277"/>
      <c r="AH973" s="277"/>
      <c r="AI973" s="277"/>
      <c r="AJ973" s="277"/>
      <c r="AK973" s="277"/>
    </row>
    <row r="974" spans="1:37" s="289" customFormat="1">
      <c r="A974" s="277"/>
      <c r="C974" s="277"/>
      <c r="D974" s="277"/>
      <c r="E974" s="277"/>
      <c r="F974" s="277"/>
      <c r="G974" s="277"/>
      <c r="H974" s="277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  <c r="AA974" s="277"/>
      <c r="AB974" s="277"/>
      <c r="AC974" s="277"/>
      <c r="AD974" s="277"/>
      <c r="AE974" s="277"/>
      <c r="AF974" s="277"/>
      <c r="AG974" s="277"/>
      <c r="AH974" s="277"/>
      <c r="AI974" s="277"/>
      <c r="AJ974" s="277"/>
      <c r="AK974" s="277"/>
    </row>
    <row r="975" spans="1:37" s="289" customFormat="1">
      <c r="A975" s="277"/>
      <c r="C975" s="277"/>
      <c r="D975" s="277"/>
      <c r="E975" s="277"/>
      <c r="F975" s="277"/>
      <c r="G975" s="277"/>
      <c r="H975" s="277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  <c r="AA975" s="277"/>
      <c r="AB975" s="277"/>
      <c r="AC975" s="277"/>
      <c r="AD975" s="277"/>
      <c r="AE975" s="277"/>
      <c r="AF975" s="277"/>
      <c r="AG975" s="277"/>
      <c r="AH975" s="277"/>
      <c r="AI975" s="277"/>
      <c r="AJ975" s="277"/>
      <c r="AK975" s="277"/>
    </row>
    <row r="976" spans="1:37" s="289" customFormat="1">
      <c r="A976" s="277"/>
      <c r="C976" s="277"/>
      <c r="D976" s="277"/>
      <c r="E976" s="277"/>
      <c r="F976" s="277"/>
      <c r="G976" s="277"/>
      <c r="H976" s="277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  <c r="AA976" s="277"/>
      <c r="AB976" s="277"/>
      <c r="AC976" s="277"/>
      <c r="AD976" s="277"/>
      <c r="AE976" s="277"/>
      <c r="AF976" s="277"/>
      <c r="AG976" s="277"/>
      <c r="AH976" s="277"/>
      <c r="AI976" s="277"/>
      <c r="AJ976" s="277"/>
      <c r="AK976" s="277"/>
    </row>
    <row r="977" spans="1:37" s="289" customFormat="1">
      <c r="A977" s="277"/>
      <c r="C977" s="277"/>
      <c r="D977" s="277"/>
      <c r="E977" s="277"/>
      <c r="F977" s="277"/>
      <c r="G977" s="277"/>
      <c r="H977" s="277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  <c r="AA977" s="277"/>
      <c r="AB977" s="277"/>
      <c r="AC977" s="277"/>
      <c r="AD977" s="277"/>
      <c r="AE977" s="277"/>
      <c r="AF977" s="277"/>
      <c r="AG977" s="277"/>
      <c r="AH977" s="277"/>
      <c r="AI977" s="277"/>
      <c r="AJ977" s="277"/>
      <c r="AK977" s="277"/>
    </row>
    <row r="978" spans="1:37" s="289" customFormat="1">
      <c r="A978" s="277"/>
      <c r="C978" s="277"/>
      <c r="D978" s="277"/>
      <c r="E978" s="277"/>
      <c r="F978" s="277"/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  <c r="AA978" s="277"/>
      <c r="AB978" s="277"/>
      <c r="AC978" s="277"/>
      <c r="AD978" s="277"/>
      <c r="AE978" s="277"/>
      <c r="AF978" s="277"/>
      <c r="AG978" s="277"/>
      <c r="AH978" s="277"/>
      <c r="AI978" s="277"/>
      <c r="AJ978" s="277"/>
      <c r="AK978" s="277"/>
    </row>
    <row r="979" spans="1:37" s="289" customFormat="1">
      <c r="A979" s="277"/>
      <c r="C979" s="277"/>
      <c r="D979" s="277"/>
      <c r="E979" s="277"/>
      <c r="F979" s="277"/>
      <c r="G979" s="277"/>
      <c r="H979" s="277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  <c r="AA979" s="277"/>
      <c r="AB979" s="277"/>
      <c r="AC979" s="277"/>
      <c r="AD979" s="277"/>
      <c r="AE979" s="277"/>
      <c r="AF979" s="277"/>
      <c r="AG979" s="277"/>
      <c r="AH979" s="277"/>
      <c r="AI979" s="277"/>
      <c r="AJ979" s="277"/>
      <c r="AK979" s="277"/>
    </row>
    <row r="980" spans="1:37" s="289" customFormat="1">
      <c r="A980" s="277"/>
      <c r="C980" s="277"/>
      <c r="D980" s="277"/>
      <c r="E980" s="277"/>
      <c r="F980" s="277"/>
      <c r="G980" s="277"/>
      <c r="H980" s="277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  <c r="AA980" s="277"/>
      <c r="AB980" s="277"/>
      <c r="AC980" s="277"/>
      <c r="AD980" s="277"/>
      <c r="AE980" s="277"/>
      <c r="AF980" s="277"/>
      <c r="AG980" s="277"/>
      <c r="AH980" s="277"/>
      <c r="AI980" s="277"/>
      <c r="AJ980" s="277"/>
      <c r="AK980" s="277"/>
    </row>
    <row r="981" spans="1:37" s="289" customFormat="1">
      <c r="A981" s="277"/>
      <c r="C981" s="277"/>
      <c r="D981" s="277"/>
      <c r="E981" s="277"/>
      <c r="F981" s="277"/>
      <c r="G981" s="277"/>
      <c r="H981" s="277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  <c r="AA981" s="277"/>
      <c r="AB981" s="277"/>
      <c r="AC981" s="277"/>
      <c r="AD981" s="277"/>
      <c r="AE981" s="277"/>
      <c r="AF981" s="277"/>
      <c r="AG981" s="277"/>
      <c r="AH981" s="277"/>
      <c r="AI981" s="277"/>
      <c r="AJ981" s="277"/>
      <c r="AK981" s="277"/>
    </row>
    <row r="982" spans="1:37" s="289" customFormat="1">
      <c r="A982" s="277"/>
      <c r="C982" s="277"/>
      <c r="D982" s="277"/>
      <c r="E982" s="277"/>
      <c r="F982" s="277"/>
      <c r="G982" s="277"/>
      <c r="H982" s="277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  <c r="AA982" s="277"/>
      <c r="AB982" s="277"/>
      <c r="AC982" s="277"/>
      <c r="AD982" s="277"/>
      <c r="AE982" s="277"/>
      <c r="AF982" s="277"/>
      <c r="AG982" s="277"/>
      <c r="AH982" s="277"/>
      <c r="AI982" s="277"/>
      <c r="AJ982" s="277"/>
      <c r="AK982" s="277"/>
    </row>
    <row r="983" spans="1:37" s="289" customFormat="1">
      <c r="A983" s="277"/>
      <c r="C983" s="277"/>
      <c r="D983" s="277"/>
      <c r="E983" s="277"/>
      <c r="F983" s="277"/>
      <c r="G983" s="277"/>
      <c r="H983" s="277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  <c r="AA983" s="277"/>
      <c r="AB983" s="277"/>
      <c r="AC983" s="277"/>
      <c r="AD983" s="277"/>
      <c r="AE983" s="277"/>
      <c r="AF983" s="277"/>
      <c r="AG983" s="277"/>
      <c r="AH983" s="277"/>
      <c r="AI983" s="277"/>
      <c r="AJ983" s="277"/>
      <c r="AK983" s="277"/>
    </row>
    <row r="984" spans="1:37" s="289" customFormat="1">
      <c r="A984" s="277"/>
      <c r="C984" s="277"/>
      <c r="D984" s="277"/>
      <c r="E984" s="277"/>
      <c r="F984" s="277"/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  <c r="AA984" s="277"/>
      <c r="AB984" s="277"/>
      <c r="AC984" s="277"/>
      <c r="AD984" s="277"/>
      <c r="AE984" s="277"/>
      <c r="AF984" s="277"/>
      <c r="AG984" s="277"/>
      <c r="AH984" s="277"/>
      <c r="AI984" s="277"/>
      <c r="AJ984" s="277"/>
      <c r="AK984" s="277"/>
    </row>
    <row r="985" spans="1:37" s="289" customFormat="1">
      <c r="A985" s="277"/>
      <c r="C985" s="277"/>
      <c r="D985" s="277"/>
      <c r="E985" s="277"/>
      <c r="F985" s="277"/>
      <c r="G985" s="277"/>
      <c r="H985" s="277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  <c r="AA985" s="277"/>
      <c r="AB985" s="277"/>
      <c r="AC985" s="277"/>
      <c r="AD985" s="277"/>
      <c r="AE985" s="277"/>
      <c r="AF985" s="277"/>
      <c r="AG985" s="277"/>
      <c r="AH985" s="277"/>
      <c r="AI985" s="277"/>
      <c r="AJ985" s="277"/>
      <c r="AK985" s="277"/>
    </row>
    <row r="986" spans="1:37" s="289" customFormat="1">
      <c r="A986" s="277"/>
      <c r="C986" s="277"/>
      <c r="D986" s="277"/>
      <c r="E986" s="277"/>
      <c r="F986" s="277"/>
      <c r="G986" s="277"/>
      <c r="H986" s="277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  <c r="AA986" s="277"/>
      <c r="AB986" s="277"/>
      <c r="AC986" s="277"/>
      <c r="AD986" s="277"/>
      <c r="AE986" s="277"/>
      <c r="AF986" s="277"/>
      <c r="AG986" s="277"/>
      <c r="AH986" s="277"/>
      <c r="AI986" s="277"/>
      <c r="AJ986" s="277"/>
      <c r="AK986" s="277"/>
    </row>
    <row r="987" spans="1:37" s="289" customFormat="1">
      <c r="A987" s="277"/>
      <c r="C987" s="277"/>
      <c r="D987" s="277"/>
      <c r="E987" s="277"/>
      <c r="F987" s="277"/>
      <c r="G987" s="277"/>
      <c r="H987" s="277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  <c r="AA987" s="277"/>
      <c r="AB987" s="277"/>
      <c r="AC987" s="277"/>
      <c r="AD987" s="277"/>
      <c r="AE987" s="277"/>
      <c r="AF987" s="277"/>
      <c r="AG987" s="277"/>
      <c r="AH987" s="277"/>
      <c r="AI987" s="277"/>
      <c r="AJ987" s="277"/>
      <c r="AK987" s="277"/>
    </row>
    <row r="988" spans="1:37" s="289" customFormat="1">
      <c r="A988" s="277"/>
      <c r="C988" s="277"/>
      <c r="D988" s="277"/>
      <c r="E988" s="277"/>
      <c r="F988" s="277"/>
      <c r="G988" s="277"/>
      <c r="H988" s="277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  <c r="AA988" s="277"/>
      <c r="AB988" s="277"/>
      <c r="AC988" s="277"/>
      <c r="AD988" s="277"/>
      <c r="AE988" s="277"/>
      <c r="AF988" s="277"/>
      <c r="AG988" s="277"/>
      <c r="AH988" s="277"/>
      <c r="AI988" s="277"/>
      <c r="AJ988" s="277"/>
      <c r="AK988" s="277"/>
    </row>
    <row r="989" spans="1:37" s="289" customFormat="1">
      <c r="A989" s="277"/>
      <c r="C989" s="277"/>
      <c r="D989" s="277"/>
      <c r="E989" s="277"/>
      <c r="F989" s="277"/>
      <c r="G989" s="277"/>
      <c r="H989" s="277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  <c r="AA989" s="277"/>
      <c r="AB989" s="277"/>
      <c r="AC989" s="277"/>
      <c r="AD989" s="277"/>
      <c r="AE989" s="277"/>
      <c r="AF989" s="277"/>
      <c r="AG989" s="277"/>
      <c r="AH989" s="277"/>
      <c r="AI989" s="277"/>
      <c r="AJ989" s="277"/>
      <c r="AK989" s="277"/>
    </row>
    <row r="990" spans="1:37" s="289" customFormat="1">
      <c r="A990" s="277"/>
      <c r="C990" s="277"/>
      <c r="D990" s="277"/>
      <c r="E990" s="277"/>
      <c r="F990" s="277"/>
      <c r="G990" s="277"/>
      <c r="H990" s="277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  <c r="AA990" s="277"/>
      <c r="AB990" s="277"/>
      <c r="AC990" s="277"/>
      <c r="AD990" s="277"/>
      <c r="AE990" s="277"/>
      <c r="AF990" s="277"/>
      <c r="AG990" s="277"/>
      <c r="AH990" s="277"/>
      <c r="AI990" s="277"/>
      <c r="AJ990" s="277"/>
      <c r="AK990" s="277"/>
    </row>
    <row r="991" spans="1:37" s="289" customFormat="1">
      <c r="A991" s="277"/>
      <c r="C991" s="277"/>
      <c r="D991" s="277"/>
      <c r="E991" s="277"/>
      <c r="F991" s="277"/>
      <c r="G991" s="277"/>
      <c r="H991" s="277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  <c r="AA991" s="277"/>
      <c r="AB991" s="277"/>
      <c r="AC991" s="277"/>
      <c r="AD991" s="277"/>
      <c r="AE991" s="277"/>
      <c r="AF991" s="277"/>
      <c r="AG991" s="277"/>
      <c r="AH991" s="277"/>
      <c r="AI991" s="277"/>
      <c r="AJ991" s="277"/>
      <c r="AK991" s="277"/>
    </row>
    <row r="992" spans="1:37" s="289" customFormat="1">
      <c r="A992" s="277"/>
      <c r="C992" s="277"/>
      <c r="D992" s="277"/>
      <c r="E992" s="277"/>
      <c r="F992" s="277"/>
      <c r="G992" s="277"/>
      <c r="H992" s="277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  <c r="AA992" s="277"/>
      <c r="AB992" s="277"/>
      <c r="AC992" s="277"/>
      <c r="AD992" s="277"/>
      <c r="AE992" s="277"/>
      <c r="AF992" s="277"/>
      <c r="AG992" s="277"/>
      <c r="AH992" s="277"/>
      <c r="AI992" s="277"/>
      <c r="AJ992" s="277"/>
      <c r="AK992" s="277"/>
    </row>
    <row r="993" spans="1:37" s="289" customFormat="1">
      <c r="A993" s="277"/>
      <c r="C993" s="277"/>
      <c r="D993" s="277"/>
      <c r="E993" s="277"/>
      <c r="F993" s="277"/>
      <c r="G993" s="277"/>
      <c r="H993" s="277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  <c r="AA993" s="277"/>
      <c r="AB993" s="277"/>
      <c r="AC993" s="277"/>
      <c r="AD993" s="277"/>
      <c r="AE993" s="277"/>
      <c r="AF993" s="277"/>
      <c r="AG993" s="277"/>
      <c r="AH993" s="277"/>
      <c r="AI993" s="277"/>
      <c r="AJ993" s="277"/>
      <c r="AK993" s="277"/>
    </row>
    <row r="994" spans="1:37" s="289" customFormat="1">
      <c r="A994" s="277"/>
      <c r="C994" s="277"/>
      <c r="D994" s="277"/>
      <c r="E994" s="277"/>
      <c r="F994" s="277"/>
      <c r="G994" s="277"/>
      <c r="H994" s="277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  <c r="AA994" s="277"/>
      <c r="AB994" s="277"/>
      <c r="AC994" s="277"/>
      <c r="AD994" s="277"/>
      <c r="AE994" s="277"/>
      <c r="AF994" s="277"/>
      <c r="AG994" s="277"/>
      <c r="AH994" s="277"/>
      <c r="AI994" s="277"/>
      <c r="AJ994" s="277"/>
      <c r="AK994" s="277"/>
    </row>
    <row r="995" spans="1:37" s="289" customFormat="1">
      <c r="A995" s="277"/>
      <c r="C995" s="277"/>
      <c r="D995" s="277"/>
      <c r="E995" s="277"/>
      <c r="F995" s="277"/>
      <c r="G995" s="277"/>
      <c r="H995" s="277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  <c r="AA995" s="277"/>
      <c r="AB995" s="277"/>
      <c r="AC995" s="277"/>
      <c r="AD995" s="277"/>
      <c r="AE995" s="277"/>
      <c r="AF995" s="277"/>
      <c r="AG995" s="277"/>
      <c r="AH995" s="277"/>
      <c r="AI995" s="277"/>
      <c r="AJ995" s="277"/>
      <c r="AK995" s="277"/>
    </row>
    <row r="996" spans="1:37" s="289" customFormat="1">
      <c r="A996" s="277"/>
      <c r="C996" s="277"/>
      <c r="D996" s="277"/>
      <c r="E996" s="277"/>
      <c r="F996" s="277"/>
      <c r="G996" s="277"/>
      <c r="H996" s="277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  <c r="AA996" s="277"/>
      <c r="AB996" s="277"/>
      <c r="AC996" s="277"/>
      <c r="AD996" s="277"/>
      <c r="AE996" s="277"/>
      <c r="AF996" s="277"/>
      <c r="AG996" s="277"/>
      <c r="AH996" s="277"/>
      <c r="AI996" s="277"/>
      <c r="AJ996" s="277"/>
      <c r="AK996" s="277"/>
    </row>
    <row r="997" spans="1:37" s="289" customFormat="1">
      <c r="A997" s="277"/>
      <c r="C997" s="277"/>
      <c r="D997" s="277"/>
      <c r="E997" s="277"/>
      <c r="F997" s="277"/>
      <c r="G997" s="277"/>
      <c r="H997" s="277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  <c r="AA997" s="277"/>
      <c r="AB997" s="277"/>
      <c r="AC997" s="277"/>
      <c r="AD997" s="277"/>
      <c r="AE997" s="277"/>
      <c r="AF997" s="277"/>
      <c r="AG997" s="277"/>
      <c r="AH997" s="277"/>
      <c r="AI997" s="277"/>
      <c r="AJ997" s="277"/>
      <c r="AK997" s="277"/>
    </row>
    <row r="998" spans="1:37" s="289" customFormat="1">
      <c r="A998" s="277"/>
      <c r="C998" s="277"/>
      <c r="D998" s="277"/>
      <c r="E998" s="277"/>
      <c r="F998" s="277"/>
      <c r="G998" s="277"/>
      <c r="H998" s="277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  <c r="AA998" s="277"/>
      <c r="AB998" s="277"/>
      <c r="AC998" s="277"/>
      <c r="AD998" s="277"/>
      <c r="AE998" s="277"/>
      <c r="AF998" s="277"/>
      <c r="AG998" s="277"/>
      <c r="AH998" s="277"/>
      <c r="AI998" s="277"/>
      <c r="AJ998" s="277"/>
      <c r="AK998" s="277"/>
    </row>
    <row r="999" spans="1:37" s="289" customFormat="1">
      <c r="A999" s="277"/>
      <c r="C999" s="277"/>
      <c r="D999" s="277"/>
      <c r="E999" s="277"/>
      <c r="F999" s="277"/>
      <c r="G999" s="277"/>
      <c r="H999" s="277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  <c r="AA999" s="277"/>
      <c r="AB999" s="277"/>
      <c r="AC999" s="277"/>
      <c r="AD999" s="277"/>
      <c r="AE999" s="277"/>
      <c r="AF999" s="277"/>
      <c r="AG999" s="277"/>
      <c r="AH999" s="277"/>
      <c r="AI999" s="277"/>
      <c r="AJ999" s="277"/>
      <c r="AK999" s="277"/>
    </row>
    <row r="1000" spans="1:37" s="289" customFormat="1">
      <c r="A1000" s="277"/>
      <c r="C1000" s="277"/>
      <c r="D1000" s="277"/>
      <c r="E1000" s="277"/>
      <c r="F1000" s="277"/>
      <c r="G1000" s="277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  <c r="AA1000" s="277"/>
      <c r="AB1000" s="277"/>
      <c r="AC1000" s="277"/>
      <c r="AD1000" s="277"/>
      <c r="AE1000" s="277"/>
      <c r="AF1000" s="277"/>
      <c r="AG1000" s="277"/>
      <c r="AH1000" s="277"/>
      <c r="AI1000" s="277"/>
      <c r="AJ1000" s="277"/>
      <c r="AK1000" s="277"/>
    </row>
    <row r="1001" spans="1:37" s="289" customFormat="1">
      <c r="A1001" s="277"/>
      <c r="C1001" s="277"/>
      <c r="D1001" s="277"/>
      <c r="E1001" s="277"/>
      <c r="F1001" s="277"/>
      <c r="G1001" s="277"/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277"/>
      <c r="R1001" s="277"/>
      <c r="S1001" s="277"/>
      <c r="T1001" s="277"/>
      <c r="U1001" s="277"/>
      <c r="V1001" s="277"/>
      <c r="W1001" s="277"/>
      <c r="X1001" s="277"/>
      <c r="Y1001" s="277"/>
      <c r="Z1001" s="277"/>
      <c r="AA1001" s="277"/>
      <c r="AB1001" s="277"/>
      <c r="AC1001" s="277"/>
      <c r="AD1001" s="277"/>
      <c r="AE1001" s="277"/>
      <c r="AF1001" s="277"/>
      <c r="AG1001" s="277"/>
      <c r="AH1001" s="277"/>
      <c r="AI1001" s="277"/>
      <c r="AJ1001" s="277"/>
      <c r="AK1001" s="277"/>
    </row>
    <row r="1002" spans="1:37" s="289" customFormat="1">
      <c r="A1002" s="277"/>
      <c r="C1002" s="277"/>
      <c r="D1002" s="277"/>
      <c r="E1002" s="277"/>
      <c r="F1002" s="277"/>
      <c r="G1002" s="277"/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277"/>
      <c r="R1002" s="277"/>
      <c r="S1002" s="277"/>
      <c r="T1002" s="277"/>
      <c r="U1002" s="277"/>
      <c r="V1002" s="277"/>
      <c r="W1002" s="277"/>
      <c r="X1002" s="277"/>
      <c r="Y1002" s="277"/>
      <c r="Z1002" s="277"/>
      <c r="AA1002" s="277"/>
      <c r="AB1002" s="277"/>
      <c r="AC1002" s="277"/>
      <c r="AD1002" s="277"/>
      <c r="AE1002" s="277"/>
      <c r="AF1002" s="277"/>
      <c r="AG1002" s="277"/>
      <c r="AH1002" s="277"/>
      <c r="AI1002" s="277"/>
      <c r="AJ1002" s="277"/>
      <c r="AK1002" s="277"/>
    </row>
    <row r="1003" spans="1:37" s="289" customFormat="1">
      <c r="A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277"/>
      <c r="R1003" s="277"/>
      <c r="S1003" s="277"/>
      <c r="T1003" s="277"/>
      <c r="U1003" s="277"/>
      <c r="V1003" s="277"/>
      <c r="W1003" s="277"/>
      <c r="X1003" s="277"/>
      <c r="Y1003" s="277"/>
      <c r="Z1003" s="277"/>
      <c r="AA1003" s="277"/>
      <c r="AB1003" s="277"/>
      <c r="AC1003" s="277"/>
      <c r="AD1003" s="277"/>
      <c r="AE1003" s="277"/>
      <c r="AF1003" s="277"/>
      <c r="AG1003" s="277"/>
      <c r="AH1003" s="277"/>
      <c r="AI1003" s="277"/>
      <c r="AJ1003" s="277"/>
      <c r="AK1003" s="277"/>
    </row>
    <row r="1004" spans="1:37" s="289" customFormat="1">
      <c r="A1004" s="277"/>
      <c r="C1004" s="277"/>
      <c r="D1004" s="277"/>
      <c r="E1004" s="277"/>
      <c r="F1004" s="277"/>
      <c r="G1004" s="277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277"/>
      <c r="R1004" s="277"/>
      <c r="S1004" s="277"/>
      <c r="T1004" s="277"/>
      <c r="U1004" s="277"/>
      <c r="V1004" s="277"/>
      <c r="W1004" s="277"/>
      <c r="X1004" s="277"/>
      <c r="Y1004" s="277"/>
      <c r="Z1004" s="277"/>
      <c r="AA1004" s="277"/>
      <c r="AB1004" s="277"/>
      <c r="AC1004" s="277"/>
      <c r="AD1004" s="277"/>
      <c r="AE1004" s="277"/>
      <c r="AF1004" s="277"/>
      <c r="AG1004" s="277"/>
      <c r="AH1004" s="277"/>
      <c r="AI1004" s="277"/>
      <c r="AJ1004" s="277"/>
      <c r="AK1004" s="277"/>
    </row>
    <row r="1005" spans="1:37" s="289" customFormat="1">
      <c r="A1005" s="277"/>
      <c r="C1005" s="277"/>
      <c r="D1005" s="277"/>
      <c r="E1005" s="277"/>
      <c r="F1005" s="277"/>
      <c r="G1005" s="277"/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277"/>
      <c r="R1005" s="277"/>
      <c r="S1005" s="277"/>
      <c r="T1005" s="277"/>
      <c r="U1005" s="277"/>
      <c r="V1005" s="277"/>
      <c r="W1005" s="277"/>
      <c r="X1005" s="277"/>
      <c r="Y1005" s="277"/>
      <c r="Z1005" s="277"/>
      <c r="AA1005" s="277"/>
      <c r="AB1005" s="277"/>
      <c r="AC1005" s="277"/>
      <c r="AD1005" s="277"/>
      <c r="AE1005" s="277"/>
      <c r="AF1005" s="277"/>
      <c r="AG1005" s="277"/>
      <c r="AH1005" s="277"/>
      <c r="AI1005" s="277"/>
      <c r="AJ1005" s="277"/>
      <c r="AK1005" s="277"/>
    </row>
    <row r="1006" spans="1:37" s="289" customFormat="1">
      <c r="A1006" s="277"/>
      <c r="C1006" s="277"/>
      <c r="D1006" s="277"/>
      <c r="E1006" s="277"/>
      <c r="F1006" s="277"/>
      <c r="G1006" s="277"/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277"/>
      <c r="R1006" s="277"/>
      <c r="S1006" s="277"/>
      <c r="T1006" s="277"/>
      <c r="U1006" s="277"/>
      <c r="V1006" s="277"/>
      <c r="W1006" s="277"/>
      <c r="X1006" s="277"/>
      <c r="Y1006" s="277"/>
      <c r="Z1006" s="277"/>
      <c r="AA1006" s="277"/>
      <c r="AB1006" s="277"/>
      <c r="AC1006" s="277"/>
      <c r="AD1006" s="277"/>
      <c r="AE1006" s="277"/>
      <c r="AF1006" s="277"/>
      <c r="AG1006" s="277"/>
      <c r="AH1006" s="277"/>
      <c r="AI1006" s="277"/>
      <c r="AJ1006" s="277"/>
      <c r="AK1006" s="277"/>
    </row>
    <row r="1007" spans="1:37" s="289" customFormat="1">
      <c r="A1007" s="277"/>
      <c r="C1007" s="277"/>
      <c r="D1007" s="277"/>
      <c r="E1007" s="277"/>
      <c r="F1007" s="277"/>
      <c r="G1007" s="277"/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277"/>
      <c r="R1007" s="277"/>
      <c r="S1007" s="277"/>
      <c r="T1007" s="277"/>
      <c r="U1007" s="277"/>
      <c r="V1007" s="277"/>
      <c r="W1007" s="277"/>
      <c r="X1007" s="277"/>
      <c r="Y1007" s="277"/>
      <c r="Z1007" s="277"/>
      <c r="AA1007" s="277"/>
      <c r="AB1007" s="277"/>
      <c r="AC1007" s="277"/>
      <c r="AD1007" s="277"/>
      <c r="AE1007" s="277"/>
      <c r="AF1007" s="277"/>
      <c r="AG1007" s="277"/>
      <c r="AH1007" s="277"/>
      <c r="AI1007" s="277"/>
      <c r="AJ1007" s="277"/>
      <c r="AK1007" s="277"/>
    </row>
    <row r="1008" spans="1:37" s="289" customFormat="1">
      <c r="A1008" s="277"/>
      <c r="C1008" s="277"/>
      <c r="D1008" s="277"/>
      <c r="E1008" s="277"/>
      <c r="F1008" s="277"/>
      <c r="G1008" s="277"/>
      <c r="H1008" s="277"/>
      <c r="I1008" s="277"/>
      <c r="J1008" s="277"/>
      <c r="K1008" s="277"/>
      <c r="L1008" s="277"/>
      <c r="M1008" s="277"/>
      <c r="N1008" s="277"/>
      <c r="O1008" s="277"/>
      <c r="P1008" s="277"/>
      <c r="Q1008" s="277"/>
      <c r="R1008" s="277"/>
      <c r="S1008" s="277"/>
      <c r="T1008" s="277"/>
      <c r="U1008" s="277"/>
      <c r="V1008" s="277"/>
      <c r="W1008" s="277"/>
      <c r="X1008" s="277"/>
      <c r="Y1008" s="277"/>
      <c r="Z1008" s="277"/>
      <c r="AA1008" s="277"/>
      <c r="AB1008" s="277"/>
      <c r="AC1008" s="277"/>
      <c r="AD1008" s="277"/>
      <c r="AE1008" s="277"/>
      <c r="AF1008" s="277"/>
      <c r="AG1008" s="277"/>
      <c r="AH1008" s="277"/>
      <c r="AI1008" s="277"/>
      <c r="AJ1008" s="277"/>
      <c r="AK1008" s="277"/>
    </row>
    <row r="1009" spans="1:37" s="289" customFormat="1">
      <c r="A1009" s="277"/>
      <c r="C1009" s="277"/>
      <c r="D1009" s="277"/>
      <c r="E1009" s="277"/>
      <c r="F1009" s="277"/>
      <c r="G1009" s="277"/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277"/>
      <c r="R1009" s="277"/>
      <c r="S1009" s="277"/>
      <c r="T1009" s="277"/>
      <c r="U1009" s="277"/>
      <c r="V1009" s="277"/>
      <c r="W1009" s="277"/>
      <c r="X1009" s="277"/>
      <c r="Y1009" s="277"/>
      <c r="Z1009" s="277"/>
      <c r="AA1009" s="277"/>
      <c r="AB1009" s="277"/>
      <c r="AC1009" s="277"/>
      <c r="AD1009" s="277"/>
      <c r="AE1009" s="277"/>
      <c r="AF1009" s="277"/>
      <c r="AG1009" s="277"/>
      <c r="AH1009" s="277"/>
      <c r="AI1009" s="277"/>
      <c r="AJ1009" s="277"/>
      <c r="AK1009" s="277"/>
    </row>
    <row r="1010" spans="1:37" s="289" customFormat="1">
      <c r="A1010" s="277"/>
      <c r="C1010" s="277"/>
      <c r="D1010" s="277"/>
      <c r="E1010" s="277"/>
      <c r="F1010" s="277"/>
      <c r="G1010" s="277"/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277"/>
      <c r="R1010" s="277"/>
      <c r="S1010" s="277"/>
      <c r="T1010" s="277"/>
      <c r="U1010" s="277"/>
      <c r="V1010" s="277"/>
      <c r="W1010" s="277"/>
      <c r="X1010" s="277"/>
      <c r="Y1010" s="277"/>
      <c r="Z1010" s="277"/>
      <c r="AA1010" s="277"/>
      <c r="AB1010" s="277"/>
      <c r="AC1010" s="277"/>
      <c r="AD1010" s="277"/>
      <c r="AE1010" s="277"/>
      <c r="AF1010" s="277"/>
      <c r="AG1010" s="277"/>
      <c r="AH1010" s="277"/>
      <c r="AI1010" s="277"/>
      <c r="AJ1010" s="277"/>
      <c r="AK1010" s="277"/>
    </row>
    <row r="1011" spans="1:37" s="289" customFormat="1">
      <c r="A1011" s="277"/>
      <c r="C1011" s="277"/>
      <c r="D1011" s="277"/>
      <c r="E1011" s="277"/>
      <c r="F1011" s="277"/>
      <c r="G1011" s="277"/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277"/>
      <c r="R1011" s="277"/>
      <c r="S1011" s="277"/>
      <c r="T1011" s="277"/>
      <c r="U1011" s="277"/>
      <c r="V1011" s="277"/>
      <c r="W1011" s="277"/>
      <c r="X1011" s="277"/>
      <c r="Y1011" s="277"/>
      <c r="Z1011" s="277"/>
      <c r="AA1011" s="277"/>
      <c r="AB1011" s="277"/>
      <c r="AC1011" s="277"/>
      <c r="AD1011" s="277"/>
      <c r="AE1011" s="277"/>
      <c r="AF1011" s="277"/>
      <c r="AG1011" s="277"/>
      <c r="AH1011" s="277"/>
      <c r="AI1011" s="277"/>
      <c r="AJ1011" s="277"/>
      <c r="AK1011" s="277"/>
    </row>
    <row r="1012" spans="1:37" s="289" customFormat="1">
      <c r="A1012" s="277"/>
      <c r="C1012" s="277"/>
      <c r="D1012" s="277"/>
      <c r="E1012" s="277"/>
      <c r="F1012" s="277"/>
      <c r="G1012" s="277"/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277"/>
      <c r="R1012" s="277"/>
      <c r="S1012" s="277"/>
      <c r="T1012" s="277"/>
      <c r="U1012" s="277"/>
      <c r="V1012" s="277"/>
      <c r="W1012" s="277"/>
      <c r="X1012" s="277"/>
      <c r="Y1012" s="277"/>
      <c r="Z1012" s="277"/>
      <c r="AA1012" s="277"/>
      <c r="AB1012" s="277"/>
      <c r="AC1012" s="277"/>
      <c r="AD1012" s="277"/>
      <c r="AE1012" s="277"/>
      <c r="AF1012" s="277"/>
      <c r="AG1012" s="277"/>
      <c r="AH1012" s="277"/>
      <c r="AI1012" s="277"/>
      <c r="AJ1012" s="277"/>
      <c r="AK1012" s="277"/>
    </row>
    <row r="1013" spans="1:37" s="289" customFormat="1">
      <c r="A1013" s="277"/>
      <c r="C1013" s="277"/>
      <c r="D1013" s="277"/>
      <c r="E1013" s="277"/>
      <c r="F1013" s="277"/>
      <c r="G1013" s="277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277"/>
      <c r="R1013" s="277"/>
      <c r="S1013" s="277"/>
      <c r="T1013" s="277"/>
      <c r="U1013" s="277"/>
      <c r="V1013" s="277"/>
      <c r="W1013" s="277"/>
      <c r="X1013" s="277"/>
      <c r="Y1013" s="277"/>
      <c r="Z1013" s="277"/>
      <c r="AA1013" s="277"/>
      <c r="AB1013" s="277"/>
      <c r="AC1013" s="277"/>
      <c r="AD1013" s="277"/>
      <c r="AE1013" s="277"/>
      <c r="AF1013" s="277"/>
      <c r="AG1013" s="277"/>
      <c r="AH1013" s="277"/>
      <c r="AI1013" s="277"/>
      <c r="AJ1013" s="277"/>
      <c r="AK1013" s="277"/>
    </row>
    <row r="1014" spans="1:37" s="289" customFormat="1">
      <c r="A1014" s="277"/>
      <c r="C1014" s="277"/>
      <c r="D1014" s="277"/>
      <c r="E1014" s="277"/>
      <c r="F1014" s="277"/>
      <c r="G1014" s="277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277"/>
      <c r="R1014" s="277"/>
      <c r="S1014" s="277"/>
      <c r="T1014" s="277"/>
      <c r="U1014" s="277"/>
      <c r="V1014" s="277"/>
      <c r="W1014" s="277"/>
      <c r="X1014" s="277"/>
      <c r="Y1014" s="277"/>
      <c r="Z1014" s="277"/>
      <c r="AA1014" s="277"/>
      <c r="AB1014" s="277"/>
      <c r="AC1014" s="277"/>
      <c r="AD1014" s="277"/>
      <c r="AE1014" s="277"/>
      <c r="AF1014" s="277"/>
      <c r="AG1014" s="277"/>
      <c r="AH1014" s="277"/>
      <c r="AI1014" s="277"/>
      <c r="AJ1014" s="277"/>
      <c r="AK1014" s="277"/>
    </row>
    <row r="1015" spans="1:37" s="289" customFormat="1">
      <c r="A1015" s="277"/>
      <c r="C1015" s="277"/>
      <c r="D1015" s="277"/>
      <c r="E1015" s="277"/>
      <c r="F1015" s="277"/>
      <c r="G1015" s="277"/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277"/>
      <c r="R1015" s="277"/>
      <c r="S1015" s="277"/>
      <c r="T1015" s="277"/>
      <c r="U1015" s="277"/>
      <c r="V1015" s="277"/>
      <c r="W1015" s="277"/>
      <c r="X1015" s="277"/>
      <c r="Y1015" s="277"/>
      <c r="Z1015" s="277"/>
      <c r="AA1015" s="277"/>
      <c r="AB1015" s="277"/>
      <c r="AC1015" s="277"/>
      <c r="AD1015" s="277"/>
      <c r="AE1015" s="277"/>
      <c r="AF1015" s="277"/>
      <c r="AG1015" s="277"/>
      <c r="AH1015" s="277"/>
      <c r="AI1015" s="277"/>
      <c r="AJ1015" s="277"/>
      <c r="AK1015" s="277"/>
    </row>
    <row r="1016" spans="1:37" s="289" customFormat="1">
      <c r="A1016" s="277"/>
      <c r="C1016" s="277"/>
      <c r="D1016" s="277"/>
      <c r="E1016" s="277"/>
      <c r="F1016" s="277"/>
      <c r="G1016" s="277"/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277"/>
      <c r="R1016" s="277"/>
      <c r="S1016" s="277"/>
      <c r="T1016" s="277"/>
      <c r="U1016" s="277"/>
      <c r="V1016" s="277"/>
      <c r="W1016" s="277"/>
      <c r="X1016" s="277"/>
      <c r="Y1016" s="277"/>
      <c r="Z1016" s="277"/>
      <c r="AA1016" s="277"/>
      <c r="AB1016" s="277"/>
      <c r="AC1016" s="277"/>
      <c r="AD1016" s="277"/>
      <c r="AE1016" s="277"/>
      <c r="AF1016" s="277"/>
      <c r="AG1016" s="277"/>
      <c r="AH1016" s="277"/>
      <c r="AI1016" s="277"/>
      <c r="AJ1016" s="277"/>
      <c r="AK1016" s="277"/>
    </row>
    <row r="1017" spans="1:37" s="289" customFormat="1">
      <c r="A1017" s="277"/>
      <c r="C1017" s="277"/>
      <c r="D1017" s="277"/>
      <c r="E1017" s="277"/>
      <c r="F1017" s="277"/>
      <c r="G1017" s="277"/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277"/>
      <c r="R1017" s="277"/>
      <c r="S1017" s="277"/>
      <c r="T1017" s="277"/>
      <c r="U1017" s="277"/>
      <c r="V1017" s="277"/>
      <c r="W1017" s="277"/>
      <c r="X1017" s="277"/>
      <c r="Y1017" s="277"/>
      <c r="Z1017" s="277"/>
      <c r="AA1017" s="277"/>
      <c r="AB1017" s="277"/>
      <c r="AC1017" s="277"/>
      <c r="AD1017" s="277"/>
      <c r="AE1017" s="277"/>
      <c r="AF1017" s="277"/>
      <c r="AG1017" s="277"/>
      <c r="AH1017" s="277"/>
      <c r="AI1017" s="277"/>
      <c r="AJ1017" s="277"/>
      <c r="AK1017" s="277"/>
    </row>
    <row r="1018" spans="1:37" s="289" customFormat="1">
      <c r="A1018" s="277"/>
      <c r="C1018" s="277"/>
      <c r="D1018" s="277"/>
      <c r="E1018" s="277"/>
      <c r="F1018" s="277"/>
      <c r="G1018" s="277"/>
      <c r="H1018" s="277"/>
      <c r="I1018" s="277"/>
      <c r="J1018" s="277"/>
      <c r="K1018" s="277"/>
      <c r="L1018" s="277"/>
      <c r="M1018" s="277"/>
      <c r="N1018" s="277"/>
      <c r="O1018" s="277"/>
      <c r="P1018" s="277"/>
      <c r="Q1018" s="277"/>
      <c r="R1018" s="277"/>
      <c r="S1018" s="277"/>
      <c r="T1018" s="277"/>
      <c r="U1018" s="277"/>
      <c r="V1018" s="277"/>
      <c r="W1018" s="277"/>
      <c r="X1018" s="277"/>
      <c r="Y1018" s="277"/>
      <c r="Z1018" s="277"/>
      <c r="AA1018" s="277"/>
      <c r="AB1018" s="277"/>
      <c r="AC1018" s="277"/>
      <c r="AD1018" s="277"/>
      <c r="AE1018" s="277"/>
      <c r="AF1018" s="277"/>
      <c r="AG1018" s="277"/>
      <c r="AH1018" s="277"/>
      <c r="AI1018" s="277"/>
      <c r="AJ1018" s="277"/>
      <c r="AK1018" s="277"/>
    </row>
    <row r="1019" spans="1:37" s="289" customFormat="1">
      <c r="A1019" s="277"/>
      <c r="C1019" s="277"/>
      <c r="D1019" s="277"/>
      <c r="E1019" s="277"/>
      <c r="F1019" s="277"/>
      <c r="G1019" s="277"/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277"/>
      <c r="R1019" s="277"/>
      <c r="S1019" s="277"/>
      <c r="T1019" s="277"/>
      <c r="U1019" s="277"/>
      <c r="V1019" s="277"/>
      <c r="W1019" s="277"/>
      <c r="X1019" s="277"/>
      <c r="Y1019" s="277"/>
      <c r="Z1019" s="277"/>
      <c r="AA1019" s="277"/>
      <c r="AB1019" s="277"/>
      <c r="AC1019" s="277"/>
      <c r="AD1019" s="277"/>
      <c r="AE1019" s="277"/>
      <c r="AF1019" s="277"/>
      <c r="AG1019" s="277"/>
      <c r="AH1019" s="277"/>
      <c r="AI1019" s="277"/>
      <c r="AJ1019" s="277"/>
      <c r="AK1019" s="277"/>
    </row>
    <row r="1020" spans="1:37" s="289" customFormat="1">
      <c r="A1020" s="277"/>
      <c r="C1020" s="277"/>
      <c r="D1020" s="277"/>
      <c r="E1020" s="277"/>
      <c r="F1020" s="277"/>
      <c r="G1020" s="277"/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277"/>
      <c r="R1020" s="277"/>
      <c r="S1020" s="277"/>
      <c r="T1020" s="277"/>
      <c r="U1020" s="277"/>
      <c r="V1020" s="277"/>
      <c r="W1020" s="277"/>
      <c r="X1020" s="277"/>
      <c r="Y1020" s="277"/>
      <c r="Z1020" s="277"/>
      <c r="AA1020" s="277"/>
      <c r="AB1020" s="277"/>
      <c r="AC1020" s="277"/>
      <c r="AD1020" s="277"/>
      <c r="AE1020" s="277"/>
      <c r="AF1020" s="277"/>
      <c r="AG1020" s="277"/>
      <c r="AH1020" s="277"/>
      <c r="AI1020" s="277"/>
      <c r="AJ1020" s="277"/>
      <c r="AK1020" s="277"/>
    </row>
    <row r="1021" spans="1:37" s="289" customFormat="1">
      <c r="A1021" s="277"/>
      <c r="C1021" s="277"/>
      <c r="D1021" s="277"/>
      <c r="E1021" s="277"/>
      <c r="F1021" s="277"/>
      <c r="G1021" s="277"/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277"/>
      <c r="R1021" s="277"/>
      <c r="S1021" s="277"/>
      <c r="T1021" s="277"/>
      <c r="U1021" s="277"/>
      <c r="V1021" s="277"/>
      <c r="W1021" s="277"/>
      <c r="X1021" s="277"/>
      <c r="Y1021" s="277"/>
      <c r="Z1021" s="277"/>
      <c r="AA1021" s="277"/>
      <c r="AB1021" s="277"/>
      <c r="AC1021" s="277"/>
      <c r="AD1021" s="277"/>
      <c r="AE1021" s="277"/>
      <c r="AF1021" s="277"/>
      <c r="AG1021" s="277"/>
      <c r="AH1021" s="277"/>
      <c r="AI1021" s="277"/>
      <c r="AJ1021" s="277"/>
      <c r="AK1021" s="277"/>
    </row>
    <row r="1022" spans="1:37" s="289" customFormat="1">
      <c r="A1022" s="277"/>
      <c r="C1022" s="277"/>
      <c r="D1022" s="277"/>
      <c r="E1022" s="277"/>
      <c r="F1022" s="277"/>
      <c r="G1022" s="277"/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277"/>
      <c r="R1022" s="277"/>
      <c r="S1022" s="277"/>
      <c r="T1022" s="277"/>
      <c r="U1022" s="277"/>
      <c r="V1022" s="277"/>
      <c r="W1022" s="277"/>
      <c r="X1022" s="277"/>
      <c r="Y1022" s="277"/>
      <c r="Z1022" s="277"/>
      <c r="AA1022" s="277"/>
      <c r="AB1022" s="277"/>
      <c r="AC1022" s="277"/>
      <c r="AD1022" s="277"/>
      <c r="AE1022" s="277"/>
      <c r="AF1022" s="277"/>
      <c r="AG1022" s="277"/>
      <c r="AH1022" s="277"/>
      <c r="AI1022" s="277"/>
      <c r="AJ1022" s="277"/>
      <c r="AK1022" s="277"/>
    </row>
    <row r="1023" spans="1:37" s="289" customFormat="1">
      <c r="A1023" s="277"/>
      <c r="C1023" s="277"/>
      <c r="D1023" s="277"/>
      <c r="E1023" s="277"/>
      <c r="F1023" s="277"/>
      <c r="G1023" s="277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277"/>
      <c r="R1023" s="277"/>
      <c r="S1023" s="277"/>
      <c r="T1023" s="277"/>
      <c r="U1023" s="277"/>
      <c r="V1023" s="277"/>
      <c r="W1023" s="277"/>
      <c r="X1023" s="277"/>
      <c r="Y1023" s="277"/>
      <c r="Z1023" s="277"/>
      <c r="AA1023" s="277"/>
      <c r="AB1023" s="277"/>
      <c r="AC1023" s="277"/>
      <c r="AD1023" s="277"/>
      <c r="AE1023" s="277"/>
      <c r="AF1023" s="277"/>
      <c r="AG1023" s="277"/>
      <c r="AH1023" s="277"/>
      <c r="AI1023" s="277"/>
      <c r="AJ1023" s="277"/>
      <c r="AK1023" s="277"/>
    </row>
    <row r="1024" spans="1:37" s="289" customFormat="1">
      <c r="A1024" s="277"/>
      <c r="C1024" s="277"/>
      <c r="D1024" s="277"/>
      <c r="E1024" s="277"/>
      <c r="F1024" s="277"/>
      <c r="G1024" s="277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277"/>
      <c r="R1024" s="277"/>
      <c r="S1024" s="277"/>
      <c r="T1024" s="277"/>
      <c r="U1024" s="277"/>
      <c r="V1024" s="277"/>
      <c r="W1024" s="277"/>
      <c r="X1024" s="277"/>
      <c r="Y1024" s="277"/>
      <c r="Z1024" s="277"/>
      <c r="AA1024" s="277"/>
      <c r="AB1024" s="277"/>
      <c r="AC1024" s="277"/>
      <c r="AD1024" s="277"/>
      <c r="AE1024" s="277"/>
      <c r="AF1024" s="277"/>
      <c r="AG1024" s="277"/>
      <c r="AH1024" s="277"/>
      <c r="AI1024" s="277"/>
      <c r="AJ1024" s="277"/>
      <c r="AK1024" s="277"/>
    </row>
    <row r="1025" spans="1:37" s="289" customFormat="1">
      <c r="A1025" s="277"/>
      <c r="C1025" s="277"/>
      <c r="D1025" s="277"/>
      <c r="E1025" s="277"/>
      <c r="F1025" s="277"/>
      <c r="G1025" s="277"/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277"/>
      <c r="R1025" s="277"/>
      <c r="S1025" s="277"/>
      <c r="T1025" s="277"/>
      <c r="U1025" s="277"/>
      <c r="V1025" s="277"/>
      <c r="W1025" s="277"/>
      <c r="X1025" s="277"/>
      <c r="Y1025" s="277"/>
      <c r="Z1025" s="277"/>
      <c r="AA1025" s="277"/>
      <c r="AB1025" s="277"/>
      <c r="AC1025" s="277"/>
      <c r="AD1025" s="277"/>
      <c r="AE1025" s="277"/>
      <c r="AF1025" s="277"/>
      <c r="AG1025" s="277"/>
      <c r="AH1025" s="277"/>
      <c r="AI1025" s="277"/>
      <c r="AJ1025" s="277"/>
      <c r="AK1025" s="277"/>
    </row>
    <row r="1026" spans="1:37" s="289" customFormat="1">
      <c r="A1026" s="277"/>
      <c r="C1026" s="277"/>
      <c r="D1026" s="277"/>
      <c r="E1026" s="277"/>
      <c r="F1026" s="277"/>
      <c r="G1026" s="277"/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277"/>
      <c r="R1026" s="277"/>
      <c r="S1026" s="277"/>
      <c r="T1026" s="277"/>
      <c r="U1026" s="277"/>
      <c r="V1026" s="277"/>
      <c r="W1026" s="277"/>
      <c r="X1026" s="277"/>
      <c r="Y1026" s="277"/>
      <c r="Z1026" s="277"/>
      <c r="AA1026" s="277"/>
      <c r="AB1026" s="277"/>
      <c r="AC1026" s="277"/>
      <c r="AD1026" s="277"/>
      <c r="AE1026" s="277"/>
      <c r="AF1026" s="277"/>
      <c r="AG1026" s="277"/>
      <c r="AH1026" s="277"/>
      <c r="AI1026" s="277"/>
      <c r="AJ1026" s="277"/>
      <c r="AK1026" s="277"/>
    </row>
    <row r="1027" spans="1:37" s="289" customFormat="1">
      <c r="A1027" s="277"/>
      <c r="C1027" s="277"/>
      <c r="D1027" s="277"/>
      <c r="E1027" s="277"/>
      <c r="F1027" s="277"/>
      <c r="G1027" s="277"/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277"/>
      <c r="R1027" s="277"/>
      <c r="S1027" s="277"/>
      <c r="T1027" s="277"/>
      <c r="U1027" s="277"/>
      <c r="V1027" s="277"/>
      <c r="W1027" s="277"/>
      <c r="X1027" s="277"/>
      <c r="Y1027" s="277"/>
      <c r="Z1027" s="277"/>
      <c r="AA1027" s="277"/>
      <c r="AB1027" s="277"/>
      <c r="AC1027" s="277"/>
      <c r="AD1027" s="277"/>
      <c r="AE1027" s="277"/>
      <c r="AF1027" s="277"/>
      <c r="AG1027" s="277"/>
      <c r="AH1027" s="277"/>
      <c r="AI1027" s="277"/>
      <c r="AJ1027" s="277"/>
      <c r="AK1027" s="277"/>
    </row>
    <row r="1028" spans="1:37" s="289" customFormat="1">
      <c r="A1028" s="277"/>
      <c r="C1028" s="277"/>
      <c r="D1028" s="277"/>
      <c r="E1028" s="277"/>
      <c r="F1028" s="277"/>
      <c r="G1028" s="277"/>
      <c r="H1028" s="277"/>
      <c r="I1028" s="277"/>
      <c r="J1028" s="277"/>
      <c r="K1028" s="277"/>
      <c r="L1028" s="277"/>
      <c r="M1028" s="277"/>
      <c r="N1028" s="277"/>
      <c r="O1028" s="277"/>
      <c r="P1028" s="277"/>
      <c r="Q1028" s="277"/>
      <c r="R1028" s="277"/>
      <c r="S1028" s="277"/>
      <c r="T1028" s="277"/>
      <c r="U1028" s="277"/>
      <c r="V1028" s="277"/>
      <c r="W1028" s="277"/>
      <c r="X1028" s="277"/>
      <c r="Y1028" s="277"/>
      <c r="Z1028" s="277"/>
      <c r="AA1028" s="277"/>
      <c r="AB1028" s="277"/>
      <c r="AC1028" s="277"/>
      <c r="AD1028" s="277"/>
      <c r="AE1028" s="277"/>
      <c r="AF1028" s="277"/>
      <c r="AG1028" s="277"/>
      <c r="AH1028" s="277"/>
      <c r="AI1028" s="277"/>
      <c r="AJ1028" s="277"/>
      <c r="AK1028" s="277"/>
    </row>
    <row r="1029" spans="1:37" s="289" customFormat="1">
      <c r="A1029" s="277"/>
      <c r="C1029" s="277"/>
      <c r="D1029" s="277"/>
      <c r="E1029" s="277"/>
      <c r="F1029" s="277"/>
      <c r="G1029" s="277"/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277"/>
      <c r="R1029" s="277"/>
      <c r="S1029" s="277"/>
      <c r="T1029" s="277"/>
      <c r="U1029" s="277"/>
      <c r="V1029" s="277"/>
      <c r="W1029" s="277"/>
      <c r="X1029" s="277"/>
      <c r="Y1029" s="277"/>
      <c r="Z1029" s="277"/>
      <c r="AA1029" s="277"/>
      <c r="AB1029" s="277"/>
      <c r="AC1029" s="277"/>
      <c r="AD1029" s="277"/>
      <c r="AE1029" s="277"/>
      <c r="AF1029" s="277"/>
      <c r="AG1029" s="277"/>
      <c r="AH1029" s="277"/>
      <c r="AI1029" s="277"/>
      <c r="AJ1029" s="277"/>
      <c r="AK1029" s="277"/>
    </row>
    <row r="1030" spans="1:37" s="289" customFormat="1">
      <c r="A1030" s="277"/>
      <c r="C1030" s="277"/>
      <c r="D1030" s="277"/>
      <c r="E1030" s="277"/>
      <c r="F1030" s="277"/>
      <c r="G1030" s="277"/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277"/>
      <c r="R1030" s="277"/>
      <c r="S1030" s="277"/>
      <c r="T1030" s="277"/>
      <c r="U1030" s="277"/>
      <c r="V1030" s="277"/>
      <c r="W1030" s="277"/>
      <c r="X1030" s="277"/>
      <c r="Y1030" s="277"/>
      <c r="Z1030" s="277"/>
      <c r="AA1030" s="277"/>
      <c r="AB1030" s="277"/>
      <c r="AC1030" s="277"/>
      <c r="AD1030" s="277"/>
      <c r="AE1030" s="277"/>
      <c r="AF1030" s="277"/>
      <c r="AG1030" s="277"/>
      <c r="AH1030" s="277"/>
      <c r="AI1030" s="277"/>
      <c r="AJ1030" s="277"/>
      <c r="AK1030" s="277"/>
    </row>
    <row r="1031" spans="1:37" s="289" customFormat="1">
      <c r="A1031" s="277"/>
      <c r="C1031" s="277"/>
      <c r="D1031" s="277"/>
      <c r="E1031" s="277"/>
      <c r="F1031" s="277"/>
      <c r="G1031" s="277"/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277"/>
      <c r="R1031" s="277"/>
      <c r="S1031" s="277"/>
      <c r="T1031" s="277"/>
      <c r="U1031" s="277"/>
      <c r="V1031" s="277"/>
      <c r="W1031" s="277"/>
      <c r="X1031" s="277"/>
      <c r="Y1031" s="277"/>
      <c r="Z1031" s="277"/>
      <c r="AA1031" s="277"/>
      <c r="AB1031" s="277"/>
      <c r="AC1031" s="277"/>
      <c r="AD1031" s="277"/>
      <c r="AE1031" s="277"/>
      <c r="AF1031" s="277"/>
      <c r="AG1031" s="277"/>
      <c r="AH1031" s="277"/>
      <c r="AI1031" s="277"/>
      <c r="AJ1031" s="277"/>
      <c r="AK1031" s="277"/>
    </row>
    <row r="1032" spans="1:37" s="289" customFormat="1">
      <c r="A1032" s="277"/>
      <c r="C1032" s="277"/>
      <c r="D1032" s="277"/>
      <c r="E1032" s="277"/>
      <c r="F1032" s="277"/>
      <c r="G1032" s="277"/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277"/>
      <c r="R1032" s="277"/>
      <c r="S1032" s="277"/>
      <c r="T1032" s="277"/>
      <c r="U1032" s="277"/>
      <c r="V1032" s="277"/>
      <c r="W1032" s="277"/>
      <c r="X1032" s="277"/>
      <c r="Y1032" s="277"/>
      <c r="Z1032" s="277"/>
      <c r="AA1032" s="277"/>
      <c r="AB1032" s="277"/>
      <c r="AC1032" s="277"/>
      <c r="AD1032" s="277"/>
      <c r="AE1032" s="277"/>
      <c r="AF1032" s="277"/>
      <c r="AG1032" s="277"/>
      <c r="AH1032" s="277"/>
      <c r="AI1032" s="277"/>
      <c r="AJ1032" s="277"/>
      <c r="AK1032" s="277"/>
    </row>
    <row r="1033" spans="1:37" s="289" customFormat="1">
      <c r="A1033" s="277"/>
      <c r="C1033" s="277"/>
      <c r="D1033" s="277"/>
      <c r="E1033" s="277"/>
      <c r="F1033" s="277"/>
      <c r="G1033" s="277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277"/>
      <c r="R1033" s="277"/>
      <c r="S1033" s="277"/>
      <c r="T1033" s="277"/>
      <c r="U1033" s="277"/>
      <c r="V1033" s="277"/>
      <c r="W1033" s="277"/>
      <c r="X1033" s="277"/>
      <c r="Y1033" s="277"/>
      <c r="Z1033" s="277"/>
      <c r="AA1033" s="277"/>
      <c r="AB1033" s="277"/>
      <c r="AC1033" s="277"/>
      <c r="AD1033" s="277"/>
      <c r="AE1033" s="277"/>
      <c r="AF1033" s="277"/>
      <c r="AG1033" s="277"/>
      <c r="AH1033" s="277"/>
      <c r="AI1033" s="277"/>
      <c r="AJ1033" s="277"/>
      <c r="AK1033" s="277"/>
    </row>
    <row r="1034" spans="1:37" s="289" customFormat="1">
      <c r="A1034" s="277"/>
      <c r="C1034" s="277"/>
      <c r="D1034" s="277"/>
      <c r="E1034" s="277"/>
      <c r="F1034" s="277"/>
      <c r="G1034" s="277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277"/>
      <c r="R1034" s="277"/>
      <c r="S1034" s="277"/>
      <c r="T1034" s="277"/>
      <c r="U1034" s="277"/>
      <c r="V1034" s="277"/>
      <c r="W1034" s="277"/>
      <c r="X1034" s="277"/>
      <c r="Y1034" s="277"/>
      <c r="Z1034" s="277"/>
      <c r="AA1034" s="277"/>
      <c r="AB1034" s="277"/>
      <c r="AC1034" s="277"/>
      <c r="AD1034" s="277"/>
      <c r="AE1034" s="277"/>
      <c r="AF1034" s="277"/>
      <c r="AG1034" s="277"/>
      <c r="AH1034" s="277"/>
      <c r="AI1034" s="277"/>
      <c r="AJ1034" s="277"/>
      <c r="AK1034" s="277"/>
    </row>
    <row r="1035" spans="1:37" s="289" customFormat="1">
      <c r="A1035" s="277"/>
      <c r="C1035" s="277"/>
      <c r="D1035" s="277"/>
      <c r="E1035" s="277"/>
      <c r="F1035" s="277"/>
      <c r="G1035" s="277"/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277"/>
      <c r="R1035" s="277"/>
      <c r="S1035" s="277"/>
      <c r="T1035" s="277"/>
      <c r="U1035" s="277"/>
      <c r="V1035" s="277"/>
      <c r="W1035" s="277"/>
      <c r="X1035" s="277"/>
      <c r="Y1035" s="277"/>
      <c r="Z1035" s="277"/>
      <c r="AA1035" s="277"/>
      <c r="AB1035" s="277"/>
      <c r="AC1035" s="277"/>
      <c r="AD1035" s="277"/>
      <c r="AE1035" s="277"/>
      <c r="AF1035" s="277"/>
      <c r="AG1035" s="277"/>
      <c r="AH1035" s="277"/>
      <c r="AI1035" s="277"/>
      <c r="AJ1035" s="277"/>
      <c r="AK1035" s="277"/>
    </row>
    <row r="1036" spans="1:37" s="289" customFormat="1">
      <c r="A1036" s="277"/>
      <c r="C1036" s="277"/>
      <c r="D1036" s="277"/>
      <c r="E1036" s="277"/>
      <c r="F1036" s="277"/>
      <c r="G1036" s="277"/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277"/>
      <c r="R1036" s="277"/>
      <c r="S1036" s="277"/>
      <c r="T1036" s="277"/>
      <c r="U1036" s="277"/>
      <c r="V1036" s="277"/>
      <c r="W1036" s="277"/>
      <c r="X1036" s="277"/>
      <c r="Y1036" s="277"/>
      <c r="Z1036" s="277"/>
      <c r="AA1036" s="277"/>
      <c r="AB1036" s="277"/>
      <c r="AC1036" s="277"/>
      <c r="AD1036" s="277"/>
      <c r="AE1036" s="277"/>
      <c r="AF1036" s="277"/>
      <c r="AG1036" s="277"/>
      <c r="AH1036" s="277"/>
      <c r="AI1036" s="277"/>
      <c r="AJ1036" s="277"/>
      <c r="AK1036" s="277"/>
    </row>
    <row r="1037" spans="1:37" s="289" customFormat="1">
      <c r="A1037" s="277"/>
      <c r="C1037" s="277"/>
      <c r="D1037" s="277"/>
      <c r="E1037" s="277"/>
      <c r="F1037" s="277"/>
      <c r="G1037" s="277"/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277"/>
      <c r="R1037" s="277"/>
      <c r="S1037" s="277"/>
      <c r="T1037" s="277"/>
      <c r="U1037" s="277"/>
      <c r="V1037" s="277"/>
      <c r="W1037" s="277"/>
      <c r="X1037" s="277"/>
      <c r="Y1037" s="277"/>
      <c r="Z1037" s="277"/>
      <c r="AA1037" s="277"/>
      <c r="AB1037" s="277"/>
      <c r="AC1037" s="277"/>
      <c r="AD1037" s="277"/>
      <c r="AE1037" s="277"/>
      <c r="AF1037" s="277"/>
      <c r="AG1037" s="277"/>
      <c r="AH1037" s="277"/>
      <c r="AI1037" s="277"/>
      <c r="AJ1037" s="277"/>
      <c r="AK1037" s="277"/>
    </row>
    <row r="1038" spans="1:37" s="289" customFormat="1">
      <c r="A1038" s="277"/>
      <c r="C1038" s="277"/>
      <c r="D1038" s="277"/>
      <c r="E1038" s="277"/>
      <c r="F1038" s="277"/>
      <c r="G1038" s="277"/>
      <c r="H1038" s="277"/>
      <c r="I1038" s="277"/>
      <c r="J1038" s="277"/>
      <c r="K1038" s="277"/>
      <c r="L1038" s="277"/>
      <c r="M1038" s="277"/>
      <c r="N1038" s="277"/>
      <c r="O1038" s="277"/>
      <c r="P1038" s="277"/>
      <c r="Q1038" s="277"/>
      <c r="R1038" s="277"/>
      <c r="S1038" s="277"/>
      <c r="T1038" s="277"/>
      <c r="U1038" s="277"/>
      <c r="V1038" s="277"/>
      <c r="W1038" s="277"/>
      <c r="X1038" s="277"/>
      <c r="Y1038" s="277"/>
      <c r="Z1038" s="277"/>
      <c r="AA1038" s="277"/>
      <c r="AB1038" s="277"/>
      <c r="AC1038" s="277"/>
      <c r="AD1038" s="277"/>
      <c r="AE1038" s="277"/>
      <c r="AF1038" s="277"/>
      <c r="AG1038" s="277"/>
      <c r="AH1038" s="277"/>
      <c r="AI1038" s="277"/>
      <c r="AJ1038" s="277"/>
      <c r="AK1038" s="277"/>
    </row>
    <row r="1039" spans="1:37" s="289" customFormat="1">
      <c r="A1039" s="277"/>
      <c r="C1039" s="277"/>
      <c r="D1039" s="277"/>
      <c r="E1039" s="277"/>
      <c r="F1039" s="277"/>
      <c r="G1039" s="277"/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277"/>
      <c r="R1039" s="277"/>
      <c r="S1039" s="277"/>
      <c r="T1039" s="277"/>
      <c r="U1039" s="277"/>
      <c r="V1039" s="277"/>
      <c r="W1039" s="277"/>
      <c r="X1039" s="277"/>
      <c r="Y1039" s="277"/>
      <c r="Z1039" s="277"/>
      <c r="AA1039" s="277"/>
      <c r="AB1039" s="277"/>
      <c r="AC1039" s="277"/>
      <c r="AD1039" s="277"/>
      <c r="AE1039" s="277"/>
      <c r="AF1039" s="277"/>
      <c r="AG1039" s="277"/>
      <c r="AH1039" s="277"/>
      <c r="AI1039" s="277"/>
      <c r="AJ1039" s="277"/>
      <c r="AK1039" s="277"/>
    </row>
    <row r="1040" spans="1:37" s="289" customFormat="1">
      <c r="A1040" s="277"/>
      <c r="C1040" s="277"/>
      <c r="D1040" s="277"/>
      <c r="E1040" s="277"/>
      <c r="F1040" s="277"/>
      <c r="G1040" s="277"/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277"/>
      <c r="R1040" s="277"/>
      <c r="S1040" s="277"/>
      <c r="T1040" s="277"/>
      <c r="U1040" s="277"/>
      <c r="V1040" s="277"/>
      <c r="W1040" s="277"/>
      <c r="X1040" s="277"/>
      <c r="Y1040" s="277"/>
      <c r="Z1040" s="277"/>
      <c r="AA1040" s="277"/>
      <c r="AB1040" s="277"/>
      <c r="AC1040" s="277"/>
      <c r="AD1040" s="277"/>
      <c r="AE1040" s="277"/>
      <c r="AF1040" s="277"/>
      <c r="AG1040" s="277"/>
      <c r="AH1040" s="277"/>
      <c r="AI1040" s="277"/>
      <c r="AJ1040" s="277"/>
      <c r="AK1040" s="277"/>
    </row>
    <row r="1041" spans="1:37" s="289" customFormat="1">
      <c r="A1041" s="277"/>
      <c r="C1041" s="277"/>
      <c r="D1041" s="277"/>
      <c r="E1041" s="277"/>
      <c r="F1041" s="277"/>
      <c r="G1041" s="277"/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277"/>
      <c r="R1041" s="277"/>
      <c r="S1041" s="277"/>
      <c r="T1041" s="277"/>
      <c r="U1041" s="277"/>
      <c r="V1041" s="277"/>
      <c r="W1041" s="277"/>
      <c r="X1041" s="277"/>
      <c r="Y1041" s="277"/>
      <c r="Z1041" s="277"/>
      <c r="AA1041" s="277"/>
      <c r="AB1041" s="277"/>
      <c r="AC1041" s="277"/>
      <c r="AD1041" s="277"/>
      <c r="AE1041" s="277"/>
      <c r="AF1041" s="277"/>
      <c r="AG1041" s="277"/>
      <c r="AH1041" s="277"/>
      <c r="AI1041" s="277"/>
      <c r="AJ1041" s="277"/>
      <c r="AK1041" s="277"/>
    </row>
    <row r="1042" spans="1:37" s="289" customFormat="1">
      <c r="A1042" s="277"/>
      <c r="C1042" s="277"/>
      <c r="D1042" s="277"/>
      <c r="E1042" s="277"/>
      <c r="F1042" s="277"/>
      <c r="G1042" s="277"/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277"/>
      <c r="R1042" s="277"/>
      <c r="S1042" s="277"/>
      <c r="T1042" s="277"/>
      <c r="U1042" s="277"/>
      <c r="V1042" s="277"/>
      <c r="W1042" s="277"/>
      <c r="X1042" s="277"/>
      <c r="Y1042" s="277"/>
      <c r="Z1042" s="277"/>
      <c r="AA1042" s="277"/>
      <c r="AB1042" s="277"/>
      <c r="AC1042" s="277"/>
      <c r="AD1042" s="277"/>
      <c r="AE1042" s="277"/>
      <c r="AF1042" s="277"/>
      <c r="AG1042" s="277"/>
      <c r="AH1042" s="277"/>
      <c r="AI1042" s="277"/>
      <c r="AJ1042" s="277"/>
      <c r="AK1042" s="277"/>
    </row>
    <row r="1043" spans="1:37" s="289" customFormat="1">
      <c r="A1043" s="277"/>
      <c r="C1043" s="277"/>
      <c r="D1043" s="277"/>
      <c r="E1043" s="277"/>
      <c r="F1043" s="277"/>
      <c r="G1043" s="277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277"/>
      <c r="R1043" s="277"/>
      <c r="S1043" s="277"/>
      <c r="T1043" s="277"/>
      <c r="U1043" s="277"/>
      <c r="V1043" s="277"/>
      <c r="W1043" s="277"/>
      <c r="X1043" s="277"/>
      <c r="Y1043" s="277"/>
      <c r="Z1043" s="277"/>
      <c r="AA1043" s="277"/>
      <c r="AB1043" s="277"/>
      <c r="AC1043" s="277"/>
      <c r="AD1043" s="277"/>
      <c r="AE1043" s="277"/>
      <c r="AF1043" s="277"/>
      <c r="AG1043" s="277"/>
      <c r="AH1043" s="277"/>
      <c r="AI1043" s="277"/>
      <c r="AJ1043" s="277"/>
      <c r="AK1043" s="277"/>
    </row>
    <row r="1044" spans="1:37" s="289" customFormat="1">
      <c r="A1044" s="277"/>
      <c r="C1044" s="277"/>
      <c r="D1044" s="277"/>
      <c r="E1044" s="277"/>
      <c r="F1044" s="277"/>
      <c r="G1044" s="277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277"/>
      <c r="R1044" s="277"/>
      <c r="S1044" s="277"/>
      <c r="T1044" s="277"/>
      <c r="U1044" s="277"/>
      <c r="V1044" s="277"/>
      <c r="W1044" s="277"/>
      <c r="X1044" s="277"/>
      <c r="Y1044" s="277"/>
      <c r="Z1044" s="277"/>
      <c r="AA1044" s="277"/>
      <c r="AB1044" s="277"/>
      <c r="AC1044" s="277"/>
      <c r="AD1044" s="277"/>
      <c r="AE1044" s="277"/>
      <c r="AF1044" s="277"/>
      <c r="AG1044" s="277"/>
      <c r="AH1044" s="277"/>
      <c r="AI1044" s="277"/>
      <c r="AJ1044" s="277"/>
      <c r="AK1044" s="277"/>
    </row>
    <row r="1045" spans="1:37" s="289" customFormat="1">
      <c r="A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277"/>
      <c r="R1045" s="277"/>
      <c r="S1045" s="277"/>
      <c r="T1045" s="277"/>
      <c r="U1045" s="277"/>
      <c r="V1045" s="277"/>
      <c r="W1045" s="277"/>
      <c r="X1045" s="277"/>
      <c r="Y1045" s="277"/>
      <c r="Z1045" s="277"/>
      <c r="AA1045" s="277"/>
      <c r="AB1045" s="277"/>
      <c r="AC1045" s="277"/>
      <c r="AD1045" s="277"/>
      <c r="AE1045" s="277"/>
      <c r="AF1045" s="277"/>
      <c r="AG1045" s="277"/>
      <c r="AH1045" s="277"/>
      <c r="AI1045" s="277"/>
      <c r="AJ1045" s="277"/>
      <c r="AK1045" s="277"/>
    </row>
    <row r="1046" spans="1:37" s="289" customFormat="1">
      <c r="A1046" s="277"/>
      <c r="C1046" s="277"/>
      <c r="D1046" s="277"/>
      <c r="E1046" s="277"/>
      <c r="F1046" s="277"/>
      <c r="G1046" s="277"/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277"/>
      <c r="R1046" s="277"/>
      <c r="S1046" s="277"/>
      <c r="T1046" s="277"/>
      <c r="U1046" s="277"/>
      <c r="V1046" s="277"/>
      <c r="W1046" s="277"/>
      <c r="X1046" s="277"/>
      <c r="Y1046" s="277"/>
      <c r="Z1046" s="277"/>
      <c r="AA1046" s="277"/>
      <c r="AB1046" s="277"/>
      <c r="AC1046" s="277"/>
      <c r="AD1046" s="277"/>
      <c r="AE1046" s="277"/>
      <c r="AF1046" s="277"/>
      <c r="AG1046" s="277"/>
      <c r="AH1046" s="277"/>
      <c r="AI1046" s="277"/>
      <c r="AJ1046" s="277"/>
      <c r="AK1046" s="277"/>
    </row>
    <row r="1047" spans="1:37" s="289" customFormat="1">
      <c r="A1047" s="277"/>
      <c r="C1047" s="277"/>
      <c r="D1047" s="277"/>
      <c r="E1047" s="277"/>
      <c r="F1047" s="277"/>
      <c r="G1047" s="277"/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277"/>
      <c r="R1047" s="277"/>
      <c r="S1047" s="277"/>
      <c r="T1047" s="277"/>
      <c r="U1047" s="277"/>
      <c r="V1047" s="277"/>
      <c r="W1047" s="277"/>
      <c r="X1047" s="277"/>
      <c r="Y1047" s="277"/>
      <c r="Z1047" s="277"/>
      <c r="AA1047" s="277"/>
      <c r="AB1047" s="277"/>
      <c r="AC1047" s="277"/>
      <c r="AD1047" s="277"/>
      <c r="AE1047" s="277"/>
      <c r="AF1047" s="277"/>
      <c r="AG1047" s="277"/>
      <c r="AH1047" s="277"/>
      <c r="AI1047" s="277"/>
      <c r="AJ1047" s="277"/>
      <c r="AK1047" s="277"/>
    </row>
    <row r="1048" spans="1:37" s="289" customFormat="1">
      <c r="A1048" s="277"/>
      <c r="C1048" s="277"/>
      <c r="D1048" s="277"/>
      <c r="E1048" s="277"/>
      <c r="F1048" s="277"/>
      <c r="G1048" s="277"/>
      <c r="H1048" s="277"/>
      <c r="I1048" s="277"/>
      <c r="J1048" s="277"/>
      <c r="K1048" s="277"/>
      <c r="L1048" s="277"/>
      <c r="M1048" s="277"/>
      <c r="N1048" s="277"/>
      <c r="O1048" s="277"/>
      <c r="P1048" s="277"/>
      <c r="Q1048" s="277"/>
      <c r="R1048" s="277"/>
      <c r="S1048" s="277"/>
      <c r="T1048" s="277"/>
      <c r="U1048" s="277"/>
      <c r="V1048" s="277"/>
      <c r="W1048" s="277"/>
      <c r="X1048" s="277"/>
      <c r="Y1048" s="277"/>
      <c r="Z1048" s="277"/>
      <c r="AA1048" s="277"/>
      <c r="AB1048" s="277"/>
      <c r="AC1048" s="277"/>
      <c r="AD1048" s="277"/>
      <c r="AE1048" s="277"/>
      <c r="AF1048" s="277"/>
      <c r="AG1048" s="277"/>
      <c r="AH1048" s="277"/>
      <c r="AI1048" s="277"/>
      <c r="AJ1048" s="277"/>
      <c r="AK1048" s="277"/>
    </row>
    <row r="1049" spans="1:37" s="289" customFormat="1">
      <c r="A1049" s="277"/>
      <c r="C1049" s="277"/>
      <c r="D1049" s="277"/>
      <c r="E1049" s="277"/>
      <c r="F1049" s="277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277"/>
      <c r="R1049" s="277"/>
      <c r="S1049" s="277"/>
      <c r="T1049" s="277"/>
      <c r="U1049" s="277"/>
      <c r="V1049" s="277"/>
      <c r="W1049" s="277"/>
      <c r="X1049" s="277"/>
      <c r="Y1049" s="277"/>
      <c r="Z1049" s="277"/>
      <c r="AA1049" s="277"/>
      <c r="AB1049" s="277"/>
      <c r="AC1049" s="277"/>
      <c r="AD1049" s="277"/>
      <c r="AE1049" s="277"/>
      <c r="AF1049" s="277"/>
      <c r="AG1049" s="277"/>
      <c r="AH1049" s="277"/>
      <c r="AI1049" s="277"/>
      <c r="AJ1049" s="277"/>
      <c r="AK1049" s="277"/>
    </row>
    <row r="1050" spans="1:37" s="289" customFormat="1">
      <c r="A1050" s="277"/>
      <c r="C1050" s="277"/>
      <c r="D1050" s="277"/>
      <c r="E1050" s="277"/>
      <c r="F1050" s="277"/>
      <c r="G1050" s="277"/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277"/>
      <c r="R1050" s="277"/>
      <c r="S1050" s="277"/>
      <c r="T1050" s="277"/>
      <c r="U1050" s="277"/>
      <c r="V1050" s="277"/>
      <c r="W1050" s="277"/>
      <c r="X1050" s="277"/>
      <c r="Y1050" s="277"/>
      <c r="Z1050" s="277"/>
      <c r="AA1050" s="277"/>
      <c r="AB1050" s="277"/>
      <c r="AC1050" s="277"/>
      <c r="AD1050" s="277"/>
      <c r="AE1050" s="277"/>
      <c r="AF1050" s="277"/>
      <c r="AG1050" s="277"/>
      <c r="AH1050" s="277"/>
      <c r="AI1050" s="277"/>
      <c r="AJ1050" s="277"/>
      <c r="AK1050" s="277"/>
    </row>
    <row r="1051" spans="1:37" s="289" customFormat="1">
      <c r="A1051" s="277"/>
      <c r="C1051" s="277"/>
      <c r="D1051" s="277"/>
      <c r="E1051" s="277"/>
      <c r="F1051" s="277"/>
      <c r="G1051" s="277"/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277"/>
      <c r="R1051" s="277"/>
      <c r="S1051" s="277"/>
      <c r="T1051" s="277"/>
      <c r="U1051" s="277"/>
      <c r="V1051" s="277"/>
      <c r="W1051" s="277"/>
      <c r="X1051" s="277"/>
      <c r="Y1051" s="277"/>
      <c r="Z1051" s="277"/>
      <c r="AA1051" s="277"/>
      <c r="AB1051" s="277"/>
      <c r="AC1051" s="277"/>
      <c r="AD1051" s="277"/>
      <c r="AE1051" s="277"/>
      <c r="AF1051" s="277"/>
      <c r="AG1051" s="277"/>
      <c r="AH1051" s="277"/>
      <c r="AI1051" s="277"/>
      <c r="AJ1051" s="277"/>
      <c r="AK1051" s="277"/>
    </row>
    <row r="1052" spans="1:37" s="289" customFormat="1">
      <c r="A1052" s="277"/>
      <c r="C1052" s="277"/>
      <c r="D1052" s="277"/>
      <c r="E1052" s="277"/>
      <c r="F1052" s="277"/>
      <c r="G1052" s="277"/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277"/>
      <c r="R1052" s="277"/>
      <c r="S1052" s="277"/>
      <c r="T1052" s="277"/>
      <c r="U1052" s="277"/>
      <c r="V1052" s="277"/>
      <c r="W1052" s="277"/>
      <c r="X1052" s="277"/>
      <c r="Y1052" s="277"/>
      <c r="Z1052" s="277"/>
      <c r="AA1052" s="277"/>
      <c r="AB1052" s="277"/>
      <c r="AC1052" s="277"/>
      <c r="AD1052" s="277"/>
      <c r="AE1052" s="277"/>
      <c r="AF1052" s="277"/>
      <c r="AG1052" s="277"/>
      <c r="AH1052" s="277"/>
      <c r="AI1052" s="277"/>
      <c r="AJ1052" s="277"/>
      <c r="AK1052" s="277"/>
    </row>
    <row r="1053" spans="1:37" s="289" customFormat="1">
      <c r="A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277"/>
      <c r="R1053" s="277"/>
      <c r="S1053" s="277"/>
      <c r="T1053" s="277"/>
      <c r="U1053" s="277"/>
      <c r="V1053" s="277"/>
      <c r="W1053" s="277"/>
      <c r="X1053" s="277"/>
      <c r="Y1053" s="277"/>
      <c r="Z1053" s="277"/>
      <c r="AA1053" s="277"/>
      <c r="AB1053" s="277"/>
      <c r="AC1053" s="277"/>
      <c r="AD1053" s="277"/>
      <c r="AE1053" s="277"/>
      <c r="AF1053" s="277"/>
      <c r="AG1053" s="277"/>
      <c r="AH1053" s="277"/>
      <c r="AI1053" s="277"/>
      <c r="AJ1053" s="277"/>
      <c r="AK1053" s="277"/>
    </row>
    <row r="1054" spans="1:37" s="289" customFormat="1">
      <c r="A1054" s="277"/>
      <c r="C1054" s="277"/>
      <c r="D1054" s="277"/>
      <c r="E1054" s="277"/>
      <c r="F1054" s="277"/>
      <c r="G1054" s="277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277"/>
      <c r="R1054" s="277"/>
      <c r="S1054" s="277"/>
      <c r="T1054" s="277"/>
      <c r="U1054" s="277"/>
      <c r="V1054" s="277"/>
      <c r="W1054" s="277"/>
      <c r="X1054" s="277"/>
      <c r="Y1054" s="277"/>
      <c r="Z1054" s="277"/>
      <c r="AA1054" s="277"/>
      <c r="AB1054" s="277"/>
      <c r="AC1054" s="277"/>
      <c r="AD1054" s="277"/>
      <c r="AE1054" s="277"/>
      <c r="AF1054" s="277"/>
      <c r="AG1054" s="277"/>
      <c r="AH1054" s="277"/>
      <c r="AI1054" s="277"/>
      <c r="AJ1054" s="277"/>
      <c r="AK1054" s="277"/>
    </row>
    <row r="1055" spans="1:37" s="289" customFormat="1">
      <c r="A1055" s="277"/>
      <c r="C1055" s="277"/>
      <c r="D1055" s="277"/>
      <c r="E1055" s="277"/>
      <c r="F1055" s="277"/>
      <c r="G1055" s="277"/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277"/>
      <c r="R1055" s="277"/>
      <c r="S1055" s="277"/>
      <c r="T1055" s="277"/>
      <c r="U1055" s="277"/>
      <c r="V1055" s="277"/>
      <c r="W1055" s="277"/>
      <c r="X1055" s="277"/>
      <c r="Y1055" s="277"/>
      <c r="Z1055" s="277"/>
      <c r="AA1055" s="277"/>
      <c r="AB1055" s="277"/>
      <c r="AC1055" s="277"/>
      <c r="AD1055" s="277"/>
      <c r="AE1055" s="277"/>
      <c r="AF1055" s="277"/>
      <c r="AG1055" s="277"/>
      <c r="AH1055" s="277"/>
      <c r="AI1055" s="277"/>
      <c r="AJ1055" s="277"/>
      <c r="AK1055" s="277"/>
    </row>
    <row r="1056" spans="1:37" s="289" customFormat="1">
      <c r="A1056" s="277"/>
      <c r="C1056" s="277"/>
      <c r="D1056" s="277"/>
      <c r="E1056" s="277"/>
      <c r="F1056" s="277"/>
      <c r="G1056" s="277"/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277"/>
      <c r="R1056" s="277"/>
      <c r="S1056" s="277"/>
      <c r="T1056" s="277"/>
      <c r="U1056" s="277"/>
      <c r="V1056" s="277"/>
      <c r="W1056" s="277"/>
      <c r="X1056" s="277"/>
      <c r="Y1056" s="277"/>
      <c r="Z1056" s="277"/>
      <c r="AA1056" s="277"/>
      <c r="AB1056" s="277"/>
      <c r="AC1056" s="277"/>
      <c r="AD1056" s="277"/>
      <c r="AE1056" s="277"/>
      <c r="AF1056" s="277"/>
      <c r="AG1056" s="277"/>
      <c r="AH1056" s="277"/>
      <c r="AI1056" s="277"/>
      <c r="AJ1056" s="277"/>
      <c r="AK1056" s="277"/>
    </row>
    <row r="1057" spans="1:37" s="289" customFormat="1">
      <c r="A1057" s="277"/>
      <c r="C1057" s="277"/>
      <c r="D1057" s="277"/>
      <c r="E1057" s="277"/>
      <c r="F1057" s="277"/>
      <c r="G1057" s="277"/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277"/>
      <c r="R1057" s="277"/>
      <c r="S1057" s="277"/>
      <c r="T1057" s="277"/>
      <c r="U1057" s="277"/>
      <c r="V1057" s="277"/>
      <c r="W1057" s="277"/>
      <c r="X1057" s="277"/>
      <c r="Y1057" s="277"/>
      <c r="Z1057" s="277"/>
      <c r="AA1057" s="277"/>
      <c r="AB1057" s="277"/>
      <c r="AC1057" s="277"/>
      <c r="AD1057" s="277"/>
      <c r="AE1057" s="277"/>
      <c r="AF1057" s="277"/>
      <c r="AG1057" s="277"/>
      <c r="AH1057" s="277"/>
      <c r="AI1057" s="277"/>
      <c r="AJ1057" s="277"/>
      <c r="AK1057" s="277"/>
    </row>
    <row r="1058" spans="1:37" s="289" customFormat="1">
      <c r="A1058" s="277"/>
      <c r="C1058" s="277"/>
      <c r="D1058" s="277"/>
      <c r="E1058" s="277"/>
      <c r="F1058" s="277"/>
      <c r="G1058" s="277"/>
      <c r="H1058" s="277"/>
      <c r="I1058" s="277"/>
      <c r="J1058" s="277"/>
      <c r="K1058" s="277"/>
      <c r="L1058" s="277"/>
      <c r="M1058" s="277"/>
      <c r="N1058" s="277"/>
      <c r="O1058" s="277"/>
      <c r="P1058" s="277"/>
      <c r="Q1058" s="277"/>
      <c r="R1058" s="277"/>
      <c r="S1058" s="277"/>
      <c r="T1058" s="277"/>
      <c r="U1058" s="277"/>
      <c r="V1058" s="277"/>
      <c r="W1058" s="277"/>
      <c r="X1058" s="277"/>
      <c r="Y1058" s="277"/>
      <c r="Z1058" s="277"/>
      <c r="AA1058" s="277"/>
      <c r="AB1058" s="277"/>
      <c r="AC1058" s="277"/>
      <c r="AD1058" s="277"/>
      <c r="AE1058" s="277"/>
      <c r="AF1058" s="277"/>
      <c r="AG1058" s="277"/>
      <c r="AH1058" s="277"/>
      <c r="AI1058" s="277"/>
      <c r="AJ1058" s="277"/>
      <c r="AK1058" s="277"/>
    </row>
    <row r="1059" spans="1:37" s="289" customFormat="1">
      <c r="A1059" s="277"/>
      <c r="C1059" s="277"/>
      <c r="D1059" s="277"/>
      <c r="E1059" s="277"/>
      <c r="F1059" s="277"/>
      <c r="G1059" s="277"/>
      <c r="H1059" s="277"/>
      <c r="I1059" s="277"/>
      <c r="J1059" s="277"/>
      <c r="K1059" s="277"/>
      <c r="L1059" s="277"/>
      <c r="M1059" s="277"/>
      <c r="N1059" s="277"/>
      <c r="O1059" s="277"/>
      <c r="P1059" s="277"/>
      <c r="Q1059" s="277"/>
      <c r="R1059" s="277"/>
      <c r="S1059" s="277"/>
      <c r="T1059" s="277"/>
      <c r="U1059" s="277"/>
      <c r="V1059" s="277"/>
      <c r="W1059" s="277"/>
      <c r="X1059" s="277"/>
      <c r="Y1059" s="277"/>
      <c r="Z1059" s="277"/>
      <c r="AA1059" s="277"/>
      <c r="AB1059" s="277"/>
      <c r="AC1059" s="277"/>
      <c r="AD1059" s="277"/>
      <c r="AE1059" s="277"/>
      <c r="AF1059" s="277"/>
      <c r="AG1059" s="277"/>
      <c r="AH1059" s="277"/>
      <c r="AI1059" s="277"/>
      <c r="AJ1059" s="277"/>
      <c r="AK1059" s="277"/>
    </row>
    <row r="1060" spans="1:37" s="289" customFormat="1">
      <c r="A1060" s="277"/>
      <c r="C1060" s="277"/>
      <c r="D1060" s="277"/>
      <c r="E1060" s="277"/>
      <c r="F1060" s="277"/>
      <c r="G1060" s="277"/>
      <c r="H1060" s="277"/>
      <c r="I1060" s="277"/>
      <c r="J1060" s="277"/>
      <c r="K1060" s="277"/>
      <c r="L1060" s="277"/>
      <c r="M1060" s="277"/>
      <c r="N1060" s="277"/>
      <c r="O1060" s="277"/>
      <c r="P1060" s="277"/>
      <c r="Q1060" s="277"/>
      <c r="R1060" s="277"/>
      <c r="S1060" s="277"/>
      <c r="T1060" s="277"/>
      <c r="U1060" s="277"/>
      <c r="V1060" s="277"/>
      <c r="W1060" s="277"/>
      <c r="X1060" s="277"/>
      <c r="Y1060" s="277"/>
      <c r="Z1060" s="277"/>
      <c r="AA1060" s="277"/>
      <c r="AB1060" s="277"/>
      <c r="AC1060" s="277"/>
      <c r="AD1060" s="277"/>
      <c r="AE1060" s="277"/>
      <c r="AF1060" s="277"/>
      <c r="AG1060" s="277"/>
      <c r="AH1060" s="277"/>
      <c r="AI1060" s="277"/>
      <c r="AJ1060" s="277"/>
      <c r="AK1060" s="277"/>
    </row>
    <row r="1061" spans="1:37" s="289" customFormat="1">
      <c r="A1061" s="277"/>
      <c r="C1061" s="277"/>
      <c r="D1061" s="277"/>
      <c r="E1061" s="277"/>
      <c r="F1061" s="277"/>
      <c r="G1061" s="277"/>
      <c r="H1061" s="277"/>
      <c r="I1061" s="277"/>
      <c r="J1061" s="277"/>
      <c r="K1061" s="277"/>
      <c r="L1061" s="277"/>
      <c r="M1061" s="277"/>
      <c r="N1061" s="277"/>
      <c r="O1061" s="277"/>
      <c r="P1061" s="277"/>
      <c r="Q1061" s="277"/>
      <c r="R1061" s="277"/>
      <c r="S1061" s="277"/>
      <c r="T1061" s="277"/>
      <c r="U1061" s="277"/>
      <c r="V1061" s="277"/>
      <c r="W1061" s="277"/>
      <c r="X1061" s="277"/>
      <c r="Y1061" s="277"/>
      <c r="Z1061" s="277"/>
      <c r="AA1061" s="277"/>
      <c r="AB1061" s="277"/>
      <c r="AC1061" s="277"/>
      <c r="AD1061" s="277"/>
      <c r="AE1061" s="277"/>
      <c r="AF1061" s="277"/>
      <c r="AG1061" s="277"/>
      <c r="AH1061" s="277"/>
      <c r="AI1061" s="277"/>
      <c r="AJ1061" s="277"/>
      <c r="AK1061" s="277"/>
    </row>
    <row r="1062" spans="1:37" s="289" customFormat="1">
      <c r="A1062" s="277"/>
      <c r="C1062" s="277"/>
      <c r="D1062" s="277"/>
      <c r="E1062" s="277"/>
      <c r="F1062" s="277"/>
      <c r="G1062" s="277"/>
      <c r="H1062" s="277"/>
      <c r="I1062" s="277"/>
      <c r="J1062" s="277"/>
      <c r="K1062" s="277"/>
      <c r="L1062" s="277"/>
      <c r="M1062" s="277"/>
      <c r="N1062" s="277"/>
      <c r="O1062" s="277"/>
      <c r="P1062" s="277"/>
      <c r="Q1062" s="277"/>
      <c r="R1062" s="277"/>
      <c r="S1062" s="277"/>
      <c r="T1062" s="277"/>
      <c r="U1062" s="277"/>
      <c r="V1062" s="277"/>
      <c r="W1062" s="277"/>
      <c r="X1062" s="277"/>
      <c r="Y1062" s="277"/>
      <c r="Z1062" s="277"/>
      <c r="AA1062" s="277"/>
      <c r="AB1062" s="277"/>
      <c r="AC1062" s="277"/>
      <c r="AD1062" s="277"/>
      <c r="AE1062" s="277"/>
      <c r="AF1062" s="277"/>
      <c r="AG1062" s="277"/>
      <c r="AH1062" s="277"/>
      <c r="AI1062" s="277"/>
      <c r="AJ1062" s="277"/>
      <c r="AK1062" s="277"/>
    </row>
    <row r="1063" spans="1:37" s="289" customFormat="1">
      <c r="A1063" s="277"/>
      <c r="C1063" s="277"/>
      <c r="D1063" s="277"/>
      <c r="E1063" s="277"/>
      <c r="F1063" s="277"/>
      <c r="G1063" s="277"/>
      <c r="H1063" s="277"/>
      <c r="I1063" s="277"/>
      <c r="J1063" s="277"/>
      <c r="K1063" s="277"/>
      <c r="L1063" s="277"/>
      <c r="M1063" s="277"/>
      <c r="N1063" s="277"/>
      <c r="O1063" s="277"/>
      <c r="P1063" s="277"/>
      <c r="Q1063" s="277"/>
      <c r="R1063" s="277"/>
      <c r="S1063" s="277"/>
      <c r="T1063" s="277"/>
      <c r="U1063" s="277"/>
      <c r="V1063" s="277"/>
      <c r="W1063" s="277"/>
      <c r="X1063" s="277"/>
      <c r="Y1063" s="277"/>
      <c r="Z1063" s="277"/>
      <c r="AA1063" s="277"/>
      <c r="AB1063" s="277"/>
      <c r="AC1063" s="277"/>
      <c r="AD1063" s="277"/>
      <c r="AE1063" s="277"/>
      <c r="AF1063" s="277"/>
      <c r="AG1063" s="277"/>
      <c r="AH1063" s="277"/>
      <c r="AI1063" s="277"/>
      <c r="AJ1063" s="277"/>
      <c r="AK1063" s="277"/>
    </row>
    <row r="1064" spans="1:37" s="289" customFormat="1">
      <c r="A1064" s="277"/>
      <c r="C1064" s="277"/>
      <c r="D1064" s="277"/>
      <c r="E1064" s="277"/>
      <c r="F1064" s="277"/>
      <c r="G1064" s="277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277"/>
      <c r="R1064" s="277"/>
      <c r="S1064" s="277"/>
      <c r="T1064" s="277"/>
      <c r="U1064" s="277"/>
      <c r="V1064" s="277"/>
      <c r="W1064" s="277"/>
      <c r="X1064" s="277"/>
      <c r="Y1064" s="277"/>
      <c r="Z1064" s="277"/>
      <c r="AA1064" s="277"/>
      <c r="AB1064" s="277"/>
      <c r="AC1064" s="277"/>
      <c r="AD1064" s="277"/>
      <c r="AE1064" s="277"/>
      <c r="AF1064" s="277"/>
      <c r="AG1064" s="277"/>
      <c r="AH1064" s="277"/>
      <c r="AI1064" s="277"/>
      <c r="AJ1064" s="277"/>
      <c r="AK1064" s="277"/>
    </row>
    <row r="1065" spans="1:37" s="289" customFormat="1">
      <c r="A1065" s="277"/>
      <c r="C1065" s="277"/>
      <c r="D1065" s="277"/>
      <c r="E1065" s="277"/>
      <c r="F1065" s="277"/>
      <c r="G1065" s="277"/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277"/>
      <c r="R1065" s="277"/>
      <c r="S1065" s="277"/>
      <c r="T1065" s="277"/>
      <c r="U1065" s="277"/>
      <c r="V1065" s="277"/>
      <c r="W1065" s="277"/>
      <c r="X1065" s="277"/>
      <c r="Y1065" s="277"/>
      <c r="Z1065" s="277"/>
      <c r="AA1065" s="277"/>
      <c r="AB1065" s="277"/>
      <c r="AC1065" s="277"/>
      <c r="AD1065" s="277"/>
      <c r="AE1065" s="277"/>
      <c r="AF1065" s="277"/>
      <c r="AG1065" s="277"/>
      <c r="AH1065" s="277"/>
      <c r="AI1065" s="277"/>
      <c r="AJ1065" s="277"/>
      <c r="AK1065" s="277"/>
    </row>
    <row r="1066" spans="1:37" s="289" customFormat="1">
      <c r="A1066" s="277"/>
      <c r="C1066" s="277"/>
      <c r="D1066" s="277"/>
      <c r="E1066" s="277"/>
      <c r="F1066" s="277"/>
      <c r="G1066" s="277"/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277"/>
      <c r="R1066" s="277"/>
      <c r="S1066" s="277"/>
      <c r="T1066" s="277"/>
      <c r="U1066" s="277"/>
      <c r="V1066" s="277"/>
      <c r="W1066" s="277"/>
      <c r="X1066" s="277"/>
      <c r="Y1066" s="277"/>
      <c r="Z1066" s="277"/>
      <c r="AA1066" s="277"/>
      <c r="AB1066" s="277"/>
      <c r="AC1066" s="277"/>
      <c r="AD1066" s="277"/>
      <c r="AE1066" s="277"/>
      <c r="AF1066" s="277"/>
      <c r="AG1066" s="277"/>
      <c r="AH1066" s="277"/>
      <c r="AI1066" s="277"/>
      <c r="AJ1066" s="277"/>
      <c r="AK1066" s="277"/>
    </row>
    <row r="1067" spans="1:37" s="289" customFormat="1">
      <c r="A1067" s="277"/>
      <c r="C1067" s="277"/>
      <c r="D1067" s="277"/>
      <c r="E1067" s="277"/>
      <c r="F1067" s="277"/>
      <c r="G1067" s="277"/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277"/>
      <c r="R1067" s="277"/>
      <c r="S1067" s="277"/>
      <c r="T1067" s="277"/>
      <c r="U1067" s="277"/>
      <c r="V1067" s="277"/>
      <c r="W1067" s="277"/>
      <c r="X1067" s="277"/>
      <c r="Y1067" s="277"/>
      <c r="Z1067" s="277"/>
      <c r="AA1067" s="277"/>
      <c r="AB1067" s="277"/>
      <c r="AC1067" s="277"/>
      <c r="AD1067" s="277"/>
      <c r="AE1067" s="277"/>
      <c r="AF1067" s="277"/>
      <c r="AG1067" s="277"/>
      <c r="AH1067" s="277"/>
      <c r="AI1067" s="277"/>
      <c r="AJ1067" s="277"/>
      <c r="AK1067" s="277"/>
    </row>
    <row r="1068" spans="1:37" s="289" customFormat="1">
      <c r="A1068" s="277"/>
      <c r="C1068" s="277"/>
      <c r="D1068" s="277"/>
      <c r="E1068" s="277"/>
      <c r="F1068" s="277"/>
      <c r="G1068" s="277"/>
      <c r="H1068" s="277"/>
      <c r="I1068" s="277"/>
      <c r="J1068" s="277"/>
      <c r="K1068" s="277"/>
      <c r="L1068" s="277"/>
      <c r="M1068" s="277"/>
      <c r="N1068" s="277"/>
      <c r="O1068" s="277"/>
      <c r="P1068" s="277"/>
      <c r="Q1068" s="277"/>
      <c r="R1068" s="277"/>
      <c r="S1068" s="277"/>
      <c r="T1068" s="277"/>
      <c r="U1068" s="277"/>
      <c r="V1068" s="277"/>
      <c r="W1068" s="277"/>
      <c r="X1068" s="277"/>
      <c r="Y1068" s="277"/>
      <c r="Z1068" s="277"/>
      <c r="AA1068" s="277"/>
      <c r="AB1068" s="277"/>
      <c r="AC1068" s="277"/>
      <c r="AD1068" s="277"/>
      <c r="AE1068" s="277"/>
      <c r="AF1068" s="277"/>
      <c r="AG1068" s="277"/>
      <c r="AH1068" s="277"/>
      <c r="AI1068" s="277"/>
      <c r="AJ1068" s="277"/>
      <c r="AK1068" s="277"/>
    </row>
    <row r="1069" spans="1:37" s="289" customFormat="1">
      <c r="A1069" s="277"/>
      <c r="C1069" s="277"/>
      <c r="D1069" s="277"/>
      <c r="E1069" s="277"/>
      <c r="F1069" s="277"/>
      <c r="G1069" s="277"/>
      <c r="H1069" s="277"/>
      <c r="I1069" s="277"/>
      <c r="J1069" s="277"/>
      <c r="K1069" s="277"/>
      <c r="L1069" s="277"/>
      <c r="M1069" s="277"/>
      <c r="N1069" s="277"/>
      <c r="O1069" s="277"/>
      <c r="P1069" s="277"/>
      <c r="Q1069" s="277"/>
      <c r="R1069" s="277"/>
      <c r="S1069" s="277"/>
      <c r="T1069" s="277"/>
      <c r="U1069" s="277"/>
      <c r="V1069" s="277"/>
      <c r="W1069" s="277"/>
      <c r="X1069" s="277"/>
      <c r="Y1069" s="277"/>
      <c r="Z1069" s="277"/>
      <c r="AA1069" s="277"/>
      <c r="AB1069" s="277"/>
      <c r="AC1069" s="277"/>
      <c r="AD1069" s="277"/>
      <c r="AE1069" s="277"/>
      <c r="AF1069" s="277"/>
      <c r="AG1069" s="277"/>
      <c r="AH1069" s="277"/>
      <c r="AI1069" s="277"/>
      <c r="AJ1069" s="277"/>
      <c r="AK1069" s="277"/>
    </row>
    <row r="1070" spans="1:37" s="289" customFormat="1">
      <c r="A1070" s="277"/>
      <c r="C1070" s="277"/>
      <c r="D1070" s="277"/>
      <c r="E1070" s="277"/>
      <c r="F1070" s="277"/>
      <c r="G1070" s="277"/>
      <c r="H1070" s="277"/>
      <c r="I1070" s="277"/>
      <c r="J1070" s="277"/>
      <c r="K1070" s="277"/>
      <c r="L1070" s="277"/>
      <c r="M1070" s="277"/>
      <c r="N1070" s="277"/>
      <c r="O1070" s="277"/>
      <c r="P1070" s="277"/>
      <c r="Q1070" s="277"/>
      <c r="R1070" s="277"/>
      <c r="S1070" s="277"/>
      <c r="T1070" s="277"/>
      <c r="U1070" s="277"/>
      <c r="V1070" s="277"/>
      <c r="W1070" s="277"/>
      <c r="X1070" s="277"/>
      <c r="Y1070" s="277"/>
      <c r="Z1070" s="277"/>
      <c r="AA1070" s="277"/>
      <c r="AB1070" s="277"/>
      <c r="AC1070" s="277"/>
      <c r="AD1070" s="277"/>
      <c r="AE1070" s="277"/>
      <c r="AF1070" s="277"/>
      <c r="AG1070" s="277"/>
      <c r="AH1070" s="277"/>
      <c r="AI1070" s="277"/>
      <c r="AJ1070" s="277"/>
      <c r="AK1070" s="277"/>
    </row>
    <row r="1071" spans="1:37" s="289" customFormat="1">
      <c r="A1071" s="277"/>
      <c r="C1071" s="277"/>
      <c r="D1071" s="277"/>
      <c r="E1071" s="277"/>
      <c r="F1071" s="277"/>
      <c r="G1071" s="277"/>
      <c r="H1071" s="277"/>
      <c r="I1071" s="277"/>
      <c r="J1071" s="277"/>
      <c r="K1071" s="277"/>
      <c r="L1071" s="277"/>
      <c r="M1071" s="277"/>
      <c r="N1071" s="277"/>
      <c r="O1071" s="277"/>
      <c r="P1071" s="277"/>
      <c r="Q1071" s="277"/>
      <c r="R1071" s="277"/>
      <c r="S1071" s="277"/>
      <c r="T1071" s="277"/>
      <c r="U1071" s="277"/>
      <c r="V1071" s="277"/>
      <c r="W1071" s="277"/>
      <c r="X1071" s="277"/>
      <c r="Y1071" s="277"/>
      <c r="Z1071" s="277"/>
      <c r="AA1071" s="277"/>
      <c r="AB1071" s="277"/>
      <c r="AC1071" s="277"/>
      <c r="AD1071" s="277"/>
      <c r="AE1071" s="277"/>
      <c r="AF1071" s="277"/>
      <c r="AG1071" s="277"/>
      <c r="AH1071" s="277"/>
      <c r="AI1071" s="277"/>
      <c r="AJ1071" s="277"/>
      <c r="AK1071" s="277"/>
    </row>
    <row r="1072" spans="1:37" s="289" customFormat="1">
      <c r="A1072" s="277"/>
      <c r="C1072" s="277"/>
      <c r="D1072" s="277"/>
      <c r="E1072" s="277"/>
      <c r="F1072" s="277"/>
      <c r="G1072" s="277"/>
      <c r="H1072" s="277"/>
      <c r="I1072" s="277"/>
      <c r="J1072" s="277"/>
      <c r="K1072" s="277"/>
      <c r="L1072" s="277"/>
      <c r="M1072" s="277"/>
      <c r="N1072" s="277"/>
      <c r="O1072" s="277"/>
      <c r="P1072" s="277"/>
      <c r="Q1072" s="277"/>
      <c r="R1072" s="277"/>
      <c r="S1072" s="277"/>
      <c r="T1072" s="277"/>
      <c r="U1072" s="277"/>
      <c r="V1072" s="277"/>
      <c r="W1072" s="277"/>
      <c r="X1072" s="277"/>
      <c r="Y1072" s="277"/>
      <c r="Z1072" s="277"/>
      <c r="AA1072" s="277"/>
      <c r="AB1072" s="277"/>
      <c r="AC1072" s="277"/>
      <c r="AD1072" s="277"/>
      <c r="AE1072" s="277"/>
      <c r="AF1072" s="277"/>
      <c r="AG1072" s="277"/>
      <c r="AH1072" s="277"/>
      <c r="AI1072" s="277"/>
      <c r="AJ1072" s="277"/>
      <c r="AK1072" s="277"/>
    </row>
    <row r="1073" spans="1:37" s="289" customFormat="1">
      <c r="A1073" s="277"/>
      <c r="C1073" s="277"/>
      <c r="D1073" s="277"/>
      <c r="E1073" s="277"/>
      <c r="F1073" s="277"/>
      <c r="G1073" s="277"/>
      <c r="H1073" s="277"/>
      <c r="I1073" s="277"/>
      <c r="J1073" s="277"/>
      <c r="K1073" s="277"/>
      <c r="L1073" s="277"/>
      <c r="M1073" s="277"/>
      <c r="N1073" s="277"/>
      <c r="O1073" s="277"/>
      <c r="P1073" s="277"/>
      <c r="Q1073" s="277"/>
      <c r="R1073" s="277"/>
      <c r="S1073" s="277"/>
      <c r="T1073" s="277"/>
      <c r="U1073" s="277"/>
      <c r="V1073" s="277"/>
      <c r="W1073" s="277"/>
      <c r="X1073" s="277"/>
      <c r="Y1073" s="277"/>
      <c r="Z1073" s="277"/>
      <c r="AA1073" s="277"/>
      <c r="AB1073" s="277"/>
      <c r="AC1073" s="277"/>
      <c r="AD1073" s="277"/>
      <c r="AE1073" s="277"/>
      <c r="AF1073" s="277"/>
      <c r="AG1073" s="277"/>
      <c r="AH1073" s="277"/>
      <c r="AI1073" s="277"/>
      <c r="AJ1073" s="277"/>
      <c r="AK1073" s="277"/>
    </row>
    <row r="1074" spans="1:37" s="289" customFormat="1">
      <c r="A1074" s="277"/>
      <c r="C1074" s="277"/>
      <c r="D1074" s="277"/>
      <c r="E1074" s="277"/>
      <c r="F1074" s="277"/>
      <c r="G1074" s="277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277"/>
      <c r="R1074" s="277"/>
      <c r="S1074" s="277"/>
      <c r="T1074" s="277"/>
      <c r="U1074" s="277"/>
      <c r="V1074" s="277"/>
      <c r="W1074" s="277"/>
      <c r="X1074" s="277"/>
      <c r="Y1074" s="277"/>
      <c r="Z1074" s="277"/>
      <c r="AA1074" s="277"/>
      <c r="AB1074" s="277"/>
      <c r="AC1074" s="277"/>
      <c r="AD1074" s="277"/>
      <c r="AE1074" s="277"/>
      <c r="AF1074" s="277"/>
      <c r="AG1074" s="277"/>
      <c r="AH1074" s="277"/>
      <c r="AI1074" s="277"/>
      <c r="AJ1074" s="277"/>
      <c r="AK1074" s="277"/>
    </row>
    <row r="1075" spans="1:37" s="289" customFormat="1">
      <c r="A1075" s="277"/>
      <c r="C1075" s="277"/>
      <c r="D1075" s="277"/>
      <c r="E1075" s="277"/>
      <c r="F1075" s="277"/>
      <c r="G1075" s="277"/>
      <c r="H1075" s="277"/>
      <c r="I1075" s="277"/>
      <c r="J1075" s="277"/>
      <c r="K1075" s="277"/>
      <c r="L1075" s="277"/>
      <c r="M1075" s="277"/>
      <c r="N1075" s="277"/>
      <c r="O1075" s="277"/>
      <c r="P1075" s="277"/>
      <c r="Q1075" s="277"/>
      <c r="R1075" s="277"/>
      <c r="S1075" s="277"/>
      <c r="T1075" s="277"/>
      <c r="U1075" s="277"/>
      <c r="V1075" s="277"/>
      <c r="W1075" s="277"/>
      <c r="X1075" s="277"/>
      <c r="Y1075" s="277"/>
      <c r="Z1075" s="277"/>
      <c r="AA1075" s="277"/>
      <c r="AB1075" s="277"/>
      <c r="AC1075" s="277"/>
      <c r="AD1075" s="277"/>
      <c r="AE1075" s="277"/>
      <c r="AF1075" s="277"/>
      <c r="AG1075" s="277"/>
      <c r="AH1075" s="277"/>
      <c r="AI1075" s="277"/>
      <c r="AJ1075" s="277"/>
      <c r="AK1075" s="277"/>
    </row>
    <row r="1076" spans="1:37" s="289" customFormat="1">
      <c r="A1076" s="277"/>
      <c r="C1076" s="277"/>
      <c r="D1076" s="277"/>
      <c r="E1076" s="277"/>
      <c r="F1076" s="277"/>
      <c r="G1076" s="277"/>
      <c r="H1076" s="277"/>
      <c r="I1076" s="277"/>
      <c r="J1076" s="277"/>
      <c r="K1076" s="277"/>
      <c r="L1076" s="277"/>
      <c r="M1076" s="277"/>
      <c r="N1076" s="277"/>
      <c r="O1076" s="277"/>
      <c r="P1076" s="277"/>
      <c r="Q1076" s="277"/>
      <c r="R1076" s="277"/>
      <c r="S1076" s="277"/>
      <c r="T1076" s="277"/>
      <c r="U1076" s="277"/>
      <c r="V1076" s="277"/>
      <c r="W1076" s="277"/>
      <c r="X1076" s="277"/>
      <c r="Y1076" s="277"/>
      <c r="Z1076" s="277"/>
      <c r="AA1076" s="277"/>
      <c r="AB1076" s="277"/>
      <c r="AC1076" s="277"/>
      <c r="AD1076" s="277"/>
      <c r="AE1076" s="277"/>
      <c r="AF1076" s="277"/>
      <c r="AG1076" s="277"/>
      <c r="AH1076" s="277"/>
      <c r="AI1076" s="277"/>
      <c r="AJ1076" s="277"/>
      <c r="AK1076" s="277"/>
    </row>
    <row r="1077" spans="1:37" s="289" customFormat="1">
      <c r="A1077" s="277"/>
      <c r="C1077" s="277"/>
      <c r="D1077" s="277"/>
      <c r="E1077" s="277"/>
      <c r="F1077" s="277"/>
      <c r="G1077" s="277"/>
      <c r="H1077" s="277"/>
      <c r="I1077" s="277"/>
      <c r="J1077" s="277"/>
      <c r="K1077" s="277"/>
      <c r="L1077" s="277"/>
      <c r="M1077" s="277"/>
      <c r="N1077" s="277"/>
      <c r="O1077" s="277"/>
      <c r="P1077" s="277"/>
      <c r="Q1077" s="277"/>
      <c r="R1077" s="277"/>
      <c r="S1077" s="277"/>
      <c r="T1077" s="277"/>
      <c r="U1077" s="277"/>
      <c r="V1077" s="277"/>
      <c r="W1077" s="277"/>
      <c r="X1077" s="277"/>
      <c r="Y1077" s="277"/>
      <c r="Z1077" s="277"/>
      <c r="AA1077" s="277"/>
      <c r="AB1077" s="277"/>
      <c r="AC1077" s="277"/>
      <c r="AD1077" s="277"/>
      <c r="AE1077" s="277"/>
      <c r="AF1077" s="277"/>
      <c r="AG1077" s="277"/>
      <c r="AH1077" s="277"/>
      <c r="AI1077" s="277"/>
      <c r="AJ1077" s="277"/>
      <c r="AK1077" s="277"/>
    </row>
    <row r="1078" spans="1:37" s="289" customFormat="1">
      <c r="A1078" s="277"/>
      <c r="C1078" s="277"/>
      <c r="D1078" s="277"/>
      <c r="E1078" s="277"/>
      <c r="F1078" s="277"/>
      <c r="G1078" s="277"/>
      <c r="H1078" s="277"/>
      <c r="I1078" s="277"/>
      <c r="J1078" s="277"/>
      <c r="K1078" s="277"/>
      <c r="L1078" s="277"/>
      <c r="M1078" s="277"/>
      <c r="N1078" s="277"/>
      <c r="O1078" s="277"/>
      <c r="P1078" s="277"/>
      <c r="Q1078" s="277"/>
      <c r="R1078" s="277"/>
      <c r="S1078" s="277"/>
      <c r="T1078" s="277"/>
      <c r="U1078" s="277"/>
      <c r="V1078" s="277"/>
      <c r="W1078" s="277"/>
      <c r="X1078" s="277"/>
      <c r="Y1078" s="277"/>
      <c r="Z1078" s="277"/>
      <c r="AA1078" s="277"/>
      <c r="AB1078" s="277"/>
      <c r="AC1078" s="277"/>
      <c r="AD1078" s="277"/>
      <c r="AE1078" s="277"/>
      <c r="AF1078" s="277"/>
      <c r="AG1078" s="277"/>
      <c r="AH1078" s="277"/>
      <c r="AI1078" s="277"/>
      <c r="AJ1078" s="277"/>
      <c r="AK1078" s="277"/>
    </row>
    <row r="1079" spans="1:37" s="289" customFormat="1">
      <c r="A1079" s="277"/>
      <c r="C1079" s="277"/>
      <c r="D1079" s="277"/>
      <c r="E1079" s="277"/>
      <c r="F1079" s="277"/>
      <c r="G1079" s="277"/>
      <c r="H1079" s="277"/>
      <c r="I1079" s="277"/>
      <c r="J1079" s="277"/>
      <c r="K1079" s="277"/>
      <c r="L1079" s="277"/>
      <c r="M1079" s="277"/>
      <c r="N1079" s="277"/>
      <c r="O1079" s="277"/>
      <c r="P1079" s="277"/>
      <c r="Q1079" s="277"/>
      <c r="R1079" s="277"/>
      <c r="S1079" s="277"/>
      <c r="T1079" s="277"/>
      <c r="U1079" s="277"/>
      <c r="V1079" s="277"/>
      <c r="W1079" s="277"/>
      <c r="X1079" s="277"/>
      <c r="Y1079" s="277"/>
      <c r="Z1079" s="277"/>
      <c r="AA1079" s="277"/>
      <c r="AB1079" s="277"/>
      <c r="AC1079" s="277"/>
      <c r="AD1079" s="277"/>
      <c r="AE1079" s="277"/>
      <c r="AF1079" s="277"/>
      <c r="AG1079" s="277"/>
      <c r="AH1079" s="277"/>
      <c r="AI1079" s="277"/>
      <c r="AJ1079" s="277"/>
      <c r="AK1079" s="277"/>
    </row>
    <row r="1080" spans="1:37" s="289" customFormat="1">
      <c r="A1080" s="277"/>
      <c r="C1080" s="277"/>
      <c r="D1080" s="277"/>
      <c r="E1080" s="277"/>
      <c r="F1080" s="277"/>
      <c r="G1080" s="277"/>
      <c r="H1080" s="277"/>
      <c r="I1080" s="277"/>
      <c r="J1080" s="277"/>
      <c r="K1080" s="277"/>
      <c r="L1080" s="277"/>
      <c r="M1080" s="277"/>
      <c r="N1080" s="277"/>
      <c r="O1080" s="277"/>
      <c r="P1080" s="277"/>
      <c r="Q1080" s="277"/>
      <c r="R1080" s="277"/>
      <c r="S1080" s="277"/>
      <c r="T1080" s="277"/>
      <c r="U1080" s="277"/>
      <c r="V1080" s="277"/>
      <c r="W1080" s="277"/>
      <c r="X1080" s="277"/>
      <c r="Y1080" s="277"/>
      <c r="Z1080" s="277"/>
      <c r="AA1080" s="277"/>
      <c r="AB1080" s="277"/>
      <c r="AC1080" s="277"/>
      <c r="AD1080" s="277"/>
      <c r="AE1080" s="277"/>
      <c r="AF1080" s="277"/>
      <c r="AG1080" s="277"/>
      <c r="AH1080" s="277"/>
      <c r="AI1080" s="277"/>
      <c r="AJ1080" s="277"/>
      <c r="AK1080" s="277"/>
    </row>
    <row r="1081" spans="1:37" s="289" customFormat="1">
      <c r="A1081" s="277"/>
      <c r="C1081" s="277"/>
      <c r="D1081" s="277"/>
      <c r="E1081" s="277"/>
      <c r="F1081" s="277"/>
      <c r="G1081" s="277"/>
      <c r="H1081" s="277"/>
      <c r="I1081" s="277"/>
      <c r="J1081" s="277"/>
      <c r="K1081" s="277"/>
      <c r="L1081" s="277"/>
      <c r="M1081" s="277"/>
      <c r="N1081" s="277"/>
      <c r="O1081" s="277"/>
      <c r="P1081" s="277"/>
      <c r="Q1081" s="277"/>
      <c r="R1081" s="277"/>
      <c r="S1081" s="277"/>
      <c r="T1081" s="277"/>
      <c r="U1081" s="277"/>
      <c r="V1081" s="277"/>
      <c r="W1081" s="277"/>
      <c r="X1081" s="277"/>
      <c r="Y1081" s="277"/>
      <c r="Z1081" s="277"/>
      <c r="AA1081" s="277"/>
      <c r="AB1081" s="277"/>
      <c r="AC1081" s="277"/>
      <c r="AD1081" s="277"/>
      <c r="AE1081" s="277"/>
      <c r="AF1081" s="277"/>
      <c r="AG1081" s="277"/>
      <c r="AH1081" s="277"/>
      <c r="AI1081" s="277"/>
      <c r="AJ1081" s="277"/>
      <c r="AK1081" s="277"/>
    </row>
    <row r="1082" spans="1:37" s="289" customFormat="1">
      <c r="A1082" s="277"/>
      <c r="C1082" s="277"/>
      <c r="D1082" s="277"/>
      <c r="E1082" s="277"/>
      <c r="F1082" s="277"/>
      <c r="G1082" s="277"/>
      <c r="H1082" s="277"/>
      <c r="I1082" s="277"/>
      <c r="J1082" s="277"/>
      <c r="K1082" s="277"/>
      <c r="L1082" s="277"/>
      <c r="M1082" s="277"/>
      <c r="N1082" s="277"/>
      <c r="O1082" s="277"/>
      <c r="P1082" s="277"/>
      <c r="Q1082" s="277"/>
      <c r="R1082" s="277"/>
      <c r="S1082" s="277"/>
      <c r="T1082" s="277"/>
      <c r="U1082" s="277"/>
      <c r="V1082" s="277"/>
      <c r="W1082" s="277"/>
      <c r="X1082" s="277"/>
      <c r="Y1082" s="277"/>
      <c r="Z1082" s="277"/>
      <c r="AA1082" s="277"/>
      <c r="AB1082" s="277"/>
      <c r="AC1082" s="277"/>
      <c r="AD1082" s="277"/>
      <c r="AE1082" s="277"/>
      <c r="AF1082" s="277"/>
      <c r="AG1082" s="277"/>
      <c r="AH1082" s="277"/>
      <c r="AI1082" s="277"/>
      <c r="AJ1082" s="277"/>
      <c r="AK1082" s="277"/>
    </row>
    <row r="1083" spans="1:37" s="289" customFormat="1">
      <c r="A1083" s="277"/>
      <c r="C1083" s="277"/>
      <c r="D1083" s="277"/>
      <c r="E1083" s="277"/>
      <c r="F1083" s="277"/>
      <c r="G1083" s="277"/>
      <c r="H1083" s="277"/>
      <c r="I1083" s="277"/>
      <c r="J1083" s="277"/>
      <c r="K1083" s="277"/>
      <c r="L1083" s="277"/>
      <c r="M1083" s="277"/>
      <c r="N1083" s="277"/>
      <c r="O1083" s="277"/>
      <c r="P1083" s="277"/>
      <c r="Q1083" s="277"/>
      <c r="R1083" s="277"/>
      <c r="S1083" s="277"/>
      <c r="T1083" s="277"/>
      <c r="U1083" s="277"/>
      <c r="V1083" s="277"/>
      <c r="W1083" s="277"/>
      <c r="X1083" s="277"/>
      <c r="Y1083" s="277"/>
      <c r="Z1083" s="277"/>
      <c r="AA1083" s="277"/>
      <c r="AB1083" s="277"/>
      <c r="AC1083" s="277"/>
      <c r="AD1083" s="277"/>
      <c r="AE1083" s="277"/>
      <c r="AF1083" s="277"/>
      <c r="AG1083" s="277"/>
      <c r="AH1083" s="277"/>
      <c r="AI1083" s="277"/>
      <c r="AJ1083" s="277"/>
      <c r="AK1083" s="277"/>
    </row>
    <row r="1084" spans="1:37" s="289" customFormat="1">
      <c r="A1084" s="277"/>
      <c r="C1084" s="277"/>
      <c r="D1084" s="277"/>
      <c r="E1084" s="277"/>
      <c r="F1084" s="277"/>
      <c r="G1084" s="277"/>
      <c r="H1084" s="277"/>
      <c r="I1084" s="277"/>
      <c r="J1084" s="277"/>
      <c r="K1084" s="277"/>
      <c r="L1084" s="277"/>
      <c r="M1084" s="277"/>
      <c r="N1084" s="277"/>
      <c r="O1084" s="277"/>
      <c r="P1084" s="277"/>
      <c r="Q1084" s="277"/>
      <c r="R1084" s="277"/>
      <c r="S1084" s="277"/>
      <c r="T1084" s="277"/>
      <c r="U1084" s="277"/>
      <c r="V1084" s="277"/>
      <c r="W1084" s="277"/>
      <c r="X1084" s="277"/>
      <c r="Y1084" s="277"/>
      <c r="Z1084" s="277"/>
      <c r="AA1084" s="277"/>
      <c r="AB1084" s="277"/>
      <c r="AC1084" s="277"/>
      <c r="AD1084" s="277"/>
      <c r="AE1084" s="277"/>
      <c r="AF1084" s="277"/>
      <c r="AG1084" s="277"/>
      <c r="AH1084" s="277"/>
      <c r="AI1084" s="277"/>
      <c r="AJ1084" s="277"/>
      <c r="AK1084" s="277"/>
    </row>
    <row r="1085" spans="1:37" s="289" customFormat="1">
      <c r="A1085" s="277"/>
      <c r="C1085" s="277"/>
      <c r="D1085" s="277"/>
      <c r="E1085" s="277"/>
      <c r="F1085" s="277"/>
      <c r="G1085" s="277"/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277"/>
      <c r="R1085" s="277"/>
      <c r="S1085" s="277"/>
      <c r="T1085" s="277"/>
      <c r="U1085" s="277"/>
      <c r="V1085" s="277"/>
      <c r="W1085" s="277"/>
      <c r="X1085" s="277"/>
      <c r="Y1085" s="277"/>
      <c r="Z1085" s="277"/>
      <c r="AA1085" s="277"/>
      <c r="AB1085" s="277"/>
      <c r="AC1085" s="277"/>
      <c r="AD1085" s="277"/>
      <c r="AE1085" s="277"/>
      <c r="AF1085" s="277"/>
      <c r="AG1085" s="277"/>
      <c r="AH1085" s="277"/>
      <c r="AI1085" s="277"/>
      <c r="AJ1085" s="277"/>
      <c r="AK1085" s="277"/>
    </row>
    <row r="1086" spans="1:37" s="289" customFormat="1">
      <c r="A1086" s="277"/>
      <c r="C1086" s="277"/>
      <c r="D1086" s="277"/>
      <c r="E1086" s="277"/>
      <c r="F1086" s="277"/>
      <c r="G1086" s="277"/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277"/>
      <c r="R1086" s="277"/>
      <c r="S1086" s="277"/>
      <c r="T1086" s="277"/>
      <c r="U1086" s="277"/>
      <c r="V1086" s="277"/>
      <c r="W1086" s="277"/>
      <c r="X1086" s="277"/>
      <c r="Y1086" s="277"/>
      <c r="Z1086" s="277"/>
      <c r="AA1086" s="277"/>
      <c r="AB1086" s="277"/>
      <c r="AC1086" s="277"/>
      <c r="AD1086" s="277"/>
      <c r="AE1086" s="277"/>
      <c r="AF1086" s="277"/>
      <c r="AG1086" s="277"/>
      <c r="AH1086" s="277"/>
      <c r="AI1086" s="277"/>
      <c r="AJ1086" s="277"/>
      <c r="AK1086" s="277"/>
    </row>
    <row r="1087" spans="1:37" s="289" customFormat="1">
      <c r="A1087" s="277"/>
      <c r="C1087" s="277"/>
      <c r="D1087" s="277"/>
      <c r="E1087" s="277"/>
      <c r="F1087" s="277"/>
      <c r="G1087" s="277"/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277"/>
      <c r="R1087" s="277"/>
      <c r="S1087" s="277"/>
      <c r="T1087" s="277"/>
      <c r="U1087" s="277"/>
      <c r="V1087" s="277"/>
      <c r="W1087" s="277"/>
      <c r="X1087" s="277"/>
      <c r="Y1087" s="277"/>
      <c r="Z1087" s="277"/>
      <c r="AA1087" s="277"/>
      <c r="AB1087" s="277"/>
      <c r="AC1087" s="277"/>
      <c r="AD1087" s="277"/>
      <c r="AE1087" s="277"/>
      <c r="AF1087" s="277"/>
      <c r="AG1087" s="277"/>
      <c r="AH1087" s="277"/>
      <c r="AI1087" s="277"/>
      <c r="AJ1087" s="277"/>
      <c r="AK1087" s="277"/>
    </row>
    <row r="1088" spans="1:37" s="289" customFormat="1">
      <c r="A1088" s="277"/>
      <c r="C1088" s="277"/>
      <c r="D1088" s="277"/>
      <c r="E1088" s="277"/>
      <c r="F1088" s="277"/>
      <c r="G1088" s="277"/>
      <c r="H1088" s="277"/>
      <c r="I1088" s="277"/>
      <c r="J1088" s="277"/>
      <c r="K1088" s="277"/>
      <c r="L1088" s="277"/>
      <c r="M1088" s="277"/>
      <c r="N1088" s="277"/>
      <c r="O1088" s="277"/>
      <c r="P1088" s="277"/>
      <c r="Q1088" s="277"/>
      <c r="R1088" s="277"/>
      <c r="S1088" s="277"/>
      <c r="T1088" s="277"/>
      <c r="U1088" s="277"/>
      <c r="V1088" s="277"/>
      <c r="W1088" s="277"/>
      <c r="X1088" s="277"/>
      <c r="Y1088" s="277"/>
      <c r="Z1088" s="277"/>
      <c r="AA1088" s="277"/>
      <c r="AB1088" s="277"/>
      <c r="AC1088" s="277"/>
      <c r="AD1088" s="277"/>
      <c r="AE1088" s="277"/>
      <c r="AF1088" s="277"/>
      <c r="AG1088" s="277"/>
      <c r="AH1088" s="277"/>
      <c r="AI1088" s="277"/>
      <c r="AJ1088" s="277"/>
      <c r="AK1088" s="277"/>
    </row>
    <row r="1089" spans="1:37" s="289" customFormat="1">
      <c r="A1089" s="277"/>
      <c r="C1089" s="277"/>
      <c r="D1089" s="277"/>
      <c r="E1089" s="277"/>
      <c r="F1089" s="277"/>
      <c r="G1089" s="277"/>
      <c r="H1089" s="277"/>
      <c r="I1089" s="277"/>
      <c r="J1089" s="277"/>
      <c r="K1089" s="277"/>
      <c r="L1089" s="277"/>
      <c r="M1089" s="277"/>
      <c r="N1089" s="277"/>
      <c r="O1089" s="277"/>
      <c r="P1089" s="277"/>
      <c r="Q1089" s="277"/>
      <c r="R1089" s="277"/>
      <c r="S1089" s="277"/>
      <c r="T1089" s="277"/>
      <c r="U1089" s="277"/>
      <c r="V1089" s="277"/>
      <c r="W1089" s="277"/>
      <c r="X1089" s="277"/>
      <c r="Y1089" s="277"/>
      <c r="Z1089" s="277"/>
      <c r="AA1089" s="277"/>
      <c r="AB1089" s="277"/>
      <c r="AC1089" s="277"/>
      <c r="AD1089" s="277"/>
      <c r="AE1089" s="277"/>
      <c r="AF1089" s="277"/>
      <c r="AG1089" s="277"/>
      <c r="AH1089" s="277"/>
      <c r="AI1089" s="277"/>
      <c r="AJ1089" s="277"/>
      <c r="AK1089" s="277"/>
    </row>
    <row r="1090" spans="1:37" s="289" customFormat="1">
      <c r="A1090" s="277"/>
      <c r="C1090" s="277"/>
      <c r="D1090" s="277"/>
      <c r="E1090" s="277"/>
      <c r="F1090" s="277"/>
      <c r="G1090" s="277"/>
      <c r="H1090" s="277"/>
      <c r="I1090" s="277"/>
      <c r="J1090" s="277"/>
      <c r="K1090" s="277"/>
      <c r="L1090" s="277"/>
      <c r="M1090" s="277"/>
      <c r="N1090" s="277"/>
      <c r="O1090" s="277"/>
      <c r="P1090" s="277"/>
      <c r="Q1090" s="277"/>
      <c r="R1090" s="277"/>
      <c r="S1090" s="277"/>
      <c r="T1090" s="277"/>
      <c r="U1090" s="277"/>
      <c r="V1090" s="277"/>
      <c r="W1090" s="277"/>
      <c r="X1090" s="277"/>
      <c r="Y1090" s="277"/>
      <c r="Z1090" s="277"/>
      <c r="AA1090" s="277"/>
      <c r="AB1090" s="277"/>
      <c r="AC1090" s="277"/>
      <c r="AD1090" s="277"/>
      <c r="AE1090" s="277"/>
      <c r="AF1090" s="277"/>
      <c r="AG1090" s="277"/>
      <c r="AH1090" s="277"/>
      <c r="AI1090" s="277"/>
      <c r="AJ1090" s="277"/>
      <c r="AK1090" s="277"/>
    </row>
    <row r="1091" spans="1:37" s="289" customFormat="1">
      <c r="A1091" s="277"/>
      <c r="C1091" s="277"/>
      <c r="D1091" s="277"/>
      <c r="E1091" s="277"/>
      <c r="F1091" s="277"/>
      <c r="G1091" s="277"/>
      <c r="H1091" s="277"/>
      <c r="I1091" s="277"/>
      <c r="J1091" s="277"/>
      <c r="K1091" s="277"/>
      <c r="L1091" s="277"/>
      <c r="M1091" s="277"/>
      <c r="N1091" s="277"/>
      <c r="O1091" s="277"/>
      <c r="P1091" s="277"/>
      <c r="Q1091" s="277"/>
      <c r="R1091" s="277"/>
      <c r="S1091" s="277"/>
      <c r="T1091" s="277"/>
      <c r="U1091" s="277"/>
      <c r="V1091" s="277"/>
      <c r="W1091" s="277"/>
      <c r="X1091" s="277"/>
      <c r="Y1091" s="277"/>
      <c r="Z1091" s="277"/>
      <c r="AA1091" s="277"/>
      <c r="AB1091" s="277"/>
      <c r="AC1091" s="277"/>
      <c r="AD1091" s="277"/>
      <c r="AE1091" s="277"/>
      <c r="AF1091" s="277"/>
      <c r="AG1091" s="277"/>
      <c r="AH1091" s="277"/>
      <c r="AI1091" s="277"/>
      <c r="AJ1091" s="277"/>
      <c r="AK1091" s="277"/>
    </row>
    <row r="1092" spans="1:37" s="289" customFormat="1">
      <c r="A1092" s="277"/>
      <c r="C1092" s="277"/>
      <c r="D1092" s="277"/>
      <c r="E1092" s="277"/>
      <c r="F1092" s="277"/>
      <c r="G1092" s="277"/>
      <c r="H1092" s="277"/>
      <c r="I1092" s="277"/>
      <c r="J1092" s="277"/>
      <c r="K1092" s="277"/>
      <c r="L1092" s="277"/>
      <c r="M1092" s="277"/>
      <c r="N1092" s="277"/>
      <c r="O1092" s="277"/>
      <c r="P1092" s="277"/>
      <c r="Q1092" s="277"/>
      <c r="R1092" s="277"/>
      <c r="S1092" s="277"/>
      <c r="T1092" s="277"/>
      <c r="U1092" s="277"/>
      <c r="V1092" s="277"/>
      <c r="W1092" s="277"/>
      <c r="X1092" s="277"/>
      <c r="Y1092" s="277"/>
      <c r="Z1092" s="277"/>
      <c r="AA1092" s="277"/>
      <c r="AB1092" s="277"/>
      <c r="AC1092" s="277"/>
      <c r="AD1092" s="277"/>
      <c r="AE1092" s="277"/>
      <c r="AF1092" s="277"/>
      <c r="AG1092" s="277"/>
      <c r="AH1092" s="277"/>
      <c r="AI1092" s="277"/>
      <c r="AJ1092" s="277"/>
      <c r="AK1092" s="277"/>
    </row>
    <row r="1093" spans="1:37" s="289" customFormat="1">
      <c r="A1093" s="277"/>
      <c r="C1093" s="277"/>
      <c r="D1093" s="277"/>
      <c r="E1093" s="277"/>
      <c r="F1093" s="277"/>
      <c r="G1093" s="277"/>
      <c r="H1093" s="277"/>
      <c r="I1093" s="277"/>
      <c r="J1093" s="277"/>
      <c r="K1093" s="277"/>
      <c r="L1093" s="277"/>
      <c r="M1093" s="277"/>
      <c r="N1093" s="277"/>
      <c r="O1093" s="277"/>
      <c r="P1093" s="277"/>
      <c r="Q1093" s="277"/>
      <c r="R1093" s="277"/>
      <c r="S1093" s="277"/>
      <c r="T1093" s="277"/>
      <c r="U1093" s="277"/>
      <c r="V1093" s="277"/>
      <c r="W1093" s="277"/>
      <c r="X1093" s="277"/>
      <c r="Y1093" s="277"/>
      <c r="Z1093" s="277"/>
      <c r="AA1093" s="277"/>
      <c r="AB1093" s="277"/>
      <c r="AC1093" s="277"/>
      <c r="AD1093" s="277"/>
      <c r="AE1093" s="277"/>
      <c r="AF1093" s="277"/>
      <c r="AG1093" s="277"/>
      <c r="AH1093" s="277"/>
      <c r="AI1093" s="277"/>
      <c r="AJ1093" s="277"/>
      <c r="AK1093" s="277"/>
    </row>
    <row r="1094" spans="1:37" s="289" customFormat="1">
      <c r="A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7"/>
      <c r="O1094" s="277"/>
      <c r="P1094" s="277"/>
      <c r="Q1094" s="277"/>
      <c r="R1094" s="277"/>
      <c r="S1094" s="277"/>
      <c r="T1094" s="277"/>
      <c r="U1094" s="277"/>
      <c r="V1094" s="277"/>
      <c r="W1094" s="277"/>
      <c r="X1094" s="277"/>
      <c r="Y1094" s="277"/>
      <c r="Z1094" s="277"/>
      <c r="AA1094" s="277"/>
      <c r="AB1094" s="277"/>
      <c r="AC1094" s="277"/>
      <c r="AD1094" s="277"/>
      <c r="AE1094" s="277"/>
      <c r="AF1094" s="277"/>
      <c r="AG1094" s="277"/>
      <c r="AH1094" s="277"/>
      <c r="AI1094" s="277"/>
      <c r="AJ1094" s="277"/>
      <c r="AK1094" s="277"/>
    </row>
    <row r="1095" spans="1:37" s="289" customFormat="1">
      <c r="A1095" s="277"/>
      <c r="C1095" s="277"/>
      <c r="D1095" s="277"/>
      <c r="E1095" s="277"/>
      <c r="F1095" s="277"/>
      <c r="G1095" s="277"/>
      <c r="H1095" s="277"/>
      <c r="I1095" s="277"/>
      <c r="J1095" s="277"/>
      <c r="K1095" s="277"/>
      <c r="L1095" s="277"/>
      <c r="M1095" s="277"/>
      <c r="N1095" s="277"/>
      <c r="O1095" s="277"/>
      <c r="P1095" s="277"/>
      <c r="Q1095" s="277"/>
      <c r="R1095" s="277"/>
      <c r="S1095" s="277"/>
      <c r="T1095" s="277"/>
      <c r="U1095" s="277"/>
      <c r="V1095" s="277"/>
      <c r="W1095" s="277"/>
      <c r="X1095" s="277"/>
      <c r="Y1095" s="277"/>
      <c r="Z1095" s="277"/>
      <c r="AA1095" s="277"/>
      <c r="AB1095" s="277"/>
      <c r="AC1095" s="277"/>
      <c r="AD1095" s="277"/>
      <c r="AE1095" s="277"/>
      <c r="AF1095" s="277"/>
      <c r="AG1095" s="277"/>
      <c r="AH1095" s="277"/>
      <c r="AI1095" s="277"/>
      <c r="AJ1095" s="277"/>
      <c r="AK1095" s="277"/>
    </row>
    <row r="1096" spans="1:37" s="289" customFormat="1">
      <c r="A1096" s="277"/>
      <c r="C1096" s="277"/>
      <c r="D1096" s="277"/>
      <c r="E1096" s="277"/>
      <c r="F1096" s="277"/>
      <c r="G1096" s="277"/>
      <c r="H1096" s="277"/>
      <c r="I1096" s="277"/>
      <c r="J1096" s="277"/>
      <c r="K1096" s="277"/>
      <c r="L1096" s="277"/>
      <c r="M1096" s="277"/>
      <c r="N1096" s="277"/>
      <c r="O1096" s="277"/>
      <c r="P1096" s="277"/>
      <c r="Q1096" s="277"/>
      <c r="R1096" s="277"/>
      <c r="S1096" s="277"/>
      <c r="T1096" s="277"/>
      <c r="U1096" s="277"/>
      <c r="V1096" s="277"/>
      <c r="W1096" s="277"/>
      <c r="X1096" s="277"/>
      <c r="Y1096" s="277"/>
      <c r="Z1096" s="277"/>
      <c r="AA1096" s="277"/>
      <c r="AB1096" s="277"/>
      <c r="AC1096" s="277"/>
      <c r="AD1096" s="277"/>
      <c r="AE1096" s="277"/>
      <c r="AF1096" s="277"/>
      <c r="AG1096" s="277"/>
      <c r="AH1096" s="277"/>
      <c r="AI1096" s="277"/>
      <c r="AJ1096" s="277"/>
      <c r="AK1096" s="277"/>
    </row>
    <row r="1097" spans="1:37" s="289" customFormat="1">
      <c r="A1097" s="277"/>
      <c r="C1097" s="277"/>
      <c r="D1097" s="277"/>
      <c r="E1097" s="277"/>
      <c r="F1097" s="277"/>
      <c r="G1097" s="277"/>
      <c r="H1097" s="277"/>
      <c r="I1097" s="277"/>
      <c r="J1097" s="277"/>
      <c r="K1097" s="277"/>
      <c r="L1097" s="277"/>
      <c r="M1097" s="277"/>
      <c r="N1097" s="277"/>
      <c r="O1097" s="277"/>
      <c r="P1097" s="277"/>
      <c r="Q1097" s="277"/>
      <c r="R1097" s="277"/>
      <c r="S1097" s="277"/>
      <c r="T1097" s="277"/>
      <c r="U1097" s="277"/>
      <c r="V1097" s="277"/>
      <c r="W1097" s="277"/>
      <c r="X1097" s="277"/>
      <c r="Y1097" s="277"/>
      <c r="Z1097" s="277"/>
      <c r="AA1097" s="277"/>
      <c r="AB1097" s="277"/>
      <c r="AC1097" s="277"/>
      <c r="AD1097" s="277"/>
      <c r="AE1097" s="277"/>
      <c r="AF1097" s="277"/>
      <c r="AG1097" s="277"/>
      <c r="AH1097" s="277"/>
      <c r="AI1097" s="277"/>
      <c r="AJ1097" s="277"/>
      <c r="AK1097" s="277"/>
    </row>
    <row r="1098" spans="1:37" s="289" customFormat="1">
      <c r="A1098" s="277"/>
      <c r="C1098" s="277"/>
      <c r="D1098" s="277"/>
      <c r="E1098" s="277"/>
      <c r="F1098" s="277"/>
      <c r="G1098" s="277"/>
      <c r="H1098" s="277"/>
      <c r="I1098" s="277"/>
      <c r="J1098" s="277"/>
      <c r="K1098" s="277"/>
      <c r="L1098" s="277"/>
      <c r="M1098" s="277"/>
      <c r="N1098" s="277"/>
      <c r="O1098" s="277"/>
      <c r="P1098" s="277"/>
      <c r="Q1098" s="277"/>
      <c r="R1098" s="277"/>
      <c r="S1098" s="277"/>
      <c r="T1098" s="277"/>
      <c r="U1098" s="277"/>
      <c r="V1098" s="277"/>
      <c r="W1098" s="277"/>
      <c r="X1098" s="277"/>
      <c r="Y1098" s="277"/>
      <c r="Z1098" s="277"/>
      <c r="AA1098" s="277"/>
      <c r="AB1098" s="277"/>
      <c r="AC1098" s="277"/>
      <c r="AD1098" s="277"/>
      <c r="AE1098" s="277"/>
      <c r="AF1098" s="277"/>
      <c r="AG1098" s="277"/>
      <c r="AH1098" s="277"/>
      <c r="AI1098" s="277"/>
      <c r="AJ1098" s="277"/>
      <c r="AK1098" s="277"/>
    </row>
    <row r="1099" spans="1:37" s="289" customFormat="1">
      <c r="A1099" s="277"/>
      <c r="C1099" s="277"/>
      <c r="D1099" s="277"/>
      <c r="E1099" s="277"/>
      <c r="F1099" s="277"/>
      <c r="G1099" s="277"/>
      <c r="H1099" s="277"/>
      <c r="I1099" s="277"/>
      <c r="J1099" s="277"/>
      <c r="K1099" s="277"/>
      <c r="L1099" s="277"/>
      <c r="M1099" s="277"/>
      <c r="N1099" s="277"/>
      <c r="O1099" s="277"/>
      <c r="P1099" s="277"/>
      <c r="Q1099" s="277"/>
      <c r="R1099" s="277"/>
      <c r="S1099" s="277"/>
      <c r="T1099" s="277"/>
      <c r="U1099" s="277"/>
      <c r="V1099" s="277"/>
      <c r="W1099" s="277"/>
      <c r="X1099" s="277"/>
      <c r="Y1099" s="277"/>
      <c r="Z1099" s="277"/>
      <c r="AA1099" s="277"/>
      <c r="AB1099" s="277"/>
      <c r="AC1099" s="277"/>
      <c r="AD1099" s="277"/>
      <c r="AE1099" s="277"/>
      <c r="AF1099" s="277"/>
      <c r="AG1099" s="277"/>
      <c r="AH1099" s="277"/>
      <c r="AI1099" s="277"/>
      <c r="AJ1099" s="277"/>
      <c r="AK1099" s="277"/>
    </row>
    <row r="1100" spans="1:37" s="289" customFormat="1">
      <c r="A1100" s="277"/>
      <c r="C1100" s="277"/>
      <c r="D1100" s="277"/>
      <c r="E1100" s="277"/>
      <c r="F1100" s="277"/>
      <c r="G1100" s="277"/>
      <c r="H1100" s="277"/>
      <c r="I1100" s="277"/>
      <c r="J1100" s="277"/>
      <c r="K1100" s="277"/>
      <c r="L1100" s="277"/>
      <c r="M1100" s="277"/>
      <c r="N1100" s="277"/>
      <c r="O1100" s="277"/>
      <c r="P1100" s="277"/>
      <c r="Q1100" s="277"/>
      <c r="R1100" s="277"/>
      <c r="S1100" s="277"/>
      <c r="T1100" s="277"/>
      <c r="U1100" s="277"/>
      <c r="V1100" s="277"/>
      <c r="W1100" s="277"/>
      <c r="X1100" s="277"/>
      <c r="Y1100" s="277"/>
      <c r="Z1100" s="277"/>
      <c r="AA1100" s="277"/>
      <c r="AB1100" s="277"/>
      <c r="AC1100" s="277"/>
      <c r="AD1100" s="277"/>
      <c r="AE1100" s="277"/>
      <c r="AF1100" s="277"/>
      <c r="AG1100" s="277"/>
      <c r="AH1100" s="277"/>
      <c r="AI1100" s="277"/>
      <c r="AJ1100" s="277"/>
      <c r="AK1100" s="277"/>
    </row>
    <row r="1101" spans="1:37" s="289" customFormat="1">
      <c r="A1101" s="277"/>
      <c r="C1101" s="277"/>
      <c r="D1101" s="277"/>
      <c r="E1101" s="277"/>
      <c r="F1101" s="277"/>
      <c r="G1101" s="277"/>
      <c r="H1101" s="277"/>
      <c r="I1101" s="277"/>
      <c r="J1101" s="277"/>
      <c r="K1101" s="277"/>
      <c r="L1101" s="277"/>
      <c r="M1101" s="277"/>
      <c r="N1101" s="277"/>
      <c r="O1101" s="277"/>
      <c r="P1101" s="277"/>
      <c r="Q1101" s="277"/>
      <c r="R1101" s="277"/>
      <c r="S1101" s="277"/>
      <c r="T1101" s="277"/>
      <c r="U1101" s="277"/>
      <c r="V1101" s="277"/>
      <c r="W1101" s="277"/>
      <c r="X1101" s="277"/>
      <c r="Y1101" s="277"/>
      <c r="Z1101" s="277"/>
      <c r="AA1101" s="277"/>
      <c r="AB1101" s="277"/>
      <c r="AC1101" s="277"/>
      <c r="AD1101" s="277"/>
      <c r="AE1101" s="277"/>
      <c r="AF1101" s="277"/>
      <c r="AG1101" s="277"/>
      <c r="AH1101" s="277"/>
      <c r="AI1101" s="277"/>
      <c r="AJ1101" s="277"/>
      <c r="AK1101" s="277"/>
    </row>
    <row r="1102" spans="1:37" s="289" customFormat="1">
      <c r="A1102" s="277"/>
      <c r="C1102" s="277"/>
      <c r="D1102" s="277"/>
      <c r="E1102" s="277"/>
      <c r="F1102" s="277"/>
      <c r="G1102" s="277"/>
      <c r="H1102" s="277"/>
      <c r="I1102" s="277"/>
      <c r="J1102" s="277"/>
      <c r="K1102" s="277"/>
      <c r="L1102" s="277"/>
      <c r="M1102" s="277"/>
      <c r="N1102" s="277"/>
      <c r="O1102" s="277"/>
      <c r="P1102" s="277"/>
      <c r="Q1102" s="277"/>
      <c r="R1102" s="277"/>
      <c r="S1102" s="277"/>
      <c r="T1102" s="277"/>
      <c r="U1102" s="277"/>
      <c r="V1102" s="277"/>
      <c r="W1102" s="277"/>
      <c r="X1102" s="277"/>
      <c r="Y1102" s="277"/>
      <c r="Z1102" s="277"/>
      <c r="AA1102" s="277"/>
      <c r="AB1102" s="277"/>
      <c r="AC1102" s="277"/>
      <c r="AD1102" s="277"/>
      <c r="AE1102" s="277"/>
      <c r="AF1102" s="277"/>
      <c r="AG1102" s="277"/>
      <c r="AH1102" s="277"/>
      <c r="AI1102" s="277"/>
      <c r="AJ1102" s="277"/>
      <c r="AK1102" s="277"/>
    </row>
    <row r="1103" spans="1:37" s="289" customFormat="1">
      <c r="A1103" s="277"/>
      <c r="C1103" s="277"/>
      <c r="D1103" s="277"/>
      <c r="E1103" s="277"/>
      <c r="F1103" s="277"/>
      <c r="G1103" s="277"/>
      <c r="H1103" s="277"/>
      <c r="I1103" s="277"/>
      <c r="J1103" s="277"/>
      <c r="K1103" s="277"/>
      <c r="L1103" s="277"/>
      <c r="M1103" s="277"/>
      <c r="N1103" s="277"/>
      <c r="O1103" s="277"/>
      <c r="P1103" s="277"/>
      <c r="Q1103" s="277"/>
      <c r="R1103" s="277"/>
      <c r="S1103" s="277"/>
      <c r="T1103" s="277"/>
      <c r="U1103" s="277"/>
      <c r="V1103" s="277"/>
      <c r="W1103" s="277"/>
      <c r="X1103" s="277"/>
      <c r="Y1103" s="277"/>
      <c r="Z1103" s="277"/>
      <c r="AA1103" s="277"/>
      <c r="AB1103" s="277"/>
      <c r="AC1103" s="277"/>
      <c r="AD1103" s="277"/>
      <c r="AE1103" s="277"/>
      <c r="AF1103" s="277"/>
      <c r="AG1103" s="277"/>
      <c r="AH1103" s="277"/>
      <c r="AI1103" s="277"/>
      <c r="AJ1103" s="277"/>
      <c r="AK1103" s="277"/>
    </row>
    <row r="1104" spans="1:37" s="289" customFormat="1">
      <c r="A1104" s="277"/>
      <c r="C1104" s="277"/>
      <c r="D1104" s="277"/>
      <c r="E1104" s="277"/>
      <c r="F1104" s="277"/>
      <c r="G1104" s="277"/>
      <c r="H1104" s="277"/>
      <c r="I1104" s="277"/>
      <c r="J1104" s="277"/>
      <c r="K1104" s="277"/>
      <c r="L1104" s="277"/>
      <c r="M1104" s="277"/>
      <c r="N1104" s="277"/>
      <c r="O1104" s="277"/>
      <c r="P1104" s="277"/>
      <c r="Q1104" s="277"/>
      <c r="R1104" s="277"/>
      <c r="S1104" s="277"/>
      <c r="T1104" s="277"/>
      <c r="U1104" s="277"/>
      <c r="V1104" s="277"/>
      <c r="W1104" s="277"/>
      <c r="X1104" s="277"/>
      <c r="Y1104" s="277"/>
      <c r="Z1104" s="277"/>
      <c r="AA1104" s="277"/>
      <c r="AB1104" s="277"/>
      <c r="AC1104" s="277"/>
      <c r="AD1104" s="277"/>
      <c r="AE1104" s="277"/>
      <c r="AF1104" s="277"/>
      <c r="AG1104" s="277"/>
      <c r="AH1104" s="277"/>
      <c r="AI1104" s="277"/>
      <c r="AJ1104" s="277"/>
      <c r="AK1104" s="277"/>
    </row>
    <row r="1105" spans="1:37" s="289" customFormat="1">
      <c r="A1105" s="277"/>
      <c r="C1105" s="277"/>
      <c r="D1105" s="277"/>
      <c r="E1105" s="277"/>
      <c r="F1105" s="277"/>
      <c r="G1105" s="277"/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277"/>
      <c r="R1105" s="277"/>
      <c r="S1105" s="277"/>
      <c r="T1105" s="277"/>
      <c r="U1105" s="277"/>
      <c r="V1105" s="277"/>
      <c r="W1105" s="277"/>
      <c r="X1105" s="277"/>
      <c r="Y1105" s="277"/>
      <c r="Z1105" s="277"/>
      <c r="AA1105" s="277"/>
      <c r="AB1105" s="277"/>
      <c r="AC1105" s="277"/>
      <c r="AD1105" s="277"/>
      <c r="AE1105" s="277"/>
      <c r="AF1105" s="277"/>
      <c r="AG1105" s="277"/>
      <c r="AH1105" s="277"/>
      <c r="AI1105" s="277"/>
      <c r="AJ1105" s="277"/>
      <c r="AK1105" s="277"/>
    </row>
    <row r="1106" spans="1:37" s="289" customFormat="1">
      <c r="A1106" s="277"/>
      <c r="C1106" s="277"/>
      <c r="D1106" s="277"/>
      <c r="E1106" s="277"/>
      <c r="F1106" s="277"/>
      <c r="G1106" s="277"/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277"/>
      <c r="R1106" s="277"/>
      <c r="S1106" s="277"/>
      <c r="T1106" s="277"/>
      <c r="U1106" s="277"/>
      <c r="V1106" s="277"/>
      <c r="W1106" s="277"/>
      <c r="X1106" s="277"/>
      <c r="Y1106" s="277"/>
      <c r="Z1106" s="277"/>
      <c r="AA1106" s="277"/>
      <c r="AB1106" s="277"/>
      <c r="AC1106" s="277"/>
      <c r="AD1106" s="277"/>
      <c r="AE1106" s="277"/>
      <c r="AF1106" s="277"/>
      <c r="AG1106" s="277"/>
      <c r="AH1106" s="277"/>
      <c r="AI1106" s="277"/>
      <c r="AJ1106" s="277"/>
      <c r="AK1106" s="277"/>
    </row>
    <row r="1107" spans="1:37" s="289" customFormat="1">
      <c r="A1107" s="277"/>
      <c r="C1107" s="277"/>
      <c r="D1107" s="277"/>
      <c r="E1107" s="277"/>
      <c r="F1107" s="277"/>
      <c r="G1107" s="277"/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277"/>
      <c r="R1107" s="277"/>
      <c r="S1107" s="277"/>
      <c r="T1107" s="277"/>
      <c r="U1107" s="277"/>
      <c r="V1107" s="277"/>
      <c r="W1107" s="277"/>
      <c r="X1107" s="277"/>
      <c r="Y1107" s="277"/>
      <c r="Z1107" s="277"/>
      <c r="AA1107" s="277"/>
      <c r="AB1107" s="277"/>
      <c r="AC1107" s="277"/>
      <c r="AD1107" s="277"/>
      <c r="AE1107" s="277"/>
      <c r="AF1107" s="277"/>
      <c r="AG1107" s="277"/>
      <c r="AH1107" s="277"/>
      <c r="AI1107" s="277"/>
      <c r="AJ1107" s="277"/>
      <c r="AK1107" s="277"/>
    </row>
    <row r="1108" spans="1:37" s="289" customFormat="1">
      <c r="A1108" s="277"/>
      <c r="C1108" s="277"/>
      <c r="D1108" s="277"/>
      <c r="E1108" s="277"/>
      <c r="F1108" s="277"/>
      <c r="G1108" s="277"/>
      <c r="H1108" s="277"/>
      <c r="I1108" s="277"/>
      <c r="J1108" s="277"/>
      <c r="K1108" s="277"/>
      <c r="L1108" s="277"/>
      <c r="M1108" s="277"/>
      <c r="N1108" s="277"/>
      <c r="O1108" s="277"/>
      <c r="P1108" s="277"/>
      <c r="Q1108" s="277"/>
      <c r="R1108" s="277"/>
      <c r="S1108" s="277"/>
      <c r="T1108" s="277"/>
      <c r="U1108" s="277"/>
      <c r="V1108" s="277"/>
      <c r="W1108" s="277"/>
      <c r="X1108" s="277"/>
      <c r="Y1108" s="277"/>
      <c r="Z1108" s="277"/>
      <c r="AA1108" s="277"/>
      <c r="AB1108" s="277"/>
      <c r="AC1108" s="277"/>
      <c r="AD1108" s="277"/>
      <c r="AE1108" s="277"/>
      <c r="AF1108" s="277"/>
      <c r="AG1108" s="277"/>
      <c r="AH1108" s="277"/>
      <c r="AI1108" s="277"/>
      <c r="AJ1108" s="277"/>
      <c r="AK1108" s="277"/>
    </row>
    <row r="1109" spans="1:37" s="289" customFormat="1">
      <c r="A1109" s="277"/>
      <c r="C1109" s="277"/>
      <c r="D1109" s="277"/>
      <c r="E1109" s="277"/>
      <c r="F1109" s="277"/>
      <c r="G1109" s="277"/>
      <c r="H1109" s="277"/>
      <c r="I1109" s="277"/>
      <c r="J1109" s="277"/>
      <c r="K1109" s="277"/>
      <c r="L1109" s="277"/>
      <c r="M1109" s="277"/>
      <c r="N1109" s="277"/>
      <c r="O1109" s="277"/>
      <c r="P1109" s="277"/>
      <c r="Q1109" s="277"/>
      <c r="R1109" s="277"/>
      <c r="S1109" s="277"/>
      <c r="T1109" s="277"/>
      <c r="U1109" s="277"/>
      <c r="V1109" s="277"/>
      <c r="W1109" s="277"/>
      <c r="X1109" s="277"/>
      <c r="Y1109" s="277"/>
      <c r="Z1109" s="277"/>
      <c r="AA1109" s="277"/>
      <c r="AB1109" s="277"/>
      <c r="AC1109" s="277"/>
      <c r="AD1109" s="277"/>
      <c r="AE1109" s="277"/>
      <c r="AF1109" s="277"/>
      <c r="AG1109" s="277"/>
      <c r="AH1109" s="277"/>
      <c r="AI1109" s="277"/>
      <c r="AJ1109" s="277"/>
      <c r="AK1109" s="277"/>
    </row>
    <row r="1110" spans="1:37" s="289" customFormat="1">
      <c r="A1110" s="277"/>
      <c r="C1110" s="277"/>
      <c r="D1110" s="277"/>
      <c r="E1110" s="277"/>
      <c r="F1110" s="277"/>
      <c r="G1110" s="277"/>
      <c r="H1110" s="277"/>
      <c r="I1110" s="277"/>
      <c r="J1110" s="277"/>
      <c r="K1110" s="277"/>
      <c r="L1110" s="277"/>
      <c r="M1110" s="277"/>
      <c r="N1110" s="277"/>
      <c r="O1110" s="277"/>
      <c r="P1110" s="277"/>
      <c r="Q1110" s="277"/>
      <c r="R1110" s="277"/>
      <c r="S1110" s="277"/>
      <c r="T1110" s="277"/>
      <c r="U1110" s="277"/>
      <c r="V1110" s="277"/>
      <c r="W1110" s="277"/>
      <c r="X1110" s="277"/>
      <c r="Y1110" s="277"/>
      <c r="Z1110" s="277"/>
      <c r="AA1110" s="277"/>
      <c r="AB1110" s="277"/>
      <c r="AC1110" s="277"/>
      <c r="AD1110" s="277"/>
      <c r="AE1110" s="277"/>
      <c r="AF1110" s="277"/>
      <c r="AG1110" s="277"/>
      <c r="AH1110" s="277"/>
      <c r="AI1110" s="277"/>
      <c r="AJ1110" s="277"/>
      <c r="AK1110" s="277"/>
    </row>
    <row r="1111" spans="1:37" s="289" customFormat="1">
      <c r="A1111" s="277"/>
      <c r="C1111" s="277"/>
      <c r="D1111" s="277"/>
      <c r="E1111" s="277"/>
      <c r="F1111" s="277"/>
      <c r="G1111" s="277"/>
      <c r="H1111" s="277"/>
      <c r="I1111" s="277"/>
      <c r="J1111" s="277"/>
      <c r="K1111" s="277"/>
      <c r="L1111" s="277"/>
      <c r="M1111" s="277"/>
      <c r="N1111" s="277"/>
      <c r="O1111" s="277"/>
      <c r="P1111" s="277"/>
      <c r="Q1111" s="277"/>
      <c r="R1111" s="277"/>
      <c r="S1111" s="277"/>
      <c r="T1111" s="277"/>
      <c r="U1111" s="277"/>
      <c r="V1111" s="277"/>
      <c r="W1111" s="277"/>
      <c r="X1111" s="277"/>
      <c r="Y1111" s="277"/>
      <c r="Z1111" s="277"/>
      <c r="AA1111" s="277"/>
      <c r="AB1111" s="277"/>
      <c r="AC1111" s="277"/>
      <c r="AD1111" s="277"/>
      <c r="AE1111" s="277"/>
      <c r="AF1111" s="277"/>
      <c r="AG1111" s="277"/>
      <c r="AH1111" s="277"/>
      <c r="AI1111" s="277"/>
      <c r="AJ1111" s="277"/>
      <c r="AK1111" s="277"/>
    </row>
    <row r="1112" spans="1:37" s="289" customFormat="1">
      <c r="A1112" s="277"/>
      <c r="C1112" s="277"/>
      <c r="D1112" s="277"/>
      <c r="E1112" s="277"/>
      <c r="F1112" s="277"/>
      <c r="G1112" s="277"/>
      <c r="H1112" s="277"/>
      <c r="I1112" s="277"/>
      <c r="J1112" s="277"/>
      <c r="K1112" s="277"/>
      <c r="L1112" s="277"/>
      <c r="M1112" s="277"/>
      <c r="N1112" s="277"/>
      <c r="O1112" s="277"/>
      <c r="P1112" s="277"/>
      <c r="Q1112" s="277"/>
      <c r="R1112" s="277"/>
      <c r="S1112" s="277"/>
      <c r="T1112" s="277"/>
      <c r="U1112" s="277"/>
      <c r="V1112" s="277"/>
      <c r="W1112" s="277"/>
      <c r="X1112" s="277"/>
      <c r="Y1112" s="277"/>
      <c r="Z1112" s="277"/>
      <c r="AA1112" s="277"/>
      <c r="AB1112" s="277"/>
      <c r="AC1112" s="277"/>
      <c r="AD1112" s="277"/>
      <c r="AE1112" s="277"/>
      <c r="AF1112" s="277"/>
      <c r="AG1112" s="277"/>
      <c r="AH1112" s="277"/>
      <c r="AI1112" s="277"/>
      <c r="AJ1112" s="277"/>
      <c r="AK1112" s="277"/>
    </row>
    <row r="1113" spans="1:37" s="289" customFormat="1">
      <c r="A1113" s="277"/>
      <c r="C1113" s="277"/>
      <c r="D1113" s="277"/>
      <c r="E1113" s="277"/>
      <c r="F1113" s="277"/>
      <c r="G1113" s="277"/>
      <c r="H1113" s="277"/>
      <c r="I1113" s="277"/>
      <c r="J1113" s="277"/>
      <c r="K1113" s="277"/>
      <c r="L1113" s="277"/>
      <c r="M1113" s="277"/>
      <c r="N1113" s="277"/>
      <c r="O1113" s="277"/>
      <c r="P1113" s="277"/>
      <c r="Q1113" s="277"/>
      <c r="R1113" s="277"/>
      <c r="S1113" s="277"/>
      <c r="T1113" s="277"/>
      <c r="U1113" s="277"/>
      <c r="V1113" s="277"/>
      <c r="W1113" s="277"/>
      <c r="X1113" s="277"/>
      <c r="Y1113" s="277"/>
      <c r="Z1113" s="277"/>
      <c r="AA1113" s="277"/>
      <c r="AB1113" s="277"/>
      <c r="AC1113" s="277"/>
      <c r="AD1113" s="277"/>
      <c r="AE1113" s="277"/>
      <c r="AF1113" s="277"/>
      <c r="AG1113" s="277"/>
      <c r="AH1113" s="277"/>
      <c r="AI1113" s="277"/>
      <c r="AJ1113" s="277"/>
      <c r="AK1113" s="277"/>
    </row>
    <row r="1114" spans="1:37" s="289" customFormat="1">
      <c r="A1114" s="277"/>
      <c r="C1114" s="277"/>
      <c r="D1114" s="277"/>
      <c r="E1114" s="277"/>
      <c r="F1114" s="277"/>
      <c r="G1114" s="277"/>
      <c r="H1114" s="277"/>
      <c r="I1114" s="277"/>
      <c r="J1114" s="277"/>
      <c r="K1114" s="277"/>
      <c r="L1114" s="277"/>
      <c r="M1114" s="277"/>
      <c r="N1114" s="277"/>
      <c r="O1114" s="277"/>
      <c r="P1114" s="277"/>
      <c r="Q1114" s="277"/>
      <c r="R1114" s="277"/>
      <c r="S1114" s="277"/>
      <c r="T1114" s="277"/>
      <c r="U1114" s="277"/>
      <c r="V1114" s="277"/>
      <c r="W1114" s="277"/>
      <c r="X1114" s="277"/>
      <c r="Y1114" s="277"/>
      <c r="Z1114" s="277"/>
      <c r="AA1114" s="277"/>
      <c r="AB1114" s="277"/>
      <c r="AC1114" s="277"/>
      <c r="AD1114" s="277"/>
      <c r="AE1114" s="277"/>
      <c r="AF1114" s="277"/>
      <c r="AG1114" s="277"/>
      <c r="AH1114" s="277"/>
      <c r="AI1114" s="277"/>
      <c r="AJ1114" s="277"/>
      <c r="AK1114" s="277"/>
    </row>
    <row r="1115" spans="1:37" s="289" customFormat="1">
      <c r="A1115" s="277"/>
      <c r="C1115" s="277"/>
      <c r="D1115" s="277"/>
      <c r="E1115" s="277"/>
      <c r="F1115" s="277"/>
      <c r="G1115" s="277"/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277"/>
      <c r="R1115" s="277"/>
      <c r="S1115" s="277"/>
      <c r="T1115" s="277"/>
      <c r="U1115" s="277"/>
      <c r="V1115" s="277"/>
      <c r="W1115" s="277"/>
      <c r="X1115" s="277"/>
      <c r="Y1115" s="277"/>
      <c r="Z1115" s="277"/>
      <c r="AA1115" s="277"/>
      <c r="AB1115" s="277"/>
      <c r="AC1115" s="277"/>
      <c r="AD1115" s="277"/>
      <c r="AE1115" s="277"/>
      <c r="AF1115" s="277"/>
      <c r="AG1115" s="277"/>
      <c r="AH1115" s="277"/>
      <c r="AI1115" s="277"/>
      <c r="AJ1115" s="277"/>
      <c r="AK1115" s="277"/>
    </row>
    <row r="1116" spans="1:37" s="289" customFormat="1">
      <c r="A1116" s="277"/>
      <c r="C1116" s="277"/>
      <c r="D1116" s="277"/>
      <c r="E1116" s="277"/>
      <c r="F1116" s="277"/>
      <c r="G1116" s="277"/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277"/>
      <c r="R1116" s="277"/>
      <c r="S1116" s="277"/>
      <c r="T1116" s="277"/>
      <c r="U1116" s="277"/>
      <c r="V1116" s="277"/>
      <c r="W1116" s="277"/>
      <c r="X1116" s="277"/>
      <c r="Y1116" s="277"/>
      <c r="Z1116" s="277"/>
      <c r="AA1116" s="277"/>
      <c r="AB1116" s="277"/>
      <c r="AC1116" s="277"/>
      <c r="AD1116" s="277"/>
      <c r="AE1116" s="277"/>
      <c r="AF1116" s="277"/>
      <c r="AG1116" s="277"/>
      <c r="AH1116" s="277"/>
      <c r="AI1116" s="277"/>
      <c r="AJ1116" s="277"/>
      <c r="AK1116" s="277"/>
    </row>
    <row r="1117" spans="1:37" s="289" customFormat="1">
      <c r="A1117" s="277"/>
      <c r="C1117" s="277"/>
      <c r="D1117" s="277"/>
      <c r="E1117" s="277"/>
      <c r="F1117" s="277"/>
      <c r="G1117" s="277"/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277"/>
      <c r="R1117" s="277"/>
      <c r="S1117" s="277"/>
      <c r="T1117" s="277"/>
      <c r="U1117" s="277"/>
      <c r="V1117" s="277"/>
      <c r="W1117" s="277"/>
      <c r="X1117" s="277"/>
      <c r="Y1117" s="277"/>
      <c r="Z1117" s="277"/>
      <c r="AA1117" s="277"/>
      <c r="AB1117" s="277"/>
      <c r="AC1117" s="277"/>
      <c r="AD1117" s="277"/>
      <c r="AE1117" s="277"/>
      <c r="AF1117" s="277"/>
      <c r="AG1117" s="277"/>
      <c r="AH1117" s="277"/>
      <c r="AI1117" s="277"/>
      <c r="AJ1117" s="277"/>
      <c r="AK1117" s="277"/>
    </row>
    <row r="1118" spans="1:37" s="289" customFormat="1">
      <c r="A1118" s="277"/>
      <c r="C1118" s="277"/>
      <c r="D1118" s="277"/>
      <c r="E1118" s="277"/>
      <c r="F1118" s="277"/>
      <c r="G1118" s="277"/>
      <c r="H1118" s="277"/>
      <c r="I1118" s="277"/>
      <c r="J1118" s="277"/>
      <c r="K1118" s="277"/>
      <c r="L1118" s="277"/>
      <c r="M1118" s="277"/>
      <c r="N1118" s="277"/>
      <c r="O1118" s="277"/>
      <c r="P1118" s="277"/>
      <c r="Q1118" s="277"/>
      <c r="R1118" s="277"/>
      <c r="S1118" s="277"/>
      <c r="T1118" s="277"/>
      <c r="U1118" s="277"/>
      <c r="V1118" s="277"/>
      <c r="W1118" s="277"/>
      <c r="X1118" s="277"/>
      <c r="Y1118" s="277"/>
      <c r="Z1118" s="277"/>
      <c r="AA1118" s="277"/>
      <c r="AB1118" s="277"/>
      <c r="AC1118" s="277"/>
      <c r="AD1118" s="277"/>
      <c r="AE1118" s="277"/>
      <c r="AF1118" s="277"/>
      <c r="AG1118" s="277"/>
      <c r="AH1118" s="277"/>
      <c r="AI1118" s="277"/>
      <c r="AJ1118" s="277"/>
      <c r="AK1118" s="277"/>
    </row>
    <row r="1119" spans="1:37" s="289" customFormat="1">
      <c r="A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L1119" s="277"/>
      <c r="M1119" s="277"/>
      <c r="N1119" s="277"/>
      <c r="O1119" s="277"/>
      <c r="P1119" s="277"/>
      <c r="Q1119" s="277"/>
      <c r="R1119" s="277"/>
      <c r="S1119" s="277"/>
      <c r="T1119" s="277"/>
      <c r="U1119" s="277"/>
      <c r="V1119" s="277"/>
      <c r="W1119" s="277"/>
      <c r="X1119" s="277"/>
      <c r="Y1119" s="277"/>
      <c r="Z1119" s="277"/>
      <c r="AA1119" s="277"/>
      <c r="AB1119" s="277"/>
      <c r="AC1119" s="277"/>
      <c r="AD1119" s="277"/>
      <c r="AE1119" s="277"/>
      <c r="AF1119" s="277"/>
      <c r="AG1119" s="277"/>
      <c r="AH1119" s="277"/>
      <c r="AI1119" s="277"/>
      <c r="AJ1119" s="277"/>
      <c r="AK1119" s="277"/>
    </row>
    <row r="1120" spans="1:37" s="289" customFormat="1">
      <c r="A1120" s="277"/>
      <c r="C1120" s="277"/>
      <c r="D1120" s="277"/>
      <c r="E1120" s="277"/>
      <c r="F1120" s="277"/>
      <c r="G1120" s="277"/>
      <c r="H1120" s="277"/>
      <c r="I1120" s="277"/>
      <c r="J1120" s="277"/>
      <c r="K1120" s="277"/>
      <c r="L1120" s="277"/>
      <c r="M1120" s="277"/>
      <c r="N1120" s="277"/>
      <c r="O1120" s="277"/>
      <c r="P1120" s="277"/>
      <c r="Q1120" s="277"/>
      <c r="R1120" s="277"/>
      <c r="S1120" s="277"/>
      <c r="T1120" s="277"/>
      <c r="U1120" s="277"/>
      <c r="V1120" s="277"/>
      <c r="W1120" s="277"/>
      <c r="X1120" s="277"/>
      <c r="Y1120" s="277"/>
      <c r="Z1120" s="277"/>
      <c r="AA1120" s="277"/>
      <c r="AB1120" s="277"/>
      <c r="AC1120" s="277"/>
      <c r="AD1120" s="277"/>
      <c r="AE1120" s="277"/>
      <c r="AF1120" s="277"/>
      <c r="AG1120" s="277"/>
      <c r="AH1120" s="277"/>
      <c r="AI1120" s="277"/>
      <c r="AJ1120" s="277"/>
      <c r="AK1120" s="277"/>
    </row>
    <row r="1121" spans="1:37" s="289" customFormat="1">
      <c r="A1121" s="277"/>
      <c r="C1121" s="277"/>
      <c r="D1121" s="277"/>
      <c r="E1121" s="277"/>
      <c r="F1121" s="277"/>
      <c r="G1121" s="277"/>
      <c r="H1121" s="277"/>
      <c r="I1121" s="277"/>
      <c r="J1121" s="277"/>
      <c r="K1121" s="277"/>
      <c r="L1121" s="277"/>
      <c r="M1121" s="277"/>
      <c r="N1121" s="277"/>
      <c r="O1121" s="277"/>
      <c r="P1121" s="277"/>
      <c r="Q1121" s="277"/>
      <c r="R1121" s="277"/>
      <c r="S1121" s="277"/>
      <c r="T1121" s="277"/>
      <c r="U1121" s="277"/>
      <c r="V1121" s="277"/>
      <c r="W1121" s="277"/>
      <c r="X1121" s="277"/>
      <c r="Y1121" s="277"/>
      <c r="Z1121" s="277"/>
      <c r="AA1121" s="277"/>
      <c r="AB1121" s="277"/>
      <c r="AC1121" s="277"/>
      <c r="AD1121" s="277"/>
      <c r="AE1121" s="277"/>
      <c r="AF1121" s="277"/>
      <c r="AG1121" s="277"/>
      <c r="AH1121" s="277"/>
      <c r="AI1121" s="277"/>
      <c r="AJ1121" s="277"/>
      <c r="AK1121" s="277"/>
    </row>
    <row r="1122" spans="1:37" s="289" customFormat="1">
      <c r="A1122" s="277"/>
      <c r="C1122" s="277"/>
      <c r="D1122" s="277"/>
      <c r="E1122" s="277"/>
      <c r="F1122" s="277"/>
      <c r="G1122" s="277"/>
      <c r="H1122" s="277"/>
      <c r="I1122" s="277"/>
      <c r="J1122" s="277"/>
      <c r="K1122" s="277"/>
      <c r="L1122" s="277"/>
      <c r="M1122" s="277"/>
      <c r="N1122" s="277"/>
      <c r="O1122" s="277"/>
      <c r="P1122" s="277"/>
      <c r="Q1122" s="277"/>
      <c r="R1122" s="277"/>
      <c r="S1122" s="277"/>
      <c r="T1122" s="277"/>
      <c r="U1122" s="277"/>
      <c r="V1122" s="277"/>
      <c r="W1122" s="277"/>
      <c r="X1122" s="277"/>
      <c r="Y1122" s="277"/>
      <c r="Z1122" s="277"/>
      <c r="AA1122" s="277"/>
      <c r="AB1122" s="277"/>
      <c r="AC1122" s="277"/>
      <c r="AD1122" s="277"/>
      <c r="AE1122" s="277"/>
      <c r="AF1122" s="277"/>
      <c r="AG1122" s="277"/>
      <c r="AH1122" s="277"/>
      <c r="AI1122" s="277"/>
      <c r="AJ1122" s="277"/>
      <c r="AK1122" s="277"/>
    </row>
    <row r="1123" spans="1:37" s="289" customFormat="1">
      <c r="A1123" s="277"/>
      <c r="C1123" s="277"/>
      <c r="D1123" s="277"/>
      <c r="E1123" s="277"/>
      <c r="F1123" s="277"/>
      <c r="G1123" s="277"/>
      <c r="H1123" s="277"/>
      <c r="I1123" s="277"/>
      <c r="J1123" s="277"/>
      <c r="K1123" s="277"/>
      <c r="L1123" s="277"/>
      <c r="M1123" s="277"/>
      <c r="N1123" s="277"/>
      <c r="O1123" s="277"/>
      <c r="P1123" s="277"/>
      <c r="Q1123" s="277"/>
      <c r="R1123" s="277"/>
      <c r="S1123" s="277"/>
      <c r="T1123" s="277"/>
      <c r="U1123" s="277"/>
      <c r="V1123" s="277"/>
      <c r="W1123" s="277"/>
      <c r="X1123" s="277"/>
      <c r="Y1123" s="277"/>
      <c r="Z1123" s="277"/>
      <c r="AA1123" s="277"/>
      <c r="AB1123" s="277"/>
      <c r="AC1123" s="277"/>
      <c r="AD1123" s="277"/>
      <c r="AE1123" s="277"/>
      <c r="AF1123" s="277"/>
      <c r="AG1123" s="277"/>
      <c r="AH1123" s="277"/>
      <c r="AI1123" s="277"/>
      <c r="AJ1123" s="277"/>
      <c r="AK1123" s="277"/>
    </row>
    <row r="1124" spans="1:37" s="289" customFormat="1">
      <c r="A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7"/>
      <c r="O1124" s="277"/>
      <c r="P1124" s="277"/>
      <c r="Q1124" s="277"/>
      <c r="R1124" s="277"/>
      <c r="S1124" s="277"/>
      <c r="T1124" s="277"/>
      <c r="U1124" s="277"/>
      <c r="V1124" s="277"/>
      <c r="W1124" s="277"/>
      <c r="X1124" s="277"/>
      <c r="Y1124" s="277"/>
      <c r="Z1124" s="277"/>
      <c r="AA1124" s="277"/>
      <c r="AB1124" s="277"/>
      <c r="AC1124" s="277"/>
      <c r="AD1124" s="277"/>
      <c r="AE1124" s="277"/>
      <c r="AF1124" s="277"/>
      <c r="AG1124" s="277"/>
      <c r="AH1124" s="277"/>
      <c r="AI1124" s="277"/>
      <c r="AJ1124" s="277"/>
      <c r="AK1124" s="277"/>
    </row>
    <row r="1125" spans="1:37" s="289" customFormat="1">
      <c r="A1125" s="277"/>
      <c r="C1125" s="277"/>
      <c r="D1125" s="277"/>
      <c r="E1125" s="277"/>
      <c r="F1125" s="277"/>
      <c r="G1125" s="277"/>
      <c r="H1125" s="277"/>
      <c r="I1125" s="277"/>
      <c r="J1125" s="277"/>
      <c r="K1125" s="277"/>
      <c r="L1125" s="277"/>
      <c r="M1125" s="277"/>
      <c r="N1125" s="277"/>
      <c r="O1125" s="277"/>
      <c r="P1125" s="277"/>
      <c r="Q1125" s="277"/>
      <c r="R1125" s="277"/>
      <c r="S1125" s="277"/>
      <c r="T1125" s="277"/>
      <c r="U1125" s="277"/>
      <c r="V1125" s="277"/>
      <c r="W1125" s="277"/>
      <c r="X1125" s="277"/>
      <c r="Y1125" s="277"/>
      <c r="Z1125" s="277"/>
      <c r="AA1125" s="277"/>
      <c r="AB1125" s="277"/>
      <c r="AC1125" s="277"/>
      <c r="AD1125" s="277"/>
      <c r="AE1125" s="277"/>
      <c r="AF1125" s="277"/>
      <c r="AG1125" s="277"/>
      <c r="AH1125" s="277"/>
      <c r="AI1125" s="277"/>
      <c r="AJ1125" s="277"/>
      <c r="AK1125" s="277"/>
    </row>
    <row r="1126" spans="1:37" s="289" customFormat="1">
      <c r="A1126" s="277"/>
      <c r="C1126" s="277"/>
      <c r="D1126" s="277"/>
      <c r="E1126" s="277"/>
      <c r="F1126" s="277"/>
      <c r="G1126" s="277"/>
      <c r="H1126" s="277"/>
      <c r="I1126" s="277"/>
      <c r="J1126" s="277"/>
      <c r="K1126" s="277"/>
      <c r="L1126" s="277"/>
      <c r="M1126" s="277"/>
      <c r="N1126" s="277"/>
      <c r="O1126" s="277"/>
      <c r="P1126" s="277"/>
      <c r="Q1126" s="277"/>
      <c r="R1126" s="277"/>
      <c r="S1126" s="277"/>
      <c r="T1126" s="277"/>
      <c r="U1126" s="277"/>
      <c r="V1126" s="277"/>
      <c r="W1126" s="277"/>
      <c r="X1126" s="277"/>
      <c r="Y1126" s="277"/>
      <c r="Z1126" s="277"/>
      <c r="AA1126" s="277"/>
      <c r="AB1126" s="277"/>
      <c r="AC1126" s="277"/>
      <c r="AD1126" s="277"/>
      <c r="AE1126" s="277"/>
      <c r="AF1126" s="277"/>
      <c r="AG1126" s="277"/>
      <c r="AH1126" s="277"/>
      <c r="AI1126" s="277"/>
      <c r="AJ1126" s="277"/>
      <c r="AK1126" s="277"/>
    </row>
    <row r="1127" spans="1:37" s="289" customFormat="1">
      <c r="A1127" s="277"/>
      <c r="C1127" s="277"/>
      <c r="D1127" s="277"/>
      <c r="E1127" s="277"/>
      <c r="F1127" s="277"/>
      <c r="G1127" s="277"/>
      <c r="H1127" s="277"/>
      <c r="I1127" s="277"/>
      <c r="J1127" s="277"/>
      <c r="K1127" s="277"/>
      <c r="L1127" s="277"/>
      <c r="M1127" s="277"/>
      <c r="N1127" s="277"/>
      <c r="O1127" s="277"/>
      <c r="P1127" s="277"/>
      <c r="Q1127" s="277"/>
      <c r="R1127" s="277"/>
      <c r="S1127" s="277"/>
      <c r="T1127" s="277"/>
      <c r="U1127" s="277"/>
      <c r="V1127" s="277"/>
      <c r="W1127" s="277"/>
      <c r="X1127" s="277"/>
      <c r="Y1127" s="277"/>
      <c r="Z1127" s="277"/>
      <c r="AA1127" s="277"/>
      <c r="AB1127" s="277"/>
      <c r="AC1127" s="277"/>
      <c r="AD1127" s="277"/>
      <c r="AE1127" s="277"/>
      <c r="AF1127" s="277"/>
      <c r="AG1127" s="277"/>
      <c r="AH1127" s="277"/>
      <c r="AI1127" s="277"/>
      <c r="AJ1127" s="277"/>
      <c r="AK1127" s="277"/>
    </row>
    <row r="1128" spans="1:37" s="289" customFormat="1">
      <c r="A1128" s="277"/>
      <c r="C1128" s="277"/>
      <c r="D1128" s="277"/>
      <c r="E1128" s="277"/>
      <c r="F1128" s="277"/>
      <c r="G1128" s="277"/>
      <c r="H1128" s="277"/>
      <c r="I1128" s="277"/>
      <c r="J1128" s="277"/>
      <c r="K1128" s="277"/>
      <c r="L1128" s="277"/>
      <c r="M1128" s="277"/>
      <c r="N1128" s="277"/>
      <c r="O1128" s="277"/>
      <c r="P1128" s="277"/>
      <c r="Q1128" s="277"/>
      <c r="R1128" s="277"/>
      <c r="S1128" s="277"/>
      <c r="T1128" s="277"/>
      <c r="U1128" s="277"/>
      <c r="V1128" s="277"/>
      <c r="W1128" s="277"/>
      <c r="X1128" s="277"/>
      <c r="Y1128" s="277"/>
      <c r="Z1128" s="277"/>
      <c r="AA1128" s="277"/>
      <c r="AB1128" s="277"/>
      <c r="AC1128" s="277"/>
      <c r="AD1128" s="277"/>
      <c r="AE1128" s="277"/>
      <c r="AF1128" s="277"/>
      <c r="AG1128" s="277"/>
      <c r="AH1128" s="277"/>
      <c r="AI1128" s="277"/>
      <c r="AJ1128" s="277"/>
      <c r="AK1128" s="277"/>
    </row>
    <row r="1129" spans="1:37" s="289" customFormat="1">
      <c r="A1129" s="277"/>
      <c r="C1129" s="277"/>
      <c r="D1129" s="277"/>
      <c r="E1129" s="277"/>
      <c r="F1129" s="277"/>
      <c r="G1129" s="277"/>
      <c r="H1129" s="277"/>
      <c r="I1129" s="277"/>
      <c r="J1129" s="277"/>
      <c r="K1129" s="277"/>
      <c r="L1129" s="277"/>
      <c r="M1129" s="277"/>
      <c r="N1129" s="277"/>
      <c r="O1129" s="277"/>
      <c r="P1129" s="277"/>
      <c r="Q1129" s="277"/>
      <c r="R1129" s="277"/>
      <c r="S1129" s="277"/>
      <c r="T1129" s="277"/>
      <c r="U1129" s="277"/>
      <c r="V1129" s="277"/>
      <c r="W1129" s="277"/>
      <c r="X1129" s="277"/>
      <c r="Y1129" s="277"/>
      <c r="Z1129" s="277"/>
      <c r="AA1129" s="277"/>
      <c r="AB1129" s="277"/>
      <c r="AC1129" s="277"/>
      <c r="AD1129" s="277"/>
      <c r="AE1129" s="277"/>
      <c r="AF1129" s="277"/>
      <c r="AG1129" s="277"/>
      <c r="AH1129" s="277"/>
      <c r="AI1129" s="277"/>
      <c r="AJ1129" s="277"/>
      <c r="AK1129" s="277"/>
    </row>
    <row r="1130" spans="1:37" s="289" customFormat="1">
      <c r="A1130" s="277"/>
      <c r="C1130" s="277"/>
      <c r="D1130" s="277"/>
      <c r="E1130" s="277"/>
      <c r="F1130" s="277"/>
      <c r="G1130" s="277"/>
      <c r="H1130" s="277"/>
      <c r="I1130" s="277"/>
      <c r="J1130" s="277"/>
      <c r="K1130" s="277"/>
      <c r="L1130" s="277"/>
      <c r="M1130" s="277"/>
      <c r="N1130" s="277"/>
      <c r="O1130" s="277"/>
      <c r="P1130" s="277"/>
      <c r="Q1130" s="277"/>
      <c r="R1130" s="277"/>
      <c r="S1130" s="277"/>
      <c r="T1130" s="277"/>
      <c r="U1130" s="277"/>
      <c r="V1130" s="277"/>
      <c r="W1130" s="277"/>
      <c r="X1130" s="277"/>
      <c r="Y1130" s="277"/>
      <c r="Z1130" s="277"/>
      <c r="AA1130" s="277"/>
      <c r="AB1130" s="277"/>
      <c r="AC1130" s="277"/>
      <c r="AD1130" s="277"/>
      <c r="AE1130" s="277"/>
      <c r="AF1130" s="277"/>
      <c r="AG1130" s="277"/>
      <c r="AH1130" s="277"/>
      <c r="AI1130" s="277"/>
      <c r="AJ1130" s="277"/>
      <c r="AK1130" s="277"/>
    </row>
    <row r="1131" spans="1:37" s="289" customFormat="1">
      <c r="A1131" s="277"/>
      <c r="C1131" s="277"/>
      <c r="D1131" s="277"/>
      <c r="E1131" s="277"/>
      <c r="F1131" s="277"/>
      <c r="G1131" s="277"/>
      <c r="H1131" s="277"/>
      <c r="I1131" s="277"/>
      <c r="J1131" s="277"/>
      <c r="K1131" s="277"/>
      <c r="L1131" s="277"/>
      <c r="M1131" s="277"/>
      <c r="N1131" s="277"/>
      <c r="O1131" s="277"/>
      <c r="P1131" s="277"/>
      <c r="Q1131" s="277"/>
      <c r="R1131" s="277"/>
      <c r="S1131" s="277"/>
      <c r="T1131" s="277"/>
      <c r="U1131" s="277"/>
      <c r="V1131" s="277"/>
      <c r="W1131" s="277"/>
      <c r="X1131" s="277"/>
      <c r="Y1131" s="277"/>
      <c r="Z1131" s="277"/>
      <c r="AA1131" s="277"/>
      <c r="AB1131" s="277"/>
      <c r="AC1131" s="277"/>
      <c r="AD1131" s="277"/>
      <c r="AE1131" s="277"/>
      <c r="AF1131" s="277"/>
      <c r="AG1131" s="277"/>
      <c r="AH1131" s="277"/>
      <c r="AI1131" s="277"/>
      <c r="AJ1131" s="277"/>
      <c r="AK1131" s="277"/>
    </row>
    <row r="1132" spans="1:37" s="289" customFormat="1">
      <c r="A1132" s="277"/>
      <c r="C1132" s="277"/>
      <c r="D1132" s="277"/>
      <c r="E1132" s="277"/>
      <c r="F1132" s="277"/>
      <c r="G1132" s="277"/>
      <c r="H1132" s="277"/>
      <c r="I1132" s="277"/>
      <c r="J1132" s="277"/>
      <c r="K1132" s="277"/>
      <c r="L1132" s="277"/>
      <c r="M1132" s="277"/>
      <c r="N1132" s="277"/>
      <c r="O1132" s="277"/>
      <c r="P1132" s="277"/>
      <c r="Q1132" s="277"/>
      <c r="R1132" s="277"/>
      <c r="S1132" s="277"/>
      <c r="T1132" s="277"/>
      <c r="U1132" s="277"/>
      <c r="V1132" s="277"/>
      <c r="W1132" s="277"/>
      <c r="X1132" s="277"/>
      <c r="Y1132" s="277"/>
      <c r="Z1132" s="277"/>
      <c r="AA1132" s="277"/>
      <c r="AB1132" s="277"/>
      <c r="AC1132" s="277"/>
      <c r="AD1132" s="277"/>
      <c r="AE1132" s="277"/>
      <c r="AF1132" s="277"/>
      <c r="AG1132" s="277"/>
      <c r="AH1132" s="277"/>
      <c r="AI1132" s="277"/>
      <c r="AJ1132" s="277"/>
      <c r="AK1132" s="277"/>
    </row>
    <row r="1133" spans="1:37" s="289" customFormat="1">
      <c r="A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7"/>
      <c r="O1133" s="277"/>
      <c r="P1133" s="277"/>
      <c r="Q1133" s="277"/>
      <c r="R1133" s="277"/>
      <c r="S1133" s="277"/>
      <c r="T1133" s="277"/>
      <c r="U1133" s="277"/>
      <c r="V1133" s="277"/>
      <c r="W1133" s="277"/>
      <c r="X1133" s="277"/>
      <c r="Y1133" s="277"/>
      <c r="Z1133" s="277"/>
      <c r="AA1133" s="277"/>
      <c r="AB1133" s="277"/>
      <c r="AC1133" s="277"/>
      <c r="AD1133" s="277"/>
      <c r="AE1133" s="277"/>
      <c r="AF1133" s="277"/>
      <c r="AG1133" s="277"/>
      <c r="AH1133" s="277"/>
      <c r="AI1133" s="277"/>
      <c r="AJ1133" s="277"/>
      <c r="AK1133" s="277"/>
    </row>
    <row r="1134" spans="1:37" s="289" customFormat="1">
      <c r="A1134" s="277"/>
      <c r="C1134" s="277"/>
      <c r="D1134" s="277"/>
      <c r="E1134" s="277"/>
      <c r="F1134" s="277"/>
      <c r="G1134" s="277"/>
      <c r="H1134" s="277"/>
      <c r="I1134" s="277"/>
      <c r="J1134" s="277"/>
      <c r="K1134" s="277"/>
      <c r="L1134" s="277"/>
      <c r="M1134" s="277"/>
      <c r="N1134" s="277"/>
      <c r="O1134" s="277"/>
      <c r="P1134" s="277"/>
      <c r="Q1134" s="277"/>
      <c r="R1134" s="277"/>
      <c r="S1134" s="277"/>
      <c r="T1134" s="277"/>
      <c r="U1134" s="277"/>
      <c r="V1134" s="277"/>
      <c r="W1134" s="277"/>
      <c r="X1134" s="277"/>
      <c r="Y1134" s="277"/>
      <c r="Z1134" s="277"/>
      <c r="AA1134" s="277"/>
      <c r="AB1134" s="277"/>
      <c r="AC1134" s="277"/>
      <c r="AD1134" s="277"/>
      <c r="AE1134" s="277"/>
      <c r="AF1134" s="277"/>
      <c r="AG1134" s="277"/>
      <c r="AH1134" s="277"/>
      <c r="AI1134" s="277"/>
      <c r="AJ1134" s="277"/>
      <c r="AK1134" s="277"/>
    </row>
    <row r="1135" spans="1:37" s="289" customFormat="1">
      <c r="A1135" s="277"/>
      <c r="C1135" s="277"/>
      <c r="D1135" s="277"/>
      <c r="E1135" s="277"/>
      <c r="F1135" s="277"/>
      <c r="G1135" s="277"/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277"/>
      <c r="R1135" s="277"/>
      <c r="S1135" s="277"/>
      <c r="T1135" s="277"/>
      <c r="U1135" s="277"/>
      <c r="V1135" s="277"/>
      <c r="W1135" s="277"/>
      <c r="X1135" s="277"/>
      <c r="Y1135" s="277"/>
      <c r="Z1135" s="277"/>
      <c r="AA1135" s="277"/>
      <c r="AB1135" s="277"/>
      <c r="AC1135" s="277"/>
      <c r="AD1135" s="277"/>
      <c r="AE1135" s="277"/>
      <c r="AF1135" s="277"/>
      <c r="AG1135" s="277"/>
      <c r="AH1135" s="277"/>
      <c r="AI1135" s="277"/>
      <c r="AJ1135" s="277"/>
      <c r="AK1135" s="277"/>
    </row>
    <row r="1136" spans="1:37" s="289" customFormat="1">
      <c r="A1136" s="277"/>
      <c r="C1136" s="277"/>
      <c r="D1136" s="277"/>
      <c r="E1136" s="277"/>
      <c r="F1136" s="277"/>
      <c r="G1136" s="277"/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277"/>
      <c r="R1136" s="277"/>
      <c r="S1136" s="277"/>
      <c r="T1136" s="277"/>
      <c r="U1136" s="277"/>
      <c r="V1136" s="277"/>
      <c r="W1136" s="277"/>
      <c r="X1136" s="277"/>
      <c r="Y1136" s="277"/>
      <c r="Z1136" s="277"/>
      <c r="AA1136" s="277"/>
      <c r="AB1136" s="277"/>
      <c r="AC1136" s="277"/>
      <c r="AD1136" s="277"/>
      <c r="AE1136" s="277"/>
      <c r="AF1136" s="277"/>
      <c r="AG1136" s="277"/>
      <c r="AH1136" s="277"/>
      <c r="AI1136" s="277"/>
      <c r="AJ1136" s="277"/>
      <c r="AK1136" s="277"/>
    </row>
    <row r="1137" spans="1:37" s="289" customFormat="1">
      <c r="A1137" s="277"/>
      <c r="C1137" s="277"/>
      <c r="D1137" s="277"/>
      <c r="E1137" s="277"/>
      <c r="F1137" s="277"/>
      <c r="G1137" s="277"/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277"/>
      <c r="R1137" s="277"/>
      <c r="S1137" s="277"/>
      <c r="T1137" s="277"/>
      <c r="U1137" s="277"/>
      <c r="V1137" s="277"/>
      <c r="W1137" s="277"/>
      <c r="X1137" s="277"/>
      <c r="Y1137" s="277"/>
      <c r="Z1137" s="277"/>
      <c r="AA1137" s="277"/>
      <c r="AB1137" s="277"/>
      <c r="AC1137" s="277"/>
      <c r="AD1137" s="277"/>
      <c r="AE1137" s="277"/>
      <c r="AF1137" s="277"/>
      <c r="AG1137" s="277"/>
      <c r="AH1137" s="277"/>
      <c r="AI1137" s="277"/>
      <c r="AJ1137" s="277"/>
      <c r="AK1137" s="277"/>
    </row>
    <row r="1138" spans="1:37" s="289" customFormat="1">
      <c r="A1138" s="277"/>
      <c r="C1138" s="277"/>
      <c r="D1138" s="277"/>
      <c r="E1138" s="277"/>
      <c r="F1138" s="277"/>
      <c r="G1138" s="277"/>
      <c r="H1138" s="277"/>
      <c r="I1138" s="277"/>
      <c r="J1138" s="277"/>
      <c r="K1138" s="277"/>
      <c r="L1138" s="277"/>
      <c r="M1138" s="277"/>
      <c r="N1138" s="277"/>
      <c r="O1138" s="277"/>
      <c r="P1138" s="277"/>
      <c r="Q1138" s="277"/>
      <c r="R1138" s="277"/>
      <c r="S1138" s="277"/>
      <c r="T1138" s="277"/>
      <c r="U1138" s="277"/>
      <c r="V1138" s="277"/>
      <c r="W1138" s="277"/>
      <c r="X1138" s="277"/>
      <c r="Y1138" s="277"/>
      <c r="Z1138" s="277"/>
      <c r="AA1138" s="277"/>
      <c r="AB1138" s="277"/>
      <c r="AC1138" s="277"/>
      <c r="AD1138" s="277"/>
      <c r="AE1138" s="277"/>
      <c r="AF1138" s="277"/>
      <c r="AG1138" s="277"/>
      <c r="AH1138" s="277"/>
      <c r="AI1138" s="277"/>
      <c r="AJ1138" s="277"/>
      <c r="AK1138" s="277"/>
    </row>
    <row r="1139" spans="1:37" s="289" customFormat="1">
      <c r="A1139" s="277"/>
      <c r="C1139" s="277"/>
      <c r="D1139" s="277"/>
      <c r="E1139" s="277"/>
      <c r="F1139" s="277"/>
      <c r="G1139" s="277"/>
      <c r="H1139" s="277"/>
      <c r="I1139" s="277"/>
      <c r="J1139" s="277"/>
      <c r="K1139" s="277"/>
      <c r="L1139" s="277"/>
      <c r="M1139" s="277"/>
      <c r="N1139" s="277"/>
      <c r="O1139" s="277"/>
      <c r="P1139" s="277"/>
      <c r="Q1139" s="277"/>
      <c r="R1139" s="277"/>
      <c r="S1139" s="277"/>
      <c r="T1139" s="277"/>
      <c r="U1139" s="277"/>
      <c r="V1139" s="277"/>
      <c r="W1139" s="277"/>
      <c r="X1139" s="277"/>
      <c r="Y1139" s="277"/>
      <c r="Z1139" s="277"/>
      <c r="AA1139" s="277"/>
      <c r="AB1139" s="277"/>
      <c r="AC1139" s="277"/>
      <c r="AD1139" s="277"/>
      <c r="AE1139" s="277"/>
      <c r="AF1139" s="277"/>
      <c r="AG1139" s="277"/>
      <c r="AH1139" s="277"/>
      <c r="AI1139" s="277"/>
      <c r="AJ1139" s="277"/>
      <c r="AK1139" s="277"/>
    </row>
    <row r="1140" spans="1:37" s="289" customFormat="1">
      <c r="A1140" s="277"/>
      <c r="C1140" s="277"/>
      <c r="D1140" s="277"/>
      <c r="E1140" s="277"/>
      <c r="F1140" s="277"/>
      <c r="G1140" s="277"/>
      <c r="H1140" s="277"/>
      <c r="I1140" s="277"/>
      <c r="J1140" s="277"/>
      <c r="K1140" s="277"/>
      <c r="L1140" s="277"/>
      <c r="M1140" s="277"/>
      <c r="N1140" s="277"/>
      <c r="O1140" s="277"/>
      <c r="P1140" s="277"/>
      <c r="Q1140" s="277"/>
      <c r="R1140" s="277"/>
      <c r="S1140" s="277"/>
      <c r="T1140" s="277"/>
      <c r="U1140" s="277"/>
      <c r="V1140" s="277"/>
      <c r="W1140" s="277"/>
      <c r="X1140" s="277"/>
      <c r="Y1140" s="277"/>
      <c r="Z1140" s="277"/>
      <c r="AA1140" s="277"/>
      <c r="AB1140" s="277"/>
      <c r="AC1140" s="277"/>
      <c r="AD1140" s="277"/>
      <c r="AE1140" s="277"/>
      <c r="AF1140" s="277"/>
      <c r="AG1140" s="277"/>
      <c r="AH1140" s="277"/>
      <c r="AI1140" s="277"/>
      <c r="AJ1140" s="277"/>
      <c r="AK1140" s="277"/>
    </row>
    <row r="1141" spans="1:37" s="289" customFormat="1">
      <c r="A1141" s="277"/>
      <c r="C1141" s="277"/>
      <c r="D1141" s="277"/>
      <c r="E1141" s="277"/>
      <c r="F1141" s="277"/>
      <c r="G1141" s="277"/>
      <c r="H1141" s="277"/>
      <c r="I1141" s="277"/>
      <c r="J1141" s="277"/>
      <c r="K1141" s="277"/>
      <c r="L1141" s="277"/>
      <c r="M1141" s="277"/>
      <c r="N1141" s="277"/>
      <c r="O1141" s="277"/>
      <c r="P1141" s="277"/>
      <c r="Q1141" s="277"/>
      <c r="R1141" s="277"/>
      <c r="S1141" s="277"/>
      <c r="T1141" s="277"/>
      <c r="U1141" s="277"/>
      <c r="V1141" s="277"/>
      <c r="W1141" s="277"/>
      <c r="X1141" s="277"/>
      <c r="Y1141" s="277"/>
      <c r="Z1141" s="277"/>
      <c r="AA1141" s="277"/>
      <c r="AB1141" s="277"/>
      <c r="AC1141" s="277"/>
      <c r="AD1141" s="277"/>
      <c r="AE1141" s="277"/>
      <c r="AF1141" s="277"/>
      <c r="AG1141" s="277"/>
      <c r="AH1141" s="277"/>
      <c r="AI1141" s="277"/>
      <c r="AJ1141" s="277"/>
      <c r="AK1141" s="277"/>
    </row>
    <row r="1142" spans="1:37" s="289" customFormat="1">
      <c r="A1142" s="277"/>
      <c r="C1142" s="277"/>
      <c r="D1142" s="277"/>
      <c r="E1142" s="277"/>
      <c r="F1142" s="277"/>
      <c r="G1142" s="277"/>
      <c r="H1142" s="277"/>
      <c r="I1142" s="277"/>
      <c r="J1142" s="277"/>
      <c r="K1142" s="277"/>
      <c r="L1142" s="277"/>
      <c r="M1142" s="277"/>
      <c r="N1142" s="277"/>
      <c r="O1142" s="277"/>
      <c r="P1142" s="277"/>
      <c r="Q1142" s="277"/>
      <c r="R1142" s="277"/>
      <c r="S1142" s="277"/>
      <c r="T1142" s="277"/>
      <c r="U1142" s="277"/>
      <c r="V1142" s="277"/>
      <c r="W1142" s="277"/>
      <c r="X1142" s="277"/>
      <c r="Y1142" s="277"/>
      <c r="Z1142" s="277"/>
      <c r="AA1142" s="277"/>
      <c r="AB1142" s="277"/>
      <c r="AC1142" s="277"/>
      <c r="AD1142" s="277"/>
      <c r="AE1142" s="277"/>
      <c r="AF1142" s="277"/>
      <c r="AG1142" s="277"/>
      <c r="AH1142" s="277"/>
      <c r="AI1142" s="277"/>
      <c r="AJ1142" s="277"/>
      <c r="AK1142" s="277"/>
    </row>
    <row r="1143" spans="1:37" s="289" customFormat="1">
      <c r="A1143" s="277"/>
      <c r="C1143" s="277"/>
      <c r="D1143" s="277"/>
      <c r="E1143" s="277"/>
      <c r="F1143" s="277"/>
      <c r="G1143" s="277"/>
      <c r="H1143" s="277"/>
      <c r="I1143" s="277"/>
      <c r="J1143" s="277"/>
      <c r="K1143" s="277"/>
      <c r="L1143" s="277"/>
      <c r="M1143" s="277"/>
      <c r="N1143" s="277"/>
      <c r="O1143" s="277"/>
      <c r="P1143" s="277"/>
      <c r="Q1143" s="277"/>
      <c r="R1143" s="277"/>
      <c r="S1143" s="277"/>
      <c r="T1143" s="277"/>
      <c r="U1143" s="277"/>
      <c r="V1143" s="277"/>
      <c r="W1143" s="277"/>
      <c r="X1143" s="277"/>
      <c r="Y1143" s="277"/>
      <c r="Z1143" s="277"/>
      <c r="AA1143" s="277"/>
      <c r="AB1143" s="277"/>
      <c r="AC1143" s="277"/>
      <c r="AD1143" s="277"/>
      <c r="AE1143" s="277"/>
      <c r="AF1143" s="277"/>
      <c r="AG1143" s="277"/>
      <c r="AH1143" s="277"/>
      <c r="AI1143" s="277"/>
      <c r="AJ1143" s="277"/>
      <c r="AK1143" s="277"/>
    </row>
    <row r="1144" spans="1:37" s="289" customFormat="1">
      <c r="A1144" s="277"/>
      <c r="C1144" s="277"/>
      <c r="D1144" s="277"/>
      <c r="E1144" s="277"/>
      <c r="F1144" s="277"/>
      <c r="G1144" s="277"/>
      <c r="H1144" s="277"/>
      <c r="I1144" s="277"/>
      <c r="J1144" s="277"/>
      <c r="K1144" s="277"/>
      <c r="L1144" s="277"/>
      <c r="M1144" s="277"/>
      <c r="N1144" s="277"/>
      <c r="O1144" s="277"/>
      <c r="P1144" s="277"/>
      <c r="Q1144" s="277"/>
      <c r="R1144" s="277"/>
      <c r="S1144" s="277"/>
      <c r="T1144" s="277"/>
      <c r="U1144" s="277"/>
      <c r="V1144" s="277"/>
      <c r="W1144" s="277"/>
      <c r="X1144" s="277"/>
      <c r="Y1144" s="277"/>
      <c r="Z1144" s="277"/>
      <c r="AA1144" s="277"/>
      <c r="AB1144" s="277"/>
      <c r="AC1144" s="277"/>
      <c r="AD1144" s="277"/>
      <c r="AE1144" s="277"/>
      <c r="AF1144" s="277"/>
      <c r="AG1144" s="277"/>
      <c r="AH1144" s="277"/>
      <c r="AI1144" s="277"/>
      <c r="AJ1144" s="277"/>
      <c r="AK1144" s="277"/>
    </row>
    <row r="1145" spans="1:37" s="289" customFormat="1">
      <c r="A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7"/>
      <c r="O1145" s="277"/>
      <c r="P1145" s="277"/>
      <c r="Q1145" s="277"/>
      <c r="R1145" s="277"/>
      <c r="S1145" s="277"/>
      <c r="T1145" s="277"/>
      <c r="U1145" s="277"/>
      <c r="V1145" s="277"/>
      <c r="W1145" s="277"/>
      <c r="X1145" s="277"/>
      <c r="Y1145" s="277"/>
      <c r="Z1145" s="277"/>
      <c r="AA1145" s="277"/>
      <c r="AB1145" s="277"/>
      <c r="AC1145" s="277"/>
      <c r="AD1145" s="277"/>
      <c r="AE1145" s="277"/>
      <c r="AF1145" s="277"/>
      <c r="AG1145" s="277"/>
      <c r="AH1145" s="277"/>
      <c r="AI1145" s="277"/>
      <c r="AJ1145" s="277"/>
      <c r="AK1145" s="277"/>
    </row>
    <row r="1146" spans="1:37" s="289" customFormat="1">
      <c r="A1146" s="277"/>
      <c r="C1146" s="277"/>
      <c r="D1146" s="277"/>
      <c r="E1146" s="277"/>
      <c r="F1146" s="277"/>
      <c r="G1146" s="277"/>
      <c r="H1146" s="277"/>
      <c r="I1146" s="277"/>
      <c r="J1146" s="277"/>
      <c r="K1146" s="277"/>
      <c r="L1146" s="277"/>
      <c r="M1146" s="277"/>
      <c r="N1146" s="277"/>
      <c r="O1146" s="277"/>
      <c r="P1146" s="277"/>
      <c r="Q1146" s="277"/>
      <c r="R1146" s="277"/>
      <c r="S1146" s="277"/>
      <c r="T1146" s="277"/>
      <c r="U1146" s="277"/>
      <c r="V1146" s="277"/>
      <c r="W1146" s="277"/>
      <c r="X1146" s="277"/>
      <c r="Y1146" s="277"/>
      <c r="Z1146" s="277"/>
      <c r="AA1146" s="277"/>
      <c r="AB1146" s="277"/>
      <c r="AC1146" s="277"/>
      <c r="AD1146" s="277"/>
      <c r="AE1146" s="277"/>
      <c r="AF1146" s="277"/>
      <c r="AG1146" s="277"/>
      <c r="AH1146" s="277"/>
      <c r="AI1146" s="277"/>
      <c r="AJ1146" s="277"/>
      <c r="AK1146" s="277"/>
    </row>
    <row r="1147" spans="1:37" s="289" customFormat="1">
      <c r="A1147" s="277"/>
      <c r="C1147" s="277"/>
      <c r="D1147" s="277"/>
      <c r="E1147" s="277"/>
      <c r="F1147" s="277"/>
      <c r="G1147" s="277"/>
      <c r="H1147" s="277"/>
      <c r="I1147" s="277"/>
      <c r="J1147" s="277"/>
      <c r="K1147" s="277"/>
      <c r="L1147" s="277"/>
      <c r="M1147" s="277"/>
      <c r="N1147" s="277"/>
      <c r="O1147" s="277"/>
      <c r="P1147" s="277"/>
      <c r="Q1147" s="277"/>
      <c r="R1147" s="277"/>
      <c r="S1147" s="277"/>
      <c r="T1147" s="277"/>
      <c r="U1147" s="277"/>
      <c r="V1147" s="277"/>
      <c r="W1147" s="277"/>
      <c r="X1147" s="277"/>
      <c r="Y1147" s="277"/>
      <c r="Z1147" s="277"/>
      <c r="AA1147" s="277"/>
      <c r="AB1147" s="277"/>
      <c r="AC1147" s="277"/>
      <c r="AD1147" s="277"/>
      <c r="AE1147" s="277"/>
      <c r="AF1147" s="277"/>
      <c r="AG1147" s="277"/>
      <c r="AH1147" s="277"/>
      <c r="AI1147" s="277"/>
      <c r="AJ1147" s="277"/>
      <c r="AK1147" s="277"/>
    </row>
    <row r="1148" spans="1:37" s="289" customFormat="1">
      <c r="A1148" s="277"/>
      <c r="C1148" s="277"/>
      <c r="D1148" s="277"/>
      <c r="E1148" s="277"/>
      <c r="F1148" s="277"/>
      <c r="G1148" s="277"/>
      <c r="H1148" s="277"/>
      <c r="I1148" s="277"/>
      <c r="J1148" s="277"/>
      <c r="K1148" s="277"/>
      <c r="L1148" s="277"/>
      <c r="M1148" s="277"/>
      <c r="N1148" s="277"/>
      <c r="O1148" s="277"/>
      <c r="P1148" s="277"/>
      <c r="Q1148" s="277"/>
      <c r="R1148" s="277"/>
      <c r="S1148" s="277"/>
      <c r="T1148" s="277"/>
      <c r="U1148" s="277"/>
      <c r="V1148" s="277"/>
      <c r="W1148" s="277"/>
      <c r="X1148" s="277"/>
      <c r="Y1148" s="277"/>
      <c r="Z1148" s="277"/>
      <c r="AA1148" s="277"/>
      <c r="AB1148" s="277"/>
      <c r="AC1148" s="277"/>
      <c r="AD1148" s="277"/>
      <c r="AE1148" s="277"/>
      <c r="AF1148" s="277"/>
      <c r="AG1148" s="277"/>
      <c r="AH1148" s="277"/>
      <c r="AI1148" s="277"/>
      <c r="AJ1148" s="277"/>
      <c r="AK1148" s="277"/>
    </row>
    <row r="1149" spans="1:37" s="289" customFormat="1">
      <c r="A1149" s="277"/>
      <c r="C1149" s="277"/>
      <c r="D1149" s="277"/>
      <c r="E1149" s="277"/>
      <c r="F1149" s="277"/>
      <c r="G1149" s="277"/>
      <c r="H1149" s="277"/>
      <c r="I1149" s="277"/>
      <c r="J1149" s="277"/>
      <c r="K1149" s="277"/>
      <c r="L1149" s="277"/>
      <c r="M1149" s="277"/>
      <c r="N1149" s="277"/>
      <c r="O1149" s="277"/>
      <c r="P1149" s="277"/>
      <c r="Q1149" s="277"/>
      <c r="R1149" s="277"/>
      <c r="S1149" s="277"/>
      <c r="T1149" s="277"/>
      <c r="U1149" s="277"/>
      <c r="V1149" s="277"/>
      <c r="W1149" s="277"/>
      <c r="X1149" s="277"/>
      <c r="Y1149" s="277"/>
      <c r="Z1149" s="277"/>
      <c r="AA1149" s="277"/>
      <c r="AB1149" s="277"/>
      <c r="AC1149" s="277"/>
      <c r="AD1149" s="277"/>
      <c r="AE1149" s="277"/>
      <c r="AF1149" s="277"/>
      <c r="AG1149" s="277"/>
      <c r="AH1149" s="277"/>
      <c r="AI1149" s="277"/>
      <c r="AJ1149" s="277"/>
      <c r="AK1149" s="277"/>
    </row>
    <row r="1150" spans="1:37" s="289" customFormat="1">
      <c r="A1150" s="277"/>
      <c r="C1150" s="277"/>
      <c r="D1150" s="277"/>
      <c r="E1150" s="277"/>
      <c r="F1150" s="277"/>
      <c r="G1150" s="277"/>
      <c r="H1150" s="277"/>
      <c r="I1150" s="277"/>
      <c r="J1150" s="277"/>
      <c r="K1150" s="277"/>
      <c r="L1150" s="277"/>
      <c r="M1150" s="277"/>
      <c r="N1150" s="277"/>
      <c r="O1150" s="277"/>
      <c r="P1150" s="277"/>
      <c r="Q1150" s="277"/>
      <c r="R1150" s="277"/>
      <c r="S1150" s="277"/>
      <c r="T1150" s="277"/>
      <c r="U1150" s="277"/>
      <c r="V1150" s="277"/>
      <c r="W1150" s="277"/>
      <c r="X1150" s="277"/>
      <c r="Y1150" s="277"/>
      <c r="Z1150" s="277"/>
      <c r="AA1150" s="277"/>
      <c r="AB1150" s="277"/>
      <c r="AC1150" s="277"/>
      <c r="AD1150" s="277"/>
      <c r="AE1150" s="277"/>
      <c r="AF1150" s="277"/>
      <c r="AG1150" s="277"/>
      <c r="AH1150" s="277"/>
      <c r="AI1150" s="277"/>
      <c r="AJ1150" s="277"/>
      <c r="AK1150" s="277"/>
    </row>
    <row r="1151" spans="1:37" s="289" customFormat="1">
      <c r="A1151" s="277"/>
      <c r="C1151" s="277"/>
      <c r="D1151" s="277"/>
      <c r="E1151" s="277"/>
      <c r="F1151" s="277"/>
      <c r="G1151" s="277"/>
      <c r="H1151" s="277"/>
      <c r="I1151" s="277"/>
      <c r="J1151" s="277"/>
      <c r="K1151" s="277"/>
      <c r="L1151" s="277"/>
      <c r="M1151" s="277"/>
      <c r="N1151" s="277"/>
      <c r="O1151" s="277"/>
      <c r="P1151" s="277"/>
      <c r="Q1151" s="277"/>
      <c r="R1151" s="277"/>
      <c r="S1151" s="277"/>
      <c r="T1151" s="277"/>
      <c r="U1151" s="277"/>
      <c r="V1151" s="277"/>
      <c r="W1151" s="277"/>
      <c r="X1151" s="277"/>
      <c r="Y1151" s="277"/>
      <c r="Z1151" s="277"/>
      <c r="AA1151" s="277"/>
      <c r="AB1151" s="277"/>
      <c r="AC1151" s="277"/>
      <c r="AD1151" s="277"/>
      <c r="AE1151" s="277"/>
      <c r="AF1151" s="277"/>
      <c r="AG1151" s="277"/>
      <c r="AH1151" s="277"/>
      <c r="AI1151" s="277"/>
      <c r="AJ1151" s="277"/>
      <c r="AK1151" s="277"/>
    </row>
    <row r="1152" spans="1:37" s="289" customFormat="1">
      <c r="A1152" s="277"/>
      <c r="C1152" s="277"/>
      <c r="D1152" s="277"/>
      <c r="E1152" s="277"/>
      <c r="F1152" s="277"/>
      <c r="G1152" s="277"/>
      <c r="H1152" s="277"/>
      <c r="I1152" s="277"/>
      <c r="J1152" s="277"/>
      <c r="K1152" s="277"/>
      <c r="L1152" s="277"/>
      <c r="M1152" s="277"/>
      <c r="N1152" s="277"/>
      <c r="O1152" s="277"/>
      <c r="P1152" s="277"/>
      <c r="Q1152" s="277"/>
      <c r="R1152" s="277"/>
      <c r="S1152" s="277"/>
      <c r="T1152" s="277"/>
      <c r="U1152" s="277"/>
      <c r="V1152" s="277"/>
      <c r="W1152" s="277"/>
      <c r="X1152" s="277"/>
      <c r="Y1152" s="277"/>
      <c r="Z1152" s="277"/>
      <c r="AA1152" s="277"/>
      <c r="AB1152" s="277"/>
      <c r="AC1152" s="277"/>
      <c r="AD1152" s="277"/>
      <c r="AE1152" s="277"/>
      <c r="AF1152" s="277"/>
      <c r="AG1152" s="277"/>
      <c r="AH1152" s="277"/>
      <c r="AI1152" s="277"/>
      <c r="AJ1152" s="277"/>
      <c r="AK1152" s="277"/>
    </row>
    <row r="1153" spans="1:37" s="289" customFormat="1">
      <c r="A1153" s="277"/>
      <c r="C1153" s="277"/>
      <c r="D1153" s="277"/>
      <c r="E1153" s="277"/>
      <c r="F1153" s="277"/>
      <c r="G1153" s="277"/>
      <c r="H1153" s="277"/>
      <c r="I1153" s="277"/>
      <c r="J1153" s="277"/>
      <c r="K1153" s="277"/>
      <c r="L1153" s="277"/>
      <c r="M1153" s="277"/>
      <c r="N1153" s="277"/>
      <c r="O1153" s="277"/>
      <c r="P1153" s="277"/>
      <c r="Q1153" s="277"/>
      <c r="R1153" s="277"/>
      <c r="S1153" s="277"/>
      <c r="T1153" s="277"/>
      <c r="U1153" s="277"/>
      <c r="V1153" s="277"/>
      <c r="W1153" s="277"/>
      <c r="X1153" s="277"/>
      <c r="Y1153" s="277"/>
      <c r="Z1153" s="277"/>
      <c r="AA1153" s="277"/>
      <c r="AB1153" s="277"/>
      <c r="AC1153" s="277"/>
      <c r="AD1153" s="277"/>
      <c r="AE1153" s="277"/>
      <c r="AF1153" s="277"/>
      <c r="AG1153" s="277"/>
      <c r="AH1153" s="277"/>
      <c r="AI1153" s="277"/>
      <c r="AJ1153" s="277"/>
      <c r="AK1153" s="277"/>
    </row>
    <row r="1154" spans="1:37" s="289" customFormat="1">
      <c r="A1154" s="277"/>
      <c r="C1154" s="277"/>
      <c r="D1154" s="277"/>
      <c r="E1154" s="277"/>
      <c r="F1154" s="277"/>
      <c r="G1154" s="277"/>
      <c r="H1154" s="277"/>
      <c r="I1154" s="277"/>
      <c r="J1154" s="277"/>
      <c r="K1154" s="277"/>
      <c r="L1154" s="277"/>
      <c r="M1154" s="277"/>
      <c r="N1154" s="277"/>
      <c r="O1154" s="277"/>
      <c r="P1154" s="277"/>
      <c r="Q1154" s="277"/>
      <c r="R1154" s="277"/>
      <c r="S1154" s="277"/>
      <c r="T1154" s="277"/>
      <c r="U1154" s="277"/>
      <c r="V1154" s="277"/>
      <c r="W1154" s="277"/>
      <c r="X1154" s="277"/>
      <c r="Y1154" s="277"/>
      <c r="Z1154" s="277"/>
      <c r="AA1154" s="277"/>
      <c r="AB1154" s="277"/>
      <c r="AC1154" s="277"/>
      <c r="AD1154" s="277"/>
      <c r="AE1154" s="277"/>
      <c r="AF1154" s="277"/>
      <c r="AG1154" s="277"/>
      <c r="AH1154" s="277"/>
      <c r="AI1154" s="277"/>
      <c r="AJ1154" s="277"/>
      <c r="AK1154" s="277"/>
    </row>
    <row r="1155" spans="1:37" s="289" customFormat="1">
      <c r="A1155" s="277"/>
      <c r="C1155" s="277"/>
      <c r="D1155" s="277"/>
      <c r="E1155" s="277"/>
      <c r="F1155" s="277"/>
      <c r="G1155" s="277"/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277"/>
      <c r="R1155" s="277"/>
      <c r="S1155" s="277"/>
      <c r="T1155" s="277"/>
      <c r="U1155" s="277"/>
      <c r="V1155" s="277"/>
      <c r="W1155" s="277"/>
      <c r="X1155" s="277"/>
      <c r="Y1155" s="277"/>
      <c r="Z1155" s="277"/>
      <c r="AA1155" s="277"/>
      <c r="AB1155" s="277"/>
      <c r="AC1155" s="277"/>
      <c r="AD1155" s="277"/>
      <c r="AE1155" s="277"/>
      <c r="AF1155" s="277"/>
      <c r="AG1155" s="277"/>
      <c r="AH1155" s="277"/>
      <c r="AI1155" s="277"/>
      <c r="AJ1155" s="277"/>
      <c r="AK1155" s="277"/>
    </row>
    <row r="1156" spans="1:37" s="289" customFormat="1">
      <c r="A1156" s="277"/>
      <c r="C1156" s="277"/>
      <c r="D1156" s="277"/>
      <c r="E1156" s="277"/>
      <c r="F1156" s="277"/>
      <c r="G1156" s="277"/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277"/>
      <c r="R1156" s="277"/>
      <c r="S1156" s="277"/>
      <c r="T1156" s="277"/>
      <c r="U1156" s="277"/>
      <c r="V1156" s="277"/>
      <c r="W1156" s="277"/>
      <c r="X1156" s="277"/>
      <c r="Y1156" s="277"/>
      <c r="Z1156" s="277"/>
      <c r="AA1156" s="277"/>
      <c r="AB1156" s="277"/>
      <c r="AC1156" s="277"/>
      <c r="AD1156" s="277"/>
      <c r="AE1156" s="277"/>
      <c r="AF1156" s="277"/>
      <c r="AG1156" s="277"/>
      <c r="AH1156" s="277"/>
      <c r="AI1156" s="277"/>
      <c r="AJ1156" s="277"/>
      <c r="AK1156" s="277"/>
    </row>
    <row r="1157" spans="1:37" s="289" customFormat="1">
      <c r="A1157" s="277"/>
      <c r="C1157" s="277"/>
      <c r="D1157" s="277"/>
      <c r="E1157" s="277"/>
      <c r="F1157" s="277"/>
      <c r="G1157" s="277"/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277"/>
      <c r="R1157" s="277"/>
      <c r="S1157" s="277"/>
      <c r="T1157" s="277"/>
      <c r="U1157" s="277"/>
      <c r="V1157" s="277"/>
      <c r="W1157" s="277"/>
      <c r="X1157" s="277"/>
      <c r="Y1157" s="277"/>
      <c r="Z1157" s="277"/>
      <c r="AA1157" s="277"/>
      <c r="AB1157" s="277"/>
      <c r="AC1157" s="277"/>
      <c r="AD1157" s="277"/>
      <c r="AE1157" s="277"/>
      <c r="AF1157" s="277"/>
      <c r="AG1157" s="277"/>
      <c r="AH1157" s="277"/>
      <c r="AI1157" s="277"/>
      <c r="AJ1157" s="277"/>
      <c r="AK1157" s="277"/>
    </row>
    <row r="1158" spans="1:37" s="289" customFormat="1">
      <c r="A1158" s="277"/>
      <c r="C1158" s="277"/>
      <c r="D1158" s="277"/>
      <c r="E1158" s="277"/>
      <c r="F1158" s="277"/>
      <c r="G1158" s="277"/>
      <c r="H1158" s="277"/>
      <c r="I1158" s="277"/>
      <c r="J1158" s="277"/>
      <c r="K1158" s="277"/>
      <c r="L1158" s="277"/>
      <c r="M1158" s="277"/>
      <c r="N1158" s="277"/>
      <c r="O1158" s="277"/>
      <c r="P1158" s="277"/>
      <c r="Q1158" s="277"/>
      <c r="R1158" s="277"/>
      <c r="S1158" s="277"/>
      <c r="T1158" s="277"/>
      <c r="U1158" s="277"/>
      <c r="V1158" s="277"/>
      <c r="W1158" s="277"/>
      <c r="X1158" s="277"/>
      <c r="Y1158" s="277"/>
      <c r="Z1158" s="277"/>
      <c r="AA1158" s="277"/>
      <c r="AB1158" s="277"/>
      <c r="AC1158" s="277"/>
      <c r="AD1158" s="277"/>
      <c r="AE1158" s="277"/>
      <c r="AF1158" s="277"/>
      <c r="AG1158" s="277"/>
      <c r="AH1158" s="277"/>
      <c r="AI1158" s="277"/>
      <c r="AJ1158" s="277"/>
      <c r="AK1158" s="277"/>
    </row>
    <row r="1159" spans="1:37" s="289" customFormat="1">
      <c r="A1159" s="277"/>
      <c r="C1159" s="277"/>
      <c r="D1159" s="277"/>
      <c r="E1159" s="277"/>
      <c r="F1159" s="277"/>
      <c r="G1159" s="277"/>
      <c r="H1159" s="277"/>
      <c r="I1159" s="277"/>
      <c r="J1159" s="277"/>
      <c r="K1159" s="277"/>
      <c r="L1159" s="277"/>
      <c r="M1159" s="277"/>
      <c r="N1159" s="277"/>
      <c r="O1159" s="277"/>
      <c r="P1159" s="277"/>
      <c r="Q1159" s="277"/>
      <c r="R1159" s="277"/>
      <c r="S1159" s="277"/>
      <c r="T1159" s="277"/>
      <c r="U1159" s="277"/>
      <c r="V1159" s="277"/>
      <c r="W1159" s="277"/>
      <c r="X1159" s="277"/>
      <c r="Y1159" s="277"/>
      <c r="Z1159" s="277"/>
      <c r="AA1159" s="277"/>
      <c r="AB1159" s="277"/>
      <c r="AC1159" s="277"/>
      <c r="AD1159" s="277"/>
      <c r="AE1159" s="277"/>
      <c r="AF1159" s="277"/>
      <c r="AG1159" s="277"/>
      <c r="AH1159" s="277"/>
      <c r="AI1159" s="277"/>
      <c r="AJ1159" s="277"/>
      <c r="AK1159" s="277"/>
    </row>
    <row r="1160" spans="1:37" s="289" customFormat="1">
      <c r="A1160" s="277"/>
      <c r="C1160" s="277"/>
      <c r="D1160" s="277"/>
      <c r="E1160" s="277"/>
      <c r="F1160" s="277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277"/>
      <c r="R1160" s="277"/>
      <c r="S1160" s="277"/>
      <c r="T1160" s="277"/>
      <c r="U1160" s="277"/>
      <c r="V1160" s="277"/>
      <c r="W1160" s="277"/>
      <c r="X1160" s="277"/>
      <c r="Y1160" s="277"/>
      <c r="Z1160" s="277"/>
      <c r="AA1160" s="277"/>
      <c r="AB1160" s="277"/>
      <c r="AC1160" s="277"/>
      <c r="AD1160" s="277"/>
      <c r="AE1160" s="277"/>
      <c r="AF1160" s="277"/>
      <c r="AG1160" s="277"/>
      <c r="AH1160" s="277"/>
      <c r="AI1160" s="277"/>
      <c r="AJ1160" s="277"/>
      <c r="AK1160" s="277"/>
    </row>
    <row r="1161" spans="1:37" s="289" customFormat="1">
      <c r="A1161" s="277"/>
      <c r="C1161" s="277"/>
      <c r="D1161" s="277"/>
      <c r="E1161" s="277"/>
      <c r="F1161" s="277"/>
      <c r="G1161" s="277"/>
      <c r="H1161" s="277"/>
      <c r="I1161" s="277"/>
      <c r="J1161" s="277"/>
      <c r="K1161" s="277"/>
      <c r="L1161" s="277"/>
      <c r="M1161" s="277"/>
      <c r="N1161" s="277"/>
      <c r="O1161" s="277"/>
      <c r="P1161" s="277"/>
      <c r="Q1161" s="277"/>
      <c r="R1161" s="277"/>
      <c r="S1161" s="277"/>
      <c r="T1161" s="277"/>
      <c r="U1161" s="277"/>
      <c r="V1161" s="277"/>
      <c r="W1161" s="277"/>
      <c r="X1161" s="277"/>
      <c r="Y1161" s="277"/>
      <c r="Z1161" s="277"/>
      <c r="AA1161" s="277"/>
      <c r="AB1161" s="277"/>
      <c r="AC1161" s="277"/>
      <c r="AD1161" s="277"/>
      <c r="AE1161" s="277"/>
      <c r="AF1161" s="277"/>
      <c r="AG1161" s="277"/>
      <c r="AH1161" s="277"/>
      <c r="AI1161" s="277"/>
      <c r="AJ1161" s="277"/>
      <c r="AK1161" s="277"/>
    </row>
    <row r="1162" spans="1:37" s="289" customFormat="1">
      <c r="A1162" s="277"/>
      <c r="C1162" s="277"/>
      <c r="D1162" s="277"/>
      <c r="E1162" s="277"/>
      <c r="F1162" s="277"/>
      <c r="G1162" s="277"/>
      <c r="H1162" s="277"/>
      <c r="I1162" s="277"/>
      <c r="J1162" s="277"/>
      <c r="K1162" s="277"/>
      <c r="L1162" s="277"/>
      <c r="M1162" s="277"/>
      <c r="N1162" s="277"/>
      <c r="O1162" s="277"/>
      <c r="P1162" s="277"/>
      <c r="Q1162" s="277"/>
      <c r="R1162" s="277"/>
      <c r="S1162" s="277"/>
      <c r="T1162" s="277"/>
      <c r="U1162" s="277"/>
      <c r="V1162" s="277"/>
      <c r="W1162" s="277"/>
      <c r="X1162" s="277"/>
      <c r="Y1162" s="277"/>
      <c r="Z1162" s="277"/>
      <c r="AA1162" s="277"/>
      <c r="AB1162" s="277"/>
      <c r="AC1162" s="277"/>
      <c r="AD1162" s="277"/>
      <c r="AE1162" s="277"/>
      <c r="AF1162" s="277"/>
      <c r="AG1162" s="277"/>
      <c r="AH1162" s="277"/>
      <c r="AI1162" s="277"/>
      <c r="AJ1162" s="277"/>
      <c r="AK1162" s="277"/>
    </row>
    <row r="1163" spans="1:37" s="289" customFormat="1">
      <c r="A1163" s="277"/>
      <c r="C1163" s="277"/>
      <c r="D1163" s="277"/>
      <c r="E1163" s="277"/>
      <c r="F1163" s="277"/>
      <c r="G1163" s="277"/>
      <c r="H1163" s="277"/>
      <c r="I1163" s="277"/>
      <c r="J1163" s="277"/>
      <c r="K1163" s="277"/>
      <c r="L1163" s="277"/>
      <c r="M1163" s="277"/>
      <c r="N1163" s="277"/>
      <c r="O1163" s="277"/>
      <c r="P1163" s="277"/>
      <c r="Q1163" s="277"/>
      <c r="R1163" s="277"/>
      <c r="S1163" s="277"/>
      <c r="T1163" s="277"/>
      <c r="U1163" s="277"/>
      <c r="V1163" s="277"/>
      <c r="W1163" s="277"/>
      <c r="X1163" s="277"/>
      <c r="Y1163" s="277"/>
      <c r="Z1163" s="277"/>
      <c r="AA1163" s="277"/>
      <c r="AB1163" s="277"/>
      <c r="AC1163" s="277"/>
      <c r="AD1163" s="277"/>
      <c r="AE1163" s="277"/>
      <c r="AF1163" s="277"/>
      <c r="AG1163" s="277"/>
      <c r="AH1163" s="277"/>
      <c r="AI1163" s="277"/>
      <c r="AJ1163" s="277"/>
      <c r="AK1163" s="277"/>
    </row>
    <row r="1164" spans="1:37" s="289" customFormat="1">
      <c r="A1164" s="277"/>
      <c r="C1164" s="277"/>
      <c r="D1164" s="277"/>
      <c r="E1164" s="277"/>
      <c r="F1164" s="277"/>
      <c r="G1164" s="277"/>
      <c r="H1164" s="277"/>
      <c r="I1164" s="277"/>
      <c r="J1164" s="277"/>
      <c r="K1164" s="277"/>
      <c r="L1164" s="277"/>
      <c r="M1164" s="277"/>
      <c r="N1164" s="277"/>
      <c r="O1164" s="277"/>
      <c r="P1164" s="277"/>
      <c r="Q1164" s="277"/>
      <c r="R1164" s="277"/>
      <c r="S1164" s="277"/>
      <c r="T1164" s="277"/>
      <c r="U1164" s="277"/>
      <c r="V1164" s="277"/>
      <c r="W1164" s="277"/>
      <c r="X1164" s="277"/>
      <c r="Y1164" s="277"/>
      <c r="Z1164" s="277"/>
      <c r="AA1164" s="277"/>
      <c r="AB1164" s="277"/>
      <c r="AC1164" s="277"/>
      <c r="AD1164" s="277"/>
      <c r="AE1164" s="277"/>
      <c r="AF1164" s="277"/>
      <c r="AG1164" s="277"/>
      <c r="AH1164" s="277"/>
      <c r="AI1164" s="277"/>
      <c r="AJ1164" s="277"/>
      <c r="AK1164" s="277"/>
    </row>
    <row r="1165" spans="1:37" s="289" customFormat="1">
      <c r="A1165" s="277"/>
      <c r="C1165" s="277"/>
      <c r="D1165" s="277"/>
      <c r="E1165" s="277"/>
      <c r="F1165" s="277"/>
      <c r="G1165" s="277"/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277"/>
      <c r="R1165" s="277"/>
      <c r="S1165" s="277"/>
      <c r="T1165" s="277"/>
      <c r="U1165" s="277"/>
      <c r="V1165" s="277"/>
      <c r="W1165" s="277"/>
      <c r="X1165" s="277"/>
      <c r="Y1165" s="277"/>
      <c r="Z1165" s="277"/>
      <c r="AA1165" s="277"/>
      <c r="AB1165" s="277"/>
      <c r="AC1165" s="277"/>
      <c r="AD1165" s="277"/>
      <c r="AE1165" s="277"/>
      <c r="AF1165" s="277"/>
      <c r="AG1165" s="277"/>
      <c r="AH1165" s="277"/>
      <c r="AI1165" s="277"/>
      <c r="AJ1165" s="277"/>
      <c r="AK1165" s="277"/>
    </row>
    <row r="1166" spans="1:37" s="289" customFormat="1">
      <c r="A1166" s="277"/>
      <c r="C1166" s="277"/>
      <c r="D1166" s="277"/>
      <c r="E1166" s="277"/>
      <c r="F1166" s="277"/>
      <c r="G1166" s="277"/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277"/>
      <c r="R1166" s="277"/>
      <c r="S1166" s="277"/>
      <c r="T1166" s="277"/>
      <c r="U1166" s="277"/>
      <c r="V1166" s="277"/>
      <c r="W1166" s="277"/>
      <c r="X1166" s="277"/>
      <c r="Y1166" s="277"/>
      <c r="Z1166" s="277"/>
      <c r="AA1166" s="277"/>
      <c r="AB1166" s="277"/>
      <c r="AC1166" s="277"/>
      <c r="AD1166" s="277"/>
      <c r="AE1166" s="277"/>
      <c r="AF1166" s="277"/>
      <c r="AG1166" s="277"/>
      <c r="AH1166" s="277"/>
      <c r="AI1166" s="277"/>
      <c r="AJ1166" s="277"/>
      <c r="AK1166" s="277"/>
    </row>
    <row r="1167" spans="1:37" s="289" customFormat="1">
      <c r="A1167" s="277"/>
      <c r="C1167" s="277"/>
      <c r="D1167" s="277"/>
      <c r="E1167" s="277"/>
      <c r="F1167" s="277"/>
      <c r="G1167" s="277"/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277"/>
      <c r="R1167" s="277"/>
      <c r="S1167" s="277"/>
      <c r="T1167" s="277"/>
      <c r="U1167" s="277"/>
      <c r="V1167" s="277"/>
      <c r="W1167" s="277"/>
      <c r="X1167" s="277"/>
      <c r="Y1167" s="277"/>
      <c r="Z1167" s="277"/>
      <c r="AA1167" s="277"/>
      <c r="AB1167" s="277"/>
      <c r="AC1167" s="277"/>
      <c r="AD1167" s="277"/>
      <c r="AE1167" s="277"/>
      <c r="AF1167" s="277"/>
      <c r="AG1167" s="277"/>
      <c r="AH1167" s="277"/>
      <c r="AI1167" s="277"/>
      <c r="AJ1167" s="277"/>
      <c r="AK1167" s="277"/>
    </row>
    <row r="1168" spans="1:37" s="289" customFormat="1">
      <c r="A1168" s="277"/>
      <c r="C1168" s="277"/>
      <c r="D1168" s="277"/>
      <c r="E1168" s="277"/>
      <c r="F1168" s="277"/>
      <c r="G1168" s="277"/>
      <c r="H1168" s="277"/>
      <c r="I1168" s="277"/>
      <c r="J1168" s="277"/>
      <c r="K1168" s="277"/>
      <c r="L1168" s="277"/>
      <c r="M1168" s="277"/>
      <c r="N1168" s="277"/>
      <c r="O1168" s="277"/>
      <c r="P1168" s="277"/>
      <c r="Q1168" s="277"/>
      <c r="R1168" s="277"/>
      <c r="S1168" s="277"/>
      <c r="T1168" s="277"/>
      <c r="U1168" s="277"/>
      <c r="V1168" s="277"/>
      <c r="W1168" s="277"/>
      <c r="X1168" s="277"/>
      <c r="Y1168" s="277"/>
      <c r="Z1168" s="277"/>
      <c r="AA1168" s="277"/>
      <c r="AB1168" s="277"/>
      <c r="AC1168" s="277"/>
      <c r="AD1168" s="277"/>
      <c r="AE1168" s="277"/>
      <c r="AF1168" s="277"/>
      <c r="AG1168" s="277"/>
      <c r="AH1168" s="277"/>
      <c r="AI1168" s="277"/>
      <c r="AJ1168" s="277"/>
      <c r="AK1168" s="277"/>
    </row>
    <row r="1169" spans="1:37" s="289" customFormat="1">
      <c r="A1169" s="277"/>
      <c r="C1169" s="277"/>
      <c r="D1169" s="277"/>
      <c r="E1169" s="277"/>
      <c r="F1169" s="277"/>
      <c r="G1169" s="277"/>
      <c r="H1169" s="277"/>
      <c r="I1169" s="277"/>
      <c r="J1169" s="277"/>
      <c r="K1169" s="277"/>
      <c r="L1169" s="277"/>
      <c r="M1169" s="277"/>
      <c r="N1169" s="277"/>
      <c r="O1169" s="277"/>
      <c r="P1169" s="277"/>
      <c r="Q1169" s="277"/>
      <c r="R1169" s="277"/>
      <c r="S1169" s="277"/>
      <c r="T1169" s="277"/>
      <c r="U1169" s="277"/>
      <c r="V1169" s="277"/>
      <c r="W1169" s="277"/>
      <c r="X1169" s="277"/>
      <c r="Y1169" s="277"/>
      <c r="Z1169" s="277"/>
      <c r="AA1169" s="277"/>
      <c r="AB1169" s="277"/>
      <c r="AC1169" s="277"/>
      <c r="AD1169" s="277"/>
      <c r="AE1169" s="277"/>
      <c r="AF1169" s="277"/>
      <c r="AG1169" s="277"/>
      <c r="AH1169" s="277"/>
      <c r="AI1169" s="277"/>
      <c r="AJ1169" s="277"/>
      <c r="AK1169" s="277"/>
    </row>
    <row r="1170" spans="1:37" s="289" customFormat="1">
      <c r="A1170" s="277"/>
      <c r="C1170" s="277"/>
      <c r="D1170" s="277"/>
      <c r="E1170" s="277"/>
      <c r="F1170" s="277"/>
      <c r="G1170" s="277"/>
      <c r="H1170" s="277"/>
      <c r="I1170" s="277"/>
      <c r="J1170" s="277"/>
      <c r="K1170" s="277"/>
      <c r="L1170" s="277"/>
      <c r="M1170" s="277"/>
      <c r="N1170" s="277"/>
      <c r="O1170" s="277"/>
      <c r="P1170" s="277"/>
      <c r="Q1170" s="277"/>
      <c r="R1170" s="277"/>
      <c r="S1170" s="277"/>
      <c r="T1170" s="277"/>
      <c r="U1170" s="277"/>
      <c r="V1170" s="277"/>
      <c r="W1170" s="277"/>
      <c r="X1170" s="277"/>
      <c r="Y1170" s="277"/>
      <c r="Z1170" s="277"/>
      <c r="AA1170" s="277"/>
      <c r="AB1170" s="277"/>
      <c r="AC1170" s="277"/>
      <c r="AD1170" s="277"/>
      <c r="AE1170" s="277"/>
      <c r="AF1170" s="277"/>
      <c r="AG1170" s="277"/>
      <c r="AH1170" s="277"/>
      <c r="AI1170" s="277"/>
      <c r="AJ1170" s="277"/>
      <c r="AK1170" s="277"/>
    </row>
    <row r="1171" spans="1:37" s="289" customFormat="1">
      <c r="A1171" s="277"/>
      <c r="C1171" s="277"/>
      <c r="D1171" s="277"/>
      <c r="E1171" s="277"/>
      <c r="F1171" s="277"/>
      <c r="G1171" s="277"/>
      <c r="H1171" s="277"/>
      <c r="I1171" s="277"/>
      <c r="J1171" s="277"/>
      <c r="K1171" s="277"/>
      <c r="L1171" s="277"/>
      <c r="M1171" s="277"/>
      <c r="N1171" s="277"/>
      <c r="O1171" s="277"/>
      <c r="P1171" s="277"/>
      <c r="Q1171" s="277"/>
      <c r="R1171" s="277"/>
      <c r="S1171" s="277"/>
      <c r="T1171" s="277"/>
      <c r="U1171" s="277"/>
      <c r="V1171" s="277"/>
      <c r="W1171" s="277"/>
      <c r="X1171" s="277"/>
      <c r="Y1171" s="277"/>
      <c r="Z1171" s="277"/>
      <c r="AA1171" s="277"/>
      <c r="AB1171" s="277"/>
      <c r="AC1171" s="277"/>
      <c r="AD1171" s="277"/>
      <c r="AE1171" s="277"/>
      <c r="AF1171" s="277"/>
      <c r="AG1171" s="277"/>
      <c r="AH1171" s="277"/>
      <c r="AI1171" s="277"/>
      <c r="AJ1171" s="277"/>
      <c r="AK1171" s="277"/>
    </row>
    <row r="1172" spans="1:37" s="289" customFormat="1">
      <c r="A1172" s="277"/>
      <c r="C1172" s="277"/>
      <c r="D1172" s="277"/>
      <c r="E1172" s="277"/>
      <c r="F1172" s="277"/>
      <c r="G1172" s="277"/>
      <c r="H1172" s="277"/>
      <c r="I1172" s="277"/>
      <c r="J1172" s="277"/>
      <c r="K1172" s="277"/>
      <c r="L1172" s="277"/>
      <c r="M1172" s="277"/>
      <c r="N1172" s="277"/>
      <c r="O1172" s="277"/>
      <c r="P1172" s="277"/>
      <c r="Q1172" s="277"/>
      <c r="R1172" s="277"/>
      <c r="S1172" s="277"/>
      <c r="T1172" s="277"/>
      <c r="U1172" s="277"/>
      <c r="V1172" s="277"/>
      <c r="W1172" s="277"/>
      <c r="X1172" s="277"/>
      <c r="Y1172" s="277"/>
      <c r="Z1172" s="277"/>
      <c r="AA1172" s="277"/>
      <c r="AB1172" s="277"/>
      <c r="AC1172" s="277"/>
      <c r="AD1172" s="277"/>
      <c r="AE1172" s="277"/>
      <c r="AF1172" s="277"/>
      <c r="AG1172" s="277"/>
      <c r="AH1172" s="277"/>
      <c r="AI1172" s="277"/>
      <c r="AJ1172" s="277"/>
      <c r="AK1172" s="277"/>
    </row>
    <row r="1173" spans="1:37" s="289" customFormat="1">
      <c r="A1173" s="277"/>
      <c r="C1173" s="277"/>
      <c r="D1173" s="277"/>
      <c r="E1173" s="277"/>
      <c r="F1173" s="277"/>
      <c r="G1173" s="277"/>
      <c r="H1173" s="277"/>
      <c r="I1173" s="277"/>
      <c r="J1173" s="277"/>
      <c r="K1173" s="277"/>
      <c r="L1173" s="277"/>
      <c r="M1173" s="277"/>
      <c r="N1173" s="277"/>
      <c r="O1173" s="277"/>
      <c r="P1173" s="277"/>
      <c r="Q1173" s="277"/>
      <c r="R1173" s="277"/>
      <c r="S1173" s="277"/>
      <c r="T1173" s="277"/>
      <c r="U1173" s="277"/>
      <c r="V1173" s="277"/>
      <c r="W1173" s="277"/>
      <c r="X1173" s="277"/>
      <c r="Y1173" s="277"/>
      <c r="Z1173" s="277"/>
      <c r="AA1173" s="277"/>
      <c r="AB1173" s="277"/>
      <c r="AC1173" s="277"/>
      <c r="AD1173" s="277"/>
      <c r="AE1173" s="277"/>
      <c r="AF1173" s="277"/>
      <c r="AG1173" s="277"/>
      <c r="AH1173" s="277"/>
      <c r="AI1173" s="277"/>
      <c r="AJ1173" s="277"/>
      <c r="AK1173" s="277"/>
    </row>
    <row r="1174" spans="1:37" s="289" customFormat="1">
      <c r="A1174" s="277"/>
      <c r="C1174" s="277"/>
      <c r="D1174" s="277"/>
      <c r="E1174" s="277"/>
      <c r="F1174" s="277"/>
      <c r="G1174" s="277"/>
      <c r="H1174" s="277"/>
      <c r="I1174" s="277"/>
      <c r="J1174" s="277"/>
      <c r="K1174" s="277"/>
      <c r="L1174" s="277"/>
      <c r="M1174" s="277"/>
      <c r="N1174" s="277"/>
      <c r="O1174" s="277"/>
      <c r="P1174" s="277"/>
      <c r="Q1174" s="277"/>
      <c r="R1174" s="277"/>
      <c r="S1174" s="277"/>
      <c r="T1174" s="277"/>
      <c r="U1174" s="277"/>
      <c r="V1174" s="277"/>
      <c r="W1174" s="277"/>
      <c r="X1174" s="277"/>
      <c r="Y1174" s="277"/>
      <c r="Z1174" s="277"/>
      <c r="AA1174" s="277"/>
      <c r="AB1174" s="277"/>
      <c r="AC1174" s="277"/>
      <c r="AD1174" s="277"/>
      <c r="AE1174" s="277"/>
      <c r="AF1174" s="277"/>
      <c r="AG1174" s="277"/>
      <c r="AH1174" s="277"/>
      <c r="AI1174" s="277"/>
      <c r="AJ1174" s="277"/>
      <c r="AK1174" s="277"/>
    </row>
    <row r="1175" spans="1:37" s="289" customFormat="1">
      <c r="A1175" s="277"/>
      <c r="C1175" s="277"/>
      <c r="D1175" s="277"/>
      <c r="E1175" s="277"/>
      <c r="F1175" s="277"/>
      <c r="G1175" s="277"/>
      <c r="H1175" s="277"/>
      <c r="I1175" s="277"/>
      <c r="J1175" s="277"/>
      <c r="K1175" s="277"/>
      <c r="L1175" s="277"/>
      <c r="M1175" s="277"/>
      <c r="N1175" s="277"/>
      <c r="O1175" s="277"/>
      <c r="P1175" s="277"/>
      <c r="Q1175" s="277"/>
      <c r="R1175" s="277"/>
      <c r="S1175" s="277"/>
      <c r="T1175" s="277"/>
      <c r="U1175" s="277"/>
      <c r="V1175" s="277"/>
      <c r="W1175" s="277"/>
      <c r="X1175" s="277"/>
      <c r="Y1175" s="277"/>
      <c r="Z1175" s="277"/>
      <c r="AA1175" s="277"/>
      <c r="AB1175" s="277"/>
      <c r="AC1175" s="277"/>
      <c r="AD1175" s="277"/>
      <c r="AE1175" s="277"/>
      <c r="AF1175" s="277"/>
      <c r="AG1175" s="277"/>
      <c r="AH1175" s="277"/>
      <c r="AI1175" s="277"/>
      <c r="AJ1175" s="277"/>
      <c r="AK1175" s="277"/>
    </row>
    <row r="1176" spans="1:37" s="289" customFormat="1">
      <c r="A1176" s="277"/>
      <c r="C1176" s="277"/>
      <c r="D1176" s="277"/>
      <c r="E1176" s="277"/>
      <c r="F1176" s="277"/>
      <c r="G1176" s="277"/>
      <c r="H1176" s="277"/>
      <c r="I1176" s="277"/>
      <c r="J1176" s="277"/>
      <c r="K1176" s="277"/>
      <c r="L1176" s="277"/>
      <c r="M1176" s="277"/>
      <c r="N1176" s="277"/>
      <c r="O1176" s="277"/>
      <c r="P1176" s="277"/>
      <c r="Q1176" s="277"/>
      <c r="R1176" s="277"/>
      <c r="S1176" s="277"/>
      <c r="T1176" s="277"/>
      <c r="U1176" s="277"/>
      <c r="V1176" s="277"/>
      <c r="W1176" s="277"/>
      <c r="X1176" s="277"/>
      <c r="Y1176" s="277"/>
      <c r="Z1176" s="277"/>
      <c r="AA1176" s="277"/>
      <c r="AB1176" s="277"/>
      <c r="AC1176" s="277"/>
      <c r="AD1176" s="277"/>
      <c r="AE1176" s="277"/>
      <c r="AF1176" s="277"/>
      <c r="AG1176" s="277"/>
      <c r="AH1176" s="277"/>
      <c r="AI1176" s="277"/>
      <c r="AJ1176" s="277"/>
      <c r="AK1176" s="277"/>
    </row>
    <row r="1177" spans="1:37" s="289" customFormat="1">
      <c r="A1177" s="277"/>
      <c r="C1177" s="277"/>
      <c r="D1177" s="277"/>
      <c r="E1177" s="277"/>
      <c r="F1177" s="277"/>
      <c r="G1177" s="277"/>
      <c r="H1177" s="277"/>
      <c r="I1177" s="277"/>
      <c r="J1177" s="277"/>
      <c r="K1177" s="277"/>
      <c r="L1177" s="277"/>
      <c r="M1177" s="277"/>
      <c r="N1177" s="277"/>
      <c r="O1177" s="277"/>
      <c r="P1177" s="277"/>
      <c r="Q1177" s="277"/>
      <c r="R1177" s="277"/>
      <c r="S1177" s="277"/>
      <c r="T1177" s="277"/>
      <c r="U1177" s="277"/>
      <c r="V1177" s="277"/>
      <c r="W1177" s="277"/>
      <c r="X1177" s="277"/>
      <c r="Y1177" s="277"/>
      <c r="Z1177" s="277"/>
      <c r="AA1177" s="277"/>
      <c r="AB1177" s="277"/>
      <c r="AC1177" s="277"/>
      <c r="AD1177" s="277"/>
      <c r="AE1177" s="277"/>
      <c r="AF1177" s="277"/>
      <c r="AG1177" s="277"/>
      <c r="AH1177" s="277"/>
      <c r="AI1177" s="277"/>
      <c r="AJ1177" s="277"/>
      <c r="AK1177" s="277"/>
    </row>
    <row r="1178" spans="1:37" s="289" customFormat="1">
      <c r="A1178" s="277"/>
      <c r="C1178" s="277"/>
      <c r="D1178" s="277"/>
      <c r="E1178" s="277"/>
      <c r="F1178" s="277"/>
      <c r="G1178" s="277"/>
      <c r="H1178" s="277"/>
      <c r="I1178" s="277"/>
      <c r="J1178" s="277"/>
      <c r="K1178" s="277"/>
      <c r="L1178" s="277"/>
      <c r="M1178" s="277"/>
      <c r="N1178" s="277"/>
      <c r="O1178" s="277"/>
      <c r="P1178" s="277"/>
      <c r="Q1178" s="277"/>
      <c r="R1178" s="277"/>
      <c r="S1178" s="277"/>
      <c r="T1178" s="277"/>
      <c r="U1178" s="277"/>
      <c r="V1178" s="277"/>
      <c r="W1178" s="277"/>
      <c r="X1178" s="277"/>
      <c r="Y1178" s="277"/>
      <c r="Z1178" s="277"/>
      <c r="AA1178" s="277"/>
      <c r="AB1178" s="277"/>
      <c r="AC1178" s="277"/>
      <c r="AD1178" s="277"/>
      <c r="AE1178" s="277"/>
      <c r="AF1178" s="277"/>
      <c r="AG1178" s="277"/>
      <c r="AH1178" s="277"/>
      <c r="AI1178" s="277"/>
      <c r="AJ1178" s="277"/>
      <c r="AK1178" s="277"/>
    </row>
    <row r="1179" spans="1:37" s="289" customFormat="1">
      <c r="A1179" s="277"/>
      <c r="C1179" s="277"/>
      <c r="D1179" s="277"/>
      <c r="E1179" s="277"/>
      <c r="F1179" s="277"/>
      <c r="G1179" s="277"/>
      <c r="H1179" s="277"/>
      <c r="I1179" s="277"/>
      <c r="J1179" s="277"/>
      <c r="K1179" s="277"/>
      <c r="L1179" s="277"/>
      <c r="M1179" s="277"/>
      <c r="N1179" s="277"/>
      <c r="O1179" s="277"/>
      <c r="P1179" s="277"/>
      <c r="Q1179" s="277"/>
      <c r="R1179" s="277"/>
      <c r="S1179" s="277"/>
      <c r="T1179" s="277"/>
      <c r="U1179" s="277"/>
      <c r="V1179" s="277"/>
      <c r="W1179" s="277"/>
      <c r="X1179" s="277"/>
      <c r="Y1179" s="277"/>
      <c r="Z1179" s="277"/>
      <c r="AA1179" s="277"/>
      <c r="AB1179" s="277"/>
      <c r="AC1179" s="277"/>
      <c r="AD1179" s="277"/>
      <c r="AE1179" s="277"/>
      <c r="AF1179" s="277"/>
      <c r="AG1179" s="277"/>
      <c r="AH1179" s="277"/>
      <c r="AI1179" s="277"/>
      <c r="AJ1179" s="277"/>
      <c r="AK1179" s="277"/>
    </row>
    <row r="1180" spans="1:37" s="289" customFormat="1">
      <c r="A1180" s="277"/>
      <c r="C1180" s="277"/>
      <c r="D1180" s="277"/>
      <c r="E1180" s="277"/>
      <c r="F1180" s="277"/>
      <c r="G1180" s="277"/>
      <c r="H1180" s="277"/>
      <c r="I1180" s="277"/>
      <c r="J1180" s="277"/>
      <c r="K1180" s="277"/>
      <c r="L1180" s="277"/>
      <c r="M1180" s="277"/>
      <c r="N1180" s="277"/>
      <c r="O1180" s="277"/>
      <c r="P1180" s="277"/>
      <c r="Q1180" s="277"/>
      <c r="R1180" s="277"/>
      <c r="S1180" s="277"/>
      <c r="T1180" s="277"/>
      <c r="U1180" s="277"/>
      <c r="V1180" s="277"/>
      <c r="W1180" s="277"/>
      <c r="X1180" s="277"/>
      <c r="Y1180" s="277"/>
      <c r="Z1180" s="277"/>
      <c r="AA1180" s="277"/>
      <c r="AB1180" s="277"/>
      <c r="AC1180" s="277"/>
      <c r="AD1180" s="277"/>
      <c r="AE1180" s="277"/>
      <c r="AF1180" s="277"/>
      <c r="AG1180" s="277"/>
      <c r="AH1180" s="277"/>
      <c r="AI1180" s="277"/>
      <c r="AJ1180" s="277"/>
      <c r="AK1180" s="277"/>
    </row>
    <row r="1181" spans="1:37" s="289" customFormat="1">
      <c r="A1181" s="277"/>
      <c r="C1181" s="277"/>
      <c r="D1181" s="277"/>
      <c r="E1181" s="277"/>
      <c r="F1181" s="277"/>
      <c r="G1181" s="277"/>
      <c r="H1181" s="277"/>
      <c r="I1181" s="277"/>
      <c r="J1181" s="277"/>
      <c r="K1181" s="277"/>
      <c r="L1181" s="277"/>
      <c r="M1181" s="277"/>
      <c r="N1181" s="277"/>
      <c r="O1181" s="277"/>
      <c r="P1181" s="277"/>
      <c r="Q1181" s="277"/>
      <c r="R1181" s="277"/>
      <c r="S1181" s="277"/>
      <c r="T1181" s="277"/>
      <c r="U1181" s="277"/>
      <c r="V1181" s="277"/>
      <c r="W1181" s="277"/>
      <c r="X1181" s="277"/>
      <c r="Y1181" s="277"/>
      <c r="Z1181" s="277"/>
      <c r="AA1181" s="277"/>
      <c r="AB1181" s="277"/>
      <c r="AC1181" s="277"/>
      <c r="AD1181" s="277"/>
      <c r="AE1181" s="277"/>
      <c r="AF1181" s="277"/>
      <c r="AG1181" s="277"/>
      <c r="AH1181" s="277"/>
      <c r="AI1181" s="277"/>
      <c r="AJ1181" s="277"/>
      <c r="AK1181" s="277"/>
    </row>
    <row r="1182" spans="1:37" s="289" customFormat="1">
      <c r="A1182" s="277"/>
      <c r="C1182" s="277"/>
      <c r="D1182" s="277"/>
      <c r="E1182" s="277"/>
      <c r="F1182" s="277"/>
      <c r="G1182" s="277"/>
      <c r="H1182" s="277"/>
      <c r="I1182" s="277"/>
      <c r="J1182" s="277"/>
      <c r="K1182" s="277"/>
      <c r="L1182" s="277"/>
      <c r="M1182" s="277"/>
      <c r="N1182" s="277"/>
      <c r="O1182" s="277"/>
      <c r="P1182" s="277"/>
      <c r="Q1182" s="277"/>
      <c r="R1182" s="277"/>
      <c r="S1182" s="277"/>
      <c r="T1182" s="277"/>
      <c r="U1182" s="277"/>
      <c r="V1182" s="277"/>
      <c r="W1182" s="277"/>
      <c r="X1182" s="277"/>
      <c r="Y1182" s="277"/>
      <c r="Z1182" s="277"/>
      <c r="AA1182" s="277"/>
      <c r="AB1182" s="277"/>
      <c r="AC1182" s="277"/>
      <c r="AD1182" s="277"/>
      <c r="AE1182" s="277"/>
      <c r="AF1182" s="277"/>
      <c r="AG1182" s="277"/>
      <c r="AH1182" s="277"/>
      <c r="AI1182" s="277"/>
      <c r="AJ1182" s="277"/>
      <c r="AK1182" s="277"/>
    </row>
    <row r="1183" spans="1:37" s="289" customFormat="1">
      <c r="A1183" s="277"/>
      <c r="C1183" s="277"/>
      <c r="D1183" s="277"/>
      <c r="E1183" s="277"/>
      <c r="F1183" s="277"/>
      <c r="G1183" s="277"/>
      <c r="H1183" s="277"/>
      <c r="I1183" s="277"/>
      <c r="J1183" s="277"/>
      <c r="K1183" s="277"/>
      <c r="L1183" s="277"/>
      <c r="M1183" s="277"/>
      <c r="N1183" s="277"/>
      <c r="O1183" s="277"/>
      <c r="P1183" s="277"/>
      <c r="Q1183" s="277"/>
      <c r="R1183" s="277"/>
      <c r="S1183" s="277"/>
      <c r="T1183" s="277"/>
      <c r="U1183" s="277"/>
      <c r="V1183" s="277"/>
      <c r="W1183" s="277"/>
      <c r="X1183" s="277"/>
      <c r="Y1183" s="277"/>
      <c r="Z1183" s="277"/>
      <c r="AA1183" s="277"/>
      <c r="AB1183" s="277"/>
      <c r="AC1183" s="277"/>
      <c r="AD1183" s="277"/>
      <c r="AE1183" s="277"/>
      <c r="AF1183" s="277"/>
      <c r="AG1183" s="277"/>
      <c r="AH1183" s="277"/>
      <c r="AI1183" s="277"/>
      <c r="AJ1183" s="277"/>
      <c r="AK1183" s="277"/>
    </row>
    <row r="1184" spans="1:37" s="289" customFormat="1">
      <c r="A1184" s="277"/>
      <c r="C1184" s="277"/>
      <c r="D1184" s="277"/>
      <c r="E1184" s="277"/>
      <c r="F1184" s="277"/>
      <c r="G1184" s="277"/>
      <c r="H1184" s="277"/>
      <c r="I1184" s="277"/>
      <c r="J1184" s="277"/>
      <c r="K1184" s="277"/>
      <c r="L1184" s="277"/>
      <c r="M1184" s="277"/>
      <c r="N1184" s="277"/>
      <c r="O1184" s="277"/>
      <c r="P1184" s="277"/>
      <c r="Q1184" s="277"/>
      <c r="R1184" s="277"/>
      <c r="S1184" s="277"/>
      <c r="T1184" s="277"/>
      <c r="U1184" s="277"/>
      <c r="V1184" s="277"/>
      <c r="W1184" s="277"/>
      <c r="X1184" s="277"/>
      <c r="Y1184" s="277"/>
      <c r="Z1184" s="277"/>
      <c r="AA1184" s="277"/>
      <c r="AB1184" s="277"/>
      <c r="AC1184" s="277"/>
      <c r="AD1184" s="277"/>
      <c r="AE1184" s="277"/>
      <c r="AF1184" s="277"/>
      <c r="AG1184" s="277"/>
      <c r="AH1184" s="277"/>
      <c r="AI1184" s="277"/>
      <c r="AJ1184" s="277"/>
      <c r="AK1184" s="277"/>
    </row>
    <row r="1185" spans="1:37" s="289" customFormat="1">
      <c r="A1185" s="277"/>
      <c r="C1185" s="277"/>
      <c r="D1185" s="277"/>
      <c r="E1185" s="277"/>
      <c r="F1185" s="277"/>
      <c r="G1185" s="277"/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277"/>
      <c r="R1185" s="277"/>
      <c r="S1185" s="277"/>
      <c r="T1185" s="277"/>
      <c r="U1185" s="277"/>
      <c r="V1185" s="277"/>
      <c r="W1185" s="277"/>
      <c r="X1185" s="277"/>
      <c r="Y1185" s="277"/>
      <c r="Z1185" s="277"/>
      <c r="AA1185" s="277"/>
      <c r="AB1185" s="277"/>
      <c r="AC1185" s="277"/>
      <c r="AD1185" s="277"/>
      <c r="AE1185" s="277"/>
      <c r="AF1185" s="277"/>
      <c r="AG1185" s="277"/>
      <c r="AH1185" s="277"/>
      <c r="AI1185" s="277"/>
      <c r="AJ1185" s="277"/>
      <c r="AK1185" s="277"/>
    </row>
    <row r="1186" spans="1:37" s="289" customFormat="1">
      <c r="A1186" s="277"/>
      <c r="C1186" s="277"/>
      <c r="D1186" s="277"/>
      <c r="E1186" s="277"/>
      <c r="F1186" s="277"/>
      <c r="G1186" s="277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277"/>
      <c r="R1186" s="277"/>
      <c r="S1186" s="277"/>
      <c r="T1186" s="277"/>
      <c r="U1186" s="277"/>
      <c r="V1186" s="277"/>
      <c r="W1186" s="277"/>
      <c r="X1186" s="277"/>
      <c r="Y1186" s="277"/>
      <c r="Z1186" s="277"/>
      <c r="AA1186" s="277"/>
      <c r="AB1186" s="277"/>
      <c r="AC1186" s="277"/>
      <c r="AD1186" s="277"/>
      <c r="AE1186" s="277"/>
      <c r="AF1186" s="277"/>
      <c r="AG1186" s="277"/>
      <c r="AH1186" s="277"/>
      <c r="AI1186" s="277"/>
      <c r="AJ1186" s="277"/>
      <c r="AK1186" s="277"/>
    </row>
    <row r="1187" spans="1:37" s="289" customFormat="1">
      <c r="A1187" s="277"/>
      <c r="C1187" s="277"/>
      <c r="D1187" s="277"/>
      <c r="E1187" s="277"/>
      <c r="F1187" s="277"/>
      <c r="G1187" s="277"/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277"/>
      <c r="R1187" s="277"/>
      <c r="S1187" s="277"/>
      <c r="T1187" s="277"/>
      <c r="U1187" s="277"/>
      <c r="V1187" s="277"/>
      <c r="W1187" s="277"/>
      <c r="X1187" s="277"/>
      <c r="Y1187" s="277"/>
      <c r="Z1187" s="277"/>
      <c r="AA1187" s="277"/>
      <c r="AB1187" s="277"/>
      <c r="AC1187" s="277"/>
      <c r="AD1187" s="277"/>
      <c r="AE1187" s="277"/>
      <c r="AF1187" s="277"/>
      <c r="AG1187" s="277"/>
      <c r="AH1187" s="277"/>
      <c r="AI1187" s="277"/>
      <c r="AJ1187" s="277"/>
      <c r="AK1187" s="277"/>
    </row>
    <row r="1188" spans="1:37" s="289" customFormat="1">
      <c r="A1188" s="277"/>
      <c r="C1188" s="277"/>
      <c r="D1188" s="277"/>
      <c r="E1188" s="277"/>
      <c r="F1188" s="277"/>
      <c r="G1188" s="277"/>
      <c r="H1188" s="277"/>
      <c r="I1188" s="277"/>
      <c r="J1188" s="277"/>
      <c r="K1188" s="277"/>
      <c r="L1188" s="277"/>
      <c r="M1188" s="277"/>
      <c r="N1188" s="277"/>
      <c r="O1188" s="277"/>
      <c r="P1188" s="277"/>
      <c r="Q1188" s="277"/>
      <c r="R1188" s="277"/>
      <c r="S1188" s="277"/>
      <c r="T1188" s="277"/>
      <c r="U1188" s="277"/>
      <c r="V1188" s="277"/>
      <c r="W1188" s="277"/>
      <c r="X1188" s="277"/>
      <c r="Y1188" s="277"/>
      <c r="Z1188" s="277"/>
      <c r="AA1188" s="277"/>
      <c r="AB1188" s="277"/>
      <c r="AC1188" s="277"/>
      <c r="AD1188" s="277"/>
      <c r="AE1188" s="277"/>
      <c r="AF1188" s="277"/>
      <c r="AG1188" s="277"/>
      <c r="AH1188" s="277"/>
      <c r="AI1188" s="277"/>
      <c r="AJ1188" s="277"/>
      <c r="AK1188" s="277"/>
    </row>
    <row r="1189" spans="1:37" s="289" customFormat="1">
      <c r="A1189" s="277"/>
      <c r="C1189" s="277"/>
      <c r="D1189" s="277"/>
      <c r="E1189" s="277"/>
      <c r="F1189" s="277"/>
      <c r="G1189" s="277"/>
      <c r="H1189" s="277"/>
      <c r="I1189" s="277"/>
      <c r="J1189" s="277"/>
      <c r="K1189" s="277"/>
      <c r="L1189" s="277"/>
      <c r="M1189" s="277"/>
      <c r="N1189" s="277"/>
      <c r="O1189" s="277"/>
      <c r="P1189" s="277"/>
      <c r="Q1189" s="277"/>
      <c r="R1189" s="277"/>
      <c r="S1189" s="277"/>
      <c r="T1189" s="277"/>
      <c r="U1189" s="277"/>
      <c r="V1189" s="277"/>
      <c r="W1189" s="277"/>
      <c r="X1189" s="277"/>
      <c r="Y1189" s="277"/>
      <c r="Z1189" s="277"/>
      <c r="AA1189" s="277"/>
      <c r="AB1189" s="277"/>
      <c r="AC1189" s="277"/>
      <c r="AD1189" s="277"/>
      <c r="AE1189" s="277"/>
      <c r="AF1189" s="277"/>
      <c r="AG1189" s="277"/>
      <c r="AH1189" s="277"/>
      <c r="AI1189" s="277"/>
      <c r="AJ1189" s="277"/>
      <c r="AK1189" s="277"/>
    </row>
    <row r="1190" spans="1:37" s="289" customFormat="1">
      <c r="A1190" s="277"/>
      <c r="C1190" s="277"/>
      <c r="D1190" s="277"/>
      <c r="E1190" s="277"/>
      <c r="F1190" s="277"/>
      <c r="G1190" s="277"/>
      <c r="H1190" s="277"/>
      <c r="I1190" s="277"/>
      <c r="J1190" s="277"/>
      <c r="K1190" s="277"/>
      <c r="L1190" s="277"/>
      <c r="M1190" s="277"/>
      <c r="N1190" s="277"/>
      <c r="O1190" s="277"/>
      <c r="P1190" s="277"/>
      <c r="Q1190" s="277"/>
      <c r="R1190" s="277"/>
      <c r="S1190" s="277"/>
      <c r="T1190" s="277"/>
      <c r="U1190" s="277"/>
      <c r="V1190" s="277"/>
      <c r="W1190" s="277"/>
      <c r="X1190" s="277"/>
      <c r="Y1190" s="277"/>
      <c r="Z1190" s="277"/>
      <c r="AA1190" s="277"/>
      <c r="AB1190" s="277"/>
      <c r="AC1190" s="277"/>
      <c r="AD1190" s="277"/>
      <c r="AE1190" s="277"/>
      <c r="AF1190" s="277"/>
      <c r="AG1190" s="277"/>
      <c r="AH1190" s="277"/>
      <c r="AI1190" s="277"/>
      <c r="AJ1190" s="277"/>
      <c r="AK1190" s="277"/>
    </row>
    <row r="1191" spans="1:37" s="289" customFormat="1">
      <c r="A1191" s="277"/>
      <c r="C1191" s="277"/>
      <c r="D1191" s="277"/>
      <c r="E1191" s="277"/>
      <c r="F1191" s="277"/>
      <c r="G1191" s="277"/>
      <c r="H1191" s="277"/>
      <c r="I1191" s="277"/>
      <c r="J1191" s="277"/>
      <c r="K1191" s="277"/>
      <c r="L1191" s="277"/>
      <c r="M1191" s="277"/>
      <c r="N1191" s="277"/>
      <c r="O1191" s="277"/>
      <c r="P1191" s="277"/>
      <c r="Q1191" s="277"/>
      <c r="R1191" s="277"/>
      <c r="S1191" s="277"/>
      <c r="T1191" s="277"/>
      <c r="U1191" s="277"/>
      <c r="V1191" s="277"/>
      <c r="W1191" s="277"/>
      <c r="X1191" s="277"/>
      <c r="Y1191" s="277"/>
      <c r="Z1191" s="277"/>
      <c r="AA1191" s="277"/>
      <c r="AB1191" s="277"/>
      <c r="AC1191" s="277"/>
      <c r="AD1191" s="277"/>
      <c r="AE1191" s="277"/>
      <c r="AF1191" s="277"/>
      <c r="AG1191" s="277"/>
      <c r="AH1191" s="277"/>
      <c r="AI1191" s="277"/>
      <c r="AJ1191" s="277"/>
      <c r="AK1191" s="277"/>
    </row>
    <row r="1192" spans="1:37" s="289" customFormat="1">
      <c r="A1192" s="277"/>
      <c r="C1192" s="277"/>
      <c r="D1192" s="277"/>
      <c r="E1192" s="277"/>
      <c r="F1192" s="277"/>
      <c r="G1192" s="277"/>
      <c r="H1192" s="277"/>
      <c r="I1192" s="277"/>
      <c r="J1192" s="277"/>
      <c r="K1192" s="277"/>
      <c r="L1192" s="277"/>
      <c r="M1192" s="277"/>
      <c r="N1192" s="277"/>
      <c r="O1192" s="277"/>
      <c r="P1192" s="277"/>
      <c r="Q1192" s="277"/>
      <c r="R1192" s="277"/>
      <c r="S1192" s="277"/>
      <c r="T1192" s="277"/>
      <c r="U1192" s="277"/>
      <c r="V1192" s="277"/>
      <c r="W1192" s="277"/>
      <c r="X1192" s="277"/>
      <c r="Y1192" s="277"/>
      <c r="Z1192" s="277"/>
      <c r="AA1192" s="277"/>
      <c r="AB1192" s="277"/>
      <c r="AC1192" s="277"/>
      <c r="AD1192" s="277"/>
      <c r="AE1192" s="277"/>
      <c r="AF1192" s="277"/>
      <c r="AG1192" s="277"/>
      <c r="AH1192" s="277"/>
      <c r="AI1192" s="277"/>
      <c r="AJ1192" s="277"/>
      <c r="AK1192" s="277"/>
    </row>
    <row r="1193" spans="1:37" s="289" customFormat="1">
      <c r="A1193" s="277"/>
      <c r="C1193" s="277"/>
      <c r="D1193" s="277"/>
      <c r="E1193" s="277"/>
      <c r="F1193" s="277"/>
      <c r="G1193" s="277"/>
      <c r="H1193" s="277"/>
      <c r="I1193" s="277"/>
      <c r="J1193" s="277"/>
      <c r="K1193" s="277"/>
      <c r="L1193" s="277"/>
      <c r="M1193" s="277"/>
      <c r="N1193" s="277"/>
      <c r="O1193" s="277"/>
      <c r="P1193" s="277"/>
      <c r="Q1193" s="277"/>
      <c r="R1193" s="277"/>
      <c r="S1193" s="277"/>
      <c r="T1193" s="277"/>
      <c r="U1193" s="277"/>
      <c r="V1193" s="277"/>
      <c r="W1193" s="277"/>
      <c r="X1193" s="277"/>
      <c r="Y1193" s="277"/>
      <c r="Z1193" s="277"/>
      <c r="AA1193" s="277"/>
      <c r="AB1193" s="277"/>
      <c r="AC1193" s="277"/>
      <c r="AD1193" s="277"/>
      <c r="AE1193" s="277"/>
      <c r="AF1193" s="277"/>
      <c r="AG1193" s="277"/>
      <c r="AH1193" s="277"/>
      <c r="AI1193" s="277"/>
      <c r="AJ1193" s="277"/>
      <c r="AK1193" s="277"/>
    </row>
    <row r="1194" spans="1:37" s="289" customFormat="1">
      <c r="A1194" s="277"/>
      <c r="C1194" s="277"/>
      <c r="D1194" s="277"/>
      <c r="E1194" s="277"/>
      <c r="F1194" s="277"/>
      <c r="G1194" s="277"/>
      <c r="H1194" s="277"/>
      <c r="I1194" s="277"/>
      <c r="J1194" s="277"/>
      <c r="K1194" s="277"/>
      <c r="L1194" s="277"/>
      <c r="M1194" s="277"/>
      <c r="N1194" s="277"/>
      <c r="O1194" s="277"/>
      <c r="P1194" s="277"/>
      <c r="Q1194" s="277"/>
      <c r="R1194" s="277"/>
      <c r="S1194" s="277"/>
      <c r="T1194" s="277"/>
      <c r="U1194" s="277"/>
      <c r="V1194" s="277"/>
      <c r="W1194" s="277"/>
      <c r="X1194" s="277"/>
      <c r="Y1194" s="277"/>
      <c r="Z1194" s="277"/>
      <c r="AA1194" s="277"/>
      <c r="AB1194" s="277"/>
      <c r="AC1194" s="277"/>
      <c r="AD1194" s="277"/>
      <c r="AE1194" s="277"/>
      <c r="AF1194" s="277"/>
      <c r="AG1194" s="277"/>
      <c r="AH1194" s="277"/>
      <c r="AI1194" s="277"/>
      <c r="AJ1194" s="277"/>
      <c r="AK1194" s="277"/>
    </row>
    <row r="1195" spans="1:37" s="289" customFormat="1">
      <c r="A1195" s="277"/>
      <c r="C1195" s="277"/>
      <c r="D1195" s="277"/>
      <c r="E1195" s="277"/>
      <c r="F1195" s="277"/>
      <c r="G1195" s="277"/>
      <c r="H1195" s="277"/>
      <c r="I1195" s="277"/>
      <c r="J1195" s="277"/>
      <c r="K1195" s="277"/>
      <c r="L1195" s="277"/>
      <c r="M1195" s="277"/>
      <c r="N1195" s="277"/>
      <c r="O1195" s="277"/>
      <c r="P1195" s="277"/>
      <c r="Q1195" s="277"/>
      <c r="R1195" s="277"/>
      <c r="S1195" s="277"/>
      <c r="T1195" s="277"/>
      <c r="U1195" s="277"/>
      <c r="V1195" s="277"/>
      <c r="W1195" s="277"/>
      <c r="X1195" s="277"/>
      <c r="Y1195" s="277"/>
      <c r="Z1195" s="277"/>
      <c r="AA1195" s="277"/>
      <c r="AB1195" s="277"/>
      <c r="AC1195" s="277"/>
      <c r="AD1195" s="277"/>
      <c r="AE1195" s="277"/>
      <c r="AF1195" s="277"/>
      <c r="AG1195" s="277"/>
      <c r="AH1195" s="277"/>
      <c r="AI1195" s="277"/>
      <c r="AJ1195" s="277"/>
      <c r="AK1195" s="277"/>
    </row>
    <row r="1196" spans="1:37" s="289" customFormat="1">
      <c r="A1196" s="277"/>
      <c r="C1196" s="277"/>
      <c r="D1196" s="277"/>
      <c r="E1196" s="277"/>
      <c r="F1196" s="277"/>
      <c r="G1196" s="277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277"/>
      <c r="R1196" s="277"/>
      <c r="S1196" s="277"/>
      <c r="T1196" s="277"/>
      <c r="U1196" s="277"/>
      <c r="V1196" s="277"/>
      <c r="W1196" s="277"/>
      <c r="X1196" s="277"/>
      <c r="Y1196" s="277"/>
      <c r="Z1196" s="277"/>
      <c r="AA1196" s="277"/>
      <c r="AB1196" s="277"/>
      <c r="AC1196" s="277"/>
      <c r="AD1196" s="277"/>
      <c r="AE1196" s="277"/>
      <c r="AF1196" s="277"/>
      <c r="AG1196" s="277"/>
      <c r="AH1196" s="277"/>
      <c r="AI1196" s="277"/>
      <c r="AJ1196" s="277"/>
      <c r="AK1196" s="277"/>
    </row>
    <row r="1197" spans="1:37" s="289" customFormat="1">
      <c r="A1197" s="277"/>
      <c r="C1197" s="277"/>
      <c r="D1197" s="277"/>
      <c r="E1197" s="277"/>
      <c r="F1197" s="277"/>
      <c r="G1197" s="277"/>
      <c r="H1197" s="277"/>
      <c r="I1197" s="277"/>
      <c r="J1197" s="277"/>
      <c r="K1197" s="277"/>
      <c r="L1197" s="277"/>
      <c r="M1197" s="277"/>
      <c r="N1197" s="277"/>
      <c r="O1197" s="277"/>
      <c r="P1197" s="277"/>
      <c r="Q1197" s="277"/>
      <c r="R1197" s="277"/>
      <c r="S1197" s="277"/>
      <c r="T1197" s="277"/>
      <c r="U1197" s="277"/>
      <c r="V1197" s="277"/>
      <c r="W1197" s="277"/>
      <c r="X1197" s="277"/>
      <c r="Y1197" s="277"/>
      <c r="Z1197" s="277"/>
      <c r="AA1197" s="277"/>
      <c r="AB1197" s="277"/>
      <c r="AC1197" s="277"/>
      <c r="AD1197" s="277"/>
      <c r="AE1197" s="277"/>
      <c r="AF1197" s="277"/>
      <c r="AG1197" s="277"/>
      <c r="AH1197" s="277"/>
      <c r="AI1197" s="277"/>
      <c r="AJ1197" s="277"/>
      <c r="AK1197" s="277"/>
    </row>
    <row r="1198" spans="1:37" s="289" customFormat="1">
      <c r="A1198" s="277"/>
      <c r="C1198" s="277"/>
      <c r="D1198" s="277"/>
      <c r="E1198" s="277"/>
      <c r="F1198" s="277"/>
      <c r="G1198" s="277"/>
      <c r="H1198" s="277"/>
      <c r="I1198" s="277"/>
      <c r="J1198" s="277"/>
      <c r="K1198" s="277"/>
      <c r="L1198" s="277"/>
      <c r="M1198" s="277"/>
      <c r="N1198" s="277"/>
      <c r="O1198" s="277"/>
      <c r="P1198" s="277"/>
      <c r="Q1198" s="277"/>
      <c r="R1198" s="277"/>
      <c r="S1198" s="277"/>
      <c r="T1198" s="277"/>
      <c r="U1198" s="277"/>
      <c r="V1198" s="277"/>
      <c r="W1198" s="277"/>
      <c r="X1198" s="277"/>
      <c r="Y1198" s="277"/>
      <c r="Z1198" s="277"/>
      <c r="AA1198" s="277"/>
      <c r="AB1198" s="277"/>
      <c r="AC1198" s="277"/>
      <c r="AD1198" s="277"/>
      <c r="AE1198" s="277"/>
      <c r="AF1198" s="277"/>
      <c r="AG1198" s="277"/>
      <c r="AH1198" s="277"/>
      <c r="AI1198" s="277"/>
      <c r="AJ1198" s="277"/>
      <c r="AK1198" s="277"/>
    </row>
    <row r="1199" spans="1:37" s="289" customFormat="1">
      <c r="A1199" s="277"/>
      <c r="C1199" s="277"/>
      <c r="D1199" s="277"/>
      <c r="E1199" s="277"/>
      <c r="F1199" s="277"/>
      <c r="G1199" s="277"/>
      <c r="H1199" s="277"/>
      <c r="I1199" s="277"/>
      <c r="J1199" s="277"/>
      <c r="K1199" s="277"/>
      <c r="L1199" s="277"/>
      <c r="M1199" s="277"/>
      <c r="N1199" s="277"/>
      <c r="O1199" s="277"/>
      <c r="P1199" s="277"/>
      <c r="Q1199" s="277"/>
      <c r="R1199" s="277"/>
      <c r="S1199" s="277"/>
      <c r="T1199" s="277"/>
      <c r="U1199" s="277"/>
      <c r="V1199" s="277"/>
      <c r="W1199" s="277"/>
      <c r="X1199" s="277"/>
      <c r="Y1199" s="277"/>
      <c r="Z1199" s="277"/>
      <c r="AA1199" s="277"/>
      <c r="AB1199" s="277"/>
      <c r="AC1199" s="277"/>
      <c r="AD1199" s="277"/>
      <c r="AE1199" s="277"/>
      <c r="AF1199" s="277"/>
      <c r="AG1199" s="277"/>
      <c r="AH1199" s="277"/>
      <c r="AI1199" s="277"/>
      <c r="AJ1199" s="277"/>
      <c r="AK1199" s="277"/>
    </row>
    <row r="1200" spans="1:37" s="289" customFormat="1">
      <c r="A1200" s="277"/>
      <c r="C1200" s="277"/>
      <c r="D1200" s="277"/>
      <c r="E1200" s="277"/>
      <c r="F1200" s="277"/>
      <c r="G1200" s="277"/>
      <c r="H1200" s="277"/>
      <c r="I1200" s="277"/>
      <c r="J1200" s="277"/>
      <c r="K1200" s="277"/>
      <c r="L1200" s="277"/>
      <c r="M1200" s="277"/>
      <c r="N1200" s="277"/>
      <c r="O1200" s="277"/>
      <c r="P1200" s="277"/>
      <c r="Q1200" s="277"/>
      <c r="R1200" s="277"/>
      <c r="S1200" s="277"/>
      <c r="T1200" s="277"/>
      <c r="U1200" s="277"/>
      <c r="V1200" s="277"/>
      <c r="W1200" s="277"/>
      <c r="X1200" s="277"/>
      <c r="Y1200" s="277"/>
      <c r="Z1200" s="277"/>
      <c r="AA1200" s="277"/>
      <c r="AB1200" s="277"/>
      <c r="AC1200" s="277"/>
      <c r="AD1200" s="277"/>
      <c r="AE1200" s="277"/>
      <c r="AF1200" s="277"/>
      <c r="AG1200" s="277"/>
      <c r="AH1200" s="277"/>
      <c r="AI1200" s="277"/>
      <c r="AJ1200" s="277"/>
      <c r="AK1200" s="277"/>
    </row>
    <row r="1201" spans="1:37" s="289" customFormat="1">
      <c r="A1201" s="277"/>
      <c r="C1201" s="277"/>
      <c r="D1201" s="277"/>
      <c r="E1201" s="277"/>
      <c r="F1201" s="277"/>
      <c r="G1201" s="277"/>
      <c r="H1201" s="277"/>
      <c r="I1201" s="277"/>
      <c r="J1201" s="277"/>
      <c r="K1201" s="277"/>
      <c r="L1201" s="277"/>
      <c r="M1201" s="277"/>
      <c r="N1201" s="277"/>
      <c r="O1201" s="277"/>
      <c r="P1201" s="277"/>
      <c r="Q1201" s="277"/>
      <c r="R1201" s="277"/>
      <c r="S1201" s="277"/>
      <c r="T1201" s="277"/>
      <c r="U1201" s="277"/>
      <c r="V1201" s="277"/>
      <c r="W1201" s="277"/>
      <c r="X1201" s="277"/>
      <c r="Y1201" s="277"/>
      <c r="Z1201" s="277"/>
      <c r="AA1201" s="277"/>
      <c r="AB1201" s="277"/>
      <c r="AC1201" s="277"/>
      <c r="AD1201" s="277"/>
      <c r="AE1201" s="277"/>
      <c r="AF1201" s="277"/>
      <c r="AG1201" s="277"/>
      <c r="AH1201" s="277"/>
      <c r="AI1201" s="277"/>
      <c r="AJ1201" s="277"/>
      <c r="AK1201" s="277"/>
    </row>
    <row r="1202" spans="1:37" s="289" customFormat="1">
      <c r="A1202" s="277"/>
      <c r="C1202" s="277"/>
      <c r="D1202" s="277"/>
      <c r="E1202" s="277"/>
      <c r="F1202" s="277"/>
      <c r="G1202" s="277"/>
      <c r="H1202" s="277"/>
      <c r="I1202" s="277"/>
      <c r="J1202" s="277"/>
      <c r="K1202" s="277"/>
      <c r="L1202" s="277"/>
      <c r="M1202" s="277"/>
      <c r="N1202" s="277"/>
      <c r="O1202" s="277"/>
      <c r="P1202" s="277"/>
      <c r="Q1202" s="277"/>
      <c r="R1202" s="277"/>
      <c r="S1202" s="277"/>
      <c r="T1202" s="277"/>
      <c r="U1202" s="277"/>
      <c r="V1202" s="277"/>
      <c r="W1202" s="277"/>
      <c r="X1202" s="277"/>
      <c r="Y1202" s="277"/>
      <c r="Z1202" s="277"/>
      <c r="AA1202" s="277"/>
      <c r="AB1202" s="277"/>
      <c r="AC1202" s="277"/>
      <c r="AD1202" s="277"/>
      <c r="AE1202" s="277"/>
      <c r="AF1202" s="277"/>
      <c r="AG1202" s="277"/>
      <c r="AH1202" s="277"/>
      <c r="AI1202" s="277"/>
      <c r="AJ1202" s="277"/>
      <c r="AK1202" s="277"/>
    </row>
    <row r="1203" spans="1:37" s="289" customFormat="1">
      <c r="A1203" s="277"/>
      <c r="C1203" s="277"/>
      <c r="D1203" s="277"/>
      <c r="E1203" s="277"/>
      <c r="F1203" s="277"/>
      <c r="G1203" s="277"/>
      <c r="H1203" s="277"/>
      <c r="I1203" s="277"/>
      <c r="J1203" s="277"/>
      <c r="K1203" s="277"/>
      <c r="L1203" s="277"/>
      <c r="M1203" s="277"/>
      <c r="N1203" s="277"/>
      <c r="O1203" s="277"/>
      <c r="P1203" s="277"/>
      <c r="Q1203" s="277"/>
      <c r="R1203" s="277"/>
      <c r="S1203" s="277"/>
      <c r="T1203" s="277"/>
      <c r="U1203" s="277"/>
      <c r="V1203" s="277"/>
      <c r="W1203" s="277"/>
      <c r="X1203" s="277"/>
      <c r="Y1203" s="277"/>
      <c r="Z1203" s="277"/>
      <c r="AA1203" s="277"/>
      <c r="AB1203" s="277"/>
      <c r="AC1203" s="277"/>
      <c r="AD1203" s="277"/>
      <c r="AE1203" s="277"/>
      <c r="AF1203" s="277"/>
      <c r="AG1203" s="277"/>
      <c r="AH1203" s="277"/>
      <c r="AI1203" s="277"/>
      <c r="AJ1203" s="277"/>
      <c r="AK1203" s="277"/>
    </row>
    <row r="1204" spans="1:37" s="289" customFormat="1">
      <c r="A1204" s="277"/>
      <c r="C1204" s="277"/>
      <c r="D1204" s="277"/>
      <c r="E1204" s="277"/>
      <c r="F1204" s="277"/>
      <c r="G1204" s="277"/>
      <c r="H1204" s="277"/>
      <c r="I1204" s="277"/>
      <c r="J1204" s="277"/>
      <c r="K1204" s="277"/>
      <c r="L1204" s="277"/>
      <c r="M1204" s="277"/>
      <c r="N1204" s="277"/>
      <c r="O1204" s="277"/>
      <c r="P1204" s="277"/>
      <c r="Q1204" s="277"/>
      <c r="R1204" s="277"/>
      <c r="S1204" s="277"/>
      <c r="T1204" s="277"/>
      <c r="U1204" s="277"/>
      <c r="V1204" s="277"/>
      <c r="W1204" s="277"/>
      <c r="X1204" s="277"/>
      <c r="Y1204" s="277"/>
      <c r="Z1204" s="277"/>
      <c r="AA1204" s="277"/>
      <c r="AB1204" s="277"/>
      <c r="AC1204" s="277"/>
      <c r="AD1204" s="277"/>
      <c r="AE1204" s="277"/>
      <c r="AF1204" s="277"/>
      <c r="AG1204" s="277"/>
      <c r="AH1204" s="277"/>
      <c r="AI1204" s="277"/>
      <c r="AJ1204" s="277"/>
      <c r="AK1204" s="277"/>
    </row>
    <row r="1205" spans="1:37" s="289" customFormat="1">
      <c r="A1205" s="277"/>
      <c r="C1205" s="277"/>
      <c r="D1205" s="277"/>
      <c r="E1205" s="277"/>
      <c r="F1205" s="277"/>
      <c r="G1205" s="277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277"/>
      <c r="R1205" s="277"/>
      <c r="S1205" s="277"/>
      <c r="T1205" s="277"/>
      <c r="U1205" s="277"/>
      <c r="V1205" s="277"/>
      <c r="W1205" s="277"/>
      <c r="X1205" s="277"/>
      <c r="Y1205" s="277"/>
      <c r="Z1205" s="277"/>
      <c r="AA1205" s="277"/>
      <c r="AB1205" s="277"/>
      <c r="AC1205" s="277"/>
      <c r="AD1205" s="277"/>
      <c r="AE1205" s="277"/>
      <c r="AF1205" s="277"/>
      <c r="AG1205" s="277"/>
      <c r="AH1205" s="277"/>
      <c r="AI1205" s="277"/>
      <c r="AJ1205" s="277"/>
      <c r="AK1205" s="277"/>
    </row>
    <row r="1206" spans="1:37" s="289" customFormat="1">
      <c r="A1206" s="277"/>
      <c r="C1206" s="277"/>
      <c r="D1206" s="277"/>
      <c r="E1206" s="277"/>
      <c r="F1206" s="277"/>
      <c r="G1206" s="277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277"/>
      <c r="R1206" s="277"/>
      <c r="S1206" s="277"/>
      <c r="T1206" s="277"/>
      <c r="U1206" s="277"/>
      <c r="V1206" s="277"/>
      <c r="W1206" s="277"/>
      <c r="X1206" s="277"/>
      <c r="Y1206" s="277"/>
      <c r="Z1206" s="277"/>
      <c r="AA1206" s="277"/>
      <c r="AB1206" s="277"/>
      <c r="AC1206" s="277"/>
      <c r="AD1206" s="277"/>
      <c r="AE1206" s="277"/>
      <c r="AF1206" s="277"/>
      <c r="AG1206" s="277"/>
      <c r="AH1206" s="277"/>
      <c r="AI1206" s="277"/>
      <c r="AJ1206" s="277"/>
      <c r="AK1206" s="277"/>
    </row>
    <row r="1207" spans="1:37" s="289" customFormat="1">
      <c r="A1207" s="277"/>
      <c r="C1207" s="277"/>
      <c r="D1207" s="277"/>
      <c r="E1207" s="277"/>
      <c r="F1207" s="277"/>
      <c r="G1207" s="277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277"/>
      <c r="R1207" s="277"/>
      <c r="S1207" s="277"/>
      <c r="T1207" s="277"/>
      <c r="U1207" s="277"/>
      <c r="V1207" s="277"/>
      <c r="W1207" s="277"/>
      <c r="X1207" s="277"/>
      <c r="Y1207" s="277"/>
      <c r="Z1207" s="277"/>
      <c r="AA1207" s="277"/>
      <c r="AB1207" s="277"/>
      <c r="AC1207" s="277"/>
      <c r="AD1207" s="277"/>
      <c r="AE1207" s="277"/>
      <c r="AF1207" s="277"/>
      <c r="AG1207" s="277"/>
      <c r="AH1207" s="277"/>
      <c r="AI1207" s="277"/>
      <c r="AJ1207" s="277"/>
      <c r="AK1207" s="277"/>
    </row>
    <row r="1208" spans="1:37" s="289" customFormat="1">
      <c r="A1208" s="277"/>
      <c r="C1208" s="277"/>
      <c r="D1208" s="277"/>
      <c r="E1208" s="277"/>
      <c r="F1208" s="277"/>
      <c r="G1208" s="277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277"/>
      <c r="R1208" s="277"/>
      <c r="S1208" s="277"/>
      <c r="T1208" s="277"/>
      <c r="U1208" s="277"/>
      <c r="V1208" s="277"/>
      <c r="W1208" s="277"/>
      <c r="X1208" s="277"/>
      <c r="Y1208" s="277"/>
      <c r="Z1208" s="277"/>
      <c r="AA1208" s="277"/>
      <c r="AB1208" s="277"/>
      <c r="AC1208" s="277"/>
      <c r="AD1208" s="277"/>
      <c r="AE1208" s="277"/>
      <c r="AF1208" s="277"/>
      <c r="AG1208" s="277"/>
      <c r="AH1208" s="277"/>
      <c r="AI1208" s="277"/>
      <c r="AJ1208" s="277"/>
      <c r="AK1208" s="277"/>
    </row>
    <row r="1209" spans="1:37" s="289" customFormat="1">
      <c r="A1209" s="277"/>
      <c r="C1209" s="277"/>
      <c r="D1209" s="277"/>
      <c r="E1209" s="277"/>
      <c r="F1209" s="277"/>
      <c r="G1209" s="277"/>
      <c r="H1209" s="277"/>
      <c r="I1209" s="277"/>
      <c r="J1209" s="277"/>
      <c r="K1209" s="277"/>
      <c r="L1209" s="277"/>
      <c r="M1209" s="277"/>
      <c r="N1209" s="277"/>
      <c r="O1209" s="277"/>
      <c r="P1209" s="277"/>
      <c r="Q1209" s="277"/>
      <c r="R1209" s="277"/>
      <c r="S1209" s="277"/>
      <c r="T1209" s="277"/>
      <c r="U1209" s="277"/>
      <c r="V1209" s="277"/>
      <c r="W1209" s="277"/>
      <c r="X1209" s="277"/>
      <c r="Y1209" s="277"/>
      <c r="Z1209" s="277"/>
      <c r="AA1209" s="277"/>
      <c r="AB1209" s="277"/>
      <c r="AC1209" s="277"/>
      <c r="AD1209" s="277"/>
      <c r="AE1209" s="277"/>
      <c r="AF1209" s="277"/>
      <c r="AG1209" s="277"/>
      <c r="AH1209" s="277"/>
      <c r="AI1209" s="277"/>
      <c r="AJ1209" s="277"/>
      <c r="AK1209" s="277"/>
    </row>
    <row r="1210" spans="1:37" s="289" customFormat="1">
      <c r="A1210" s="277"/>
      <c r="C1210" s="277"/>
      <c r="D1210" s="277"/>
      <c r="E1210" s="277"/>
      <c r="F1210" s="277"/>
      <c r="G1210" s="277"/>
      <c r="H1210" s="277"/>
      <c r="I1210" s="277"/>
      <c r="J1210" s="277"/>
      <c r="K1210" s="277"/>
      <c r="L1210" s="277"/>
      <c r="M1210" s="277"/>
      <c r="N1210" s="277"/>
      <c r="O1210" s="277"/>
      <c r="P1210" s="277"/>
      <c r="Q1210" s="277"/>
      <c r="R1210" s="277"/>
      <c r="S1210" s="277"/>
      <c r="T1210" s="277"/>
      <c r="U1210" s="277"/>
      <c r="V1210" s="277"/>
      <c r="W1210" s="277"/>
      <c r="X1210" s="277"/>
      <c r="Y1210" s="277"/>
      <c r="Z1210" s="277"/>
      <c r="AA1210" s="277"/>
      <c r="AB1210" s="277"/>
      <c r="AC1210" s="277"/>
      <c r="AD1210" s="277"/>
      <c r="AE1210" s="277"/>
      <c r="AF1210" s="277"/>
      <c r="AG1210" s="277"/>
      <c r="AH1210" s="277"/>
      <c r="AI1210" s="277"/>
      <c r="AJ1210" s="277"/>
      <c r="AK1210" s="277"/>
    </row>
    <row r="1211" spans="1:37" s="289" customFormat="1">
      <c r="A1211" s="277"/>
      <c r="C1211" s="277"/>
      <c r="D1211" s="277"/>
      <c r="E1211" s="277"/>
      <c r="F1211" s="277"/>
      <c r="G1211" s="277"/>
      <c r="H1211" s="277"/>
      <c r="I1211" s="277"/>
      <c r="J1211" s="277"/>
      <c r="K1211" s="277"/>
      <c r="L1211" s="277"/>
      <c r="M1211" s="277"/>
      <c r="N1211" s="277"/>
      <c r="O1211" s="277"/>
      <c r="P1211" s="277"/>
      <c r="Q1211" s="277"/>
      <c r="R1211" s="277"/>
      <c r="S1211" s="277"/>
      <c r="T1211" s="277"/>
      <c r="U1211" s="277"/>
      <c r="V1211" s="277"/>
      <c r="W1211" s="277"/>
      <c r="X1211" s="277"/>
      <c r="Y1211" s="277"/>
      <c r="Z1211" s="277"/>
      <c r="AA1211" s="277"/>
      <c r="AB1211" s="277"/>
      <c r="AC1211" s="277"/>
      <c r="AD1211" s="277"/>
      <c r="AE1211" s="277"/>
      <c r="AF1211" s="277"/>
      <c r="AG1211" s="277"/>
      <c r="AH1211" s="277"/>
      <c r="AI1211" s="277"/>
      <c r="AJ1211" s="277"/>
      <c r="AK1211" s="277"/>
    </row>
    <row r="1212" spans="1:37" s="289" customFormat="1">
      <c r="A1212" s="277"/>
      <c r="C1212" s="277"/>
      <c r="D1212" s="277"/>
      <c r="E1212" s="277"/>
      <c r="F1212" s="277"/>
      <c r="G1212" s="277"/>
      <c r="H1212" s="277"/>
      <c r="I1212" s="277"/>
      <c r="J1212" s="277"/>
      <c r="K1212" s="277"/>
      <c r="L1212" s="277"/>
      <c r="M1212" s="277"/>
      <c r="N1212" s="277"/>
      <c r="O1212" s="277"/>
      <c r="P1212" s="277"/>
      <c r="Q1212" s="277"/>
      <c r="R1212" s="277"/>
      <c r="S1212" s="277"/>
      <c r="T1212" s="277"/>
      <c r="U1212" s="277"/>
      <c r="V1212" s="277"/>
      <c r="W1212" s="277"/>
      <c r="X1212" s="277"/>
      <c r="Y1212" s="277"/>
      <c r="Z1212" s="277"/>
      <c r="AA1212" s="277"/>
      <c r="AB1212" s="277"/>
      <c r="AC1212" s="277"/>
      <c r="AD1212" s="277"/>
      <c r="AE1212" s="277"/>
      <c r="AF1212" s="277"/>
      <c r="AG1212" s="277"/>
      <c r="AH1212" s="277"/>
      <c r="AI1212" s="277"/>
      <c r="AJ1212" s="277"/>
      <c r="AK1212" s="277"/>
    </row>
    <row r="1213" spans="1:37" s="289" customFormat="1">
      <c r="A1213" s="277"/>
      <c r="C1213" s="277"/>
      <c r="D1213" s="277"/>
      <c r="E1213" s="277"/>
      <c r="F1213" s="277"/>
      <c r="G1213" s="277"/>
      <c r="H1213" s="277"/>
      <c r="I1213" s="277"/>
      <c r="J1213" s="277"/>
      <c r="K1213" s="277"/>
      <c r="L1213" s="277"/>
      <c r="M1213" s="277"/>
      <c r="N1213" s="277"/>
      <c r="O1213" s="277"/>
      <c r="P1213" s="277"/>
      <c r="Q1213" s="277"/>
      <c r="R1213" s="277"/>
      <c r="S1213" s="277"/>
      <c r="T1213" s="277"/>
      <c r="U1213" s="277"/>
      <c r="V1213" s="277"/>
      <c r="W1213" s="277"/>
      <c r="X1213" s="277"/>
      <c r="Y1213" s="277"/>
      <c r="Z1213" s="277"/>
      <c r="AA1213" s="277"/>
      <c r="AB1213" s="277"/>
      <c r="AC1213" s="277"/>
      <c r="AD1213" s="277"/>
      <c r="AE1213" s="277"/>
      <c r="AF1213" s="277"/>
      <c r="AG1213" s="277"/>
      <c r="AH1213" s="277"/>
      <c r="AI1213" s="277"/>
      <c r="AJ1213" s="277"/>
      <c r="AK1213" s="277"/>
    </row>
    <row r="1214" spans="1:37" s="289" customFormat="1">
      <c r="A1214" s="277"/>
      <c r="C1214" s="277"/>
      <c r="D1214" s="277"/>
      <c r="E1214" s="277"/>
      <c r="F1214" s="277"/>
      <c r="G1214" s="277"/>
      <c r="H1214" s="277"/>
      <c r="I1214" s="277"/>
      <c r="J1214" s="277"/>
      <c r="K1214" s="277"/>
      <c r="L1214" s="277"/>
      <c r="M1214" s="277"/>
      <c r="N1214" s="277"/>
      <c r="O1214" s="277"/>
      <c r="P1214" s="277"/>
      <c r="Q1214" s="277"/>
      <c r="R1214" s="277"/>
      <c r="S1214" s="277"/>
      <c r="T1214" s="277"/>
      <c r="U1214" s="277"/>
      <c r="V1214" s="277"/>
      <c r="W1214" s="277"/>
      <c r="X1214" s="277"/>
      <c r="Y1214" s="277"/>
      <c r="Z1214" s="277"/>
      <c r="AA1214" s="277"/>
      <c r="AB1214" s="277"/>
      <c r="AC1214" s="277"/>
      <c r="AD1214" s="277"/>
      <c r="AE1214" s="277"/>
      <c r="AF1214" s="277"/>
      <c r="AG1214" s="277"/>
      <c r="AH1214" s="277"/>
      <c r="AI1214" s="277"/>
      <c r="AJ1214" s="277"/>
      <c r="AK1214" s="277"/>
    </row>
    <row r="1215" spans="1:37" s="289" customFormat="1">
      <c r="A1215" s="277"/>
      <c r="C1215" s="277"/>
      <c r="D1215" s="277"/>
      <c r="E1215" s="277"/>
      <c r="F1215" s="277"/>
      <c r="G1215" s="277"/>
      <c r="H1215" s="277"/>
      <c r="I1215" s="277"/>
      <c r="J1215" s="277"/>
      <c r="K1215" s="277"/>
      <c r="L1215" s="277"/>
      <c r="M1215" s="277"/>
      <c r="N1215" s="277"/>
      <c r="O1215" s="277"/>
      <c r="P1215" s="277"/>
      <c r="Q1215" s="277"/>
      <c r="R1215" s="277"/>
      <c r="S1215" s="277"/>
      <c r="T1215" s="277"/>
      <c r="U1215" s="277"/>
      <c r="V1215" s="277"/>
      <c r="W1215" s="277"/>
      <c r="X1215" s="277"/>
      <c r="Y1215" s="277"/>
      <c r="Z1215" s="277"/>
      <c r="AA1215" s="277"/>
      <c r="AB1215" s="277"/>
      <c r="AC1215" s="277"/>
      <c r="AD1215" s="277"/>
      <c r="AE1215" s="277"/>
      <c r="AF1215" s="277"/>
      <c r="AG1215" s="277"/>
      <c r="AH1215" s="277"/>
      <c r="AI1215" s="277"/>
      <c r="AJ1215" s="277"/>
      <c r="AK1215" s="277"/>
    </row>
    <row r="1216" spans="1:37" s="289" customFormat="1">
      <c r="A1216" s="277"/>
      <c r="C1216" s="277"/>
      <c r="D1216" s="277"/>
      <c r="E1216" s="277"/>
      <c r="F1216" s="277"/>
      <c r="G1216" s="277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277"/>
      <c r="R1216" s="277"/>
      <c r="S1216" s="277"/>
      <c r="T1216" s="277"/>
      <c r="U1216" s="277"/>
      <c r="V1216" s="277"/>
      <c r="W1216" s="277"/>
      <c r="X1216" s="277"/>
      <c r="Y1216" s="277"/>
      <c r="Z1216" s="277"/>
      <c r="AA1216" s="277"/>
      <c r="AB1216" s="277"/>
      <c r="AC1216" s="277"/>
      <c r="AD1216" s="277"/>
      <c r="AE1216" s="277"/>
      <c r="AF1216" s="277"/>
      <c r="AG1216" s="277"/>
      <c r="AH1216" s="277"/>
      <c r="AI1216" s="277"/>
      <c r="AJ1216" s="277"/>
      <c r="AK1216" s="277"/>
    </row>
    <row r="1217" spans="1:37" s="289" customFormat="1">
      <c r="A1217" s="277"/>
      <c r="C1217" s="277"/>
      <c r="D1217" s="277"/>
      <c r="E1217" s="277"/>
      <c r="F1217" s="277"/>
      <c r="G1217" s="277"/>
      <c r="H1217" s="277"/>
      <c r="I1217" s="277"/>
      <c r="J1217" s="277"/>
      <c r="K1217" s="277"/>
      <c r="L1217" s="277"/>
      <c r="M1217" s="277"/>
      <c r="N1217" s="277"/>
      <c r="O1217" s="277"/>
      <c r="P1217" s="277"/>
      <c r="Q1217" s="277"/>
      <c r="R1217" s="277"/>
      <c r="S1217" s="277"/>
      <c r="T1217" s="277"/>
      <c r="U1217" s="277"/>
      <c r="V1217" s="277"/>
      <c r="W1217" s="277"/>
      <c r="X1217" s="277"/>
      <c r="Y1217" s="277"/>
      <c r="Z1217" s="277"/>
      <c r="AA1217" s="277"/>
      <c r="AB1217" s="277"/>
      <c r="AC1217" s="277"/>
      <c r="AD1217" s="277"/>
      <c r="AE1217" s="277"/>
      <c r="AF1217" s="277"/>
      <c r="AG1217" s="277"/>
      <c r="AH1217" s="277"/>
      <c r="AI1217" s="277"/>
      <c r="AJ1217" s="277"/>
      <c r="AK1217" s="277"/>
    </row>
    <row r="1218" spans="1:37" s="289" customFormat="1">
      <c r="A1218" s="277"/>
      <c r="C1218" s="277"/>
      <c r="D1218" s="277"/>
      <c r="E1218" s="277"/>
      <c r="F1218" s="277"/>
      <c r="G1218" s="277"/>
      <c r="H1218" s="277"/>
      <c r="I1218" s="277"/>
      <c r="J1218" s="277"/>
      <c r="K1218" s="277"/>
      <c r="L1218" s="277"/>
      <c r="M1218" s="277"/>
      <c r="N1218" s="277"/>
      <c r="O1218" s="277"/>
      <c r="P1218" s="277"/>
      <c r="Q1218" s="277"/>
      <c r="R1218" s="277"/>
      <c r="S1218" s="277"/>
      <c r="T1218" s="277"/>
      <c r="U1218" s="277"/>
      <c r="V1218" s="277"/>
      <c r="W1218" s="277"/>
      <c r="X1218" s="277"/>
      <c r="Y1218" s="277"/>
      <c r="Z1218" s="277"/>
      <c r="AA1218" s="277"/>
      <c r="AB1218" s="277"/>
      <c r="AC1218" s="277"/>
      <c r="AD1218" s="277"/>
      <c r="AE1218" s="277"/>
      <c r="AF1218" s="277"/>
      <c r="AG1218" s="277"/>
      <c r="AH1218" s="277"/>
      <c r="AI1218" s="277"/>
      <c r="AJ1218" s="277"/>
      <c r="AK1218" s="277"/>
    </row>
    <row r="1219" spans="1:37" s="289" customFormat="1">
      <c r="A1219" s="277"/>
      <c r="C1219" s="277"/>
      <c r="D1219" s="277"/>
      <c r="E1219" s="277"/>
      <c r="F1219" s="277"/>
      <c r="G1219" s="277"/>
      <c r="H1219" s="277"/>
      <c r="I1219" s="277"/>
      <c r="J1219" s="277"/>
      <c r="K1219" s="277"/>
      <c r="L1219" s="277"/>
      <c r="M1219" s="277"/>
      <c r="N1219" s="277"/>
      <c r="O1219" s="277"/>
      <c r="P1219" s="277"/>
      <c r="Q1219" s="277"/>
      <c r="R1219" s="277"/>
      <c r="S1219" s="277"/>
      <c r="T1219" s="277"/>
      <c r="U1219" s="277"/>
      <c r="V1219" s="277"/>
      <c r="W1219" s="277"/>
      <c r="X1219" s="277"/>
      <c r="Y1219" s="277"/>
      <c r="Z1219" s="277"/>
      <c r="AA1219" s="277"/>
      <c r="AB1219" s="277"/>
      <c r="AC1219" s="277"/>
      <c r="AD1219" s="277"/>
      <c r="AE1219" s="277"/>
      <c r="AF1219" s="277"/>
      <c r="AG1219" s="277"/>
      <c r="AH1219" s="277"/>
      <c r="AI1219" s="277"/>
      <c r="AJ1219" s="277"/>
      <c r="AK1219" s="277"/>
    </row>
    <row r="1220" spans="1:37" s="289" customFormat="1">
      <c r="A1220" s="277"/>
      <c r="C1220" s="277"/>
      <c r="D1220" s="277"/>
      <c r="E1220" s="277"/>
      <c r="F1220" s="277"/>
      <c r="G1220" s="277"/>
      <c r="H1220" s="277"/>
      <c r="I1220" s="277"/>
      <c r="J1220" s="277"/>
      <c r="K1220" s="277"/>
      <c r="L1220" s="277"/>
      <c r="M1220" s="277"/>
      <c r="N1220" s="277"/>
      <c r="O1220" s="277"/>
      <c r="P1220" s="277"/>
      <c r="Q1220" s="277"/>
      <c r="R1220" s="277"/>
      <c r="S1220" s="277"/>
      <c r="T1220" s="277"/>
      <c r="U1220" s="277"/>
      <c r="V1220" s="277"/>
      <c r="W1220" s="277"/>
      <c r="X1220" s="277"/>
      <c r="Y1220" s="277"/>
      <c r="Z1220" s="277"/>
      <c r="AA1220" s="277"/>
      <c r="AB1220" s="277"/>
      <c r="AC1220" s="277"/>
      <c r="AD1220" s="277"/>
      <c r="AE1220" s="277"/>
      <c r="AF1220" s="277"/>
      <c r="AG1220" s="277"/>
      <c r="AH1220" s="277"/>
      <c r="AI1220" s="277"/>
      <c r="AJ1220" s="277"/>
      <c r="AK1220" s="277"/>
    </row>
    <row r="1221" spans="1:37" s="289" customFormat="1">
      <c r="A1221" s="277"/>
      <c r="C1221" s="277"/>
      <c r="D1221" s="277"/>
      <c r="E1221" s="277"/>
      <c r="F1221" s="277"/>
      <c r="G1221" s="277"/>
      <c r="H1221" s="277"/>
      <c r="I1221" s="277"/>
      <c r="J1221" s="277"/>
      <c r="K1221" s="277"/>
      <c r="L1221" s="277"/>
      <c r="M1221" s="277"/>
      <c r="N1221" s="277"/>
      <c r="O1221" s="277"/>
      <c r="P1221" s="277"/>
      <c r="Q1221" s="277"/>
      <c r="R1221" s="277"/>
      <c r="S1221" s="277"/>
      <c r="T1221" s="277"/>
      <c r="U1221" s="277"/>
      <c r="V1221" s="277"/>
      <c r="W1221" s="277"/>
      <c r="X1221" s="277"/>
      <c r="Y1221" s="277"/>
      <c r="Z1221" s="277"/>
      <c r="AA1221" s="277"/>
      <c r="AB1221" s="277"/>
      <c r="AC1221" s="277"/>
      <c r="AD1221" s="277"/>
      <c r="AE1221" s="277"/>
      <c r="AF1221" s="277"/>
      <c r="AG1221" s="277"/>
      <c r="AH1221" s="277"/>
      <c r="AI1221" s="277"/>
      <c r="AJ1221" s="277"/>
      <c r="AK1221" s="277"/>
    </row>
    <row r="1222" spans="1:37" s="289" customFormat="1">
      <c r="A1222" s="277"/>
      <c r="C1222" s="277"/>
      <c r="D1222" s="277"/>
      <c r="E1222" s="277"/>
      <c r="F1222" s="277"/>
      <c r="G1222" s="277"/>
      <c r="H1222" s="277"/>
      <c r="I1222" s="277"/>
      <c r="J1222" s="277"/>
      <c r="K1222" s="277"/>
      <c r="L1222" s="277"/>
      <c r="M1222" s="277"/>
      <c r="N1222" s="277"/>
      <c r="O1222" s="277"/>
      <c r="P1222" s="277"/>
      <c r="Q1222" s="277"/>
      <c r="R1222" s="277"/>
      <c r="S1222" s="277"/>
      <c r="T1222" s="277"/>
      <c r="U1222" s="277"/>
      <c r="V1222" s="277"/>
      <c r="W1222" s="277"/>
      <c r="X1222" s="277"/>
      <c r="Y1222" s="277"/>
      <c r="Z1222" s="277"/>
      <c r="AA1222" s="277"/>
      <c r="AB1222" s="277"/>
      <c r="AC1222" s="277"/>
      <c r="AD1222" s="277"/>
      <c r="AE1222" s="277"/>
      <c r="AF1222" s="277"/>
      <c r="AG1222" s="277"/>
      <c r="AH1222" s="277"/>
      <c r="AI1222" s="277"/>
      <c r="AJ1222" s="277"/>
      <c r="AK1222" s="277"/>
    </row>
    <row r="1223" spans="1:37" s="289" customFormat="1">
      <c r="A1223" s="277"/>
      <c r="C1223" s="277"/>
      <c r="D1223" s="277"/>
      <c r="E1223" s="277"/>
      <c r="F1223" s="277"/>
      <c r="G1223" s="277"/>
      <c r="H1223" s="277"/>
      <c r="I1223" s="277"/>
      <c r="J1223" s="277"/>
      <c r="K1223" s="277"/>
      <c r="L1223" s="277"/>
      <c r="M1223" s="277"/>
      <c r="N1223" s="277"/>
      <c r="O1223" s="277"/>
      <c r="P1223" s="277"/>
      <c r="Q1223" s="277"/>
      <c r="R1223" s="277"/>
      <c r="S1223" s="277"/>
      <c r="T1223" s="277"/>
      <c r="U1223" s="277"/>
      <c r="V1223" s="277"/>
      <c r="W1223" s="277"/>
      <c r="X1223" s="277"/>
      <c r="Y1223" s="277"/>
      <c r="Z1223" s="277"/>
      <c r="AA1223" s="277"/>
      <c r="AB1223" s="277"/>
      <c r="AC1223" s="277"/>
      <c r="AD1223" s="277"/>
      <c r="AE1223" s="277"/>
      <c r="AF1223" s="277"/>
      <c r="AG1223" s="277"/>
      <c r="AH1223" s="277"/>
      <c r="AI1223" s="277"/>
      <c r="AJ1223" s="277"/>
      <c r="AK1223" s="277"/>
    </row>
    <row r="1224" spans="1:37" s="289" customFormat="1">
      <c r="A1224" s="277"/>
      <c r="C1224" s="277"/>
      <c r="D1224" s="277"/>
      <c r="E1224" s="277"/>
      <c r="F1224" s="277"/>
      <c r="G1224" s="277"/>
      <c r="H1224" s="277"/>
      <c r="I1224" s="277"/>
      <c r="J1224" s="277"/>
      <c r="K1224" s="277"/>
      <c r="L1224" s="277"/>
      <c r="M1224" s="277"/>
      <c r="N1224" s="277"/>
      <c r="O1224" s="277"/>
      <c r="P1224" s="277"/>
      <c r="Q1224" s="277"/>
      <c r="R1224" s="277"/>
      <c r="S1224" s="277"/>
      <c r="T1224" s="277"/>
      <c r="U1224" s="277"/>
      <c r="V1224" s="277"/>
      <c r="W1224" s="277"/>
      <c r="X1224" s="277"/>
      <c r="Y1224" s="277"/>
      <c r="Z1224" s="277"/>
      <c r="AA1224" s="277"/>
      <c r="AB1224" s="277"/>
      <c r="AC1224" s="277"/>
      <c r="AD1224" s="277"/>
      <c r="AE1224" s="277"/>
      <c r="AF1224" s="277"/>
      <c r="AG1224" s="277"/>
      <c r="AH1224" s="277"/>
      <c r="AI1224" s="277"/>
      <c r="AJ1224" s="277"/>
      <c r="AK1224" s="277"/>
    </row>
    <row r="1225" spans="1:37" s="289" customFormat="1">
      <c r="A1225" s="277"/>
      <c r="C1225" s="277"/>
      <c r="D1225" s="277"/>
      <c r="E1225" s="277"/>
      <c r="F1225" s="277"/>
      <c r="G1225" s="277"/>
      <c r="H1225" s="277"/>
      <c r="I1225" s="277"/>
      <c r="J1225" s="277"/>
      <c r="K1225" s="277"/>
      <c r="L1225" s="277"/>
      <c r="M1225" s="277"/>
      <c r="N1225" s="277"/>
      <c r="O1225" s="277"/>
      <c r="P1225" s="277"/>
      <c r="Q1225" s="277"/>
      <c r="R1225" s="277"/>
      <c r="S1225" s="277"/>
      <c r="T1225" s="277"/>
      <c r="U1225" s="277"/>
      <c r="V1225" s="277"/>
      <c r="W1225" s="277"/>
      <c r="X1225" s="277"/>
      <c r="Y1225" s="277"/>
      <c r="Z1225" s="277"/>
      <c r="AA1225" s="277"/>
      <c r="AB1225" s="277"/>
      <c r="AC1225" s="277"/>
      <c r="AD1225" s="277"/>
      <c r="AE1225" s="277"/>
      <c r="AF1225" s="277"/>
      <c r="AG1225" s="277"/>
      <c r="AH1225" s="277"/>
      <c r="AI1225" s="277"/>
      <c r="AJ1225" s="277"/>
      <c r="AK1225" s="277"/>
    </row>
    <row r="1226" spans="1:37" s="289" customFormat="1">
      <c r="A1226" s="277"/>
      <c r="C1226" s="277"/>
      <c r="D1226" s="277"/>
      <c r="E1226" s="277"/>
      <c r="F1226" s="277"/>
      <c r="G1226" s="277"/>
      <c r="H1226" s="277"/>
      <c r="I1226" s="277"/>
      <c r="J1226" s="277"/>
      <c r="K1226" s="277"/>
      <c r="L1226" s="277"/>
      <c r="M1226" s="277"/>
      <c r="N1226" s="277"/>
      <c r="O1226" s="277"/>
      <c r="P1226" s="277"/>
      <c r="Q1226" s="277"/>
      <c r="R1226" s="277"/>
      <c r="S1226" s="277"/>
      <c r="T1226" s="277"/>
      <c r="U1226" s="277"/>
      <c r="V1226" s="277"/>
      <c r="W1226" s="277"/>
      <c r="X1226" s="277"/>
      <c r="Y1226" s="277"/>
      <c r="Z1226" s="277"/>
      <c r="AA1226" s="277"/>
      <c r="AB1226" s="277"/>
      <c r="AC1226" s="277"/>
      <c r="AD1226" s="277"/>
      <c r="AE1226" s="277"/>
      <c r="AF1226" s="277"/>
      <c r="AG1226" s="277"/>
      <c r="AH1226" s="277"/>
      <c r="AI1226" s="277"/>
      <c r="AJ1226" s="277"/>
      <c r="AK1226" s="277"/>
    </row>
    <row r="1227" spans="1:37" s="289" customFormat="1">
      <c r="A1227" s="277"/>
      <c r="C1227" s="277"/>
      <c r="D1227" s="277"/>
      <c r="E1227" s="277"/>
      <c r="F1227" s="277"/>
      <c r="G1227" s="277"/>
      <c r="H1227" s="277"/>
      <c r="I1227" s="277"/>
      <c r="J1227" s="277"/>
      <c r="K1227" s="277"/>
      <c r="L1227" s="277"/>
      <c r="M1227" s="277"/>
      <c r="N1227" s="277"/>
      <c r="O1227" s="277"/>
      <c r="P1227" s="277"/>
      <c r="Q1227" s="277"/>
      <c r="R1227" s="277"/>
      <c r="S1227" s="277"/>
      <c r="T1227" s="277"/>
      <c r="U1227" s="277"/>
      <c r="V1227" s="277"/>
      <c r="W1227" s="277"/>
      <c r="X1227" s="277"/>
      <c r="Y1227" s="277"/>
      <c r="Z1227" s="277"/>
      <c r="AA1227" s="277"/>
      <c r="AB1227" s="277"/>
      <c r="AC1227" s="277"/>
      <c r="AD1227" s="277"/>
      <c r="AE1227" s="277"/>
      <c r="AF1227" s="277"/>
      <c r="AG1227" s="277"/>
      <c r="AH1227" s="277"/>
      <c r="AI1227" s="277"/>
      <c r="AJ1227" s="277"/>
      <c r="AK1227" s="277"/>
    </row>
    <row r="1228" spans="1:37" s="289" customFormat="1">
      <c r="A1228" s="277"/>
      <c r="C1228" s="277"/>
      <c r="D1228" s="277"/>
      <c r="E1228" s="277"/>
      <c r="F1228" s="277"/>
      <c r="G1228" s="277"/>
      <c r="H1228" s="277"/>
      <c r="I1228" s="277"/>
      <c r="J1228" s="277"/>
      <c r="K1228" s="277"/>
      <c r="L1228" s="277"/>
      <c r="M1228" s="277"/>
      <c r="N1228" s="277"/>
      <c r="O1228" s="277"/>
      <c r="P1228" s="277"/>
      <c r="Q1228" s="277"/>
      <c r="R1228" s="277"/>
      <c r="S1228" s="277"/>
      <c r="T1228" s="277"/>
      <c r="U1228" s="277"/>
      <c r="V1228" s="277"/>
      <c r="W1228" s="277"/>
      <c r="X1228" s="277"/>
      <c r="Y1228" s="277"/>
      <c r="Z1228" s="277"/>
      <c r="AA1228" s="277"/>
      <c r="AB1228" s="277"/>
      <c r="AC1228" s="277"/>
      <c r="AD1228" s="277"/>
      <c r="AE1228" s="277"/>
      <c r="AF1228" s="277"/>
      <c r="AG1228" s="277"/>
      <c r="AH1228" s="277"/>
      <c r="AI1228" s="277"/>
      <c r="AJ1228" s="277"/>
      <c r="AK1228" s="277"/>
    </row>
    <row r="1229" spans="1:37" s="289" customFormat="1">
      <c r="A1229" s="277"/>
      <c r="C1229" s="277"/>
      <c r="D1229" s="277"/>
      <c r="E1229" s="277"/>
      <c r="F1229" s="277"/>
      <c r="G1229" s="277"/>
      <c r="H1229" s="277"/>
      <c r="I1229" s="277"/>
      <c r="J1229" s="277"/>
      <c r="K1229" s="277"/>
      <c r="L1229" s="277"/>
      <c r="M1229" s="277"/>
      <c r="N1229" s="277"/>
      <c r="O1229" s="277"/>
      <c r="P1229" s="277"/>
      <c r="Q1229" s="277"/>
      <c r="R1229" s="277"/>
      <c r="S1229" s="277"/>
      <c r="T1229" s="277"/>
      <c r="U1229" s="277"/>
      <c r="V1229" s="277"/>
      <c r="W1229" s="277"/>
      <c r="X1229" s="277"/>
      <c r="Y1229" s="277"/>
      <c r="Z1229" s="277"/>
      <c r="AA1229" s="277"/>
      <c r="AB1229" s="277"/>
      <c r="AC1229" s="277"/>
      <c r="AD1229" s="277"/>
      <c r="AE1229" s="277"/>
      <c r="AF1229" s="277"/>
      <c r="AG1229" s="277"/>
      <c r="AH1229" s="277"/>
      <c r="AI1229" s="277"/>
      <c r="AJ1229" s="277"/>
      <c r="AK1229" s="277"/>
    </row>
    <row r="1230" spans="1:37" s="289" customFormat="1">
      <c r="A1230" s="277"/>
      <c r="C1230" s="277"/>
      <c r="D1230" s="277"/>
      <c r="E1230" s="277"/>
      <c r="F1230" s="277"/>
      <c r="G1230" s="277"/>
      <c r="H1230" s="277"/>
      <c r="I1230" s="277"/>
      <c r="J1230" s="277"/>
      <c r="K1230" s="277"/>
      <c r="L1230" s="277"/>
      <c r="M1230" s="277"/>
      <c r="N1230" s="277"/>
      <c r="O1230" s="277"/>
      <c r="P1230" s="277"/>
      <c r="Q1230" s="277"/>
      <c r="R1230" s="277"/>
      <c r="S1230" s="277"/>
      <c r="T1230" s="277"/>
      <c r="U1230" s="277"/>
      <c r="V1230" s="277"/>
      <c r="W1230" s="277"/>
      <c r="X1230" s="277"/>
      <c r="Y1230" s="277"/>
      <c r="Z1230" s="277"/>
      <c r="AA1230" s="277"/>
      <c r="AB1230" s="277"/>
      <c r="AC1230" s="277"/>
      <c r="AD1230" s="277"/>
      <c r="AE1230" s="277"/>
      <c r="AF1230" s="277"/>
      <c r="AG1230" s="277"/>
      <c r="AH1230" s="277"/>
      <c r="AI1230" s="277"/>
      <c r="AJ1230" s="277"/>
      <c r="AK1230" s="277"/>
    </row>
    <row r="1231" spans="1:37" s="289" customFormat="1">
      <c r="A1231" s="277"/>
      <c r="C1231" s="277"/>
      <c r="D1231" s="277"/>
      <c r="E1231" s="277"/>
      <c r="F1231" s="277"/>
      <c r="G1231" s="277"/>
      <c r="H1231" s="277"/>
      <c r="I1231" s="277"/>
      <c r="J1231" s="277"/>
      <c r="K1231" s="277"/>
      <c r="L1231" s="277"/>
      <c r="M1231" s="277"/>
      <c r="N1231" s="277"/>
      <c r="O1231" s="277"/>
      <c r="P1231" s="277"/>
      <c r="Q1231" s="277"/>
      <c r="R1231" s="277"/>
      <c r="S1231" s="277"/>
      <c r="T1231" s="277"/>
      <c r="U1231" s="277"/>
      <c r="V1231" s="277"/>
      <c r="W1231" s="277"/>
      <c r="X1231" s="277"/>
      <c r="Y1231" s="277"/>
      <c r="Z1231" s="277"/>
      <c r="AA1231" s="277"/>
      <c r="AB1231" s="277"/>
      <c r="AC1231" s="277"/>
      <c r="AD1231" s="277"/>
      <c r="AE1231" s="277"/>
      <c r="AF1231" s="277"/>
      <c r="AG1231" s="277"/>
      <c r="AH1231" s="277"/>
      <c r="AI1231" s="277"/>
      <c r="AJ1231" s="277"/>
      <c r="AK1231" s="277"/>
    </row>
    <row r="1232" spans="1:37" s="289" customFormat="1">
      <c r="A1232" s="277"/>
      <c r="C1232" s="277"/>
      <c r="D1232" s="277"/>
      <c r="E1232" s="277"/>
      <c r="F1232" s="277"/>
      <c r="G1232" s="277"/>
      <c r="H1232" s="277"/>
      <c r="I1232" s="277"/>
      <c r="J1232" s="277"/>
      <c r="K1232" s="277"/>
      <c r="L1232" s="277"/>
      <c r="M1232" s="277"/>
      <c r="N1232" s="277"/>
      <c r="O1232" s="277"/>
      <c r="P1232" s="277"/>
      <c r="Q1232" s="277"/>
      <c r="R1232" s="277"/>
      <c r="S1232" s="277"/>
      <c r="T1232" s="277"/>
      <c r="U1232" s="277"/>
      <c r="V1232" s="277"/>
      <c r="W1232" s="277"/>
      <c r="X1232" s="277"/>
      <c r="Y1232" s="277"/>
      <c r="Z1232" s="277"/>
      <c r="AA1232" s="277"/>
      <c r="AB1232" s="277"/>
      <c r="AC1232" s="277"/>
      <c r="AD1232" s="277"/>
      <c r="AE1232" s="277"/>
      <c r="AF1232" s="277"/>
      <c r="AG1232" s="277"/>
      <c r="AH1232" s="277"/>
      <c r="AI1232" s="277"/>
      <c r="AJ1232" s="277"/>
      <c r="AK1232" s="277"/>
    </row>
    <row r="1233" spans="1:37" s="289" customFormat="1">
      <c r="A1233" s="277"/>
      <c r="C1233" s="277"/>
      <c r="D1233" s="277"/>
      <c r="E1233" s="277"/>
      <c r="F1233" s="277"/>
      <c r="G1233" s="277"/>
      <c r="H1233" s="277"/>
      <c r="I1233" s="277"/>
      <c r="J1233" s="277"/>
      <c r="K1233" s="277"/>
      <c r="L1233" s="277"/>
      <c r="M1233" s="277"/>
      <c r="N1233" s="277"/>
      <c r="O1233" s="277"/>
      <c r="P1233" s="277"/>
      <c r="Q1233" s="277"/>
      <c r="R1233" s="277"/>
      <c r="S1233" s="277"/>
      <c r="T1233" s="277"/>
      <c r="U1233" s="277"/>
      <c r="V1233" s="277"/>
      <c r="W1233" s="277"/>
      <c r="X1233" s="277"/>
      <c r="Y1233" s="277"/>
      <c r="Z1233" s="277"/>
      <c r="AA1233" s="277"/>
      <c r="AB1233" s="277"/>
      <c r="AC1233" s="277"/>
      <c r="AD1233" s="277"/>
      <c r="AE1233" s="277"/>
      <c r="AF1233" s="277"/>
      <c r="AG1233" s="277"/>
      <c r="AH1233" s="277"/>
      <c r="AI1233" s="277"/>
      <c r="AJ1233" s="277"/>
      <c r="AK1233" s="277"/>
    </row>
    <row r="1234" spans="1:37" s="289" customFormat="1">
      <c r="A1234" s="277"/>
      <c r="C1234" s="277"/>
      <c r="D1234" s="277"/>
      <c r="E1234" s="277"/>
      <c r="F1234" s="277"/>
      <c r="G1234" s="277"/>
      <c r="H1234" s="277"/>
      <c r="I1234" s="277"/>
      <c r="J1234" s="277"/>
      <c r="K1234" s="277"/>
      <c r="L1234" s="277"/>
      <c r="M1234" s="277"/>
      <c r="N1234" s="277"/>
      <c r="O1234" s="277"/>
      <c r="P1234" s="277"/>
      <c r="Q1234" s="277"/>
      <c r="R1234" s="277"/>
      <c r="S1234" s="277"/>
      <c r="T1234" s="277"/>
      <c r="U1234" s="277"/>
      <c r="V1234" s="277"/>
      <c r="W1234" s="277"/>
      <c r="X1234" s="277"/>
      <c r="Y1234" s="277"/>
      <c r="Z1234" s="277"/>
      <c r="AA1234" s="277"/>
      <c r="AB1234" s="277"/>
      <c r="AC1234" s="277"/>
      <c r="AD1234" s="277"/>
      <c r="AE1234" s="277"/>
      <c r="AF1234" s="277"/>
      <c r="AG1234" s="277"/>
      <c r="AH1234" s="277"/>
      <c r="AI1234" s="277"/>
      <c r="AJ1234" s="277"/>
      <c r="AK1234" s="277"/>
    </row>
    <row r="1235" spans="1:37" s="289" customFormat="1">
      <c r="A1235" s="277"/>
      <c r="C1235" s="277"/>
      <c r="D1235" s="277"/>
      <c r="E1235" s="277"/>
      <c r="F1235" s="277"/>
      <c r="G1235" s="277"/>
      <c r="H1235" s="277"/>
      <c r="I1235" s="277"/>
      <c r="J1235" s="277"/>
      <c r="K1235" s="277"/>
      <c r="L1235" s="277"/>
      <c r="M1235" s="277"/>
      <c r="N1235" s="277"/>
      <c r="O1235" s="277"/>
      <c r="P1235" s="277"/>
      <c r="Q1235" s="277"/>
      <c r="R1235" s="277"/>
      <c r="S1235" s="277"/>
      <c r="T1235" s="277"/>
      <c r="U1235" s="277"/>
      <c r="V1235" s="277"/>
      <c r="W1235" s="277"/>
      <c r="X1235" s="277"/>
      <c r="Y1235" s="277"/>
      <c r="Z1235" s="277"/>
      <c r="AA1235" s="277"/>
      <c r="AB1235" s="277"/>
      <c r="AC1235" s="277"/>
      <c r="AD1235" s="277"/>
      <c r="AE1235" s="277"/>
      <c r="AF1235" s="277"/>
      <c r="AG1235" s="277"/>
      <c r="AH1235" s="277"/>
      <c r="AI1235" s="277"/>
      <c r="AJ1235" s="277"/>
      <c r="AK1235" s="277"/>
    </row>
    <row r="1236" spans="1:37" s="289" customFormat="1">
      <c r="A1236" s="277"/>
      <c r="C1236" s="277"/>
      <c r="D1236" s="277"/>
      <c r="E1236" s="277"/>
      <c r="F1236" s="277"/>
      <c r="G1236" s="277"/>
      <c r="H1236" s="277"/>
      <c r="I1236" s="277"/>
      <c r="J1236" s="277"/>
      <c r="K1236" s="277"/>
      <c r="L1236" s="277"/>
      <c r="M1236" s="277"/>
      <c r="N1236" s="277"/>
      <c r="O1236" s="277"/>
      <c r="P1236" s="277"/>
      <c r="Q1236" s="277"/>
      <c r="R1236" s="277"/>
      <c r="S1236" s="277"/>
      <c r="T1236" s="277"/>
      <c r="U1236" s="277"/>
      <c r="V1236" s="277"/>
      <c r="W1236" s="277"/>
      <c r="X1236" s="277"/>
      <c r="Y1236" s="277"/>
      <c r="Z1236" s="277"/>
      <c r="AA1236" s="277"/>
      <c r="AB1236" s="277"/>
      <c r="AC1236" s="277"/>
      <c r="AD1236" s="277"/>
      <c r="AE1236" s="277"/>
      <c r="AF1236" s="277"/>
      <c r="AG1236" s="277"/>
      <c r="AH1236" s="277"/>
      <c r="AI1236" s="277"/>
      <c r="AJ1236" s="277"/>
      <c r="AK1236" s="277"/>
    </row>
    <row r="1237" spans="1:37" s="289" customFormat="1">
      <c r="A1237" s="277"/>
      <c r="C1237" s="277"/>
      <c r="D1237" s="277"/>
      <c r="E1237" s="277"/>
      <c r="F1237" s="277"/>
      <c r="G1237" s="277"/>
      <c r="H1237" s="277"/>
      <c r="I1237" s="277"/>
      <c r="J1237" s="277"/>
      <c r="K1237" s="277"/>
      <c r="L1237" s="277"/>
      <c r="M1237" s="277"/>
      <c r="N1237" s="277"/>
      <c r="O1237" s="277"/>
      <c r="P1237" s="277"/>
      <c r="Q1237" s="277"/>
      <c r="R1237" s="277"/>
      <c r="S1237" s="277"/>
      <c r="T1237" s="277"/>
      <c r="U1237" s="277"/>
      <c r="V1237" s="277"/>
      <c r="W1237" s="277"/>
      <c r="X1237" s="277"/>
      <c r="Y1237" s="277"/>
      <c r="Z1237" s="277"/>
      <c r="AA1237" s="277"/>
      <c r="AB1237" s="277"/>
      <c r="AC1237" s="277"/>
      <c r="AD1237" s="277"/>
      <c r="AE1237" s="277"/>
      <c r="AF1237" s="277"/>
      <c r="AG1237" s="277"/>
      <c r="AH1237" s="277"/>
      <c r="AI1237" s="277"/>
      <c r="AJ1237" s="277"/>
      <c r="AK1237" s="277"/>
    </row>
    <row r="1238" spans="1:37" s="289" customFormat="1">
      <c r="A1238" s="277"/>
      <c r="C1238" s="277"/>
      <c r="D1238" s="277"/>
      <c r="E1238" s="277"/>
      <c r="F1238" s="277"/>
      <c r="G1238" s="277"/>
      <c r="H1238" s="277"/>
      <c r="I1238" s="277"/>
      <c r="J1238" s="277"/>
      <c r="K1238" s="277"/>
      <c r="L1238" s="277"/>
      <c r="M1238" s="277"/>
      <c r="N1238" s="277"/>
      <c r="O1238" s="277"/>
      <c r="P1238" s="277"/>
      <c r="Q1238" s="277"/>
      <c r="R1238" s="277"/>
      <c r="S1238" s="277"/>
      <c r="T1238" s="277"/>
      <c r="U1238" s="277"/>
      <c r="V1238" s="277"/>
      <c r="W1238" s="277"/>
      <c r="X1238" s="277"/>
      <c r="Y1238" s="277"/>
      <c r="Z1238" s="277"/>
      <c r="AA1238" s="277"/>
      <c r="AB1238" s="277"/>
      <c r="AC1238" s="277"/>
      <c r="AD1238" s="277"/>
      <c r="AE1238" s="277"/>
      <c r="AF1238" s="277"/>
      <c r="AG1238" s="277"/>
      <c r="AH1238" s="277"/>
      <c r="AI1238" s="277"/>
      <c r="AJ1238" s="277"/>
      <c r="AK1238" s="277"/>
    </row>
    <row r="1239" spans="1:37" s="289" customFormat="1">
      <c r="A1239" s="277"/>
      <c r="C1239" s="277"/>
      <c r="D1239" s="277"/>
      <c r="E1239" s="277"/>
      <c r="F1239" s="277"/>
      <c r="G1239" s="277"/>
      <c r="H1239" s="277"/>
      <c r="I1239" s="277"/>
      <c r="J1239" s="277"/>
      <c r="K1239" s="277"/>
      <c r="L1239" s="277"/>
      <c r="M1239" s="277"/>
      <c r="N1239" s="277"/>
      <c r="O1239" s="277"/>
      <c r="P1239" s="277"/>
      <c r="Q1239" s="277"/>
      <c r="R1239" s="277"/>
      <c r="S1239" s="277"/>
      <c r="T1239" s="277"/>
      <c r="U1239" s="277"/>
      <c r="V1239" s="277"/>
      <c r="W1239" s="277"/>
      <c r="X1239" s="277"/>
      <c r="Y1239" s="277"/>
      <c r="Z1239" s="277"/>
      <c r="AA1239" s="277"/>
      <c r="AB1239" s="277"/>
      <c r="AC1239" s="277"/>
      <c r="AD1239" s="277"/>
      <c r="AE1239" s="277"/>
      <c r="AF1239" s="277"/>
      <c r="AG1239" s="277"/>
      <c r="AH1239" s="277"/>
      <c r="AI1239" s="277"/>
      <c r="AJ1239" s="277"/>
      <c r="AK1239" s="277"/>
    </row>
    <row r="1240" spans="1:37" s="289" customFormat="1">
      <c r="A1240" s="277"/>
      <c r="C1240" s="277"/>
      <c r="D1240" s="277"/>
      <c r="E1240" s="277"/>
      <c r="F1240" s="277"/>
      <c r="G1240" s="277"/>
      <c r="H1240" s="277"/>
      <c r="I1240" s="277"/>
      <c r="J1240" s="277"/>
      <c r="K1240" s="277"/>
      <c r="L1240" s="277"/>
      <c r="M1240" s="277"/>
      <c r="N1240" s="277"/>
      <c r="O1240" s="277"/>
      <c r="P1240" s="277"/>
      <c r="Q1240" s="277"/>
      <c r="R1240" s="277"/>
      <c r="S1240" s="277"/>
      <c r="T1240" s="277"/>
      <c r="U1240" s="277"/>
      <c r="V1240" s="277"/>
      <c r="W1240" s="277"/>
      <c r="X1240" s="277"/>
      <c r="Y1240" s="277"/>
      <c r="Z1240" s="277"/>
      <c r="AA1240" s="277"/>
      <c r="AB1240" s="277"/>
      <c r="AC1240" s="277"/>
      <c r="AD1240" s="277"/>
      <c r="AE1240" s="277"/>
      <c r="AF1240" s="277"/>
      <c r="AG1240" s="277"/>
      <c r="AH1240" s="277"/>
      <c r="AI1240" s="277"/>
      <c r="AJ1240" s="277"/>
      <c r="AK1240" s="277"/>
    </row>
    <row r="1241" spans="1:37" s="289" customFormat="1">
      <c r="A1241" s="277"/>
      <c r="C1241" s="277"/>
      <c r="D1241" s="277"/>
      <c r="E1241" s="277"/>
      <c r="F1241" s="277"/>
      <c r="G1241" s="277"/>
      <c r="H1241" s="277"/>
      <c r="I1241" s="277"/>
      <c r="J1241" s="277"/>
      <c r="K1241" s="277"/>
      <c r="L1241" s="277"/>
      <c r="M1241" s="277"/>
      <c r="N1241" s="277"/>
      <c r="O1241" s="277"/>
      <c r="P1241" s="277"/>
      <c r="Q1241" s="277"/>
      <c r="R1241" s="277"/>
      <c r="S1241" s="277"/>
      <c r="T1241" s="277"/>
      <c r="U1241" s="277"/>
      <c r="V1241" s="277"/>
      <c r="W1241" s="277"/>
      <c r="X1241" s="277"/>
      <c r="Y1241" s="277"/>
      <c r="Z1241" s="277"/>
      <c r="AA1241" s="277"/>
      <c r="AB1241" s="277"/>
      <c r="AC1241" s="277"/>
      <c r="AD1241" s="277"/>
      <c r="AE1241" s="277"/>
      <c r="AF1241" s="277"/>
      <c r="AG1241" s="277"/>
      <c r="AH1241" s="277"/>
      <c r="AI1241" s="277"/>
      <c r="AJ1241" s="277"/>
      <c r="AK1241" s="277"/>
    </row>
    <row r="1242" spans="1:37" s="289" customFormat="1">
      <c r="A1242" s="277"/>
      <c r="C1242" s="277"/>
      <c r="D1242" s="277"/>
      <c r="E1242" s="277"/>
      <c r="F1242" s="277"/>
      <c r="G1242" s="277"/>
      <c r="H1242" s="277"/>
      <c r="I1242" s="277"/>
      <c r="J1242" s="277"/>
      <c r="K1242" s="277"/>
      <c r="L1242" s="277"/>
      <c r="M1242" s="277"/>
      <c r="N1242" s="277"/>
      <c r="O1242" s="277"/>
      <c r="P1242" s="277"/>
      <c r="Q1242" s="277"/>
      <c r="R1242" s="277"/>
      <c r="S1242" s="277"/>
      <c r="T1242" s="277"/>
      <c r="U1242" s="277"/>
      <c r="V1242" s="277"/>
      <c r="W1242" s="277"/>
      <c r="X1242" s="277"/>
      <c r="Y1242" s="277"/>
      <c r="Z1242" s="277"/>
      <c r="AA1242" s="277"/>
      <c r="AB1242" s="277"/>
      <c r="AC1242" s="277"/>
      <c r="AD1242" s="277"/>
      <c r="AE1242" s="277"/>
      <c r="AF1242" s="277"/>
      <c r="AG1242" s="277"/>
      <c r="AH1242" s="277"/>
      <c r="AI1242" s="277"/>
      <c r="AJ1242" s="277"/>
      <c r="AK1242" s="277"/>
    </row>
    <row r="1243" spans="1:37" s="289" customFormat="1">
      <c r="A1243" s="277"/>
      <c r="C1243" s="277"/>
      <c r="D1243" s="277"/>
      <c r="E1243" s="277"/>
      <c r="F1243" s="277"/>
      <c r="G1243" s="277"/>
      <c r="H1243" s="277"/>
      <c r="I1243" s="277"/>
      <c r="J1243" s="277"/>
      <c r="K1243" s="277"/>
      <c r="L1243" s="277"/>
      <c r="M1243" s="277"/>
      <c r="N1243" s="277"/>
      <c r="O1243" s="277"/>
      <c r="P1243" s="277"/>
      <c r="Q1243" s="277"/>
      <c r="R1243" s="277"/>
      <c r="S1243" s="277"/>
      <c r="T1243" s="277"/>
      <c r="U1243" s="277"/>
      <c r="V1243" s="277"/>
      <c r="W1243" s="277"/>
      <c r="X1243" s="277"/>
      <c r="Y1243" s="277"/>
      <c r="Z1243" s="277"/>
      <c r="AA1243" s="277"/>
      <c r="AB1243" s="277"/>
      <c r="AC1243" s="277"/>
      <c r="AD1243" s="277"/>
      <c r="AE1243" s="277"/>
      <c r="AF1243" s="277"/>
      <c r="AG1243" s="277"/>
      <c r="AH1243" s="277"/>
      <c r="AI1243" s="277"/>
      <c r="AJ1243" s="277"/>
      <c r="AK1243" s="277"/>
    </row>
    <row r="1244" spans="1:37" s="289" customFormat="1">
      <c r="A1244" s="277"/>
      <c r="C1244" s="277"/>
      <c r="D1244" s="277"/>
      <c r="E1244" s="277"/>
      <c r="F1244" s="277"/>
      <c r="G1244" s="277"/>
      <c r="H1244" s="277"/>
      <c r="I1244" s="277"/>
      <c r="J1244" s="277"/>
      <c r="K1244" s="277"/>
      <c r="L1244" s="277"/>
      <c r="M1244" s="277"/>
      <c r="N1244" s="277"/>
      <c r="O1244" s="277"/>
      <c r="P1244" s="277"/>
      <c r="Q1244" s="277"/>
      <c r="R1244" s="277"/>
      <c r="S1244" s="277"/>
      <c r="T1244" s="277"/>
      <c r="U1244" s="277"/>
      <c r="V1244" s="277"/>
      <c r="W1244" s="277"/>
      <c r="X1244" s="277"/>
      <c r="Y1244" s="277"/>
      <c r="Z1244" s="277"/>
      <c r="AA1244" s="277"/>
      <c r="AB1244" s="277"/>
      <c r="AC1244" s="277"/>
      <c r="AD1244" s="277"/>
      <c r="AE1244" s="277"/>
      <c r="AF1244" s="277"/>
      <c r="AG1244" s="277"/>
      <c r="AH1244" s="277"/>
      <c r="AI1244" s="277"/>
      <c r="AJ1244" s="277"/>
      <c r="AK1244" s="277"/>
    </row>
    <row r="1245" spans="1:37" s="289" customFormat="1">
      <c r="A1245" s="277"/>
      <c r="C1245" s="277"/>
      <c r="D1245" s="277"/>
      <c r="E1245" s="277"/>
      <c r="F1245" s="277"/>
      <c r="G1245" s="277"/>
      <c r="H1245" s="277"/>
      <c r="I1245" s="277"/>
      <c r="J1245" s="277"/>
      <c r="K1245" s="277"/>
      <c r="L1245" s="277"/>
      <c r="M1245" s="277"/>
      <c r="N1245" s="277"/>
      <c r="O1245" s="277"/>
      <c r="P1245" s="277"/>
      <c r="Q1245" s="277"/>
      <c r="R1245" s="277"/>
      <c r="S1245" s="277"/>
      <c r="T1245" s="277"/>
      <c r="U1245" s="277"/>
      <c r="V1245" s="277"/>
      <c r="W1245" s="277"/>
      <c r="X1245" s="277"/>
      <c r="Y1245" s="277"/>
      <c r="Z1245" s="277"/>
      <c r="AA1245" s="277"/>
      <c r="AB1245" s="277"/>
      <c r="AC1245" s="277"/>
      <c r="AD1245" s="277"/>
      <c r="AE1245" s="277"/>
      <c r="AF1245" s="277"/>
      <c r="AG1245" s="277"/>
      <c r="AH1245" s="277"/>
      <c r="AI1245" s="277"/>
      <c r="AJ1245" s="277"/>
      <c r="AK1245" s="277"/>
    </row>
    <row r="1246" spans="1:37" s="289" customFormat="1">
      <c r="A1246" s="277"/>
      <c r="C1246" s="277"/>
      <c r="D1246" s="277"/>
      <c r="E1246" s="277"/>
      <c r="F1246" s="277"/>
      <c r="G1246" s="277"/>
      <c r="H1246" s="277"/>
      <c r="I1246" s="277"/>
      <c r="J1246" s="277"/>
      <c r="K1246" s="277"/>
      <c r="L1246" s="277"/>
      <c r="M1246" s="277"/>
      <c r="N1246" s="277"/>
      <c r="O1246" s="277"/>
      <c r="P1246" s="277"/>
      <c r="Q1246" s="277"/>
      <c r="R1246" s="277"/>
      <c r="S1246" s="277"/>
      <c r="T1246" s="277"/>
      <c r="U1246" s="277"/>
      <c r="V1246" s="277"/>
      <c r="W1246" s="277"/>
      <c r="X1246" s="277"/>
      <c r="Y1246" s="277"/>
      <c r="Z1246" s="277"/>
      <c r="AA1246" s="277"/>
      <c r="AB1246" s="277"/>
      <c r="AC1246" s="277"/>
      <c r="AD1246" s="277"/>
      <c r="AE1246" s="277"/>
      <c r="AF1246" s="277"/>
      <c r="AG1246" s="277"/>
      <c r="AH1246" s="277"/>
      <c r="AI1246" s="277"/>
      <c r="AJ1246" s="277"/>
      <c r="AK1246" s="277"/>
    </row>
    <row r="1247" spans="1:37" s="289" customFormat="1">
      <c r="A1247" s="277"/>
      <c r="C1247" s="277"/>
      <c r="D1247" s="277"/>
      <c r="E1247" s="277"/>
      <c r="F1247" s="277"/>
      <c r="G1247" s="277"/>
      <c r="H1247" s="277"/>
      <c r="I1247" s="277"/>
      <c r="J1247" s="277"/>
      <c r="K1247" s="277"/>
      <c r="L1247" s="277"/>
      <c r="M1247" s="277"/>
      <c r="N1247" s="277"/>
      <c r="O1247" s="277"/>
      <c r="P1247" s="277"/>
      <c r="Q1247" s="277"/>
      <c r="R1247" s="277"/>
      <c r="S1247" s="277"/>
      <c r="T1247" s="277"/>
      <c r="U1247" s="277"/>
      <c r="V1247" s="277"/>
      <c r="W1247" s="277"/>
      <c r="X1247" s="277"/>
      <c r="Y1247" s="277"/>
      <c r="Z1247" s="277"/>
      <c r="AA1247" s="277"/>
      <c r="AB1247" s="277"/>
      <c r="AC1247" s="277"/>
      <c r="AD1247" s="277"/>
      <c r="AE1247" s="277"/>
      <c r="AF1247" s="277"/>
      <c r="AG1247" s="277"/>
      <c r="AH1247" s="277"/>
      <c r="AI1247" s="277"/>
      <c r="AJ1247" s="277"/>
      <c r="AK1247" s="277"/>
    </row>
    <row r="1248" spans="1:37" s="289" customFormat="1">
      <c r="A1248" s="277"/>
      <c r="C1248" s="277"/>
      <c r="D1248" s="277"/>
      <c r="E1248" s="277"/>
      <c r="F1248" s="277"/>
      <c r="G1248" s="277"/>
      <c r="H1248" s="277"/>
      <c r="I1248" s="277"/>
      <c r="J1248" s="277"/>
      <c r="K1248" s="277"/>
      <c r="L1248" s="277"/>
      <c r="M1248" s="277"/>
      <c r="N1248" s="277"/>
      <c r="O1248" s="277"/>
      <c r="P1248" s="277"/>
      <c r="Q1248" s="277"/>
      <c r="R1248" s="277"/>
      <c r="S1248" s="277"/>
      <c r="T1248" s="277"/>
      <c r="U1248" s="277"/>
      <c r="V1248" s="277"/>
      <c r="W1248" s="277"/>
      <c r="X1248" s="277"/>
      <c r="Y1248" s="277"/>
      <c r="Z1248" s="277"/>
      <c r="AA1248" s="277"/>
      <c r="AB1248" s="277"/>
      <c r="AC1248" s="277"/>
      <c r="AD1248" s="277"/>
      <c r="AE1248" s="277"/>
      <c r="AF1248" s="277"/>
      <c r="AG1248" s="277"/>
      <c r="AH1248" s="277"/>
      <c r="AI1248" s="277"/>
      <c r="AJ1248" s="277"/>
      <c r="AK1248" s="277"/>
    </row>
    <row r="1249" spans="1:37" s="289" customFormat="1">
      <c r="A1249" s="277"/>
      <c r="C1249" s="277"/>
      <c r="D1249" s="277"/>
      <c r="E1249" s="277"/>
      <c r="F1249" s="277"/>
      <c r="G1249" s="277"/>
      <c r="H1249" s="277"/>
      <c r="I1249" s="277"/>
      <c r="J1249" s="277"/>
      <c r="K1249" s="277"/>
      <c r="L1249" s="277"/>
      <c r="M1249" s="277"/>
      <c r="N1249" s="277"/>
      <c r="O1249" s="277"/>
      <c r="P1249" s="277"/>
      <c r="Q1249" s="277"/>
      <c r="R1249" s="277"/>
      <c r="S1249" s="277"/>
      <c r="T1249" s="277"/>
      <c r="U1249" s="277"/>
      <c r="V1249" s="277"/>
      <c r="W1249" s="277"/>
      <c r="X1249" s="277"/>
      <c r="Y1249" s="277"/>
      <c r="Z1249" s="277"/>
      <c r="AA1249" s="277"/>
      <c r="AB1249" s="277"/>
      <c r="AC1249" s="277"/>
      <c r="AD1249" s="277"/>
      <c r="AE1249" s="277"/>
      <c r="AF1249" s="277"/>
      <c r="AG1249" s="277"/>
      <c r="AH1249" s="277"/>
      <c r="AI1249" s="277"/>
      <c r="AJ1249" s="277"/>
      <c r="AK1249" s="277"/>
    </row>
    <row r="1250" spans="1:37" s="289" customFormat="1">
      <c r="A1250" s="277"/>
      <c r="C1250" s="277"/>
      <c r="D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  <c r="P1250" s="277"/>
      <c r="Q1250" s="277"/>
      <c r="R1250" s="277"/>
      <c r="S1250" s="277"/>
      <c r="T1250" s="277"/>
      <c r="U1250" s="277"/>
      <c r="V1250" s="277"/>
      <c r="W1250" s="277"/>
      <c r="X1250" s="277"/>
      <c r="Y1250" s="277"/>
      <c r="Z1250" s="277"/>
      <c r="AA1250" s="277"/>
      <c r="AB1250" s="277"/>
      <c r="AC1250" s="277"/>
      <c r="AD1250" s="277"/>
      <c r="AE1250" s="277"/>
      <c r="AF1250" s="277"/>
      <c r="AG1250" s="277"/>
      <c r="AH1250" s="277"/>
      <c r="AI1250" s="277"/>
      <c r="AJ1250" s="277"/>
      <c r="AK1250" s="277"/>
    </row>
    <row r="1251" spans="1:37" s="289" customFormat="1">
      <c r="A1251" s="277"/>
      <c r="C1251" s="277"/>
      <c r="D1251" s="277"/>
      <c r="E1251" s="277"/>
      <c r="F1251" s="277"/>
      <c r="G1251" s="277"/>
      <c r="H1251" s="277"/>
      <c r="I1251" s="277"/>
      <c r="J1251" s="277"/>
      <c r="K1251" s="277"/>
      <c r="L1251" s="277"/>
      <c r="M1251" s="277"/>
      <c r="N1251" s="277"/>
      <c r="O1251" s="277"/>
      <c r="P1251" s="277"/>
      <c r="Q1251" s="277"/>
      <c r="R1251" s="277"/>
      <c r="S1251" s="277"/>
      <c r="T1251" s="277"/>
      <c r="U1251" s="277"/>
      <c r="V1251" s="277"/>
      <c r="W1251" s="277"/>
      <c r="X1251" s="277"/>
      <c r="Y1251" s="277"/>
      <c r="Z1251" s="277"/>
      <c r="AA1251" s="277"/>
      <c r="AB1251" s="277"/>
      <c r="AC1251" s="277"/>
      <c r="AD1251" s="277"/>
      <c r="AE1251" s="277"/>
      <c r="AF1251" s="277"/>
      <c r="AG1251" s="277"/>
      <c r="AH1251" s="277"/>
      <c r="AI1251" s="277"/>
      <c r="AJ1251" s="277"/>
      <c r="AK1251" s="277"/>
    </row>
    <row r="1252" spans="1:37" s="289" customFormat="1">
      <c r="A1252" s="277"/>
      <c r="C1252" s="277"/>
      <c r="D1252" s="277"/>
      <c r="E1252" s="277"/>
      <c r="F1252" s="277"/>
      <c r="G1252" s="277"/>
      <c r="H1252" s="277"/>
      <c r="I1252" s="277"/>
      <c r="J1252" s="277"/>
      <c r="K1252" s="277"/>
      <c r="L1252" s="277"/>
      <c r="M1252" s="277"/>
      <c r="N1252" s="277"/>
      <c r="O1252" s="277"/>
      <c r="P1252" s="277"/>
      <c r="Q1252" s="277"/>
      <c r="R1252" s="277"/>
      <c r="S1252" s="277"/>
      <c r="T1252" s="277"/>
      <c r="U1252" s="277"/>
      <c r="V1252" s="277"/>
      <c r="W1252" s="277"/>
      <c r="X1252" s="277"/>
      <c r="Y1252" s="277"/>
      <c r="Z1252" s="277"/>
      <c r="AA1252" s="277"/>
      <c r="AB1252" s="277"/>
      <c r="AC1252" s="277"/>
      <c r="AD1252" s="277"/>
      <c r="AE1252" s="277"/>
      <c r="AF1252" s="277"/>
      <c r="AG1252" s="277"/>
      <c r="AH1252" s="277"/>
      <c r="AI1252" s="277"/>
      <c r="AJ1252" s="277"/>
      <c r="AK1252" s="277"/>
    </row>
    <row r="1253" spans="1:37" s="289" customFormat="1">
      <c r="A1253" s="277"/>
      <c r="C1253" s="277"/>
      <c r="D1253" s="277"/>
      <c r="E1253" s="277"/>
      <c r="F1253" s="277"/>
      <c r="G1253" s="277"/>
      <c r="H1253" s="277"/>
      <c r="I1253" s="277"/>
      <c r="J1253" s="277"/>
      <c r="K1253" s="277"/>
      <c r="L1253" s="277"/>
      <c r="M1253" s="277"/>
      <c r="N1253" s="277"/>
      <c r="O1253" s="277"/>
      <c r="P1253" s="277"/>
      <c r="Q1253" s="277"/>
      <c r="R1253" s="277"/>
      <c r="S1253" s="277"/>
      <c r="T1253" s="277"/>
      <c r="U1253" s="277"/>
      <c r="V1253" s="277"/>
      <c r="W1253" s="277"/>
      <c r="X1253" s="277"/>
      <c r="Y1253" s="277"/>
      <c r="Z1253" s="277"/>
      <c r="AA1253" s="277"/>
      <c r="AB1253" s="277"/>
      <c r="AC1253" s="277"/>
      <c r="AD1253" s="277"/>
      <c r="AE1253" s="277"/>
      <c r="AF1253" s="277"/>
      <c r="AG1253" s="277"/>
      <c r="AH1253" s="277"/>
      <c r="AI1253" s="277"/>
      <c r="AJ1253" s="277"/>
      <c r="AK1253" s="277"/>
    </row>
    <row r="1254" spans="1:37" s="289" customFormat="1">
      <c r="A1254" s="277"/>
      <c r="C1254" s="277"/>
      <c r="D1254" s="277"/>
      <c r="E1254" s="277"/>
      <c r="F1254" s="277"/>
      <c r="G1254" s="277"/>
      <c r="H1254" s="277"/>
      <c r="I1254" s="277"/>
      <c r="J1254" s="277"/>
      <c r="K1254" s="277"/>
      <c r="L1254" s="277"/>
      <c r="M1254" s="277"/>
      <c r="N1254" s="277"/>
      <c r="O1254" s="277"/>
      <c r="P1254" s="277"/>
      <c r="Q1254" s="277"/>
      <c r="R1254" s="277"/>
      <c r="S1254" s="277"/>
      <c r="T1254" s="277"/>
      <c r="U1254" s="277"/>
      <c r="V1254" s="277"/>
      <c r="W1254" s="277"/>
      <c r="X1254" s="277"/>
      <c r="Y1254" s="277"/>
      <c r="Z1254" s="277"/>
      <c r="AA1254" s="277"/>
      <c r="AB1254" s="277"/>
      <c r="AC1254" s="277"/>
      <c r="AD1254" s="277"/>
      <c r="AE1254" s="277"/>
      <c r="AF1254" s="277"/>
      <c r="AG1254" s="277"/>
      <c r="AH1254" s="277"/>
      <c r="AI1254" s="277"/>
      <c r="AJ1254" s="277"/>
      <c r="AK1254" s="277"/>
    </row>
    <row r="1255" spans="1:37" s="289" customFormat="1">
      <c r="A1255" s="277"/>
      <c r="C1255" s="277"/>
      <c r="D1255" s="277"/>
      <c r="E1255" s="277"/>
      <c r="F1255" s="277"/>
      <c r="G1255" s="277"/>
      <c r="H1255" s="277"/>
      <c r="I1255" s="277"/>
      <c r="J1255" s="277"/>
      <c r="K1255" s="277"/>
      <c r="L1255" s="277"/>
      <c r="M1255" s="277"/>
      <c r="N1255" s="277"/>
      <c r="O1255" s="277"/>
      <c r="P1255" s="277"/>
      <c r="Q1255" s="277"/>
      <c r="R1255" s="277"/>
      <c r="S1255" s="277"/>
      <c r="T1255" s="277"/>
      <c r="U1255" s="277"/>
      <c r="V1255" s="277"/>
      <c r="W1255" s="277"/>
      <c r="X1255" s="277"/>
      <c r="Y1255" s="277"/>
      <c r="Z1255" s="277"/>
      <c r="AA1255" s="277"/>
      <c r="AB1255" s="277"/>
      <c r="AC1255" s="277"/>
      <c r="AD1255" s="277"/>
      <c r="AE1255" s="277"/>
      <c r="AF1255" s="277"/>
      <c r="AG1255" s="277"/>
      <c r="AH1255" s="277"/>
      <c r="AI1255" s="277"/>
      <c r="AJ1255" s="277"/>
      <c r="AK1255" s="277"/>
    </row>
    <row r="1256" spans="1:37" s="289" customFormat="1">
      <c r="A1256" s="277"/>
      <c r="C1256" s="277"/>
      <c r="D1256" s="277"/>
      <c r="E1256" s="277"/>
      <c r="F1256" s="277"/>
      <c r="G1256" s="277"/>
      <c r="H1256" s="277"/>
      <c r="I1256" s="277"/>
      <c r="J1256" s="277"/>
      <c r="K1256" s="277"/>
      <c r="L1256" s="277"/>
      <c r="M1256" s="277"/>
      <c r="N1256" s="277"/>
      <c r="O1256" s="277"/>
      <c r="P1256" s="277"/>
      <c r="Q1256" s="277"/>
      <c r="R1256" s="277"/>
      <c r="S1256" s="277"/>
      <c r="T1256" s="277"/>
      <c r="U1256" s="277"/>
      <c r="V1256" s="277"/>
      <c r="W1256" s="277"/>
      <c r="X1256" s="277"/>
      <c r="Y1256" s="277"/>
      <c r="Z1256" s="277"/>
      <c r="AA1256" s="277"/>
      <c r="AB1256" s="277"/>
      <c r="AC1256" s="277"/>
      <c r="AD1256" s="277"/>
      <c r="AE1256" s="277"/>
      <c r="AF1256" s="277"/>
      <c r="AG1256" s="277"/>
      <c r="AH1256" s="277"/>
      <c r="AI1256" s="277"/>
      <c r="AJ1256" s="277"/>
      <c r="AK1256" s="277"/>
    </row>
    <row r="1257" spans="1:37" s="289" customFormat="1">
      <c r="A1257" s="277"/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  <c r="P1257" s="277"/>
      <c r="Q1257" s="277"/>
      <c r="R1257" s="277"/>
      <c r="S1257" s="277"/>
      <c r="T1257" s="277"/>
      <c r="U1257" s="277"/>
      <c r="V1257" s="277"/>
      <c r="W1257" s="277"/>
      <c r="X1257" s="277"/>
      <c r="Y1257" s="277"/>
      <c r="Z1257" s="277"/>
      <c r="AA1257" s="277"/>
      <c r="AB1257" s="277"/>
      <c r="AC1257" s="277"/>
      <c r="AD1257" s="277"/>
      <c r="AE1257" s="277"/>
      <c r="AF1257" s="277"/>
      <c r="AG1257" s="277"/>
      <c r="AH1257" s="277"/>
      <c r="AI1257" s="277"/>
      <c r="AJ1257" s="277"/>
      <c r="AK1257" s="277"/>
    </row>
    <row r="1258" spans="1:37" s="289" customFormat="1">
      <c r="A1258" s="277"/>
      <c r="C1258" s="277"/>
      <c r="D1258" s="277"/>
      <c r="E1258" s="277"/>
      <c r="F1258" s="277"/>
      <c r="G1258" s="277"/>
      <c r="H1258" s="277"/>
      <c r="I1258" s="277"/>
      <c r="J1258" s="277"/>
      <c r="K1258" s="277"/>
      <c r="L1258" s="277"/>
      <c r="M1258" s="277"/>
      <c r="N1258" s="277"/>
      <c r="O1258" s="277"/>
      <c r="P1258" s="277"/>
      <c r="Q1258" s="277"/>
      <c r="R1258" s="277"/>
      <c r="S1258" s="277"/>
      <c r="T1258" s="277"/>
      <c r="U1258" s="277"/>
      <c r="V1258" s="277"/>
      <c r="W1258" s="277"/>
      <c r="X1258" s="277"/>
      <c r="Y1258" s="277"/>
      <c r="Z1258" s="277"/>
      <c r="AA1258" s="277"/>
      <c r="AB1258" s="277"/>
      <c r="AC1258" s="277"/>
      <c r="AD1258" s="277"/>
      <c r="AE1258" s="277"/>
      <c r="AF1258" s="277"/>
      <c r="AG1258" s="277"/>
      <c r="AH1258" s="277"/>
      <c r="AI1258" s="277"/>
      <c r="AJ1258" s="277"/>
      <c r="AK1258" s="277"/>
    </row>
    <row r="1259" spans="1:37" s="289" customFormat="1">
      <c r="A1259" s="277"/>
      <c r="C1259" s="277"/>
      <c r="D1259" s="277"/>
      <c r="E1259" s="277"/>
      <c r="F1259" s="277"/>
      <c r="G1259" s="277"/>
      <c r="H1259" s="277"/>
      <c r="I1259" s="277"/>
      <c r="J1259" s="277"/>
      <c r="K1259" s="277"/>
      <c r="L1259" s="277"/>
      <c r="M1259" s="277"/>
      <c r="N1259" s="277"/>
      <c r="O1259" s="277"/>
      <c r="P1259" s="277"/>
      <c r="Q1259" s="277"/>
      <c r="R1259" s="277"/>
      <c r="S1259" s="277"/>
      <c r="T1259" s="277"/>
      <c r="U1259" s="277"/>
      <c r="V1259" s="277"/>
      <c r="W1259" s="277"/>
      <c r="X1259" s="277"/>
      <c r="Y1259" s="277"/>
      <c r="Z1259" s="277"/>
      <c r="AA1259" s="277"/>
      <c r="AB1259" s="277"/>
      <c r="AC1259" s="277"/>
      <c r="AD1259" s="277"/>
      <c r="AE1259" s="277"/>
      <c r="AF1259" s="277"/>
      <c r="AG1259" s="277"/>
      <c r="AH1259" s="277"/>
      <c r="AI1259" s="277"/>
      <c r="AJ1259" s="277"/>
      <c r="AK1259" s="277"/>
    </row>
    <row r="1260" spans="1:37" s="289" customFormat="1">
      <c r="A1260" s="277"/>
      <c r="C1260" s="277"/>
      <c r="D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  <c r="P1260" s="277"/>
      <c r="Q1260" s="277"/>
      <c r="R1260" s="277"/>
      <c r="S1260" s="277"/>
      <c r="T1260" s="277"/>
      <c r="U1260" s="277"/>
      <c r="V1260" s="277"/>
      <c r="W1260" s="277"/>
      <c r="X1260" s="277"/>
      <c r="Y1260" s="277"/>
      <c r="Z1260" s="277"/>
      <c r="AA1260" s="277"/>
      <c r="AB1260" s="277"/>
      <c r="AC1260" s="277"/>
      <c r="AD1260" s="277"/>
      <c r="AE1260" s="277"/>
      <c r="AF1260" s="277"/>
      <c r="AG1260" s="277"/>
      <c r="AH1260" s="277"/>
      <c r="AI1260" s="277"/>
      <c r="AJ1260" s="277"/>
      <c r="AK1260" s="277"/>
    </row>
    <row r="1261" spans="1:37" s="289" customFormat="1">
      <c r="A1261" s="277"/>
      <c r="C1261" s="277"/>
      <c r="D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  <c r="P1261" s="277"/>
      <c r="Q1261" s="277"/>
      <c r="R1261" s="277"/>
      <c r="S1261" s="277"/>
      <c r="T1261" s="277"/>
      <c r="U1261" s="277"/>
      <c r="V1261" s="277"/>
      <c r="W1261" s="277"/>
      <c r="X1261" s="277"/>
      <c r="Y1261" s="277"/>
      <c r="Z1261" s="277"/>
      <c r="AA1261" s="277"/>
      <c r="AB1261" s="277"/>
      <c r="AC1261" s="277"/>
      <c r="AD1261" s="277"/>
      <c r="AE1261" s="277"/>
      <c r="AF1261" s="277"/>
      <c r="AG1261" s="277"/>
      <c r="AH1261" s="277"/>
      <c r="AI1261" s="277"/>
      <c r="AJ1261" s="277"/>
      <c r="AK1261" s="277"/>
    </row>
    <row r="1262" spans="1:37" s="289" customFormat="1">
      <c r="A1262" s="277"/>
      <c r="C1262" s="277"/>
      <c r="D1262" s="277"/>
      <c r="E1262" s="277"/>
      <c r="F1262" s="277"/>
      <c r="G1262" s="277"/>
      <c r="H1262" s="277"/>
      <c r="I1262" s="277"/>
      <c r="J1262" s="277"/>
      <c r="K1262" s="277"/>
      <c r="L1262" s="277"/>
      <c r="M1262" s="277"/>
      <c r="N1262" s="277"/>
      <c r="O1262" s="277"/>
      <c r="P1262" s="277"/>
      <c r="Q1262" s="277"/>
      <c r="R1262" s="277"/>
      <c r="S1262" s="277"/>
      <c r="T1262" s="277"/>
      <c r="U1262" s="277"/>
      <c r="V1262" s="277"/>
      <c r="W1262" s="277"/>
      <c r="X1262" s="277"/>
      <c r="Y1262" s="277"/>
      <c r="Z1262" s="277"/>
      <c r="AA1262" s="277"/>
      <c r="AB1262" s="277"/>
      <c r="AC1262" s="277"/>
      <c r="AD1262" s="277"/>
      <c r="AE1262" s="277"/>
      <c r="AF1262" s="277"/>
      <c r="AG1262" s="277"/>
      <c r="AH1262" s="277"/>
      <c r="AI1262" s="277"/>
      <c r="AJ1262" s="277"/>
      <c r="AK1262" s="277"/>
    </row>
    <row r="1263" spans="1:37" s="289" customFormat="1">
      <c r="A1263" s="277"/>
      <c r="C1263" s="277"/>
      <c r="D1263" s="277"/>
      <c r="E1263" s="277"/>
      <c r="F1263" s="277"/>
      <c r="G1263" s="277"/>
      <c r="H1263" s="277"/>
      <c r="I1263" s="277"/>
      <c r="J1263" s="277"/>
      <c r="K1263" s="277"/>
      <c r="L1263" s="277"/>
      <c r="M1263" s="277"/>
      <c r="N1263" s="277"/>
      <c r="O1263" s="277"/>
      <c r="P1263" s="277"/>
      <c r="Q1263" s="277"/>
      <c r="R1263" s="277"/>
      <c r="S1263" s="277"/>
      <c r="T1263" s="277"/>
      <c r="U1263" s="277"/>
      <c r="V1263" s="277"/>
      <c r="W1263" s="277"/>
      <c r="X1263" s="277"/>
      <c r="Y1263" s="277"/>
      <c r="Z1263" s="277"/>
      <c r="AA1263" s="277"/>
      <c r="AB1263" s="277"/>
      <c r="AC1263" s="277"/>
      <c r="AD1263" s="277"/>
      <c r="AE1263" s="277"/>
      <c r="AF1263" s="277"/>
      <c r="AG1263" s="277"/>
      <c r="AH1263" s="277"/>
      <c r="AI1263" s="277"/>
      <c r="AJ1263" s="277"/>
      <c r="AK1263" s="277"/>
    </row>
    <row r="1264" spans="1:37" s="289" customFormat="1">
      <c r="A1264" s="277"/>
      <c r="C1264" s="277"/>
      <c r="D1264" s="277"/>
      <c r="E1264" s="277"/>
      <c r="F1264" s="277"/>
      <c r="G1264" s="277"/>
      <c r="H1264" s="277"/>
      <c r="I1264" s="277"/>
      <c r="J1264" s="277"/>
      <c r="K1264" s="277"/>
      <c r="L1264" s="277"/>
      <c r="M1264" s="277"/>
      <c r="N1264" s="277"/>
      <c r="O1264" s="277"/>
      <c r="P1264" s="277"/>
      <c r="Q1264" s="277"/>
      <c r="R1264" s="277"/>
      <c r="S1264" s="277"/>
      <c r="T1264" s="277"/>
      <c r="U1264" s="277"/>
      <c r="V1264" s="277"/>
      <c r="W1264" s="277"/>
      <c r="X1264" s="277"/>
      <c r="Y1264" s="277"/>
      <c r="Z1264" s="277"/>
      <c r="AA1264" s="277"/>
      <c r="AB1264" s="277"/>
      <c r="AC1264" s="277"/>
      <c r="AD1264" s="277"/>
      <c r="AE1264" s="277"/>
      <c r="AF1264" s="277"/>
      <c r="AG1264" s="277"/>
      <c r="AH1264" s="277"/>
      <c r="AI1264" s="277"/>
      <c r="AJ1264" s="277"/>
      <c r="AK1264" s="277"/>
    </row>
    <row r="1265" spans="1:37" s="289" customFormat="1">
      <c r="A1265" s="277"/>
      <c r="C1265" s="277"/>
      <c r="D1265" s="277"/>
      <c r="E1265" s="277"/>
      <c r="F1265" s="277"/>
      <c r="G1265" s="277"/>
      <c r="H1265" s="277"/>
      <c r="I1265" s="277"/>
      <c r="J1265" s="277"/>
      <c r="K1265" s="277"/>
      <c r="L1265" s="277"/>
      <c r="M1265" s="277"/>
      <c r="N1265" s="277"/>
      <c r="O1265" s="277"/>
      <c r="P1265" s="277"/>
      <c r="Q1265" s="277"/>
      <c r="R1265" s="277"/>
      <c r="S1265" s="277"/>
      <c r="T1265" s="277"/>
      <c r="U1265" s="277"/>
      <c r="V1265" s="277"/>
      <c r="W1265" s="277"/>
      <c r="X1265" s="277"/>
      <c r="Y1265" s="277"/>
      <c r="Z1265" s="277"/>
      <c r="AA1265" s="277"/>
      <c r="AB1265" s="277"/>
      <c r="AC1265" s="277"/>
      <c r="AD1265" s="277"/>
      <c r="AE1265" s="277"/>
      <c r="AF1265" s="277"/>
      <c r="AG1265" s="277"/>
      <c r="AH1265" s="277"/>
      <c r="AI1265" s="277"/>
      <c r="AJ1265" s="277"/>
      <c r="AK1265" s="277"/>
    </row>
    <row r="1266" spans="1:37" s="289" customFormat="1">
      <c r="A1266" s="277"/>
      <c r="C1266" s="277"/>
      <c r="D1266" s="277"/>
      <c r="E1266" s="277"/>
      <c r="F1266" s="277"/>
      <c r="G1266" s="277"/>
      <c r="H1266" s="277"/>
      <c r="I1266" s="277"/>
      <c r="J1266" s="277"/>
      <c r="K1266" s="277"/>
      <c r="L1266" s="277"/>
      <c r="M1266" s="277"/>
      <c r="N1266" s="277"/>
      <c r="O1266" s="277"/>
      <c r="P1266" s="277"/>
      <c r="Q1266" s="277"/>
      <c r="R1266" s="277"/>
      <c r="S1266" s="277"/>
      <c r="T1266" s="277"/>
      <c r="U1266" s="277"/>
      <c r="V1266" s="277"/>
      <c r="W1266" s="277"/>
      <c r="X1266" s="277"/>
      <c r="Y1266" s="277"/>
      <c r="Z1266" s="277"/>
      <c r="AA1266" s="277"/>
      <c r="AB1266" s="277"/>
      <c r="AC1266" s="277"/>
      <c r="AD1266" s="277"/>
      <c r="AE1266" s="277"/>
      <c r="AF1266" s="277"/>
      <c r="AG1266" s="277"/>
      <c r="AH1266" s="277"/>
      <c r="AI1266" s="277"/>
      <c r="AJ1266" s="277"/>
      <c r="AK1266" s="277"/>
    </row>
    <row r="1267" spans="1:37" s="289" customFormat="1">
      <c r="A1267" s="277"/>
      <c r="C1267" s="277"/>
      <c r="D1267" s="277"/>
      <c r="E1267" s="277"/>
      <c r="F1267" s="277"/>
      <c r="G1267" s="277"/>
      <c r="H1267" s="277"/>
      <c r="I1267" s="277"/>
      <c r="J1267" s="277"/>
      <c r="K1267" s="277"/>
      <c r="L1267" s="277"/>
      <c r="M1267" s="277"/>
      <c r="N1267" s="277"/>
      <c r="O1267" s="277"/>
      <c r="P1267" s="277"/>
      <c r="Q1267" s="277"/>
      <c r="R1267" s="277"/>
      <c r="S1267" s="277"/>
      <c r="T1267" s="277"/>
      <c r="U1267" s="277"/>
      <c r="V1267" s="277"/>
      <c r="W1267" s="277"/>
      <c r="X1267" s="277"/>
      <c r="Y1267" s="277"/>
      <c r="Z1267" s="277"/>
      <c r="AA1267" s="277"/>
      <c r="AB1267" s="277"/>
      <c r="AC1267" s="277"/>
      <c r="AD1267" s="277"/>
      <c r="AE1267" s="277"/>
      <c r="AF1267" s="277"/>
      <c r="AG1267" s="277"/>
      <c r="AH1267" s="277"/>
      <c r="AI1267" s="277"/>
      <c r="AJ1267" s="277"/>
      <c r="AK1267" s="277"/>
    </row>
    <row r="1268" spans="1:37" s="289" customFormat="1">
      <c r="A1268" s="277"/>
      <c r="C1268" s="277"/>
      <c r="D1268" s="277"/>
      <c r="E1268" s="277"/>
      <c r="F1268" s="277"/>
      <c r="G1268" s="277"/>
      <c r="H1268" s="277"/>
      <c r="I1268" s="277"/>
      <c r="J1268" s="277"/>
      <c r="K1268" s="277"/>
      <c r="L1268" s="277"/>
      <c r="M1268" s="277"/>
      <c r="N1268" s="277"/>
      <c r="O1268" s="277"/>
      <c r="P1268" s="277"/>
      <c r="Q1268" s="277"/>
      <c r="R1268" s="277"/>
      <c r="S1268" s="277"/>
      <c r="T1268" s="277"/>
      <c r="U1268" s="277"/>
      <c r="V1268" s="277"/>
      <c r="W1268" s="277"/>
      <c r="X1268" s="277"/>
      <c r="Y1268" s="277"/>
      <c r="Z1268" s="277"/>
      <c r="AA1268" s="277"/>
      <c r="AB1268" s="277"/>
      <c r="AC1268" s="277"/>
      <c r="AD1268" s="277"/>
      <c r="AE1268" s="277"/>
      <c r="AF1268" s="277"/>
      <c r="AG1268" s="277"/>
      <c r="AH1268" s="277"/>
      <c r="AI1268" s="277"/>
      <c r="AJ1268" s="277"/>
      <c r="AK1268" s="277"/>
    </row>
    <row r="1269" spans="1:37" s="289" customFormat="1">
      <c r="A1269" s="277"/>
      <c r="C1269" s="277"/>
      <c r="D1269" s="277"/>
      <c r="E1269" s="277"/>
      <c r="F1269" s="277"/>
      <c r="G1269" s="277"/>
      <c r="H1269" s="277"/>
      <c r="I1269" s="277"/>
      <c r="J1269" s="277"/>
      <c r="K1269" s="277"/>
      <c r="L1269" s="277"/>
      <c r="M1269" s="277"/>
      <c r="N1269" s="277"/>
      <c r="O1269" s="277"/>
      <c r="P1269" s="277"/>
      <c r="Q1269" s="277"/>
      <c r="R1269" s="277"/>
      <c r="S1269" s="277"/>
      <c r="T1269" s="277"/>
      <c r="U1269" s="277"/>
      <c r="V1269" s="277"/>
      <c r="W1269" s="277"/>
      <c r="X1269" s="277"/>
      <c r="Y1269" s="277"/>
      <c r="Z1269" s="277"/>
      <c r="AA1269" s="277"/>
      <c r="AB1269" s="277"/>
      <c r="AC1269" s="277"/>
      <c r="AD1269" s="277"/>
      <c r="AE1269" s="277"/>
      <c r="AF1269" s="277"/>
      <c r="AG1269" s="277"/>
      <c r="AH1269" s="277"/>
      <c r="AI1269" s="277"/>
      <c r="AJ1269" s="277"/>
      <c r="AK1269" s="277"/>
    </row>
    <row r="1270" spans="1:37" s="289" customFormat="1">
      <c r="A1270" s="277"/>
      <c r="C1270" s="277"/>
      <c r="D1270" s="277"/>
      <c r="E1270" s="277"/>
      <c r="F1270" s="277"/>
      <c r="G1270" s="277"/>
      <c r="H1270" s="277"/>
      <c r="I1270" s="277"/>
      <c r="J1270" s="277"/>
      <c r="K1270" s="277"/>
      <c r="L1270" s="277"/>
      <c r="M1270" s="277"/>
      <c r="N1270" s="277"/>
      <c r="O1270" s="277"/>
      <c r="P1270" s="277"/>
      <c r="Q1270" s="277"/>
      <c r="R1270" s="277"/>
      <c r="S1270" s="277"/>
      <c r="T1270" s="277"/>
      <c r="U1270" s="277"/>
      <c r="V1270" s="277"/>
      <c r="W1270" s="277"/>
      <c r="X1270" s="277"/>
      <c r="Y1270" s="277"/>
      <c r="Z1270" s="277"/>
      <c r="AA1270" s="277"/>
      <c r="AB1270" s="277"/>
      <c r="AC1270" s="277"/>
      <c r="AD1270" s="277"/>
      <c r="AE1270" s="277"/>
      <c r="AF1270" s="277"/>
      <c r="AG1270" s="277"/>
      <c r="AH1270" s="277"/>
      <c r="AI1270" s="277"/>
      <c r="AJ1270" s="277"/>
      <c r="AK1270" s="277"/>
    </row>
    <row r="1271" spans="1:37" s="289" customFormat="1">
      <c r="A1271" s="277"/>
      <c r="C1271" s="277"/>
      <c r="D1271" s="277"/>
      <c r="E1271" s="277"/>
      <c r="F1271" s="277"/>
      <c r="G1271" s="277"/>
      <c r="H1271" s="277"/>
      <c r="I1271" s="277"/>
      <c r="J1271" s="277"/>
      <c r="K1271" s="277"/>
      <c r="L1271" s="277"/>
      <c r="M1271" s="277"/>
      <c r="N1271" s="277"/>
      <c r="O1271" s="277"/>
      <c r="P1271" s="277"/>
      <c r="Q1271" s="277"/>
      <c r="R1271" s="277"/>
      <c r="S1271" s="277"/>
      <c r="T1271" s="277"/>
      <c r="U1271" s="277"/>
      <c r="V1271" s="277"/>
      <c r="W1271" s="277"/>
      <c r="X1271" s="277"/>
      <c r="Y1271" s="277"/>
      <c r="Z1271" s="277"/>
      <c r="AA1271" s="277"/>
      <c r="AB1271" s="277"/>
      <c r="AC1271" s="277"/>
      <c r="AD1271" s="277"/>
      <c r="AE1271" s="277"/>
      <c r="AF1271" s="277"/>
      <c r="AG1271" s="277"/>
      <c r="AH1271" s="277"/>
      <c r="AI1271" s="277"/>
      <c r="AJ1271" s="277"/>
      <c r="AK1271" s="277"/>
    </row>
    <row r="1272" spans="1:37" s="289" customFormat="1">
      <c r="A1272" s="277"/>
      <c r="C1272" s="277"/>
      <c r="D1272" s="277"/>
      <c r="E1272" s="277"/>
      <c r="F1272" s="277"/>
      <c r="G1272" s="277"/>
      <c r="H1272" s="277"/>
      <c r="I1272" s="277"/>
      <c r="J1272" s="277"/>
      <c r="K1272" s="277"/>
      <c r="L1272" s="277"/>
      <c r="M1272" s="277"/>
      <c r="N1272" s="277"/>
      <c r="O1272" s="277"/>
      <c r="P1272" s="277"/>
      <c r="Q1272" s="277"/>
      <c r="R1272" s="277"/>
      <c r="S1272" s="277"/>
      <c r="T1272" s="277"/>
      <c r="U1272" s="277"/>
      <c r="V1272" s="277"/>
      <c r="W1272" s="277"/>
      <c r="X1272" s="277"/>
      <c r="Y1272" s="277"/>
      <c r="Z1272" s="277"/>
      <c r="AA1272" s="277"/>
      <c r="AB1272" s="277"/>
      <c r="AC1272" s="277"/>
      <c r="AD1272" s="277"/>
      <c r="AE1272" s="277"/>
      <c r="AF1272" s="277"/>
      <c r="AG1272" s="277"/>
      <c r="AH1272" s="277"/>
      <c r="AI1272" s="277"/>
      <c r="AJ1272" s="277"/>
      <c r="AK1272" s="277"/>
    </row>
    <row r="1273" spans="1:37" s="289" customFormat="1">
      <c r="A1273" s="277"/>
      <c r="C1273" s="277"/>
      <c r="D1273" s="277"/>
      <c r="E1273" s="277"/>
      <c r="F1273" s="277"/>
      <c r="G1273" s="277"/>
      <c r="H1273" s="277"/>
      <c r="I1273" s="277"/>
      <c r="J1273" s="277"/>
      <c r="K1273" s="277"/>
      <c r="L1273" s="277"/>
      <c r="M1273" s="277"/>
      <c r="N1273" s="277"/>
      <c r="O1273" s="277"/>
      <c r="P1273" s="277"/>
      <c r="Q1273" s="277"/>
      <c r="R1273" s="277"/>
      <c r="S1273" s="277"/>
      <c r="T1273" s="277"/>
      <c r="U1273" s="277"/>
      <c r="V1273" s="277"/>
      <c r="W1273" s="277"/>
      <c r="X1273" s="277"/>
      <c r="Y1273" s="277"/>
      <c r="Z1273" s="277"/>
      <c r="AA1273" s="277"/>
      <c r="AB1273" s="277"/>
      <c r="AC1273" s="277"/>
      <c r="AD1273" s="277"/>
      <c r="AE1273" s="277"/>
      <c r="AF1273" s="277"/>
      <c r="AG1273" s="277"/>
      <c r="AH1273" s="277"/>
      <c r="AI1273" s="277"/>
      <c r="AJ1273" s="277"/>
      <c r="AK1273" s="277"/>
    </row>
    <row r="1274" spans="1:37" s="289" customFormat="1">
      <c r="A1274" s="277"/>
      <c r="C1274" s="277"/>
      <c r="D1274" s="277"/>
      <c r="E1274" s="277"/>
      <c r="F1274" s="277"/>
      <c r="G1274" s="277"/>
      <c r="H1274" s="277"/>
      <c r="I1274" s="277"/>
      <c r="J1274" s="277"/>
      <c r="K1274" s="277"/>
      <c r="L1274" s="277"/>
      <c r="M1274" s="277"/>
      <c r="N1274" s="277"/>
      <c r="O1274" s="277"/>
      <c r="P1274" s="277"/>
      <c r="Q1274" s="277"/>
      <c r="R1274" s="277"/>
      <c r="S1274" s="277"/>
      <c r="T1274" s="277"/>
      <c r="U1274" s="277"/>
      <c r="V1274" s="277"/>
      <c r="W1274" s="277"/>
      <c r="X1274" s="277"/>
      <c r="Y1274" s="277"/>
      <c r="Z1274" s="277"/>
      <c r="AA1274" s="277"/>
      <c r="AB1274" s="277"/>
      <c r="AC1274" s="277"/>
      <c r="AD1274" s="277"/>
      <c r="AE1274" s="277"/>
      <c r="AF1274" s="277"/>
      <c r="AG1274" s="277"/>
      <c r="AH1274" s="277"/>
      <c r="AI1274" s="277"/>
      <c r="AJ1274" s="277"/>
      <c r="AK1274" s="277"/>
    </row>
    <row r="1275" spans="1:37" s="289" customFormat="1">
      <c r="A1275" s="277"/>
      <c r="C1275" s="277"/>
      <c r="D1275" s="277"/>
      <c r="E1275" s="277"/>
      <c r="F1275" s="277"/>
      <c r="G1275" s="277"/>
      <c r="H1275" s="277"/>
      <c r="I1275" s="277"/>
      <c r="J1275" s="277"/>
      <c r="K1275" s="277"/>
      <c r="L1275" s="277"/>
      <c r="M1275" s="277"/>
      <c r="N1275" s="277"/>
      <c r="O1275" s="277"/>
      <c r="P1275" s="277"/>
      <c r="Q1275" s="277"/>
      <c r="R1275" s="277"/>
      <c r="S1275" s="277"/>
      <c r="T1275" s="277"/>
      <c r="U1275" s="277"/>
      <c r="V1275" s="277"/>
      <c r="W1275" s="277"/>
      <c r="X1275" s="277"/>
      <c r="Y1275" s="277"/>
      <c r="Z1275" s="277"/>
      <c r="AA1275" s="277"/>
      <c r="AB1275" s="277"/>
      <c r="AC1275" s="277"/>
      <c r="AD1275" s="277"/>
      <c r="AE1275" s="277"/>
      <c r="AF1275" s="277"/>
      <c r="AG1275" s="277"/>
      <c r="AH1275" s="277"/>
      <c r="AI1275" s="277"/>
      <c r="AJ1275" s="277"/>
      <c r="AK1275" s="277"/>
    </row>
    <row r="1276" spans="1:37" s="289" customFormat="1">
      <c r="A1276" s="277"/>
      <c r="C1276" s="277"/>
      <c r="D1276" s="277"/>
      <c r="E1276" s="277"/>
      <c r="F1276" s="277"/>
      <c r="G1276" s="277"/>
      <c r="H1276" s="277"/>
      <c r="I1276" s="277"/>
      <c r="J1276" s="277"/>
      <c r="K1276" s="277"/>
      <c r="L1276" s="277"/>
      <c r="M1276" s="277"/>
      <c r="N1276" s="277"/>
      <c r="O1276" s="277"/>
      <c r="P1276" s="277"/>
      <c r="Q1276" s="277"/>
      <c r="R1276" s="277"/>
      <c r="S1276" s="277"/>
      <c r="T1276" s="277"/>
      <c r="U1276" s="277"/>
      <c r="V1276" s="277"/>
      <c r="W1276" s="277"/>
      <c r="X1276" s="277"/>
      <c r="Y1276" s="277"/>
      <c r="Z1276" s="277"/>
      <c r="AA1276" s="277"/>
      <c r="AB1276" s="277"/>
      <c r="AC1276" s="277"/>
      <c r="AD1276" s="277"/>
      <c r="AE1276" s="277"/>
      <c r="AF1276" s="277"/>
      <c r="AG1276" s="277"/>
      <c r="AH1276" s="277"/>
      <c r="AI1276" s="277"/>
      <c r="AJ1276" s="277"/>
      <c r="AK1276" s="277"/>
    </row>
    <row r="1277" spans="1:37" s="289" customFormat="1">
      <c r="A1277" s="277"/>
      <c r="C1277" s="277"/>
      <c r="D1277" s="277"/>
      <c r="E1277" s="277"/>
      <c r="F1277" s="277"/>
      <c r="G1277" s="277"/>
      <c r="H1277" s="277"/>
      <c r="I1277" s="277"/>
      <c r="J1277" s="277"/>
      <c r="K1277" s="277"/>
      <c r="L1277" s="277"/>
      <c r="M1277" s="277"/>
      <c r="N1277" s="277"/>
      <c r="O1277" s="277"/>
      <c r="P1277" s="277"/>
      <c r="Q1277" s="277"/>
      <c r="R1277" s="277"/>
      <c r="S1277" s="277"/>
      <c r="T1277" s="277"/>
      <c r="U1277" s="277"/>
      <c r="V1277" s="277"/>
      <c r="W1277" s="277"/>
      <c r="X1277" s="277"/>
      <c r="Y1277" s="277"/>
      <c r="Z1277" s="277"/>
      <c r="AA1277" s="277"/>
      <c r="AB1277" s="277"/>
      <c r="AC1277" s="277"/>
      <c r="AD1277" s="277"/>
      <c r="AE1277" s="277"/>
      <c r="AF1277" s="277"/>
      <c r="AG1277" s="277"/>
      <c r="AH1277" s="277"/>
      <c r="AI1277" s="277"/>
      <c r="AJ1277" s="277"/>
      <c r="AK1277" s="277"/>
    </row>
    <row r="1278" spans="1:37" s="289" customFormat="1">
      <c r="A1278" s="277"/>
      <c r="C1278" s="277"/>
      <c r="D1278" s="277"/>
      <c r="E1278" s="277"/>
      <c r="F1278" s="277"/>
      <c r="G1278" s="277"/>
      <c r="H1278" s="277"/>
      <c r="I1278" s="277"/>
      <c r="J1278" s="277"/>
      <c r="K1278" s="277"/>
      <c r="L1278" s="277"/>
      <c r="M1278" s="277"/>
      <c r="N1278" s="277"/>
      <c r="O1278" s="277"/>
      <c r="P1278" s="277"/>
      <c r="Q1278" s="277"/>
      <c r="R1278" s="277"/>
      <c r="S1278" s="277"/>
      <c r="T1278" s="277"/>
      <c r="U1278" s="277"/>
      <c r="V1278" s="277"/>
      <c r="W1278" s="277"/>
      <c r="X1278" s="277"/>
      <c r="Y1278" s="277"/>
      <c r="Z1278" s="277"/>
      <c r="AA1278" s="277"/>
      <c r="AB1278" s="277"/>
      <c r="AC1278" s="277"/>
      <c r="AD1278" s="277"/>
      <c r="AE1278" s="277"/>
      <c r="AF1278" s="277"/>
      <c r="AG1278" s="277"/>
      <c r="AH1278" s="277"/>
      <c r="AI1278" s="277"/>
      <c r="AJ1278" s="277"/>
      <c r="AK1278" s="277"/>
    </row>
    <row r="1279" spans="1:37" s="289" customFormat="1">
      <c r="A1279" s="277"/>
      <c r="C1279" s="277"/>
      <c r="D1279" s="277"/>
      <c r="E1279" s="277"/>
      <c r="F1279" s="277"/>
      <c r="G1279" s="277"/>
      <c r="H1279" s="277"/>
      <c r="I1279" s="277"/>
      <c r="J1279" s="277"/>
      <c r="K1279" s="277"/>
      <c r="L1279" s="277"/>
      <c r="M1279" s="277"/>
      <c r="N1279" s="277"/>
      <c r="O1279" s="277"/>
      <c r="P1279" s="277"/>
      <c r="Q1279" s="277"/>
      <c r="R1279" s="277"/>
      <c r="S1279" s="277"/>
      <c r="T1279" s="277"/>
      <c r="U1279" s="277"/>
      <c r="V1279" s="277"/>
      <c r="W1279" s="277"/>
      <c r="X1279" s="277"/>
      <c r="Y1279" s="277"/>
      <c r="Z1279" s="277"/>
      <c r="AA1279" s="277"/>
      <c r="AB1279" s="277"/>
      <c r="AC1279" s="277"/>
      <c r="AD1279" s="277"/>
      <c r="AE1279" s="277"/>
      <c r="AF1279" s="277"/>
      <c r="AG1279" s="277"/>
      <c r="AH1279" s="277"/>
      <c r="AI1279" s="277"/>
      <c r="AJ1279" s="277"/>
      <c r="AK1279" s="277"/>
    </row>
    <row r="1280" spans="1:37" s="289" customFormat="1">
      <c r="A1280" s="277"/>
      <c r="C1280" s="277"/>
      <c r="D1280" s="277"/>
      <c r="E1280" s="277"/>
      <c r="F1280" s="277"/>
      <c r="G1280" s="277"/>
      <c r="H1280" s="277"/>
      <c r="I1280" s="277"/>
      <c r="J1280" s="277"/>
      <c r="K1280" s="277"/>
      <c r="L1280" s="277"/>
      <c r="M1280" s="277"/>
      <c r="N1280" s="277"/>
      <c r="O1280" s="277"/>
      <c r="P1280" s="277"/>
      <c r="Q1280" s="277"/>
      <c r="R1280" s="277"/>
      <c r="S1280" s="277"/>
      <c r="T1280" s="277"/>
      <c r="U1280" s="277"/>
      <c r="V1280" s="277"/>
      <c r="W1280" s="277"/>
      <c r="X1280" s="277"/>
      <c r="Y1280" s="277"/>
      <c r="Z1280" s="277"/>
      <c r="AA1280" s="277"/>
      <c r="AB1280" s="277"/>
      <c r="AC1280" s="277"/>
      <c r="AD1280" s="277"/>
      <c r="AE1280" s="277"/>
      <c r="AF1280" s="277"/>
      <c r="AG1280" s="277"/>
      <c r="AH1280" s="277"/>
      <c r="AI1280" s="277"/>
      <c r="AJ1280" s="277"/>
      <c r="AK1280" s="277"/>
    </row>
    <row r="1281" spans="1:37" s="289" customFormat="1">
      <c r="A1281" s="277"/>
      <c r="C1281" s="277"/>
      <c r="D1281" s="277"/>
      <c r="E1281" s="277"/>
      <c r="F1281" s="277"/>
      <c r="G1281" s="277"/>
      <c r="H1281" s="277"/>
      <c r="I1281" s="277"/>
      <c r="J1281" s="277"/>
      <c r="K1281" s="277"/>
      <c r="L1281" s="277"/>
      <c r="M1281" s="277"/>
      <c r="N1281" s="277"/>
      <c r="O1281" s="277"/>
      <c r="P1281" s="277"/>
      <c r="Q1281" s="277"/>
      <c r="R1281" s="277"/>
      <c r="S1281" s="277"/>
      <c r="T1281" s="277"/>
      <c r="U1281" s="277"/>
      <c r="V1281" s="277"/>
      <c r="W1281" s="277"/>
      <c r="X1281" s="277"/>
      <c r="Y1281" s="277"/>
      <c r="Z1281" s="277"/>
      <c r="AA1281" s="277"/>
      <c r="AB1281" s="277"/>
      <c r="AC1281" s="277"/>
      <c r="AD1281" s="277"/>
      <c r="AE1281" s="277"/>
      <c r="AF1281" s="277"/>
      <c r="AG1281" s="277"/>
      <c r="AH1281" s="277"/>
      <c r="AI1281" s="277"/>
      <c r="AJ1281" s="277"/>
      <c r="AK1281" s="277"/>
    </row>
    <row r="1282" spans="1:37" s="289" customFormat="1">
      <c r="A1282" s="277"/>
      <c r="C1282" s="277"/>
      <c r="D1282" s="277"/>
      <c r="E1282" s="277"/>
      <c r="F1282" s="277"/>
      <c r="G1282" s="277"/>
      <c r="H1282" s="277"/>
      <c r="I1282" s="277"/>
      <c r="J1282" s="277"/>
      <c r="K1282" s="277"/>
      <c r="L1282" s="277"/>
      <c r="M1282" s="277"/>
      <c r="N1282" s="277"/>
      <c r="O1282" s="277"/>
      <c r="P1282" s="277"/>
      <c r="Q1282" s="277"/>
      <c r="R1282" s="277"/>
      <c r="S1282" s="277"/>
      <c r="T1282" s="277"/>
      <c r="U1282" s="277"/>
      <c r="V1282" s="277"/>
      <c r="W1282" s="277"/>
      <c r="X1282" s="277"/>
      <c r="Y1282" s="277"/>
      <c r="Z1282" s="277"/>
      <c r="AA1282" s="277"/>
      <c r="AB1282" s="277"/>
      <c r="AC1282" s="277"/>
      <c r="AD1282" s="277"/>
      <c r="AE1282" s="277"/>
      <c r="AF1282" s="277"/>
      <c r="AG1282" s="277"/>
      <c r="AH1282" s="277"/>
      <c r="AI1282" s="277"/>
      <c r="AJ1282" s="277"/>
      <c r="AK1282" s="277"/>
    </row>
    <row r="1283" spans="1:37" s="289" customFormat="1">
      <c r="A1283" s="277"/>
      <c r="C1283" s="277"/>
      <c r="D1283" s="277"/>
      <c r="E1283" s="277"/>
      <c r="F1283" s="277"/>
      <c r="G1283" s="277"/>
      <c r="H1283" s="277"/>
      <c r="I1283" s="277"/>
      <c r="J1283" s="277"/>
      <c r="K1283" s="277"/>
      <c r="L1283" s="277"/>
      <c r="M1283" s="277"/>
      <c r="N1283" s="277"/>
      <c r="O1283" s="277"/>
      <c r="P1283" s="277"/>
      <c r="Q1283" s="277"/>
      <c r="R1283" s="277"/>
      <c r="S1283" s="277"/>
      <c r="T1283" s="277"/>
      <c r="U1283" s="277"/>
      <c r="V1283" s="277"/>
      <c r="W1283" s="277"/>
      <c r="X1283" s="277"/>
      <c r="Y1283" s="277"/>
      <c r="Z1283" s="277"/>
      <c r="AA1283" s="277"/>
      <c r="AB1283" s="277"/>
      <c r="AC1283" s="277"/>
      <c r="AD1283" s="277"/>
      <c r="AE1283" s="277"/>
      <c r="AF1283" s="277"/>
      <c r="AG1283" s="277"/>
      <c r="AH1283" s="277"/>
      <c r="AI1283" s="277"/>
      <c r="AJ1283" s="277"/>
      <c r="AK1283" s="277"/>
    </row>
    <row r="1284" spans="1:37" s="289" customFormat="1">
      <c r="A1284" s="277"/>
      <c r="C1284" s="277"/>
      <c r="D1284" s="277"/>
      <c r="E1284" s="277"/>
      <c r="F1284" s="277"/>
      <c r="G1284" s="277"/>
      <c r="H1284" s="277"/>
      <c r="I1284" s="277"/>
      <c r="J1284" s="277"/>
      <c r="K1284" s="277"/>
      <c r="L1284" s="277"/>
      <c r="M1284" s="277"/>
      <c r="N1284" s="277"/>
      <c r="O1284" s="277"/>
      <c r="P1284" s="277"/>
      <c r="Q1284" s="277"/>
      <c r="R1284" s="277"/>
      <c r="S1284" s="277"/>
      <c r="T1284" s="277"/>
      <c r="U1284" s="277"/>
      <c r="V1284" s="277"/>
      <c r="W1284" s="277"/>
      <c r="X1284" s="277"/>
      <c r="Y1284" s="277"/>
      <c r="Z1284" s="277"/>
      <c r="AA1284" s="277"/>
      <c r="AB1284" s="277"/>
      <c r="AC1284" s="277"/>
      <c r="AD1284" s="277"/>
      <c r="AE1284" s="277"/>
      <c r="AF1284" s="277"/>
      <c r="AG1284" s="277"/>
      <c r="AH1284" s="277"/>
      <c r="AI1284" s="277"/>
      <c r="AJ1284" s="277"/>
      <c r="AK1284" s="277"/>
    </row>
    <row r="1285" spans="1:37" s="289" customFormat="1">
      <c r="A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7"/>
      <c r="O1285" s="277"/>
      <c r="P1285" s="277"/>
      <c r="Q1285" s="277"/>
      <c r="R1285" s="277"/>
      <c r="S1285" s="277"/>
      <c r="T1285" s="277"/>
      <c r="U1285" s="277"/>
      <c r="V1285" s="277"/>
      <c r="W1285" s="277"/>
      <c r="X1285" s="277"/>
      <c r="Y1285" s="277"/>
      <c r="Z1285" s="277"/>
      <c r="AA1285" s="277"/>
      <c r="AB1285" s="277"/>
      <c r="AC1285" s="277"/>
      <c r="AD1285" s="277"/>
      <c r="AE1285" s="277"/>
      <c r="AF1285" s="277"/>
      <c r="AG1285" s="277"/>
      <c r="AH1285" s="277"/>
      <c r="AI1285" s="277"/>
      <c r="AJ1285" s="277"/>
      <c r="AK1285" s="277"/>
    </row>
    <row r="1286" spans="1:37" s="289" customFormat="1">
      <c r="A1286" s="277"/>
      <c r="C1286" s="277"/>
      <c r="D1286" s="277"/>
      <c r="E1286" s="277"/>
      <c r="F1286" s="277"/>
      <c r="G1286" s="277"/>
      <c r="H1286" s="277"/>
      <c r="I1286" s="277"/>
      <c r="J1286" s="277"/>
      <c r="K1286" s="277"/>
      <c r="L1286" s="277"/>
      <c r="M1286" s="277"/>
      <c r="N1286" s="277"/>
      <c r="O1286" s="277"/>
      <c r="P1286" s="277"/>
      <c r="Q1286" s="277"/>
      <c r="R1286" s="277"/>
      <c r="S1286" s="277"/>
      <c r="T1286" s="277"/>
      <c r="U1286" s="277"/>
      <c r="V1286" s="277"/>
      <c r="W1286" s="277"/>
      <c r="X1286" s="277"/>
      <c r="Y1286" s="277"/>
      <c r="Z1286" s="277"/>
      <c r="AA1286" s="277"/>
      <c r="AB1286" s="277"/>
      <c r="AC1286" s="277"/>
      <c r="AD1286" s="277"/>
      <c r="AE1286" s="277"/>
      <c r="AF1286" s="277"/>
      <c r="AG1286" s="277"/>
      <c r="AH1286" s="277"/>
      <c r="AI1286" s="277"/>
      <c r="AJ1286" s="277"/>
      <c r="AK1286" s="277"/>
    </row>
    <row r="1287" spans="1:37" s="289" customFormat="1">
      <c r="A1287" s="277"/>
      <c r="C1287" s="277"/>
      <c r="D1287" s="277"/>
      <c r="E1287" s="277"/>
      <c r="F1287" s="277"/>
      <c r="G1287" s="277"/>
      <c r="H1287" s="277"/>
      <c r="I1287" s="277"/>
      <c r="J1287" s="277"/>
      <c r="K1287" s="277"/>
      <c r="L1287" s="277"/>
      <c r="M1287" s="277"/>
      <c r="N1287" s="277"/>
      <c r="O1287" s="277"/>
      <c r="P1287" s="277"/>
      <c r="Q1287" s="277"/>
      <c r="R1287" s="277"/>
      <c r="S1287" s="277"/>
      <c r="T1287" s="277"/>
      <c r="U1287" s="277"/>
      <c r="V1287" s="277"/>
      <c r="W1287" s="277"/>
      <c r="X1287" s="277"/>
      <c r="Y1287" s="277"/>
      <c r="Z1287" s="277"/>
      <c r="AA1287" s="277"/>
      <c r="AB1287" s="277"/>
      <c r="AC1287" s="277"/>
      <c r="AD1287" s="277"/>
      <c r="AE1287" s="277"/>
      <c r="AF1287" s="277"/>
      <c r="AG1287" s="277"/>
      <c r="AH1287" s="277"/>
      <c r="AI1287" s="277"/>
      <c r="AJ1287" s="277"/>
      <c r="AK1287" s="277"/>
    </row>
    <row r="1288" spans="1:37" s="289" customFormat="1">
      <c r="A1288" s="277"/>
      <c r="C1288" s="277"/>
      <c r="D1288" s="277"/>
      <c r="E1288" s="277"/>
      <c r="F1288" s="277"/>
      <c r="G1288" s="277"/>
      <c r="H1288" s="277"/>
      <c r="I1288" s="277"/>
      <c r="J1288" s="277"/>
      <c r="K1288" s="277"/>
      <c r="L1288" s="277"/>
      <c r="M1288" s="277"/>
      <c r="N1288" s="277"/>
      <c r="O1288" s="277"/>
      <c r="P1288" s="277"/>
      <c r="Q1288" s="277"/>
      <c r="R1288" s="277"/>
      <c r="S1288" s="277"/>
      <c r="T1288" s="277"/>
      <c r="U1288" s="277"/>
      <c r="V1288" s="277"/>
      <c r="W1288" s="277"/>
      <c r="X1288" s="277"/>
      <c r="Y1288" s="277"/>
      <c r="Z1288" s="277"/>
      <c r="AA1288" s="277"/>
      <c r="AB1288" s="277"/>
      <c r="AC1288" s="277"/>
      <c r="AD1288" s="277"/>
      <c r="AE1288" s="277"/>
      <c r="AF1288" s="277"/>
      <c r="AG1288" s="277"/>
      <c r="AH1288" s="277"/>
      <c r="AI1288" s="277"/>
      <c r="AJ1288" s="277"/>
      <c r="AK1288" s="277"/>
    </row>
    <row r="1289" spans="1:37" s="289" customFormat="1">
      <c r="A1289" s="277"/>
      <c r="C1289" s="277"/>
      <c r="D1289" s="277"/>
      <c r="E1289" s="277"/>
      <c r="F1289" s="277"/>
      <c r="G1289" s="277"/>
      <c r="H1289" s="277"/>
      <c r="I1289" s="277"/>
      <c r="J1289" s="277"/>
      <c r="K1289" s="277"/>
      <c r="L1289" s="277"/>
      <c r="M1289" s="277"/>
      <c r="N1289" s="277"/>
      <c r="O1289" s="277"/>
      <c r="P1289" s="277"/>
      <c r="Q1289" s="277"/>
      <c r="R1289" s="277"/>
      <c r="S1289" s="277"/>
      <c r="T1289" s="277"/>
      <c r="U1289" s="277"/>
      <c r="V1289" s="277"/>
      <c r="W1289" s="277"/>
      <c r="X1289" s="277"/>
      <c r="Y1289" s="277"/>
      <c r="Z1289" s="277"/>
      <c r="AA1289" s="277"/>
      <c r="AB1289" s="277"/>
      <c r="AC1289" s="277"/>
      <c r="AD1289" s="277"/>
      <c r="AE1289" s="277"/>
      <c r="AF1289" s="277"/>
      <c r="AG1289" s="277"/>
      <c r="AH1289" s="277"/>
      <c r="AI1289" s="277"/>
      <c r="AJ1289" s="277"/>
      <c r="AK1289" s="277"/>
    </row>
    <row r="1290" spans="1:37" s="289" customFormat="1">
      <c r="A1290" s="277"/>
      <c r="C1290" s="277"/>
      <c r="D1290" s="277"/>
      <c r="E1290" s="277"/>
      <c r="F1290" s="277"/>
      <c r="G1290" s="277"/>
      <c r="H1290" s="277"/>
      <c r="I1290" s="277"/>
      <c r="J1290" s="277"/>
      <c r="K1290" s="277"/>
      <c r="L1290" s="277"/>
      <c r="M1290" s="277"/>
      <c r="N1290" s="277"/>
      <c r="O1290" s="277"/>
      <c r="P1290" s="277"/>
      <c r="Q1290" s="277"/>
      <c r="R1290" s="277"/>
      <c r="S1290" s="277"/>
      <c r="T1290" s="277"/>
      <c r="U1290" s="277"/>
      <c r="V1290" s="277"/>
      <c r="W1290" s="277"/>
      <c r="X1290" s="277"/>
      <c r="Y1290" s="277"/>
      <c r="Z1290" s="277"/>
      <c r="AA1290" s="277"/>
      <c r="AB1290" s="277"/>
      <c r="AC1290" s="277"/>
      <c r="AD1290" s="277"/>
      <c r="AE1290" s="277"/>
      <c r="AF1290" s="277"/>
      <c r="AG1290" s="277"/>
      <c r="AH1290" s="277"/>
      <c r="AI1290" s="277"/>
      <c r="AJ1290" s="277"/>
      <c r="AK1290" s="277"/>
    </row>
    <row r="1291" spans="1:37" s="289" customFormat="1">
      <c r="A1291" s="277"/>
      <c r="C1291" s="277"/>
      <c r="D1291" s="277"/>
      <c r="E1291" s="277"/>
      <c r="F1291" s="277"/>
      <c r="G1291" s="277"/>
      <c r="H1291" s="277"/>
      <c r="I1291" s="277"/>
      <c r="J1291" s="277"/>
      <c r="K1291" s="277"/>
      <c r="L1291" s="277"/>
      <c r="M1291" s="277"/>
      <c r="N1291" s="277"/>
      <c r="O1291" s="277"/>
      <c r="P1291" s="277"/>
      <c r="Q1291" s="277"/>
      <c r="R1291" s="277"/>
      <c r="S1291" s="277"/>
      <c r="T1291" s="277"/>
      <c r="U1291" s="277"/>
      <c r="V1291" s="277"/>
      <c r="W1291" s="277"/>
      <c r="X1291" s="277"/>
      <c r="Y1291" s="277"/>
      <c r="Z1291" s="277"/>
      <c r="AA1291" s="277"/>
      <c r="AB1291" s="277"/>
      <c r="AC1291" s="277"/>
      <c r="AD1291" s="277"/>
      <c r="AE1291" s="277"/>
      <c r="AF1291" s="277"/>
      <c r="AG1291" s="277"/>
      <c r="AH1291" s="277"/>
      <c r="AI1291" s="277"/>
      <c r="AJ1291" s="277"/>
      <c r="AK1291" s="277"/>
    </row>
    <row r="1292" spans="1:37" s="289" customFormat="1">
      <c r="A1292" s="277"/>
      <c r="C1292" s="277"/>
      <c r="D1292" s="277"/>
      <c r="E1292" s="277"/>
      <c r="F1292" s="277"/>
      <c r="G1292" s="277"/>
      <c r="H1292" s="277"/>
      <c r="I1292" s="277"/>
      <c r="J1292" s="277"/>
      <c r="K1292" s="277"/>
      <c r="L1292" s="277"/>
      <c r="M1292" s="277"/>
      <c r="N1292" s="277"/>
      <c r="O1292" s="277"/>
      <c r="P1292" s="277"/>
      <c r="Q1292" s="277"/>
      <c r="R1292" s="277"/>
      <c r="S1292" s="277"/>
      <c r="T1292" s="277"/>
      <c r="U1292" s="277"/>
      <c r="V1292" s="277"/>
      <c r="W1292" s="277"/>
      <c r="X1292" s="277"/>
      <c r="Y1292" s="277"/>
      <c r="Z1292" s="277"/>
      <c r="AA1292" s="277"/>
      <c r="AB1292" s="277"/>
      <c r="AC1292" s="277"/>
      <c r="AD1292" s="277"/>
      <c r="AE1292" s="277"/>
      <c r="AF1292" s="277"/>
      <c r="AG1292" s="277"/>
      <c r="AH1292" s="277"/>
      <c r="AI1292" s="277"/>
      <c r="AJ1292" s="277"/>
      <c r="AK1292" s="277"/>
    </row>
    <row r="1293" spans="1:37" s="289" customFormat="1">
      <c r="A1293" s="277"/>
      <c r="C1293" s="277"/>
      <c r="D1293" s="277"/>
      <c r="E1293" s="277"/>
      <c r="F1293" s="277"/>
      <c r="G1293" s="277"/>
      <c r="H1293" s="277"/>
      <c r="I1293" s="277"/>
      <c r="J1293" s="277"/>
      <c r="K1293" s="277"/>
      <c r="L1293" s="277"/>
      <c r="M1293" s="277"/>
      <c r="N1293" s="277"/>
      <c r="O1293" s="277"/>
      <c r="P1293" s="277"/>
      <c r="Q1293" s="277"/>
      <c r="R1293" s="277"/>
      <c r="S1293" s="277"/>
      <c r="T1293" s="277"/>
      <c r="U1293" s="277"/>
      <c r="V1293" s="277"/>
      <c r="W1293" s="277"/>
      <c r="X1293" s="277"/>
      <c r="Y1293" s="277"/>
      <c r="Z1293" s="277"/>
      <c r="AA1293" s="277"/>
      <c r="AB1293" s="277"/>
      <c r="AC1293" s="277"/>
      <c r="AD1293" s="277"/>
      <c r="AE1293" s="277"/>
      <c r="AF1293" s="277"/>
      <c r="AG1293" s="277"/>
      <c r="AH1293" s="277"/>
      <c r="AI1293" s="277"/>
      <c r="AJ1293" s="277"/>
      <c r="AK1293" s="277"/>
    </row>
    <row r="1294" spans="1:37" s="289" customFormat="1">
      <c r="A1294" s="277"/>
      <c r="C1294" s="277"/>
      <c r="D1294" s="277"/>
      <c r="E1294" s="277"/>
      <c r="F1294" s="277"/>
      <c r="G1294" s="277"/>
      <c r="H1294" s="277"/>
      <c r="I1294" s="277"/>
      <c r="J1294" s="277"/>
      <c r="K1294" s="277"/>
      <c r="L1294" s="277"/>
      <c r="M1294" s="277"/>
      <c r="N1294" s="277"/>
      <c r="O1294" s="277"/>
      <c r="P1294" s="277"/>
      <c r="Q1294" s="277"/>
      <c r="R1294" s="277"/>
      <c r="S1294" s="277"/>
      <c r="T1294" s="277"/>
      <c r="U1294" s="277"/>
      <c r="V1294" s="277"/>
      <c r="W1294" s="277"/>
      <c r="X1294" s="277"/>
      <c r="Y1294" s="277"/>
      <c r="Z1294" s="277"/>
      <c r="AA1294" s="277"/>
      <c r="AB1294" s="277"/>
      <c r="AC1294" s="277"/>
      <c r="AD1294" s="277"/>
      <c r="AE1294" s="277"/>
      <c r="AF1294" s="277"/>
      <c r="AG1294" s="277"/>
      <c r="AH1294" s="277"/>
      <c r="AI1294" s="277"/>
      <c r="AJ1294" s="277"/>
      <c r="AK1294" s="277"/>
    </row>
    <row r="1295" spans="1:37" s="289" customFormat="1">
      <c r="A1295" s="277"/>
      <c r="C1295" s="277"/>
      <c r="D1295" s="277"/>
      <c r="E1295" s="277"/>
      <c r="F1295" s="277"/>
      <c r="G1295" s="277"/>
      <c r="H1295" s="277"/>
      <c r="I1295" s="277"/>
      <c r="J1295" s="277"/>
      <c r="K1295" s="277"/>
      <c r="L1295" s="277"/>
      <c r="M1295" s="277"/>
      <c r="N1295" s="277"/>
      <c r="O1295" s="277"/>
      <c r="P1295" s="277"/>
      <c r="Q1295" s="277"/>
      <c r="R1295" s="277"/>
      <c r="S1295" s="277"/>
      <c r="T1295" s="277"/>
      <c r="U1295" s="277"/>
      <c r="V1295" s="277"/>
      <c r="W1295" s="277"/>
      <c r="X1295" s="277"/>
      <c r="Y1295" s="277"/>
      <c r="Z1295" s="277"/>
      <c r="AA1295" s="277"/>
      <c r="AB1295" s="277"/>
      <c r="AC1295" s="277"/>
      <c r="AD1295" s="277"/>
      <c r="AE1295" s="277"/>
      <c r="AF1295" s="277"/>
      <c r="AG1295" s="277"/>
      <c r="AH1295" s="277"/>
      <c r="AI1295" s="277"/>
      <c r="AJ1295" s="277"/>
      <c r="AK1295" s="277"/>
    </row>
    <row r="1296" spans="1:37" s="289" customFormat="1">
      <c r="A1296" s="277"/>
      <c r="C1296" s="277"/>
      <c r="D1296" s="277"/>
      <c r="E1296" s="277"/>
      <c r="F1296" s="277"/>
      <c r="G1296" s="277"/>
      <c r="H1296" s="277"/>
      <c r="I1296" s="277"/>
      <c r="J1296" s="277"/>
      <c r="K1296" s="277"/>
      <c r="L1296" s="277"/>
      <c r="M1296" s="277"/>
      <c r="N1296" s="277"/>
      <c r="O1296" s="277"/>
      <c r="P1296" s="277"/>
      <c r="Q1296" s="277"/>
      <c r="R1296" s="277"/>
      <c r="S1296" s="277"/>
      <c r="T1296" s="277"/>
      <c r="U1296" s="277"/>
      <c r="V1296" s="277"/>
      <c r="W1296" s="277"/>
      <c r="X1296" s="277"/>
      <c r="Y1296" s="277"/>
      <c r="Z1296" s="277"/>
      <c r="AA1296" s="277"/>
      <c r="AB1296" s="277"/>
      <c r="AC1296" s="277"/>
      <c r="AD1296" s="277"/>
      <c r="AE1296" s="277"/>
      <c r="AF1296" s="277"/>
      <c r="AG1296" s="277"/>
      <c r="AH1296" s="277"/>
      <c r="AI1296" s="277"/>
      <c r="AJ1296" s="277"/>
      <c r="AK1296" s="277"/>
    </row>
    <row r="1297" spans="1:37" s="289" customFormat="1">
      <c r="A1297" s="277"/>
      <c r="C1297" s="277"/>
      <c r="D1297" s="277"/>
      <c r="E1297" s="277"/>
      <c r="F1297" s="277"/>
      <c r="G1297" s="277"/>
      <c r="H1297" s="277"/>
      <c r="I1297" s="277"/>
      <c r="J1297" s="277"/>
      <c r="K1297" s="277"/>
      <c r="L1297" s="277"/>
      <c r="M1297" s="277"/>
      <c r="N1297" s="277"/>
      <c r="O1297" s="277"/>
      <c r="P1297" s="277"/>
      <c r="Q1297" s="277"/>
      <c r="R1297" s="277"/>
      <c r="S1297" s="277"/>
      <c r="T1297" s="277"/>
      <c r="U1297" s="277"/>
      <c r="V1297" s="277"/>
      <c r="W1297" s="277"/>
      <c r="X1297" s="277"/>
      <c r="Y1297" s="277"/>
      <c r="Z1297" s="277"/>
      <c r="AA1297" s="277"/>
      <c r="AB1297" s="277"/>
      <c r="AC1297" s="277"/>
      <c r="AD1297" s="277"/>
      <c r="AE1297" s="277"/>
      <c r="AF1297" s="277"/>
      <c r="AG1297" s="277"/>
      <c r="AH1297" s="277"/>
      <c r="AI1297" s="277"/>
      <c r="AJ1297" s="277"/>
      <c r="AK1297" s="277"/>
    </row>
    <row r="1298" spans="1:37" s="289" customFormat="1">
      <c r="A1298" s="277"/>
      <c r="C1298" s="277"/>
      <c r="D1298" s="277"/>
      <c r="E1298" s="277"/>
      <c r="F1298" s="277"/>
      <c r="G1298" s="277"/>
      <c r="H1298" s="277"/>
      <c r="I1298" s="277"/>
      <c r="J1298" s="277"/>
      <c r="K1298" s="277"/>
      <c r="L1298" s="277"/>
      <c r="M1298" s="277"/>
      <c r="N1298" s="277"/>
      <c r="O1298" s="277"/>
      <c r="P1298" s="277"/>
      <c r="Q1298" s="277"/>
      <c r="R1298" s="277"/>
      <c r="S1298" s="277"/>
      <c r="T1298" s="277"/>
      <c r="U1298" s="277"/>
      <c r="V1298" s="277"/>
      <c r="W1298" s="277"/>
      <c r="X1298" s="277"/>
      <c r="Y1298" s="277"/>
      <c r="Z1298" s="277"/>
      <c r="AA1298" s="277"/>
      <c r="AB1298" s="277"/>
      <c r="AC1298" s="277"/>
      <c r="AD1298" s="277"/>
      <c r="AE1298" s="277"/>
      <c r="AF1298" s="277"/>
      <c r="AG1298" s="277"/>
      <c r="AH1298" s="277"/>
      <c r="AI1298" s="277"/>
      <c r="AJ1298" s="277"/>
      <c r="AK1298" s="277"/>
    </row>
    <row r="1299" spans="1:37" s="289" customFormat="1">
      <c r="A1299" s="277"/>
      <c r="C1299" s="277"/>
      <c r="D1299" s="277"/>
      <c r="E1299" s="277"/>
      <c r="F1299" s="277"/>
      <c r="G1299" s="277"/>
      <c r="H1299" s="277"/>
      <c r="I1299" s="277"/>
      <c r="J1299" s="277"/>
      <c r="K1299" s="277"/>
      <c r="L1299" s="277"/>
      <c r="M1299" s="277"/>
      <c r="N1299" s="277"/>
      <c r="O1299" s="277"/>
      <c r="P1299" s="277"/>
      <c r="Q1299" s="277"/>
      <c r="R1299" s="277"/>
      <c r="S1299" s="277"/>
      <c r="T1299" s="277"/>
      <c r="U1299" s="277"/>
      <c r="V1299" s="277"/>
      <c r="W1299" s="277"/>
      <c r="X1299" s="277"/>
      <c r="Y1299" s="277"/>
      <c r="Z1299" s="277"/>
      <c r="AA1299" s="277"/>
      <c r="AB1299" s="277"/>
      <c r="AC1299" s="277"/>
      <c r="AD1299" s="277"/>
      <c r="AE1299" s="277"/>
      <c r="AF1299" s="277"/>
      <c r="AG1299" s="277"/>
      <c r="AH1299" s="277"/>
      <c r="AI1299" s="277"/>
      <c r="AJ1299" s="277"/>
      <c r="AK1299" s="277"/>
    </row>
    <row r="1300" spans="1:37" s="289" customFormat="1">
      <c r="A1300" s="277"/>
      <c r="C1300" s="277"/>
      <c r="D1300" s="277"/>
      <c r="E1300" s="277"/>
      <c r="F1300" s="277"/>
      <c r="G1300" s="277"/>
      <c r="H1300" s="277"/>
      <c r="I1300" s="277"/>
      <c r="J1300" s="277"/>
      <c r="K1300" s="277"/>
      <c r="L1300" s="277"/>
      <c r="M1300" s="277"/>
      <c r="N1300" s="277"/>
      <c r="O1300" s="277"/>
      <c r="P1300" s="277"/>
      <c r="Q1300" s="277"/>
      <c r="R1300" s="277"/>
      <c r="S1300" s="277"/>
      <c r="T1300" s="277"/>
      <c r="U1300" s="277"/>
      <c r="V1300" s="277"/>
      <c r="W1300" s="277"/>
      <c r="X1300" s="277"/>
      <c r="Y1300" s="277"/>
      <c r="Z1300" s="277"/>
      <c r="AA1300" s="277"/>
      <c r="AB1300" s="277"/>
      <c r="AC1300" s="277"/>
      <c r="AD1300" s="277"/>
      <c r="AE1300" s="277"/>
      <c r="AF1300" s="277"/>
      <c r="AG1300" s="277"/>
      <c r="AH1300" s="277"/>
      <c r="AI1300" s="277"/>
      <c r="AJ1300" s="277"/>
      <c r="AK1300" s="277"/>
    </row>
    <row r="1301" spans="1:37" s="289" customFormat="1">
      <c r="A1301" s="277"/>
      <c r="C1301" s="277"/>
      <c r="D1301" s="277"/>
      <c r="E1301" s="277"/>
      <c r="F1301" s="277"/>
      <c r="G1301" s="277"/>
      <c r="H1301" s="277"/>
      <c r="I1301" s="277"/>
      <c r="J1301" s="277"/>
      <c r="K1301" s="277"/>
      <c r="L1301" s="277"/>
      <c r="M1301" s="277"/>
      <c r="N1301" s="277"/>
      <c r="O1301" s="277"/>
      <c r="P1301" s="277"/>
      <c r="Q1301" s="277"/>
      <c r="R1301" s="277"/>
      <c r="S1301" s="277"/>
      <c r="T1301" s="277"/>
      <c r="U1301" s="277"/>
      <c r="V1301" s="277"/>
      <c r="W1301" s="277"/>
      <c r="X1301" s="277"/>
      <c r="Y1301" s="277"/>
      <c r="Z1301" s="277"/>
      <c r="AA1301" s="277"/>
      <c r="AB1301" s="277"/>
      <c r="AC1301" s="277"/>
      <c r="AD1301" s="277"/>
      <c r="AE1301" s="277"/>
      <c r="AF1301" s="277"/>
      <c r="AG1301" s="277"/>
      <c r="AH1301" s="277"/>
      <c r="AI1301" s="277"/>
      <c r="AJ1301" s="277"/>
      <c r="AK1301" s="277"/>
    </row>
    <row r="1302" spans="1:37" s="289" customFormat="1">
      <c r="A1302" s="277"/>
      <c r="C1302" s="277"/>
      <c r="D1302" s="277"/>
      <c r="E1302" s="277"/>
      <c r="F1302" s="277"/>
      <c r="G1302" s="277"/>
      <c r="H1302" s="277"/>
      <c r="I1302" s="277"/>
      <c r="J1302" s="277"/>
      <c r="K1302" s="277"/>
      <c r="L1302" s="277"/>
      <c r="M1302" s="277"/>
      <c r="N1302" s="277"/>
      <c r="O1302" s="277"/>
      <c r="P1302" s="277"/>
      <c r="Q1302" s="277"/>
      <c r="R1302" s="277"/>
      <c r="S1302" s="277"/>
      <c r="T1302" s="277"/>
      <c r="U1302" s="277"/>
      <c r="V1302" s="277"/>
      <c r="W1302" s="277"/>
      <c r="X1302" s="277"/>
      <c r="Y1302" s="277"/>
      <c r="Z1302" s="277"/>
      <c r="AA1302" s="277"/>
      <c r="AB1302" s="277"/>
      <c r="AC1302" s="277"/>
      <c r="AD1302" s="277"/>
      <c r="AE1302" s="277"/>
      <c r="AF1302" s="277"/>
      <c r="AG1302" s="277"/>
      <c r="AH1302" s="277"/>
      <c r="AI1302" s="277"/>
      <c r="AJ1302" s="277"/>
      <c r="AK1302" s="277"/>
    </row>
    <row r="1303" spans="1:37" s="289" customFormat="1">
      <c r="A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7"/>
      <c r="O1303" s="277"/>
      <c r="P1303" s="277"/>
      <c r="Q1303" s="277"/>
      <c r="R1303" s="277"/>
      <c r="S1303" s="277"/>
      <c r="T1303" s="277"/>
      <c r="U1303" s="277"/>
      <c r="V1303" s="277"/>
      <c r="W1303" s="277"/>
      <c r="X1303" s="277"/>
      <c r="Y1303" s="277"/>
      <c r="Z1303" s="277"/>
      <c r="AA1303" s="277"/>
      <c r="AB1303" s="277"/>
      <c r="AC1303" s="277"/>
      <c r="AD1303" s="277"/>
      <c r="AE1303" s="277"/>
      <c r="AF1303" s="277"/>
      <c r="AG1303" s="277"/>
      <c r="AH1303" s="277"/>
      <c r="AI1303" s="277"/>
      <c r="AJ1303" s="277"/>
      <c r="AK1303" s="277"/>
    </row>
    <row r="1304" spans="1:37" s="289" customFormat="1">
      <c r="A1304" s="277"/>
      <c r="C1304" s="277"/>
      <c r="D1304" s="277"/>
      <c r="E1304" s="277"/>
      <c r="F1304" s="277"/>
      <c r="G1304" s="277"/>
      <c r="H1304" s="277"/>
      <c r="I1304" s="277"/>
      <c r="J1304" s="277"/>
      <c r="K1304" s="277"/>
      <c r="L1304" s="277"/>
      <c r="M1304" s="277"/>
      <c r="N1304" s="277"/>
      <c r="O1304" s="277"/>
      <c r="P1304" s="277"/>
      <c r="Q1304" s="277"/>
      <c r="R1304" s="277"/>
      <c r="S1304" s="277"/>
      <c r="T1304" s="277"/>
      <c r="U1304" s="277"/>
      <c r="V1304" s="277"/>
      <c r="W1304" s="277"/>
      <c r="X1304" s="277"/>
      <c r="Y1304" s="277"/>
      <c r="Z1304" s="277"/>
      <c r="AA1304" s="277"/>
      <c r="AB1304" s="277"/>
      <c r="AC1304" s="277"/>
      <c r="AD1304" s="277"/>
      <c r="AE1304" s="277"/>
      <c r="AF1304" s="277"/>
      <c r="AG1304" s="277"/>
      <c r="AH1304" s="277"/>
      <c r="AI1304" s="277"/>
      <c r="AJ1304" s="277"/>
      <c r="AK1304" s="277"/>
    </row>
    <row r="1305" spans="1:37" s="289" customFormat="1">
      <c r="A1305" s="277"/>
      <c r="C1305" s="277"/>
      <c r="D1305" s="277"/>
      <c r="E1305" s="277"/>
      <c r="F1305" s="277"/>
      <c r="G1305" s="277"/>
      <c r="H1305" s="277"/>
      <c r="I1305" s="277"/>
      <c r="J1305" s="277"/>
      <c r="K1305" s="277"/>
      <c r="L1305" s="277"/>
      <c r="M1305" s="277"/>
      <c r="N1305" s="277"/>
      <c r="O1305" s="277"/>
      <c r="P1305" s="277"/>
      <c r="Q1305" s="277"/>
      <c r="R1305" s="277"/>
      <c r="S1305" s="277"/>
      <c r="T1305" s="277"/>
      <c r="U1305" s="277"/>
      <c r="V1305" s="277"/>
      <c r="W1305" s="277"/>
      <c r="X1305" s="277"/>
      <c r="Y1305" s="277"/>
      <c r="Z1305" s="277"/>
      <c r="AA1305" s="277"/>
      <c r="AB1305" s="277"/>
      <c r="AC1305" s="277"/>
      <c r="AD1305" s="277"/>
      <c r="AE1305" s="277"/>
      <c r="AF1305" s="277"/>
      <c r="AG1305" s="277"/>
      <c r="AH1305" s="277"/>
      <c r="AI1305" s="277"/>
      <c r="AJ1305" s="277"/>
      <c r="AK1305" s="277"/>
    </row>
    <row r="1306" spans="1:37" s="289" customFormat="1">
      <c r="A1306" s="277"/>
      <c r="C1306" s="277"/>
      <c r="D1306" s="277"/>
      <c r="E1306" s="277"/>
      <c r="F1306" s="277"/>
      <c r="G1306" s="277"/>
      <c r="H1306" s="277"/>
      <c r="I1306" s="277"/>
      <c r="J1306" s="277"/>
      <c r="K1306" s="277"/>
      <c r="L1306" s="277"/>
      <c r="M1306" s="277"/>
      <c r="N1306" s="277"/>
      <c r="O1306" s="277"/>
      <c r="P1306" s="277"/>
      <c r="Q1306" s="277"/>
      <c r="R1306" s="277"/>
      <c r="S1306" s="277"/>
      <c r="T1306" s="277"/>
      <c r="U1306" s="277"/>
      <c r="V1306" s="277"/>
      <c r="W1306" s="277"/>
      <c r="X1306" s="277"/>
      <c r="Y1306" s="277"/>
      <c r="Z1306" s="277"/>
      <c r="AA1306" s="277"/>
      <c r="AB1306" s="277"/>
      <c r="AC1306" s="277"/>
      <c r="AD1306" s="277"/>
      <c r="AE1306" s="277"/>
      <c r="AF1306" s="277"/>
      <c r="AG1306" s="277"/>
      <c r="AH1306" s="277"/>
      <c r="AI1306" s="277"/>
      <c r="AJ1306" s="277"/>
      <c r="AK1306" s="277"/>
    </row>
    <row r="1307" spans="1:37" s="289" customFormat="1">
      <c r="A1307" s="277"/>
      <c r="C1307" s="277"/>
      <c r="D1307" s="277"/>
      <c r="E1307" s="277"/>
      <c r="F1307" s="277"/>
      <c r="G1307" s="277"/>
      <c r="H1307" s="277"/>
      <c r="I1307" s="277"/>
      <c r="J1307" s="277"/>
      <c r="K1307" s="277"/>
      <c r="L1307" s="277"/>
      <c r="M1307" s="277"/>
      <c r="N1307" s="277"/>
      <c r="O1307" s="277"/>
      <c r="P1307" s="277"/>
      <c r="Q1307" s="277"/>
      <c r="R1307" s="277"/>
      <c r="S1307" s="277"/>
      <c r="T1307" s="277"/>
      <c r="U1307" s="277"/>
      <c r="V1307" s="277"/>
      <c r="W1307" s="277"/>
      <c r="X1307" s="277"/>
      <c r="Y1307" s="277"/>
      <c r="Z1307" s="277"/>
      <c r="AA1307" s="277"/>
      <c r="AB1307" s="277"/>
      <c r="AC1307" s="277"/>
      <c r="AD1307" s="277"/>
      <c r="AE1307" s="277"/>
      <c r="AF1307" s="277"/>
      <c r="AG1307" s="277"/>
      <c r="AH1307" s="277"/>
      <c r="AI1307" s="277"/>
      <c r="AJ1307" s="277"/>
      <c r="AK1307" s="277"/>
    </row>
    <row r="1308" spans="1:37" s="289" customFormat="1">
      <c r="A1308" s="277"/>
      <c r="C1308" s="277"/>
      <c r="D1308" s="277"/>
      <c r="E1308" s="277"/>
      <c r="F1308" s="277"/>
      <c r="G1308" s="277"/>
      <c r="H1308" s="277"/>
      <c r="I1308" s="277"/>
      <c r="J1308" s="277"/>
      <c r="K1308" s="277"/>
      <c r="L1308" s="277"/>
      <c r="M1308" s="277"/>
      <c r="N1308" s="277"/>
      <c r="O1308" s="277"/>
      <c r="P1308" s="277"/>
      <c r="Q1308" s="277"/>
      <c r="R1308" s="277"/>
      <c r="S1308" s="277"/>
      <c r="T1308" s="277"/>
      <c r="U1308" s="277"/>
      <c r="V1308" s="277"/>
      <c r="W1308" s="277"/>
      <c r="X1308" s="277"/>
      <c r="Y1308" s="277"/>
      <c r="Z1308" s="277"/>
      <c r="AA1308" s="277"/>
      <c r="AB1308" s="277"/>
      <c r="AC1308" s="277"/>
      <c r="AD1308" s="277"/>
      <c r="AE1308" s="277"/>
      <c r="AF1308" s="277"/>
      <c r="AG1308" s="277"/>
      <c r="AH1308" s="277"/>
      <c r="AI1308" s="277"/>
      <c r="AJ1308" s="277"/>
      <c r="AK1308" s="277"/>
    </row>
    <row r="1309" spans="1:37" s="289" customFormat="1">
      <c r="A1309" s="277"/>
      <c r="C1309" s="277"/>
      <c r="D1309" s="277"/>
      <c r="E1309" s="277"/>
      <c r="F1309" s="277"/>
      <c r="G1309" s="277"/>
      <c r="H1309" s="277"/>
      <c r="I1309" s="277"/>
      <c r="J1309" s="277"/>
      <c r="K1309" s="277"/>
      <c r="L1309" s="277"/>
      <c r="M1309" s="277"/>
      <c r="N1309" s="277"/>
      <c r="O1309" s="277"/>
      <c r="P1309" s="277"/>
      <c r="Q1309" s="277"/>
      <c r="R1309" s="277"/>
      <c r="S1309" s="277"/>
      <c r="T1309" s="277"/>
      <c r="U1309" s="277"/>
      <c r="V1309" s="277"/>
      <c r="W1309" s="277"/>
      <c r="X1309" s="277"/>
      <c r="Y1309" s="277"/>
      <c r="Z1309" s="277"/>
      <c r="AA1309" s="277"/>
      <c r="AB1309" s="277"/>
      <c r="AC1309" s="277"/>
      <c r="AD1309" s="277"/>
      <c r="AE1309" s="277"/>
      <c r="AF1309" s="277"/>
      <c r="AG1309" s="277"/>
      <c r="AH1309" s="277"/>
      <c r="AI1309" s="277"/>
      <c r="AJ1309" s="277"/>
      <c r="AK1309" s="277"/>
    </row>
    <row r="1310" spans="1:37" s="289" customFormat="1">
      <c r="A1310" s="277"/>
      <c r="C1310" s="277"/>
      <c r="D1310" s="277"/>
      <c r="E1310" s="277"/>
      <c r="F1310" s="277"/>
      <c r="G1310" s="277"/>
      <c r="H1310" s="277"/>
      <c r="I1310" s="277"/>
      <c r="J1310" s="277"/>
      <c r="K1310" s="277"/>
      <c r="L1310" s="277"/>
      <c r="M1310" s="277"/>
      <c r="N1310" s="277"/>
      <c r="O1310" s="277"/>
      <c r="P1310" s="277"/>
      <c r="Q1310" s="277"/>
      <c r="R1310" s="277"/>
      <c r="S1310" s="277"/>
      <c r="T1310" s="277"/>
      <c r="U1310" s="277"/>
      <c r="V1310" s="277"/>
      <c r="W1310" s="277"/>
      <c r="X1310" s="277"/>
      <c r="Y1310" s="277"/>
      <c r="Z1310" s="277"/>
      <c r="AA1310" s="277"/>
      <c r="AB1310" s="277"/>
      <c r="AC1310" s="277"/>
      <c r="AD1310" s="277"/>
      <c r="AE1310" s="277"/>
      <c r="AF1310" s="277"/>
      <c r="AG1310" s="277"/>
      <c r="AH1310" s="277"/>
      <c r="AI1310" s="277"/>
      <c r="AJ1310" s="277"/>
      <c r="AK1310" s="277"/>
    </row>
    <row r="1311" spans="1:37" s="289" customFormat="1">
      <c r="A1311" s="277"/>
      <c r="C1311" s="277"/>
      <c r="D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  <c r="P1311" s="277"/>
      <c r="Q1311" s="277"/>
      <c r="R1311" s="277"/>
      <c r="S1311" s="277"/>
      <c r="T1311" s="277"/>
      <c r="U1311" s="277"/>
      <c r="V1311" s="277"/>
      <c r="W1311" s="277"/>
      <c r="X1311" s="277"/>
      <c r="Y1311" s="277"/>
      <c r="Z1311" s="277"/>
      <c r="AA1311" s="277"/>
      <c r="AB1311" s="277"/>
      <c r="AC1311" s="277"/>
      <c r="AD1311" s="277"/>
      <c r="AE1311" s="277"/>
      <c r="AF1311" s="277"/>
      <c r="AG1311" s="277"/>
      <c r="AH1311" s="277"/>
      <c r="AI1311" s="277"/>
      <c r="AJ1311" s="277"/>
      <c r="AK1311" s="277"/>
    </row>
    <row r="1312" spans="1:37" s="289" customFormat="1">
      <c r="A1312" s="277"/>
      <c r="C1312" s="277"/>
      <c r="D1312" s="277"/>
      <c r="E1312" s="277"/>
      <c r="F1312" s="277"/>
      <c r="G1312" s="277"/>
      <c r="H1312" s="277"/>
      <c r="I1312" s="277"/>
      <c r="J1312" s="277"/>
      <c r="K1312" s="277"/>
      <c r="L1312" s="277"/>
      <c r="M1312" s="277"/>
      <c r="N1312" s="277"/>
      <c r="O1312" s="277"/>
      <c r="P1312" s="277"/>
      <c r="Q1312" s="277"/>
      <c r="R1312" s="277"/>
      <c r="S1312" s="277"/>
      <c r="T1312" s="277"/>
      <c r="U1312" s="277"/>
      <c r="V1312" s="277"/>
      <c r="W1312" s="277"/>
      <c r="X1312" s="277"/>
      <c r="Y1312" s="277"/>
      <c r="Z1312" s="277"/>
      <c r="AA1312" s="277"/>
      <c r="AB1312" s="277"/>
      <c r="AC1312" s="277"/>
      <c r="AD1312" s="277"/>
      <c r="AE1312" s="277"/>
      <c r="AF1312" s="277"/>
      <c r="AG1312" s="277"/>
      <c r="AH1312" s="277"/>
      <c r="AI1312" s="277"/>
      <c r="AJ1312" s="277"/>
      <c r="AK1312" s="277"/>
    </row>
    <row r="1313" spans="1:37" s="289" customFormat="1">
      <c r="A1313" s="277"/>
      <c r="C1313" s="277"/>
      <c r="D1313" s="277"/>
      <c r="E1313" s="277"/>
      <c r="F1313" s="277"/>
      <c r="G1313" s="277"/>
      <c r="H1313" s="277"/>
      <c r="I1313" s="277"/>
      <c r="J1313" s="277"/>
      <c r="K1313" s="277"/>
      <c r="L1313" s="277"/>
      <c r="M1313" s="277"/>
      <c r="N1313" s="277"/>
      <c r="O1313" s="277"/>
      <c r="P1313" s="277"/>
      <c r="Q1313" s="277"/>
      <c r="R1313" s="277"/>
      <c r="S1313" s="277"/>
      <c r="T1313" s="277"/>
      <c r="U1313" s="277"/>
      <c r="V1313" s="277"/>
      <c r="W1313" s="277"/>
      <c r="X1313" s="277"/>
      <c r="Y1313" s="277"/>
      <c r="Z1313" s="277"/>
      <c r="AA1313" s="277"/>
      <c r="AB1313" s="277"/>
      <c r="AC1313" s="277"/>
      <c r="AD1313" s="277"/>
      <c r="AE1313" s="277"/>
      <c r="AF1313" s="277"/>
      <c r="AG1313" s="277"/>
      <c r="AH1313" s="277"/>
      <c r="AI1313" s="277"/>
      <c r="AJ1313" s="277"/>
      <c r="AK1313" s="277"/>
    </row>
    <row r="1314" spans="1:37" s="289" customFormat="1">
      <c r="A1314" s="277"/>
      <c r="C1314" s="277"/>
      <c r="D1314" s="277"/>
      <c r="E1314" s="277"/>
      <c r="F1314" s="277"/>
      <c r="G1314" s="277"/>
      <c r="H1314" s="277"/>
      <c r="I1314" s="277"/>
      <c r="J1314" s="277"/>
      <c r="K1314" s="277"/>
      <c r="L1314" s="277"/>
      <c r="M1314" s="277"/>
      <c r="N1314" s="277"/>
      <c r="O1314" s="277"/>
      <c r="P1314" s="277"/>
      <c r="Q1314" s="277"/>
      <c r="R1314" s="277"/>
      <c r="S1314" s="277"/>
      <c r="T1314" s="277"/>
      <c r="U1314" s="277"/>
      <c r="V1314" s="277"/>
      <c r="W1314" s="277"/>
      <c r="X1314" s="277"/>
      <c r="Y1314" s="277"/>
      <c r="Z1314" s="277"/>
      <c r="AA1314" s="277"/>
      <c r="AB1314" s="277"/>
      <c r="AC1314" s="277"/>
      <c r="AD1314" s="277"/>
      <c r="AE1314" s="277"/>
      <c r="AF1314" s="277"/>
      <c r="AG1314" s="277"/>
      <c r="AH1314" s="277"/>
      <c r="AI1314" s="277"/>
      <c r="AJ1314" s="277"/>
      <c r="AK1314" s="277"/>
    </row>
    <row r="1315" spans="1:37" s="289" customFormat="1">
      <c r="A1315" s="277"/>
      <c r="C1315" s="277"/>
      <c r="D1315" s="277"/>
      <c r="E1315" s="277"/>
      <c r="F1315" s="277"/>
      <c r="G1315" s="277"/>
      <c r="H1315" s="277"/>
      <c r="I1315" s="277"/>
      <c r="J1315" s="277"/>
      <c r="K1315" s="277"/>
      <c r="L1315" s="277"/>
      <c r="M1315" s="277"/>
      <c r="N1315" s="277"/>
      <c r="O1315" s="277"/>
      <c r="P1315" s="277"/>
      <c r="Q1315" s="277"/>
      <c r="R1315" s="277"/>
      <c r="S1315" s="277"/>
      <c r="T1315" s="277"/>
      <c r="U1315" s="277"/>
      <c r="V1315" s="277"/>
      <c r="W1315" s="277"/>
      <c r="X1315" s="277"/>
      <c r="Y1315" s="277"/>
      <c r="Z1315" s="277"/>
      <c r="AA1315" s="277"/>
      <c r="AB1315" s="277"/>
      <c r="AC1315" s="277"/>
      <c r="AD1315" s="277"/>
      <c r="AE1315" s="277"/>
      <c r="AF1315" s="277"/>
      <c r="AG1315" s="277"/>
      <c r="AH1315" s="277"/>
      <c r="AI1315" s="277"/>
      <c r="AJ1315" s="277"/>
      <c r="AK1315" s="277"/>
    </row>
    <row r="1316" spans="1:37" s="289" customFormat="1">
      <c r="A1316" s="277"/>
      <c r="C1316" s="277"/>
      <c r="D1316" s="277"/>
      <c r="E1316" s="277"/>
      <c r="F1316" s="277"/>
      <c r="G1316" s="277"/>
      <c r="H1316" s="277"/>
      <c r="I1316" s="277"/>
      <c r="J1316" s="277"/>
      <c r="K1316" s="277"/>
      <c r="L1316" s="277"/>
      <c r="M1316" s="277"/>
      <c r="N1316" s="277"/>
      <c r="O1316" s="277"/>
      <c r="P1316" s="277"/>
      <c r="Q1316" s="277"/>
      <c r="R1316" s="277"/>
      <c r="S1316" s="277"/>
      <c r="T1316" s="277"/>
      <c r="U1316" s="277"/>
      <c r="V1316" s="277"/>
      <c r="W1316" s="277"/>
      <c r="X1316" s="277"/>
      <c r="Y1316" s="277"/>
      <c r="Z1316" s="277"/>
      <c r="AA1316" s="277"/>
      <c r="AB1316" s="277"/>
      <c r="AC1316" s="277"/>
      <c r="AD1316" s="277"/>
      <c r="AE1316" s="277"/>
      <c r="AF1316" s="277"/>
      <c r="AG1316" s="277"/>
      <c r="AH1316" s="277"/>
      <c r="AI1316" s="277"/>
      <c r="AJ1316" s="277"/>
      <c r="AK1316" s="277"/>
    </row>
    <row r="1317" spans="1:37" s="289" customFormat="1">
      <c r="A1317" s="277"/>
      <c r="C1317" s="277"/>
      <c r="D1317" s="277"/>
      <c r="E1317" s="277"/>
      <c r="F1317" s="277"/>
      <c r="G1317" s="277"/>
      <c r="H1317" s="277"/>
      <c r="I1317" s="277"/>
      <c r="J1317" s="277"/>
      <c r="K1317" s="277"/>
      <c r="L1317" s="277"/>
      <c r="M1317" s="277"/>
      <c r="N1317" s="277"/>
      <c r="O1317" s="277"/>
      <c r="P1317" s="277"/>
      <c r="Q1317" s="277"/>
      <c r="R1317" s="277"/>
      <c r="S1317" s="277"/>
      <c r="T1317" s="277"/>
      <c r="U1317" s="277"/>
      <c r="V1317" s="277"/>
      <c r="W1317" s="277"/>
      <c r="X1317" s="277"/>
      <c r="Y1317" s="277"/>
      <c r="Z1317" s="277"/>
      <c r="AA1317" s="277"/>
      <c r="AB1317" s="277"/>
      <c r="AC1317" s="277"/>
      <c r="AD1317" s="277"/>
      <c r="AE1317" s="277"/>
      <c r="AF1317" s="277"/>
      <c r="AG1317" s="277"/>
      <c r="AH1317" s="277"/>
      <c r="AI1317" s="277"/>
      <c r="AJ1317" s="277"/>
      <c r="AK1317" s="277"/>
    </row>
    <row r="1318" spans="1:37" s="289" customFormat="1">
      <c r="A1318" s="277"/>
      <c r="C1318" s="277"/>
      <c r="D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  <c r="P1318" s="277"/>
      <c r="Q1318" s="277"/>
      <c r="R1318" s="277"/>
      <c r="S1318" s="277"/>
      <c r="T1318" s="277"/>
      <c r="U1318" s="277"/>
      <c r="V1318" s="277"/>
      <c r="W1318" s="277"/>
      <c r="X1318" s="277"/>
      <c r="Y1318" s="277"/>
      <c r="Z1318" s="277"/>
      <c r="AA1318" s="277"/>
      <c r="AB1318" s="277"/>
      <c r="AC1318" s="277"/>
      <c r="AD1318" s="277"/>
      <c r="AE1318" s="277"/>
      <c r="AF1318" s="277"/>
      <c r="AG1318" s="277"/>
      <c r="AH1318" s="277"/>
      <c r="AI1318" s="277"/>
      <c r="AJ1318" s="277"/>
      <c r="AK1318" s="277"/>
    </row>
    <row r="1319" spans="1:37" s="289" customFormat="1">
      <c r="A1319" s="277"/>
      <c r="C1319" s="277"/>
      <c r="D1319" s="277"/>
      <c r="E1319" s="277"/>
      <c r="F1319" s="277"/>
      <c r="G1319" s="277"/>
      <c r="H1319" s="277"/>
      <c r="I1319" s="277"/>
      <c r="J1319" s="277"/>
      <c r="K1319" s="277"/>
      <c r="L1319" s="277"/>
      <c r="M1319" s="277"/>
      <c r="N1319" s="277"/>
      <c r="O1319" s="277"/>
      <c r="P1319" s="277"/>
      <c r="Q1319" s="277"/>
      <c r="R1319" s="277"/>
      <c r="S1319" s="277"/>
      <c r="T1319" s="277"/>
      <c r="U1319" s="277"/>
      <c r="V1319" s="277"/>
      <c r="W1319" s="277"/>
      <c r="X1319" s="277"/>
      <c r="Y1319" s="277"/>
      <c r="Z1319" s="277"/>
      <c r="AA1319" s="277"/>
      <c r="AB1319" s="277"/>
      <c r="AC1319" s="277"/>
      <c r="AD1319" s="277"/>
      <c r="AE1319" s="277"/>
      <c r="AF1319" s="277"/>
      <c r="AG1319" s="277"/>
      <c r="AH1319" s="277"/>
      <c r="AI1319" s="277"/>
      <c r="AJ1319" s="277"/>
      <c r="AK1319" s="277"/>
    </row>
    <row r="1320" spans="1:37" s="289" customFormat="1">
      <c r="A1320" s="277"/>
      <c r="C1320" s="277"/>
      <c r="D1320" s="277"/>
      <c r="E1320" s="277"/>
      <c r="F1320" s="277"/>
      <c r="G1320" s="277"/>
      <c r="H1320" s="277"/>
      <c r="I1320" s="277"/>
      <c r="J1320" s="277"/>
      <c r="K1320" s="277"/>
      <c r="L1320" s="277"/>
      <c r="M1320" s="277"/>
      <c r="N1320" s="277"/>
      <c r="O1320" s="277"/>
      <c r="P1320" s="277"/>
      <c r="Q1320" s="277"/>
      <c r="R1320" s="277"/>
      <c r="S1320" s="277"/>
      <c r="T1320" s="277"/>
      <c r="U1320" s="277"/>
      <c r="V1320" s="277"/>
      <c r="W1320" s="277"/>
      <c r="X1320" s="277"/>
      <c r="Y1320" s="277"/>
      <c r="Z1320" s="277"/>
      <c r="AA1320" s="277"/>
      <c r="AB1320" s="277"/>
      <c r="AC1320" s="277"/>
      <c r="AD1320" s="277"/>
      <c r="AE1320" s="277"/>
      <c r="AF1320" s="277"/>
      <c r="AG1320" s="277"/>
      <c r="AH1320" s="277"/>
      <c r="AI1320" s="277"/>
      <c r="AJ1320" s="277"/>
      <c r="AK1320" s="277"/>
    </row>
    <row r="1321" spans="1:37" s="289" customFormat="1">
      <c r="A1321" s="277"/>
      <c r="C1321" s="277"/>
      <c r="D1321" s="277"/>
      <c r="E1321" s="277"/>
      <c r="F1321" s="277"/>
      <c r="G1321" s="277"/>
      <c r="H1321" s="277"/>
      <c r="I1321" s="277"/>
      <c r="J1321" s="277"/>
      <c r="K1321" s="277"/>
      <c r="L1321" s="277"/>
      <c r="M1321" s="277"/>
      <c r="N1321" s="277"/>
      <c r="O1321" s="277"/>
      <c r="P1321" s="277"/>
      <c r="Q1321" s="277"/>
      <c r="R1321" s="277"/>
      <c r="S1321" s="277"/>
      <c r="T1321" s="277"/>
      <c r="U1321" s="277"/>
      <c r="V1321" s="277"/>
      <c r="W1321" s="277"/>
      <c r="X1321" s="277"/>
      <c r="Y1321" s="277"/>
      <c r="Z1321" s="277"/>
      <c r="AA1321" s="277"/>
      <c r="AB1321" s="277"/>
      <c r="AC1321" s="277"/>
      <c r="AD1321" s="277"/>
      <c r="AE1321" s="277"/>
      <c r="AF1321" s="277"/>
      <c r="AG1321" s="277"/>
      <c r="AH1321" s="277"/>
      <c r="AI1321" s="277"/>
      <c r="AJ1321" s="277"/>
      <c r="AK1321" s="277"/>
    </row>
    <row r="1322" spans="1:37" s="289" customFormat="1">
      <c r="A1322" s="277"/>
      <c r="C1322" s="277"/>
      <c r="D1322" s="277"/>
      <c r="E1322" s="277"/>
      <c r="F1322" s="277"/>
      <c r="G1322" s="277"/>
      <c r="H1322" s="277"/>
      <c r="I1322" s="277"/>
      <c r="J1322" s="277"/>
      <c r="K1322" s="277"/>
      <c r="L1322" s="277"/>
      <c r="M1322" s="277"/>
      <c r="N1322" s="277"/>
      <c r="O1322" s="277"/>
      <c r="P1322" s="277"/>
      <c r="Q1322" s="277"/>
      <c r="R1322" s="277"/>
      <c r="S1322" s="277"/>
      <c r="T1322" s="277"/>
      <c r="U1322" s="277"/>
      <c r="V1322" s="277"/>
      <c r="W1322" s="277"/>
      <c r="X1322" s="277"/>
      <c r="Y1322" s="277"/>
      <c r="Z1322" s="277"/>
      <c r="AA1322" s="277"/>
      <c r="AB1322" s="277"/>
      <c r="AC1322" s="277"/>
      <c r="AD1322" s="277"/>
      <c r="AE1322" s="277"/>
      <c r="AF1322" s="277"/>
      <c r="AG1322" s="277"/>
      <c r="AH1322" s="277"/>
      <c r="AI1322" s="277"/>
      <c r="AJ1322" s="277"/>
      <c r="AK1322" s="277"/>
    </row>
    <row r="1323" spans="1:37" s="289" customFormat="1">
      <c r="A1323" s="277"/>
      <c r="C1323" s="277"/>
      <c r="D1323" s="277"/>
      <c r="E1323" s="277"/>
      <c r="F1323" s="277"/>
      <c r="G1323" s="277"/>
      <c r="H1323" s="277"/>
      <c r="I1323" s="277"/>
      <c r="J1323" s="277"/>
      <c r="K1323" s="277"/>
      <c r="L1323" s="277"/>
      <c r="M1323" s="277"/>
      <c r="N1323" s="277"/>
      <c r="O1323" s="277"/>
      <c r="P1323" s="277"/>
      <c r="Q1323" s="277"/>
      <c r="R1323" s="277"/>
      <c r="S1323" s="277"/>
      <c r="T1323" s="277"/>
      <c r="U1323" s="277"/>
      <c r="V1323" s="277"/>
      <c r="W1323" s="277"/>
      <c r="X1323" s="277"/>
      <c r="Y1323" s="277"/>
      <c r="Z1323" s="277"/>
      <c r="AA1323" s="277"/>
      <c r="AB1323" s="277"/>
      <c r="AC1323" s="277"/>
      <c r="AD1323" s="277"/>
      <c r="AE1323" s="277"/>
      <c r="AF1323" s="277"/>
      <c r="AG1323" s="277"/>
      <c r="AH1323" s="277"/>
      <c r="AI1323" s="277"/>
      <c r="AJ1323" s="277"/>
      <c r="AK1323" s="277"/>
    </row>
    <row r="1324" spans="1:37" s="289" customFormat="1">
      <c r="A1324" s="277"/>
      <c r="C1324" s="277"/>
      <c r="D1324" s="277"/>
      <c r="E1324" s="277"/>
      <c r="F1324" s="277"/>
      <c r="G1324" s="277"/>
      <c r="H1324" s="277"/>
      <c r="I1324" s="277"/>
      <c r="J1324" s="277"/>
      <c r="K1324" s="277"/>
      <c r="L1324" s="277"/>
      <c r="M1324" s="277"/>
      <c r="N1324" s="277"/>
      <c r="O1324" s="277"/>
      <c r="P1324" s="277"/>
      <c r="Q1324" s="277"/>
      <c r="R1324" s="277"/>
      <c r="S1324" s="277"/>
      <c r="T1324" s="277"/>
      <c r="U1324" s="277"/>
      <c r="V1324" s="277"/>
      <c r="W1324" s="277"/>
      <c r="X1324" s="277"/>
      <c r="Y1324" s="277"/>
      <c r="Z1324" s="277"/>
      <c r="AA1324" s="277"/>
      <c r="AB1324" s="277"/>
      <c r="AC1324" s="277"/>
      <c r="AD1324" s="277"/>
      <c r="AE1324" s="277"/>
      <c r="AF1324" s="277"/>
      <c r="AG1324" s="277"/>
      <c r="AH1324" s="277"/>
      <c r="AI1324" s="277"/>
      <c r="AJ1324" s="277"/>
      <c r="AK1324" s="277"/>
    </row>
    <row r="1325" spans="1:37" s="289" customFormat="1">
      <c r="A1325" s="277"/>
      <c r="C1325" s="277"/>
      <c r="D1325" s="277"/>
      <c r="E1325" s="277"/>
      <c r="F1325" s="277"/>
      <c r="G1325" s="277"/>
      <c r="H1325" s="277"/>
      <c r="I1325" s="277"/>
      <c r="J1325" s="277"/>
      <c r="K1325" s="277"/>
      <c r="L1325" s="277"/>
      <c r="M1325" s="277"/>
      <c r="N1325" s="277"/>
      <c r="O1325" s="277"/>
      <c r="P1325" s="277"/>
      <c r="Q1325" s="277"/>
      <c r="R1325" s="277"/>
      <c r="S1325" s="277"/>
      <c r="T1325" s="277"/>
      <c r="U1325" s="277"/>
      <c r="V1325" s="277"/>
      <c r="W1325" s="277"/>
      <c r="X1325" s="277"/>
      <c r="Y1325" s="277"/>
      <c r="Z1325" s="277"/>
      <c r="AA1325" s="277"/>
      <c r="AB1325" s="277"/>
      <c r="AC1325" s="277"/>
      <c r="AD1325" s="277"/>
      <c r="AE1325" s="277"/>
      <c r="AF1325" s="277"/>
      <c r="AG1325" s="277"/>
      <c r="AH1325" s="277"/>
      <c r="AI1325" s="277"/>
      <c r="AJ1325" s="277"/>
      <c r="AK1325" s="277"/>
    </row>
    <row r="1326" spans="1:37" s="289" customFormat="1">
      <c r="A1326" s="277"/>
      <c r="C1326" s="277"/>
      <c r="D1326" s="277"/>
      <c r="E1326" s="277"/>
      <c r="F1326" s="277"/>
      <c r="G1326" s="277"/>
      <c r="H1326" s="277"/>
      <c r="I1326" s="277"/>
      <c r="J1326" s="277"/>
      <c r="K1326" s="277"/>
      <c r="L1326" s="277"/>
      <c r="M1326" s="277"/>
      <c r="N1326" s="277"/>
      <c r="O1326" s="277"/>
      <c r="P1326" s="277"/>
      <c r="Q1326" s="277"/>
      <c r="R1326" s="277"/>
      <c r="S1326" s="277"/>
      <c r="T1326" s="277"/>
      <c r="U1326" s="277"/>
      <c r="V1326" s="277"/>
      <c r="W1326" s="277"/>
      <c r="X1326" s="277"/>
      <c r="Y1326" s="277"/>
      <c r="Z1326" s="277"/>
      <c r="AA1326" s="277"/>
      <c r="AB1326" s="277"/>
      <c r="AC1326" s="277"/>
      <c r="AD1326" s="277"/>
      <c r="AE1326" s="277"/>
      <c r="AF1326" s="277"/>
      <c r="AG1326" s="277"/>
      <c r="AH1326" s="277"/>
      <c r="AI1326" s="277"/>
      <c r="AJ1326" s="277"/>
      <c r="AK1326" s="277"/>
    </row>
    <row r="1327" spans="1:37" s="289" customFormat="1">
      <c r="A1327" s="277"/>
      <c r="C1327" s="277"/>
      <c r="D1327" s="277"/>
      <c r="E1327" s="277"/>
      <c r="F1327" s="277"/>
      <c r="G1327" s="277"/>
      <c r="H1327" s="277"/>
      <c r="I1327" s="277"/>
      <c r="J1327" s="277"/>
      <c r="K1327" s="277"/>
      <c r="L1327" s="277"/>
      <c r="M1327" s="277"/>
      <c r="N1327" s="277"/>
      <c r="O1327" s="277"/>
      <c r="P1327" s="277"/>
      <c r="Q1327" s="277"/>
      <c r="R1327" s="277"/>
      <c r="S1327" s="277"/>
      <c r="T1327" s="277"/>
      <c r="U1327" s="277"/>
      <c r="V1327" s="277"/>
      <c r="W1327" s="277"/>
      <c r="X1327" s="277"/>
      <c r="Y1327" s="277"/>
      <c r="Z1327" s="277"/>
      <c r="AA1327" s="277"/>
      <c r="AB1327" s="277"/>
      <c r="AC1327" s="277"/>
      <c r="AD1327" s="277"/>
      <c r="AE1327" s="277"/>
      <c r="AF1327" s="277"/>
      <c r="AG1327" s="277"/>
      <c r="AH1327" s="277"/>
      <c r="AI1327" s="277"/>
      <c r="AJ1327" s="277"/>
      <c r="AK1327" s="277"/>
    </row>
    <row r="1328" spans="1:37" s="289" customFormat="1">
      <c r="A1328" s="277"/>
      <c r="C1328" s="277"/>
      <c r="D1328" s="277"/>
      <c r="E1328" s="277"/>
      <c r="F1328" s="277"/>
      <c r="G1328" s="277"/>
      <c r="H1328" s="277"/>
      <c r="I1328" s="277"/>
      <c r="J1328" s="277"/>
      <c r="K1328" s="277"/>
      <c r="L1328" s="277"/>
      <c r="M1328" s="277"/>
      <c r="N1328" s="277"/>
      <c r="O1328" s="277"/>
      <c r="P1328" s="277"/>
      <c r="Q1328" s="277"/>
      <c r="R1328" s="277"/>
      <c r="S1328" s="277"/>
      <c r="T1328" s="277"/>
      <c r="U1328" s="277"/>
      <c r="V1328" s="277"/>
      <c r="W1328" s="277"/>
      <c r="X1328" s="277"/>
      <c r="Y1328" s="277"/>
      <c r="Z1328" s="277"/>
      <c r="AA1328" s="277"/>
      <c r="AB1328" s="277"/>
      <c r="AC1328" s="277"/>
      <c r="AD1328" s="277"/>
      <c r="AE1328" s="277"/>
      <c r="AF1328" s="277"/>
      <c r="AG1328" s="277"/>
      <c r="AH1328" s="277"/>
      <c r="AI1328" s="277"/>
      <c r="AJ1328" s="277"/>
      <c r="AK1328" s="277"/>
    </row>
    <row r="1329" spans="1:37" s="289" customFormat="1">
      <c r="A1329" s="277"/>
      <c r="C1329" s="277"/>
      <c r="D1329" s="277"/>
      <c r="E1329" s="277"/>
      <c r="F1329" s="277"/>
      <c r="G1329" s="277"/>
      <c r="H1329" s="277"/>
      <c r="I1329" s="277"/>
      <c r="J1329" s="277"/>
      <c r="K1329" s="277"/>
      <c r="L1329" s="277"/>
      <c r="M1329" s="277"/>
      <c r="N1329" s="277"/>
      <c r="O1329" s="277"/>
      <c r="P1329" s="277"/>
      <c r="Q1329" s="277"/>
      <c r="R1329" s="277"/>
      <c r="S1329" s="277"/>
      <c r="T1329" s="277"/>
      <c r="U1329" s="277"/>
      <c r="V1329" s="277"/>
      <c r="W1329" s="277"/>
      <c r="X1329" s="277"/>
      <c r="Y1329" s="277"/>
      <c r="Z1329" s="277"/>
      <c r="AA1329" s="277"/>
      <c r="AB1329" s="277"/>
      <c r="AC1329" s="277"/>
      <c r="AD1329" s="277"/>
      <c r="AE1329" s="277"/>
      <c r="AF1329" s="277"/>
      <c r="AG1329" s="277"/>
      <c r="AH1329" s="277"/>
      <c r="AI1329" s="277"/>
      <c r="AJ1329" s="277"/>
      <c r="AK1329" s="277"/>
    </row>
    <row r="1330" spans="1:37" s="289" customFormat="1">
      <c r="A1330" s="277"/>
      <c r="C1330" s="277"/>
      <c r="D1330" s="277"/>
      <c r="E1330" s="277"/>
      <c r="F1330" s="277"/>
      <c r="G1330" s="277"/>
      <c r="H1330" s="277"/>
      <c r="I1330" s="277"/>
      <c r="J1330" s="277"/>
      <c r="K1330" s="277"/>
      <c r="L1330" s="277"/>
      <c r="M1330" s="277"/>
      <c r="N1330" s="277"/>
      <c r="O1330" s="277"/>
      <c r="P1330" s="277"/>
      <c r="Q1330" s="277"/>
      <c r="R1330" s="277"/>
      <c r="S1330" s="277"/>
      <c r="T1330" s="277"/>
      <c r="U1330" s="277"/>
      <c r="V1330" s="277"/>
      <c r="W1330" s="277"/>
      <c r="X1330" s="277"/>
      <c r="Y1330" s="277"/>
      <c r="Z1330" s="277"/>
      <c r="AA1330" s="277"/>
      <c r="AB1330" s="277"/>
      <c r="AC1330" s="277"/>
      <c r="AD1330" s="277"/>
      <c r="AE1330" s="277"/>
      <c r="AF1330" s="277"/>
      <c r="AG1330" s="277"/>
      <c r="AH1330" s="277"/>
      <c r="AI1330" s="277"/>
      <c r="AJ1330" s="277"/>
      <c r="AK1330" s="277"/>
    </row>
    <row r="1331" spans="1:37" s="289" customFormat="1">
      <c r="A1331" s="277"/>
      <c r="C1331" s="277"/>
      <c r="D1331" s="277"/>
      <c r="E1331" s="277"/>
      <c r="F1331" s="277"/>
      <c r="G1331" s="277"/>
      <c r="H1331" s="277"/>
      <c r="I1331" s="277"/>
      <c r="J1331" s="277"/>
      <c r="K1331" s="277"/>
      <c r="L1331" s="277"/>
      <c r="M1331" s="277"/>
      <c r="N1331" s="277"/>
      <c r="O1331" s="277"/>
      <c r="P1331" s="277"/>
      <c r="Q1331" s="277"/>
      <c r="R1331" s="277"/>
      <c r="S1331" s="277"/>
      <c r="T1331" s="277"/>
      <c r="U1331" s="277"/>
      <c r="V1331" s="277"/>
      <c r="W1331" s="277"/>
      <c r="X1331" s="277"/>
      <c r="Y1331" s="277"/>
      <c r="Z1331" s="277"/>
      <c r="AA1331" s="277"/>
      <c r="AB1331" s="277"/>
      <c r="AC1331" s="277"/>
      <c r="AD1331" s="277"/>
      <c r="AE1331" s="277"/>
      <c r="AF1331" s="277"/>
      <c r="AG1331" s="277"/>
      <c r="AH1331" s="277"/>
      <c r="AI1331" s="277"/>
      <c r="AJ1331" s="277"/>
      <c r="AK1331" s="277"/>
    </row>
    <row r="1332" spans="1:37" s="289" customFormat="1">
      <c r="A1332" s="277"/>
      <c r="C1332" s="277"/>
      <c r="D1332" s="277"/>
      <c r="E1332" s="277"/>
      <c r="F1332" s="277"/>
      <c r="G1332" s="277"/>
      <c r="H1332" s="277"/>
      <c r="I1332" s="277"/>
      <c r="J1332" s="277"/>
      <c r="K1332" s="277"/>
      <c r="L1332" s="277"/>
      <c r="M1332" s="277"/>
      <c r="N1332" s="277"/>
      <c r="O1332" s="277"/>
      <c r="P1332" s="277"/>
      <c r="Q1332" s="277"/>
      <c r="R1332" s="277"/>
      <c r="S1332" s="277"/>
      <c r="T1332" s="277"/>
      <c r="U1332" s="277"/>
      <c r="V1332" s="277"/>
      <c r="W1332" s="277"/>
      <c r="X1332" s="277"/>
      <c r="Y1332" s="277"/>
      <c r="Z1332" s="277"/>
      <c r="AA1332" s="277"/>
      <c r="AB1332" s="277"/>
      <c r="AC1332" s="277"/>
      <c r="AD1332" s="277"/>
      <c r="AE1332" s="277"/>
      <c r="AF1332" s="277"/>
      <c r="AG1332" s="277"/>
      <c r="AH1332" s="277"/>
      <c r="AI1332" s="277"/>
      <c r="AJ1332" s="277"/>
      <c r="AK1332" s="277"/>
    </row>
    <row r="1333" spans="1:37" s="289" customFormat="1">
      <c r="A1333" s="277"/>
      <c r="C1333" s="277"/>
      <c r="D1333" s="277"/>
      <c r="E1333" s="277"/>
      <c r="F1333" s="277"/>
      <c r="G1333" s="277"/>
      <c r="H1333" s="277"/>
      <c r="I1333" s="277"/>
      <c r="J1333" s="277"/>
      <c r="K1333" s="277"/>
      <c r="L1333" s="277"/>
      <c r="M1333" s="277"/>
      <c r="N1333" s="277"/>
      <c r="O1333" s="277"/>
      <c r="P1333" s="277"/>
      <c r="Q1333" s="277"/>
      <c r="R1333" s="277"/>
      <c r="S1333" s="277"/>
      <c r="T1333" s="277"/>
      <c r="U1333" s="277"/>
      <c r="V1333" s="277"/>
      <c r="W1333" s="277"/>
      <c r="X1333" s="277"/>
      <c r="Y1333" s="277"/>
      <c r="Z1333" s="277"/>
      <c r="AA1333" s="277"/>
      <c r="AB1333" s="277"/>
      <c r="AC1333" s="277"/>
      <c r="AD1333" s="277"/>
      <c r="AE1333" s="277"/>
      <c r="AF1333" s="277"/>
      <c r="AG1333" s="277"/>
      <c r="AH1333" s="277"/>
      <c r="AI1333" s="277"/>
      <c r="AJ1333" s="277"/>
      <c r="AK1333" s="277"/>
    </row>
    <row r="1334" spans="1:37" s="289" customFormat="1">
      <c r="A1334" s="277"/>
      <c r="C1334" s="277"/>
      <c r="D1334" s="277"/>
      <c r="E1334" s="277"/>
      <c r="F1334" s="277"/>
      <c r="G1334" s="277"/>
      <c r="H1334" s="277"/>
      <c r="I1334" s="277"/>
      <c r="J1334" s="277"/>
      <c r="K1334" s="277"/>
      <c r="L1334" s="277"/>
      <c r="M1334" s="277"/>
      <c r="N1334" s="277"/>
      <c r="O1334" s="277"/>
      <c r="P1334" s="277"/>
      <c r="Q1334" s="277"/>
      <c r="R1334" s="277"/>
      <c r="S1334" s="277"/>
      <c r="T1334" s="277"/>
      <c r="U1334" s="277"/>
      <c r="V1334" s="277"/>
      <c r="W1334" s="277"/>
      <c r="X1334" s="277"/>
      <c r="Y1334" s="277"/>
      <c r="Z1334" s="277"/>
      <c r="AA1334" s="277"/>
      <c r="AB1334" s="277"/>
      <c r="AC1334" s="277"/>
      <c r="AD1334" s="277"/>
      <c r="AE1334" s="277"/>
      <c r="AF1334" s="277"/>
      <c r="AG1334" s="277"/>
      <c r="AH1334" s="277"/>
      <c r="AI1334" s="277"/>
      <c r="AJ1334" s="277"/>
      <c r="AK1334" s="277"/>
    </row>
    <row r="1335" spans="1:37" s="289" customFormat="1">
      <c r="A1335" s="277"/>
      <c r="C1335" s="277"/>
      <c r="D1335" s="277"/>
      <c r="E1335" s="277"/>
      <c r="F1335" s="277"/>
      <c r="G1335" s="277"/>
      <c r="H1335" s="277"/>
      <c r="I1335" s="277"/>
      <c r="J1335" s="277"/>
      <c r="K1335" s="277"/>
      <c r="L1335" s="277"/>
      <c r="M1335" s="277"/>
      <c r="N1335" s="277"/>
      <c r="O1335" s="277"/>
      <c r="P1335" s="277"/>
      <c r="Q1335" s="277"/>
      <c r="R1335" s="277"/>
      <c r="S1335" s="277"/>
      <c r="T1335" s="277"/>
      <c r="U1335" s="277"/>
      <c r="V1335" s="277"/>
      <c r="W1335" s="277"/>
      <c r="X1335" s="277"/>
      <c r="Y1335" s="277"/>
      <c r="Z1335" s="277"/>
      <c r="AA1335" s="277"/>
      <c r="AB1335" s="277"/>
      <c r="AC1335" s="277"/>
      <c r="AD1335" s="277"/>
      <c r="AE1335" s="277"/>
      <c r="AF1335" s="277"/>
      <c r="AG1335" s="277"/>
      <c r="AH1335" s="277"/>
      <c r="AI1335" s="277"/>
      <c r="AJ1335" s="277"/>
      <c r="AK1335" s="277"/>
    </row>
    <row r="1336" spans="1:37" s="289" customFormat="1">
      <c r="A1336" s="277"/>
      <c r="C1336" s="277"/>
      <c r="D1336" s="277"/>
      <c r="E1336" s="277"/>
      <c r="F1336" s="277"/>
      <c r="G1336" s="277"/>
      <c r="H1336" s="277"/>
      <c r="I1336" s="277"/>
      <c r="J1336" s="277"/>
      <c r="K1336" s="277"/>
      <c r="L1336" s="277"/>
      <c r="M1336" s="277"/>
      <c r="N1336" s="277"/>
      <c r="O1336" s="277"/>
      <c r="P1336" s="277"/>
      <c r="Q1336" s="277"/>
      <c r="R1336" s="277"/>
      <c r="S1336" s="277"/>
      <c r="T1336" s="277"/>
      <c r="U1336" s="277"/>
      <c r="V1336" s="277"/>
      <c r="W1336" s="277"/>
      <c r="X1336" s="277"/>
      <c r="Y1336" s="277"/>
      <c r="Z1336" s="277"/>
      <c r="AA1336" s="277"/>
      <c r="AB1336" s="277"/>
      <c r="AC1336" s="277"/>
      <c r="AD1336" s="277"/>
      <c r="AE1336" s="277"/>
      <c r="AF1336" s="277"/>
      <c r="AG1336" s="277"/>
      <c r="AH1336" s="277"/>
      <c r="AI1336" s="277"/>
      <c r="AJ1336" s="277"/>
      <c r="AK1336" s="277"/>
    </row>
    <row r="1337" spans="1:37" s="289" customFormat="1">
      <c r="A1337" s="277"/>
      <c r="C1337" s="277"/>
      <c r="D1337" s="277"/>
      <c r="E1337" s="277"/>
      <c r="F1337" s="277"/>
      <c r="G1337" s="277"/>
      <c r="H1337" s="277"/>
      <c r="I1337" s="277"/>
      <c r="J1337" s="277"/>
      <c r="K1337" s="277"/>
      <c r="L1337" s="277"/>
      <c r="M1337" s="277"/>
      <c r="N1337" s="277"/>
      <c r="O1337" s="277"/>
      <c r="P1337" s="277"/>
      <c r="Q1337" s="277"/>
      <c r="R1337" s="277"/>
      <c r="S1337" s="277"/>
      <c r="T1337" s="277"/>
      <c r="U1337" s="277"/>
      <c r="V1337" s="277"/>
      <c r="W1337" s="277"/>
      <c r="X1337" s="277"/>
      <c r="Y1337" s="277"/>
      <c r="Z1337" s="277"/>
      <c r="AA1337" s="277"/>
      <c r="AB1337" s="277"/>
      <c r="AC1337" s="277"/>
      <c r="AD1337" s="277"/>
      <c r="AE1337" s="277"/>
      <c r="AF1337" s="277"/>
      <c r="AG1337" s="277"/>
      <c r="AH1337" s="277"/>
      <c r="AI1337" s="277"/>
      <c r="AJ1337" s="277"/>
      <c r="AK1337" s="277"/>
    </row>
    <row r="1338" spans="1:37" s="289" customFormat="1">
      <c r="A1338" s="277"/>
      <c r="C1338" s="277"/>
      <c r="D1338" s="277"/>
      <c r="E1338" s="277"/>
      <c r="F1338" s="277"/>
      <c r="G1338" s="277"/>
      <c r="H1338" s="277"/>
      <c r="I1338" s="277"/>
      <c r="J1338" s="277"/>
      <c r="K1338" s="277"/>
      <c r="L1338" s="277"/>
      <c r="M1338" s="277"/>
      <c r="N1338" s="277"/>
      <c r="O1338" s="277"/>
      <c r="P1338" s="277"/>
      <c r="Q1338" s="277"/>
      <c r="R1338" s="277"/>
      <c r="S1338" s="277"/>
      <c r="T1338" s="277"/>
      <c r="U1338" s="277"/>
      <c r="V1338" s="277"/>
      <c r="W1338" s="277"/>
      <c r="X1338" s="277"/>
      <c r="Y1338" s="277"/>
      <c r="Z1338" s="277"/>
      <c r="AA1338" s="277"/>
      <c r="AB1338" s="277"/>
      <c r="AC1338" s="277"/>
      <c r="AD1338" s="277"/>
      <c r="AE1338" s="277"/>
      <c r="AF1338" s="277"/>
      <c r="AG1338" s="277"/>
      <c r="AH1338" s="277"/>
      <c r="AI1338" s="277"/>
      <c r="AJ1338" s="277"/>
      <c r="AK1338" s="277"/>
    </row>
    <row r="1339" spans="1:37" s="289" customFormat="1">
      <c r="A1339" s="277"/>
      <c r="C1339" s="277"/>
      <c r="D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  <c r="P1339" s="277"/>
      <c r="Q1339" s="277"/>
      <c r="R1339" s="277"/>
      <c r="S1339" s="277"/>
      <c r="T1339" s="277"/>
      <c r="U1339" s="277"/>
      <c r="V1339" s="277"/>
      <c r="W1339" s="277"/>
      <c r="X1339" s="277"/>
      <c r="Y1339" s="277"/>
      <c r="Z1339" s="277"/>
      <c r="AA1339" s="277"/>
      <c r="AB1339" s="277"/>
      <c r="AC1339" s="277"/>
      <c r="AD1339" s="277"/>
      <c r="AE1339" s="277"/>
      <c r="AF1339" s="277"/>
      <c r="AG1339" s="277"/>
      <c r="AH1339" s="277"/>
      <c r="AI1339" s="277"/>
      <c r="AJ1339" s="277"/>
      <c r="AK1339" s="277"/>
    </row>
    <row r="1340" spans="1:37" s="289" customFormat="1">
      <c r="A1340" s="277"/>
      <c r="C1340" s="277"/>
      <c r="D1340" s="277"/>
      <c r="E1340" s="277"/>
      <c r="F1340" s="277"/>
      <c r="G1340" s="277"/>
      <c r="H1340" s="277"/>
      <c r="I1340" s="277"/>
      <c r="J1340" s="277"/>
      <c r="K1340" s="277"/>
      <c r="L1340" s="277"/>
      <c r="M1340" s="277"/>
      <c r="N1340" s="277"/>
      <c r="O1340" s="277"/>
      <c r="P1340" s="277"/>
      <c r="Q1340" s="277"/>
      <c r="R1340" s="277"/>
      <c r="S1340" s="277"/>
      <c r="T1340" s="277"/>
      <c r="U1340" s="277"/>
      <c r="V1340" s="277"/>
      <c r="W1340" s="277"/>
      <c r="X1340" s="277"/>
      <c r="Y1340" s="277"/>
      <c r="Z1340" s="277"/>
      <c r="AA1340" s="277"/>
      <c r="AB1340" s="277"/>
      <c r="AC1340" s="277"/>
      <c r="AD1340" s="277"/>
      <c r="AE1340" s="277"/>
      <c r="AF1340" s="277"/>
      <c r="AG1340" s="277"/>
      <c r="AH1340" s="277"/>
      <c r="AI1340" s="277"/>
      <c r="AJ1340" s="277"/>
      <c r="AK1340" s="277"/>
    </row>
    <row r="1341" spans="1:37" s="289" customFormat="1">
      <c r="A1341" s="277"/>
      <c r="C1341" s="277"/>
      <c r="D1341" s="277"/>
      <c r="E1341" s="277"/>
      <c r="F1341" s="277"/>
      <c r="G1341" s="277"/>
      <c r="H1341" s="277"/>
      <c r="I1341" s="277"/>
      <c r="J1341" s="277"/>
      <c r="K1341" s="277"/>
      <c r="L1341" s="277"/>
      <c r="M1341" s="277"/>
      <c r="N1341" s="277"/>
      <c r="O1341" s="277"/>
      <c r="P1341" s="277"/>
      <c r="Q1341" s="277"/>
      <c r="R1341" s="277"/>
      <c r="S1341" s="277"/>
      <c r="T1341" s="277"/>
      <c r="U1341" s="277"/>
      <c r="V1341" s="277"/>
      <c r="W1341" s="277"/>
      <c r="X1341" s="277"/>
      <c r="Y1341" s="277"/>
      <c r="Z1341" s="277"/>
      <c r="AA1341" s="277"/>
      <c r="AB1341" s="277"/>
      <c r="AC1341" s="277"/>
      <c r="AD1341" s="277"/>
      <c r="AE1341" s="277"/>
      <c r="AF1341" s="277"/>
      <c r="AG1341" s="277"/>
      <c r="AH1341" s="277"/>
      <c r="AI1341" s="277"/>
      <c r="AJ1341" s="277"/>
      <c r="AK1341" s="277"/>
    </row>
    <row r="1342" spans="1:37" s="289" customFormat="1">
      <c r="A1342" s="277"/>
      <c r="C1342" s="277"/>
      <c r="D1342" s="277"/>
      <c r="E1342" s="277"/>
      <c r="F1342" s="277"/>
      <c r="G1342" s="277"/>
      <c r="H1342" s="277"/>
      <c r="I1342" s="277"/>
      <c r="J1342" s="277"/>
      <c r="K1342" s="277"/>
      <c r="L1342" s="277"/>
      <c r="M1342" s="277"/>
      <c r="N1342" s="277"/>
      <c r="O1342" s="277"/>
      <c r="P1342" s="277"/>
      <c r="Q1342" s="277"/>
      <c r="R1342" s="277"/>
      <c r="S1342" s="277"/>
      <c r="T1342" s="277"/>
      <c r="U1342" s="277"/>
      <c r="V1342" s="277"/>
      <c r="W1342" s="277"/>
      <c r="X1342" s="277"/>
      <c r="Y1342" s="277"/>
      <c r="Z1342" s="277"/>
      <c r="AA1342" s="277"/>
      <c r="AB1342" s="277"/>
      <c r="AC1342" s="277"/>
      <c r="AD1342" s="277"/>
      <c r="AE1342" s="277"/>
      <c r="AF1342" s="277"/>
      <c r="AG1342" s="277"/>
      <c r="AH1342" s="277"/>
      <c r="AI1342" s="277"/>
      <c r="AJ1342" s="277"/>
      <c r="AK1342" s="277"/>
    </row>
    <row r="1343" spans="1:37" s="289" customFormat="1">
      <c r="A1343" s="277"/>
      <c r="C1343" s="277"/>
      <c r="D1343" s="277"/>
      <c r="E1343" s="277"/>
      <c r="F1343" s="277"/>
      <c r="G1343" s="277"/>
      <c r="H1343" s="277"/>
      <c r="I1343" s="277"/>
      <c r="J1343" s="277"/>
      <c r="K1343" s="277"/>
      <c r="L1343" s="277"/>
      <c r="M1343" s="277"/>
      <c r="N1343" s="277"/>
      <c r="O1343" s="277"/>
      <c r="P1343" s="277"/>
      <c r="Q1343" s="277"/>
      <c r="R1343" s="277"/>
      <c r="S1343" s="277"/>
      <c r="T1343" s="277"/>
      <c r="U1343" s="277"/>
      <c r="V1343" s="277"/>
      <c r="W1343" s="277"/>
      <c r="X1343" s="277"/>
      <c r="Y1343" s="277"/>
      <c r="Z1343" s="277"/>
      <c r="AA1343" s="277"/>
      <c r="AB1343" s="277"/>
      <c r="AC1343" s="277"/>
      <c r="AD1343" s="277"/>
      <c r="AE1343" s="277"/>
      <c r="AF1343" s="277"/>
      <c r="AG1343" s="277"/>
      <c r="AH1343" s="277"/>
      <c r="AI1343" s="277"/>
      <c r="AJ1343" s="277"/>
      <c r="AK1343" s="277"/>
    </row>
    <row r="1344" spans="1:37" s="289" customFormat="1">
      <c r="A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7"/>
      <c r="O1344" s="277"/>
      <c r="P1344" s="277"/>
      <c r="Q1344" s="277"/>
      <c r="R1344" s="277"/>
      <c r="S1344" s="277"/>
      <c r="T1344" s="277"/>
      <c r="U1344" s="277"/>
      <c r="V1344" s="277"/>
      <c r="W1344" s="277"/>
      <c r="X1344" s="277"/>
      <c r="Y1344" s="277"/>
      <c r="Z1344" s="277"/>
      <c r="AA1344" s="277"/>
      <c r="AB1344" s="277"/>
      <c r="AC1344" s="277"/>
      <c r="AD1344" s="277"/>
      <c r="AE1344" s="277"/>
      <c r="AF1344" s="277"/>
      <c r="AG1344" s="277"/>
      <c r="AH1344" s="277"/>
      <c r="AI1344" s="277"/>
      <c r="AJ1344" s="277"/>
      <c r="AK1344" s="277"/>
    </row>
    <row r="1345" spans="1:37" s="289" customFormat="1">
      <c r="A1345" s="277"/>
      <c r="C1345" s="277"/>
      <c r="D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  <c r="P1345" s="277"/>
      <c r="Q1345" s="277"/>
      <c r="R1345" s="277"/>
      <c r="S1345" s="277"/>
      <c r="T1345" s="277"/>
      <c r="U1345" s="277"/>
      <c r="V1345" s="277"/>
      <c r="W1345" s="277"/>
      <c r="X1345" s="277"/>
      <c r="Y1345" s="277"/>
      <c r="Z1345" s="277"/>
      <c r="AA1345" s="277"/>
      <c r="AB1345" s="277"/>
      <c r="AC1345" s="277"/>
      <c r="AD1345" s="277"/>
      <c r="AE1345" s="277"/>
      <c r="AF1345" s="277"/>
      <c r="AG1345" s="277"/>
      <c r="AH1345" s="277"/>
      <c r="AI1345" s="277"/>
      <c r="AJ1345" s="277"/>
      <c r="AK1345" s="277"/>
    </row>
    <row r="1346" spans="1:37" s="289" customFormat="1">
      <c r="A1346" s="277"/>
      <c r="C1346" s="277"/>
      <c r="D1346" s="277"/>
      <c r="E1346" s="277"/>
      <c r="F1346" s="277"/>
      <c r="G1346" s="277"/>
      <c r="H1346" s="277"/>
      <c r="I1346" s="277"/>
      <c r="J1346" s="277"/>
      <c r="K1346" s="277"/>
      <c r="L1346" s="277"/>
      <c r="M1346" s="277"/>
      <c r="N1346" s="277"/>
      <c r="O1346" s="277"/>
      <c r="P1346" s="277"/>
      <c r="Q1346" s="277"/>
      <c r="R1346" s="277"/>
      <c r="S1346" s="277"/>
      <c r="T1346" s="277"/>
      <c r="U1346" s="277"/>
      <c r="V1346" s="277"/>
      <c r="W1346" s="277"/>
      <c r="X1346" s="277"/>
      <c r="Y1346" s="277"/>
      <c r="Z1346" s="277"/>
      <c r="AA1346" s="277"/>
      <c r="AB1346" s="277"/>
      <c r="AC1346" s="277"/>
      <c r="AD1346" s="277"/>
      <c r="AE1346" s="277"/>
      <c r="AF1346" s="277"/>
      <c r="AG1346" s="277"/>
      <c r="AH1346" s="277"/>
      <c r="AI1346" s="277"/>
      <c r="AJ1346" s="277"/>
      <c r="AK1346" s="277"/>
    </row>
    <row r="1347" spans="1:37" s="289" customFormat="1">
      <c r="A1347" s="277"/>
      <c r="C1347" s="277"/>
      <c r="D1347" s="277"/>
      <c r="E1347" s="277"/>
      <c r="F1347" s="277"/>
      <c r="G1347" s="277"/>
      <c r="H1347" s="277"/>
      <c r="I1347" s="277"/>
      <c r="J1347" s="277"/>
      <c r="K1347" s="277"/>
      <c r="L1347" s="277"/>
      <c r="M1347" s="277"/>
      <c r="N1347" s="277"/>
      <c r="O1347" s="277"/>
      <c r="P1347" s="277"/>
      <c r="Q1347" s="277"/>
      <c r="R1347" s="277"/>
      <c r="S1347" s="277"/>
      <c r="T1347" s="277"/>
      <c r="U1347" s="277"/>
      <c r="V1347" s="277"/>
      <c r="W1347" s="277"/>
      <c r="X1347" s="277"/>
      <c r="Y1347" s="277"/>
      <c r="Z1347" s="277"/>
      <c r="AA1347" s="277"/>
      <c r="AB1347" s="277"/>
      <c r="AC1347" s="277"/>
      <c r="AD1347" s="277"/>
      <c r="AE1347" s="277"/>
      <c r="AF1347" s="277"/>
      <c r="AG1347" s="277"/>
      <c r="AH1347" s="277"/>
      <c r="AI1347" s="277"/>
      <c r="AJ1347" s="277"/>
      <c r="AK1347" s="277"/>
    </row>
    <row r="1348" spans="1:37" s="289" customFormat="1">
      <c r="A1348" s="277"/>
      <c r="C1348" s="277"/>
      <c r="D1348" s="277"/>
      <c r="E1348" s="277"/>
      <c r="F1348" s="277"/>
      <c r="G1348" s="277"/>
      <c r="H1348" s="277"/>
      <c r="I1348" s="277"/>
      <c r="J1348" s="277"/>
      <c r="K1348" s="277"/>
      <c r="L1348" s="277"/>
      <c r="M1348" s="277"/>
      <c r="N1348" s="277"/>
      <c r="O1348" s="277"/>
      <c r="P1348" s="277"/>
      <c r="Q1348" s="277"/>
      <c r="R1348" s="277"/>
      <c r="S1348" s="277"/>
      <c r="T1348" s="277"/>
      <c r="U1348" s="277"/>
      <c r="V1348" s="277"/>
      <c r="W1348" s="277"/>
      <c r="X1348" s="277"/>
      <c r="Y1348" s="277"/>
      <c r="Z1348" s="277"/>
      <c r="AA1348" s="277"/>
      <c r="AB1348" s="277"/>
      <c r="AC1348" s="277"/>
      <c r="AD1348" s="277"/>
      <c r="AE1348" s="277"/>
      <c r="AF1348" s="277"/>
      <c r="AG1348" s="277"/>
      <c r="AH1348" s="277"/>
      <c r="AI1348" s="277"/>
      <c r="AJ1348" s="277"/>
      <c r="AK1348" s="277"/>
    </row>
    <row r="1349" spans="1:37" s="289" customFormat="1">
      <c r="A1349" s="277"/>
      <c r="C1349" s="277"/>
      <c r="D1349" s="277"/>
      <c r="E1349" s="277"/>
      <c r="F1349" s="277"/>
      <c r="G1349" s="277"/>
      <c r="H1349" s="277"/>
      <c r="I1349" s="277"/>
      <c r="J1349" s="277"/>
      <c r="K1349" s="277"/>
      <c r="L1349" s="277"/>
      <c r="M1349" s="277"/>
      <c r="N1349" s="277"/>
      <c r="O1349" s="277"/>
      <c r="P1349" s="277"/>
      <c r="Q1349" s="277"/>
      <c r="R1349" s="277"/>
      <c r="S1349" s="277"/>
      <c r="T1349" s="277"/>
      <c r="U1349" s="277"/>
      <c r="V1349" s="277"/>
      <c r="W1349" s="277"/>
      <c r="X1349" s="277"/>
      <c r="Y1349" s="277"/>
      <c r="Z1349" s="277"/>
      <c r="AA1349" s="277"/>
      <c r="AB1349" s="277"/>
      <c r="AC1349" s="277"/>
      <c r="AD1349" s="277"/>
      <c r="AE1349" s="277"/>
      <c r="AF1349" s="277"/>
      <c r="AG1349" s="277"/>
      <c r="AH1349" s="277"/>
      <c r="AI1349" s="277"/>
      <c r="AJ1349" s="277"/>
      <c r="AK1349" s="277"/>
    </row>
    <row r="1350" spans="1:37" s="289" customFormat="1">
      <c r="A1350" s="277"/>
      <c r="C1350" s="277"/>
      <c r="D1350" s="277"/>
      <c r="E1350" s="277"/>
      <c r="F1350" s="277"/>
      <c r="G1350" s="277"/>
      <c r="H1350" s="277"/>
      <c r="I1350" s="277"/>
      <c r="J1350" s="277"/>
      <c r="K1350" s="277"/>
      <c r="L1350" s="277"/>
      <c r="M1350" s="277"/>
      <c r="N1350" s="277"/>
      <c r="O1350" s="277"/>
      <c r="P1350" s="277"/>
      <c r="Q1350" s="277"/>
      <c r="R1350" s="277"/>
      <c r="S1350" s="277"/>
      <c r="T1350" s="277"/>
      <c r="U1350" s="277"/>
      <c r="V1350" s="277"/>
      <c r="W1350" s="277"/>
      <c r="X1350" s="277"/>
      <c r="Y1350" s="277"/>
      <c r="Z1350" s="277"/>
      <c r="AA1350" s="277"/>
      <c r="AB1350" s="277"/>
      <c r="AC1350" s="277"/>
      <c r="AD1350" s="277"/>
      <c r="AE1350" s="277"/>
      <c r="AF1350" s="277"/>
      <c r="AG1350" s="277"/>
      <c r="AH1350" s="277"/>
      <c r="AI1350" s="277"/>
      <c r="AJ1350" s="277"/>
      <c r="AK1350" s="277"/>
    </row>
    <row r="1351" spans="1:37" s="289" customFormat="1">
      <c r="A1351" s="277"/>
      <c r="C1351" s="277"/>
      <c r="D1351" s="277"/>
      <c r="E1351" s="277"/>
      <c r="F1351" s="277"/>
      <c r="G1351" s="277"/>
      <c r="H1351" s="277"/>
      <c r="I1351" s="277"/>
      <c r="J1351" s="277"/>
      <c r="K1351" s="277"/>
      <c r="L1351" s="277"/>
      <c r="M1351" s="277"/>
      <c r="N1351" s="277"/>
      <c r="O1351" s="277"/>
      <c r="P1351" s="277"/>
      <c r="Q1351" s="277"/>
      <c r="R1351" s="277"/>
      <c r="S1351" s="277"/>
      <c r="T1351" s="277"/>
      <c r="U1351" s="277"/>
      <c r="V1351" s="277"/>
      <c r="W1351" s="277"/>
      <c r="X1351" s="277"/>
      <c r="Y1351" s="277"/>
      <c r="Z1351" s="277"/>
      <c r="AA1351" s="277"/>
      <c r="AB1351" s="277"/>
      <c r="AC1351" s="277"/>
      <c r="AD1351" s="277"/>
      <c r="AE1351" s="277"/>
      <c r="AF1351" s="277"/>
      <c r="AG1351" s="277"/>
      <c r="AH1351" s="277"/>
      <c r="AI1351" s="277"/>
      <c r="AJ1351" s="277"/>
      <c r="AK1351" s="277"/>
    </row>
    <row r="1352" spans="1:37" s="289" customFormat="1">
      <c r="A1352" s="277"/>
      <c r="C1352" s="277"/>
      <c r="D1352" s="277"/>
      <c r="E1352" s="277"/>
      <c r="F1352" s="277"/>
      <c r="G1352" s="277"/>
      <c r="H1352" s="277"/>
      <c r="I1352" s="277"/>
      <c r="J1352" s="277"/>
      <c r="K1352" s="277"/>
      <c r="L1352" s="277"/>
      <c r="M1352" s="277"/>
      <c r="N1352" s="277"/>
      <c r="O1352" s="277"/>
      <c r="P1352" s="277"/>
      <c r="Q1352" s="277"/>
      <c r="R1352" s="277"/>
      <c r="S1352" s="277"/>
      <c r="T1352" s="277"/>
      <c r="U1352" s="277"/>
      <c r="V1352" s="277"/>
      <c r="W1352" s="277"/>
      <c r="X1352" s="277"/>
      <c r="Y1352" s="277"/>
      <c r="Z1352" s="277"/>
      <c r="AA1352" s="277"/>
      <c r="AB1352" s="277"/>
      <c r="AC1352" s="277"/>
      <c r="AD1352" s="277"/>
      <c r="AE1352" s="277"/>
      <c r="AF1352" s="277"/>
      <c r="AG1352" s="277"/>
      <c r="AH1352" s="277"/>
      <c r="AI1352" s="277"/>
      <c r="AJ1352" s="277"/>
      <c r="AK1352" s="277"/>
    </row>
    <row r="1353" spans="1:37" s="289" customFormat="1">
      <c r="A1353" s="277"/>
      <c r="C1353" s="277"/>
      <c r="D1353" s="277"/>
      <c r="E1353" s="277"/>
      <c r="F1353" s="277"/>
      <c r="G1353" s="277"/>
      <c r="H1353" s="277"/>
      <c r="I1353" s="277"/>
      <c r="J1353" s="277"/>
      <c r="K1353" s="277"/>
      <c r="L1353" s="277"/>
      <c r="M1353" s="277"/>
      <c r="N1353" s="277"/>
      <c r="O1353" s="277"/>
      <c r="P1353" s="277"/>
      <c r="Q1353" s="277"/>
      <c r="R1353" s="277"/>
      <c r="S1353" s="277"/>
      <c r="T1353" s="277"/>
      <c r="U1353" s="277"/>
      <c r="V1353" s="277"/>
      <c r="W1353" s="277"/>
      <c r="X1353" s="277"/>
      <c r="Y1353" s="277"/>
      <c r="Z1353" s="277"/>
      <c r="AA1353" s="277"/>
      <c r="AB1353" s="277"/>
      <c r="AC1353" s="277"/>
      <c r="AD1353" s="277"/>
      <c r="AE1353" s="277"/>
      <c r="AF1353" s="277"/>
      <c r="AG1353" s="277"/>
      <c r="AH1353" s="277"/>
      <c r="AI1353" s="277"/>
      <c r="AJ1353" s="277"/>
      <c r="AK1353" s="277"/>
    </row>
    <row r="1354" spans="1:37" s="289" customFormat="1">
      <c r="A1354" s="277"/>
      <c r="C1354" s="277"/>
      <c r="D1354" s="277"/>
      <c r="E1354" s="277"/>
      <c r="F1354" s="277"/>
      <c r="G1354" s="277"/>
      <c r="H1354" s="277"/>
      <c r="I1354" s="277"/>
      <c r="J1354" s="277"/>
      <c r="K1354" s="277"/>
      <c r="L1354" s="277"/>
      <c r="M1354" s="277"/>
      <c r="N1354" s="277"/>
      <c r="O1354" s="277"/>
      <c r="P1354" s="277"/>
      <c r="Q1354" s="277"/>
      <c r="R1354" s="277"/>
      <c r="S1354" s="277"/>
      <c r="T1354" s="277"/>
      <c r="U1354" s="277"/>
      <c r="V1354" s="277"/>
      <c r="W1354" s="277"/>
      <c r="X1354" s="277"/>
      <c r="Y1354" s="277"/>
      <c r="Z1354" s="277"/>
      <c r="AA1354" s="277"/>
      <c r="AB1354" s="277"/>
      <c r="AC1354" s="277"/>
      <c r="AD1354" s="277"/>
      <c r="AE1354" s="277"/>
      <c r="AF1354" s="277"/>
      <c r="AG1354" s="277"/>
      <c r="AH1354" s="277"/>
      <c r="AI1354" s="277"/>
      <c r="AJ1354" s="277"/>
      <c r="AK1354" s="277"/>
    </row>
    <row r="1355" spans="1:37" s="289" customFormat="1">
      <c r="A1355" s="277"/>
      <c r="C1355" s="277"/>
      <c r="D1355" s="277"/>
      <c r="E1355" s="277"/>
      <c r="F1355" s="277"/>
      <c r="G1355" s="277"/>
      <c r="H1355" s="277"/>
      <c r="I1355" s="277"/>
      <c r="J1355" s="277"/>
      <c r="K1355" s="277"/>
      <c r="L1355" s="277"/>
      <c r="M1355" s="277"/>
      <c r="N1355" s="277"/>
      <c r="O1355" s="277"/>
      <c r="P1355" s="277"/>
      <c r="Q1355" s="277"/>
      <c r="R1355" s="277"/>
      <c r="S1355" s="277"/>
      <c r="T1355" s="277"/>
      <c r="U1355" s="277"/>
      <c r="V1355" s="277"/>
      <c r="W1355" s="277"/>
      <c r="X1355" s="277"/>
      <c r="Y1355" s="277"/>
      <c r="Z1355" s="277"/>
      <c r="AA1355" s="277"/>
      <c r="AB1355" s="277"/>
      <c r="AC1355" s="277"/>
      <c r="AD1355" s="277"/>
      <c r="AE1355" s="277"/>
      <c r="AF1355" s="277"/>
      <c r="AG1355" s="277"/>
      <c r="AH1355" s="277"/>
      <c r="AI1355" s="277"/>
      <c r="AJ1355" s="277"/>
      <c r="AK1355" s="277"/>
    </row>
    <row r="1356" spans="1:37" s="289" customFormat="1">
      <c r="A1356" s="277"/>
      <c r="C1356" s="277"/>
      <c r="D1356" s="277"/>
      <c r="E1356" s="277"/>
      <c r="F1356" s="277"/>
      <c r="G1356" s="277"/>
      <c r="H1356" s="277"/>
      <c r="I1356" s="277"/>
      <c r="J1356" s="277"/>
      <c r="K1356" s="277"/>
      <c r="L1356" s="277"/>
      <c r="M1356" s="277"/>
      <c r="N1356" s="277"/>
      <c r="O1356" s="277"/>
      <c r="P1356" s="277"/>
      <c r="Q1356" s="277"/>
      <c r="R1356" s="277"/>
      <c r="S1356" s="277"/>
      <c r="T1356" s="277"/>
      <c r="U1356" s="277"/>
      <c r="V1356" s="277"/>
      <c r="W1356" s="277"/>
      <c r="X1356" s="277"/>
      <c r="Y1356" s="277"/>
      <c r="Z1356" s="277"/>
      <c r="AA1356" s="277"/>
      <c r="AB1356" s="277"/>
      <c r="AC1356" s="277"/>
      <c r="AD1356" s="277"/>
      <c r="AE1356" s="277"/>
      <c r="AF1356" s="277"/>
      <c r="AG1356" s="277"/>
      <c r="AH1356" s="277"/>
      <c r="AI1356" s="277"/>
      <c r="AJ1356" s="277"/>
      <c r="AK1356" s="277"/>
    </row>
    <row r="1357" spans="1:37" s="289" customFormat="1">
      <c r="A1357" s="277"/>
      <c r="C1357" s="277"/>
      <c r="D1357" s="277"/>
      <c r="E1357" s="277"/>
      <c r="F1357" s="277"/>
      <c r="G1357" s="277"/>
      <c r="H1357" s="277"/>
      <c r="I1357" s="277"/>
      <c r="J1357" s="277"/>
      <c r="K1357" s="277"/>
      <c r="L1357" s="277"/>
      <c r="M1357" s="277"/>
      <c r="N1357" s="277"/>
      <c r="O1357" s="277"/>
      <c r="P1357" s="277"/>
      <c r="Q1357" s="277"/>
      <c r="R1357" s="277"/>
      <c r="S1357" s="277"/>
      <c r="T1357" s="277"/>
      <c r="U1357" s="277"/>
      <c r="V1357" s="277"/>
      <c r="W1357" s="277"/>
      <c r="X1357" s="277"/>
      <c r="Y1357" s="277"/>
      <c r="Z1357" s="277"/>
      <c r="AA1357" s="277"/>
      <c r="AB1357" s="277"/>
      <c r="AC1357" s="277"/>
      <c r="AD1357" s="277"/>
      <c r="AE1357" s="277"/>
      <c r="AF1357" s="277"/>
      <c r="AG1357" s="277"/>
      <c r="AH1357" s="277"/>
      <c r="AI1357" s="277"/>
      <c r="AJ1357" s="277"/>
      <c r="AK1357" s="277"/>
    </row>
    <row r="1358" spans="1:37" s="289" customFormat="1">
      <c r="A1358" s="277"/>
      <c r="C1358" s="277"/>
      <c r="D1358" s="277"/>
      <c r="E1358" s="277"/>
      <c r="F1358" s="277"/>
      <c r="G1358" s="277"/>
      <c r="H1358" s="277"/>
      <c r="I1358" s="277"/>
      <c r="J1358" s="277"/>
      <c r="K1358" s="277"/>
      <c r="L1358" s="277"/>
      <c r="M1358" s="277"/>
      <c r="N1358" s="277"/>
      <c r="O1358" s="277"/>
      <c r="P1358" s="277"/>
      <c r="Q1358" s="277"/>
      <c r="R1358" s="277"/>
      <c r="S1358" s="277"/>
      <c r="T1358" s="277"/>
      <c r="U1358" s="277"/>
      <c r="V1358" s="277"/>
      <c r="W1358" s="277"/>
      <c r="X1358" s="277"/>
      <c r="Y1358" s="277"/>
      <c r="Z1358" s="277"/>
      <c r="AA1358" s="277"/>
      <c r="AB1358" s="277"/>
      <c r="AC1358" s="277"/>
      <c r="AD1358" s="277"/>
      <c r="AE1358" s="277"/>
      <c r="AF1358" s="277"/>
      <c r="AG1358" s="277"/>
      <c r="AH1358" s="277"/>
      <c r="AI1358" s="277"/>
      <c r="AJ1358" s="277"/>
      <c r="AK1358" s="277"/>
    </row>
    <row r="1359" spans="1:37" s="289" customFormat="1">
      <c r="A1359" s="277"/>
      <c r="C1359" s="277"/>
      <c r="D1359" s="277"/>
      <c r="E1359" s="277"/>
      <c r="F1359" s="277"/>
      <c r="G1359" s="277"/>
      <c r="H1359" s="277"/>
      <c r="I1359" s="277"/>
      <c r="J1359" s="277"/>
      <c r="K1359" s="277"/>
      <c r="L1359" s="277"/>
      <c r="M1359" s="277"/>
      <c r="N1359" s="277"/>
      <c r="O1359" s="277"/>
      <c r="P1359" s="277"/>
      <c r="Q1359" s="277"/>
      <c r="R1359" s="277"/>
      <c r="S1359" s="277"/>
      <c r="T1359" s="277"/>
      <c r="U1359" s="277"/>
      <c r="V1359" s="277"/>
      <c r="W1359" s="277"/>
      <c r="X1359" s="277"/>
      <c r="Y1359" s="277"/>
      <c r="Z1359" s="277"/>
      <c r="AA1359" s="277"/>
      <c r="AB1359" s="277"/>
      <c r="AC1359" s="277"/>
      <c r="AD1359" s="277"/>
      <c r="AE1359" s="277"/>
      <c r="AF1359" s="277"/>
      <c r="AG1359" s="277"/>
      <c r="AH1359" s="277"/>
      <c r="AI1359" s="277"/>
      <c r="AJ1359" s="277"/>
      <c r="AK1359" s="277"/>
    </row>
    <row r="1360" spans="1:37" s="289" customFormat="1">
      <c r="A1360" s="277"/>
      <c r="C1360" s="277"/>
      <c r="D1360" s="277"/>
      <c r="E1360" s="277"/>
      <c r="F1360" s="277"/>
      <c r="G1360" s="277"/>
      <c r="H1360" s="277"/>
      <c r="I1360" s="277"/>
      <c r="J1360" s="277"/>
      <c r="K1360" s="277"/>
      <c r="L1360" s="277"/>
      <c r="M1360" s="277"/>
      <c r="N1360" s="277"/>
      <c r="O1360" s="277"/>
      <c r="P1360" s="277"/>
      <c r="Q1360" s="277"/>
      <c r="R1360" s="277"/>
      <c r="S1360" s="277"/>
      <c r="T1360" s="277"/>
      <c r="U1360" s="277"/>
      <c r="V1360" s="277"/>
      <c r="W1360" s="277"/>
      <c r="X1360" s="277"/>
      <c r="Y1360" s="277"/>
      <c r="Z1360" s="277"/>
      <c r="AA1360" s="277"/>
      <c r="AB1360" s="277"/>
      <c r="AC1360" s="277"/>
      <c r="AD1360" s="277"/>
      <c r="AE1360" s="277"/>
      <c r="AF1360" s="277"/>
      <c r="AG1360" s="277"/>
      <c r="AH1360" s="277"/>
      <c r="AI1360" s="277"/>
      <c r="AJ1360" s="277"/>
      <c r="AK1360" s="277"/>
    </row>
    <row r="1361" spans="1:37" s="289" customFormat="1">
      <c r="A1361" s="277"/>
      <c r="C1361" s="277"/>
      <c r="D1361" s="277"/>
      <c r="E1361" s="277"/>
      <c r="F1361" s="277"/>
      <c r="G1361" s="277"/>
      <c r="H1361" s="277"/>
      <c r="I1361" s="277"/>
      <c r="J1361" s="277"/>
      <c r="K1361" s="277"/>
      <c r="L1361" s="277"/>
      <c r="M1361" s="277"/>
      <c r="N1361" s="277"/>
      <c r="O1361" s="277"/>
      <c r="P1361" s="277"/>
      <c r="Q1361" s="277"/>
      <c r="R1361" s="277"/>
      <c r="S1361" s="277"/>
      <c r="T1361" s="277"/>
      <c r="U1361" s="277"/>
      <c r="V1361" s="277"/>
      <c r="W1361" s="277"/>
      <c r="X1361" s="277"/>
      <c r="Y1361" s="277"/>
      <c r="Z1361" s="277"/>
      <c r="AA1361" s="277"/>
      <c r="AB1361" s="277"/>
      <c r="AC1361" s="277"/>
      <c r="AD1361" s="277"/>
      <c r="AE1361" s="277"/>
      <c r="AF1361" s="277"/>
      <c r="AG1361" s="277"/>
      <c r="AH1361" s="277"/>
      <c r="AI1361" s="277"/>
      <c r="AJ1361" s="277"/>
      <c r="AK1361" s="277"/>
    </row>
    <row r="1362" spans="1:37" s="289" customFormat="1">
      <c r="A1362" s="277"/>
      <c r="C1362" s="277"/>
      <c r="D1362" s="277"/>
      <c r="E1362" s="277"/>
      <c r="F1362" s="277"/>
      <c r="G1362" s="277"/>
      <c r="H1362" s="277"/>
      <c r="I1362" s="277"/>
      <c r="J1362" s="277"/>
      <c r="K1362" s="277"/>
      <c r="L1362" s="277"/>
      <c r="M1362" s="277"/>
      <c r="N1362" s="277"/>
      <c r="O1362" s="277"/>
      <c r="P1362" s="277"/>
      <c r="Q1362" s="277"/>
      <c r="R1362" s="277"/>
      <c r="S1362" s="277"/>
      <c r="T1362" s="277"/>
      <c r="U1362" s="277"/>
      <c r="V1362" s="277"/>
      <c r="W1362" s="277"/>
      <c r="X1362" s="277"/>
      <c r="Y1362" s="277"/>
      <c r="Z1362" s="277"/>
      <c r="AA1362" s="277"/>
      <c r="AB1362" s="277"/>
      <c r="AC1362" s="277"/>
      <c r="AD1362" s="277"/>
      <c r="AE1362" s="277"/>
      <c r="AF1362" s="277"/>
      <c r="AG1362" s="277"/>
      <c r="AH1362" s="277"/>
      <c r="AI1362" s="277"/>
      <c r="AJ1362" s="277"/>
      <c r="AK1362" s="277"/>
    </row>
    <row r="1363" spans="1:37" s="289" customFormat="1">
      <c r="A1363" s="277"/>
      <c r="C1363" s="277"/>
      <c r="D1363" s="277"/>
      <c r="E1363" s="277"/>
      <c r="F1363" s="277"/>
      <c r="G1363" s="277"/>
      <c r="H1363" s="277"/>
      <c r="I1363" s="277"/>
      <c r="J1363" s="277"/>
      <c r="K1363" s="277"/>
      <c r="L1363" s="277"/>
      <c r="M1363" s="277"/>
      <c r="N1363" s="277"/>
      <c r="O1363" s="277"/>
      <c r="P1363" s="277"/>
      <c r="Q1363" s="277"/>
      <c r="R1363" s="277"/>
      <c r="S1363" s="277"/>
      <c r="T1363" s="277"/>
      <c r="U1363" s="277"/>
      <c r="V1363" s="277"/>
      <c r="W1363" s="277"/>
      <c r="X1363" s="277"/>
      <c r="Y1363" s="277"/>
      <c r="Z1363" s="277"/>
      <c r="AA1363" s="277"/>
      <c r="AB1363" s="277"/>
      <c r="AC1363" s="277"/>
      <c r="AD1363" s="277"/>
      <c r="AE1363" s="277"/>
      <c r="AF1363" s="277"/>
      <c r="AG1363" s="277"/>
      <c r="AH1363" s="277"/>
      <c r="AI1363" s="277"/>
      <c r="AJ1363" s="277"/>
      <c r="AK1363" s="277"/>
    </row>
    <row r="1364" spans="1:37" s="289" customFormat="1">
      <c r="A1364" s="277"/>
      <c r="C1364" s="277"/>
      <c r="D1364" s="277"/>
      <c r="E1364" s="277"/>
      <c r="F1364" s="277"/>
      <c r="G1364" s="277"/>
      <c r="H1364" s="277"/>
      <c r="I1364" s="277"/>
      <c r="J1364" s="277"/>
      <c r="K1364" s="277"/>
      <c r="L1364" s="277"/>
      <c r="M1364" s="277"/>
      <c r="N1364" s="277"/>
      <c r="O1364" s="277"/>
      <c r="P1364" s="277"/>
      <c r="Q1364" s="277"/>
      <c r="R1364" s="277"/>
      <c r="S1364" s="277"/>
      <c r="T1364" s="277"/>
      <c r="U1364" s="277"/>
      <c r="V1364" s="277"/>
      <c r="W1364" s="277"/>
      <c r="X1364" s="277"/>
      <c r="Y1364" s="277"/>
      <c r="Z1364" s="277"/>
      <c r="AA1364" s="277"/>
      <c r="AB1364" s="277"/>
      <c r="AC1364" s="277"/>
      <c r="AD1364" s="277"/>
      <c r="AE1364" s="277"/>
      <c r="AF1364" s="277"/>
      <c r="AG1364" s="277"/>
      <c r="AH1364" s="277"/>
      <c r="AI1364" s="277"/>
      <c r="AJ1364" s="277"/>
      <c r="AK1364" s="277"/>
    </row>
    <row r="1365" spans="1:37" s="289" customFormat="1">
      <c r="A1365" s="277"/>
      <c r="C1365" s="277"/>
      <c r="D1365" s="277"/>
      <c r="E1365" s="277"/>
      <c r="F1365" s="277"/>
      <c r="G1365" s="277"/>
      <c r="H1365" s="277"/>
      <c r="I1365" s="277"/>
      <c r="J1365" s="277"/>
      <c r="K1365" s="277"/>
      <c r="L1365" s="277"/>
      <c r="M1365" s="277"/>
      <c r="N1365" s="277"/>
      <c r="O1365" s="277"/>
      <c r="P1365" s="277"/>
      <c r="Q1365" s="277"/>
      <c r="R1365" s="277"/>
      <c r="S1365" s="277"/>
      <c r="T1365" s="277"/>
      <c r="U1365" s="277"/>
      <c r="V1365" s="277"/>
      <c r="W1365" s="277"/>
      <c r="X1365" s="277"/>
      <c r="Y1365" s="277"/>
      <c r="Z1365" s="277"/>
      <c r="AA1365" s="277"/>
      <c r="AB1365" s="277"/>
      <c r="AC1365" s="277"/>
      <c r="AD1365" s="277"/>
      <c r="AE1365" s="277"/>
      <c r="AF1365" s="277"/>
      <c r="AG1365" s="277"/>
      <c r="AH1365" s="277"/>
      <c r="AI1365" s="277"/>
      <c r="AJ1365" s="277"/>
      <c r="AK1365" s="277"/>
    </row>
    <row r="1366" spans="1:37" s="289" customFormat="1">
      <c r="A1366" s="277"/>
      <c r="C1366" s="277"/>
      <c r="D1366" s="277"/>
      <c r="E1366" s="277"/>
      <c r="F1366" s="277"/>
      <c r="G1366" s="277"/>
      <c r="H1366" s="277"/>
      <c r="I1366" s="277"/>
      <c r="J1366" s="277"/>
      <c r="K1366" s="277"/>
      <c r="L1366" s="277"/>
      <c r="M1366" s="277"/>
      <c r="N1366" s="277"/>
      <c r="O1366" s="277"/>
      <c r="P1366" s="277"/>
      <c r="Q1366" s="277"/>
      <c r="R1366" s="277"/>
      <c r="S1366" s="277"/>
      <c r="T1366" s="277"/>
      <c r="U1366" s="277"/>
      <c r="V1366" s="277"/>
      <c r="W1366" s="277"/>
      <c r="X1366" s="277"/>
      <c r="Y1366" s="277"/>
      <c r="Z1366" s="277"/>
      <c r="AA1366" s="277"/>
      <c r="AB1366" s="277"/>
      <c r="AC1366" s="277"/>
      <c r="AD1366" s="277"/>
      <c r="AE1366" s="277"/>
      <c r="AF1366" s="277"/>
      <c r="AG1366" s="277"/>
      <c r="AH1366" s="277"/>
      <c r="AI1366" s="277"/>
      <c r="AJ1366" s="277"/>
      <c r="AK1366" s="277"/>
    </row>
    <row r="1367" spans="1:37" s="289" customFormat="1">
      <c r="A1367" s="277"/>
      <c r="C1367" s="277"/>
      <c r="D1367" s="277"/>
      <c r="E1367" s="277"/>
      <c r="F1367" s="277"/>
      <c r="G1367" s="277"/>
      <c r="H1367" s="277"/>
      <c r="I1367" s="277"/>
      <c r="J1367" s="277"/>
      <c r="K1367" s="277"/>
      <c r="L1367" s="277"/>
      <c r="M1367" s="277"/>
      <c r="N1367" s="277"/>
      <c r="O1367" s="277"/>
      <c r="P1367" s="277"/>
      <c r="Q1367" s="277"/>
      <c r="R1367" s="277"/>
      <c r="S1367" s="277"/>
      <c r="T1367" s="277"/>
      <c r="U1367" s="277"/>
      <c r="V1367" s="277"/>
      <c r="W1367" s="277"/>
      <c r="X1367" s="277"/>
      <c r="Y1367" s="277"/>
      <c r="Z1367" s="277"/>
      <c r="AA1367" s="277"/>
      <c r="AB1367" s="277"/>
      <c r="AC1367" s="277"/>
      <c r="AD1367" s="277"/>
      <c r="AE1367" s="277"/>
      <c r="AF1367" s="277"/>
      <c r="AG1367" s="277"/>
      <c r="AH1367" s="277"/>
      <c r="AI1367" s="277"/>
      <c r="AJ1367" s="277"/>
      <c r="AK1367" s="277"/>
    </row>
    <row r="1368" spans="1:37" s="289" customFormat="1">
      <c r="A1368" s="277"/>
      <c r="C1368" s="277"/>
      <c r="D1368" s="277"/>
      <c r="E1368" s="277"/>
      <c r="F1368" s="277"/>
      <c r="G1368" s="277"/>
      <c r="H1368" s="277"/>
      <c r="I1368" s="277"/>
      <c r="J1368" s="277"/>
      <c r="K1368" s="277"/>
      <c r="L1368" s="277"/>
      <c r="M1368" s="277"/>
      <c r="N1368" s="277"/>
      <c r="O1368" s="277"/>
      <c r="P1368" s="277"/>
      <c r="Q1368" s="277"/>
      <c r="R1368" s="277"/>
      <c r="S1368" s="277"/>
      <c r="T1368" s="277"/>
      <c r="U1368" s="277"/>
      <c r="V1368" s="277"/>
      <c r="W1368" s="277"/>
      <c r="X1368" s="277"/>
      <c r="Y1368" s="277"/>
      <c r="Z1368" s="277"/>
      <c r="AA1368" s="277"/>
      <c r="AB1368" s="277"/>
      <c r="AC1368" s="277"/>
      <c r="AD1368" s="277"/>
      <c r="AE1368" s="277"/>
      <c r="AF1368" s="277"/>
      <c r="AG1368" s="277"/>
      <c r="AH1368" s="277"/>
      <c r="AI1368" s="277"/>
      <c r="AJ1368" s="277"/>
      <c r="AK1368" s="277"/>
    </row>
    <row r="1369" spans="1:37" s="289" customFormat="1">
      <c r="A1369" s="277"/>
      <c r="C1369" s="277"/>
      <c r="D1369" s="277"/>
      <c r="E1369" s="277"/>
      <c r="F1369" s="277"/>
      <c r="G1369" s="277"/>
      <c r="H1369" s="277"/>
      <c r="I1369" s="277"/>
      <c r="J1369" s="277"/>
      <c r="K1369" s="277"/>
      <c r="L1369" s="277"/>
      <c r="M1369" s="277"/>
      <c r="N1369" s="277"/>
      <c r="O1369" s="277"/>
      <c r="P1369" s="277"/>
      <c r="Q1369" s="277"/>
      <c r="R1369" s="277"/>
      <c r="S1369" s="277"/>
      <c r="T1369" s="277"/>
      <c r="U1369" s="277"/>
      <c r="V1369" s="277"/>
      <c r="W1369" s="277"/>
      <c r="X1369" s="277"/>
      <c r="Y1369" s="277"/>
      <c r="Z1369" s="277"/>
      <c r="AA1369" s="277"/>
      <c r="AB1369" s="277"/>
      <c r="AC1369" s="277"/>
      <c r="AD1369" s="277"/>
      <c r="AE1369" s="277"/>
      <c r="AF1369" s="277"/>
      <c r="AG1369" s="277"/>
      <c r="AH1369" s="277"/>
      <c r="AI1369" s="277"/>
      <c r="AJ1369" s="277"/>
      <c r="AK1369" s="277"/>
    </row>
    <row r="1370" spans="1:37" s="289" customFormat="1">
      <c r="A1370" s="277"/>
      <c r="C1370" s="277"/>
      <c r="D1370" s="277"/>
      <c r="E1370" s="277"/>
      <c r="F1370" s="277"/>
      <c r="G1370" s="277"/>
      <c r="H1370" s="277"/>
      <c r="I1370" s="277"/>
      <c r="J1370" s="277"/>
      <c r="K1370" s="277"/>
      <c r="L1370" s="277"/>
      <c r="M1370" s="277"/>
      <c r="N1370" s="277"/>
      <c r="O1370" s="277"/>
      <c r="P1370" s="277"/>
      <c r="Q1370" s="277"/>
      <c r="R1370" s="277"/>
      <c r="S1370" s="277"/>
      <c r="T1370" s="277"/>
      <c r="U1370" s="277"/>
      <c r="V1370" s="277"/>
      <c r="W1370" s="277"/>
      <c r="X1370" s="277"/>
      <c r="Y1370" s="277"/>
      <c r="Z1370" s="277"/>
      <c r="AA1370" s="277"/>
      <c r="AB1370" s="277"/>
      <c r="AC1370" s="277"/>
      <c r="AD1370" s="277"/>
      <c r="AE1370" s="277"/>
      <c r="AF1370" s="277"/>
      <c r="AG1370" s="277"/>
      <c r="AH1370" s="277"/>
      <c r="AI1370" s="277"/>
      <c r="AJ1370" s="277"/>
      <c r="AK1370" s="277"/>
    </row>
    <row r="1371" spans="1:37" s="289" customFormat="1">
      <c r="A1371" s="277"/>
      <c r="C1371" s="277"/>
      <c r="D1371" s="277"/>
      <c r="E1371" s="277"/>
      <c r="F1371" s="277"/>
      <c r="G1371" s="277"/>
      <c r="H1371" s="277"/>
      <c r="I1371" s="277"/>
      <c r="J1371" s="277"/>
      <c r="K1371" s="277"/>
      <c r="L1371" s="277"/>
      <c r="M1371" s="277"/>
      <c r="N1371" s="277"/>
      <c r="O1371" s="277"/>
      <c r="P1371" s="277"/>
      <c r="Q1371" s="277"/>
      <c r="R1371" s="277"/>
      <c r="S1371" s="277"/>
      <c r="T1371" s="277"/>
      <c r="U1371" s="277"/>
      <c r="V1371" s="277"/>
      <c r="W1371" s="277"/>
      <c r="X1371" s="277"/>
      <c r="Y1371" s="277"/>
      <c r="Z1371" s="277"/>
      <c r="AA1371" s="277"/>
      <c r="AB1371" s="277"/>
      <c r="AC1371" s="277"/>
      <c r="AD1371" s="277"/>
      <c r="AE1371" s="277"/>
      <c r="AF1371" s="277"/>
      <c r="AG1371" s="277"/>
      <c r="AH1371" s="277"/>
      <c r="AI1371" s="277"/>
      <c r="AJ1371" s="277"/>
      <c r="AK1371" s="277"/>
    </row>
    <row r="1372" spans="1:37" s="289" customFormat="1">
      <c r="A1372" s="277"/>
      <c r="C1372" s="277"/>
      <c r="D1372" s="277"/>
      <c r="E1372" s="277"/>
      <c r="F1372" s="277"/>
      <c r="G1372" s="277"/>
      <c r="H1372" s="277"/>
      <c r="I1372" s="277"/>
      <c r="J1372" s="277"/>
      <c r="K1372" s="277"/>
      <c r="L1372" s="277"/>
      <c r="M1372" s="277"/>
      <c r="N1372" s="277"/>
      <c r="O1372" s="277"/>
      <c r="P1372" s="277"/>
      <c r="Q1372" s="277"/>
      <c r="R1372" s="277"/>
      <c r="S1372" s="277"/>
      <c r="T1372" s="277"/>
      <c r="U1372" s="277"/>
      <c r="V1372" s="277"/>
      <c r="W1372" s="277"/>
      <c r="X1372" s="277"/>
      <c r="Y1372" s="277"/>
      <c r="Z1372" s="277"/>
      <c r="AA1372" s="277"/>
      <c r="AB1372" s="277"/>
      <c r="AC1372" s="277"/>
      <c r="AD1372" s="277"/>
      <c r="AE1372" s="277"/>
      <c r="AF1372" s="277"/>
      <c r="AG1372" s="277"/>
      <c r="AH1372" s="277"/>
      <c r="AI1372" s="277"/>
      <c r="AJ1372" s="277"/>
      <c r="AK1372" s="277"/>
    </row>
    <row r="1373" spans="1:37" s="289" customFormat="1">
      <c r="A1373" s="277"/>
      <c r="C1373" s="277"/>
      <c r="D1373" s="277"/>
      <c r="E1373" s="277"/>
      <c r="F1373" s="277"/>
      <c r="G1373" s="277"/>
      <c r="H1373" s="277"/>
      <c r="I1373" s="277"/>
      <c r="J1373" s="277"/>
      <c r="K1373" s="277"/>
      <c r="L1373" s="277"/>
      <c r="M1373" s="277"/>
      <c r="N1373" s="277"/>
      <c r="O1373" s="277"/>
      <c r="P1373" s="277"/>
      <c r="Q1373" s="277"/>
      <c r="R1373" s="277"/>
      <c r="S1373" s="277"/>
      <c r="T1373" s="277"/>
      <c r="U1373" s="277"/>
      <c r="V1373" s="277"/>
      <c r="W1373" s="277"/>
      <c r="X1373" s="277"/>
      <c r="Y1373" s="277"/>
      <c r="Z1373" s="277"/>
      <c r="AA1373" s="277"/>
      <c r="AB1373" s="277"/>
      <c r="AC1373" s="277"/>
      <c r="AD1373" s="277"/>
      <c r="AE1373" s="277"/>
      <c r="AF1373" s="277"/>
      <c r="AG1373" s="277"/>
      <c r="AH1373" s="277"/>
      <c r="AI1373" s="277"/>
      <c r="AJ1373" s="277"/>
      <c r="AK1373" s="277"/>
    </row>
    <row r="1374" spans="1:37" s="289" customFormat="1">
      <c r="A1374" s="277"/>
      <c r="C1374" s="277"/>
      <c r="D1374" s="277"/>
      <c r="E1374" s="277"/>
      <c r="F1374" s="277"/>
      <c r="G1374" s="277"/>
      <c r="H1374" s="277"/>
      <c r="I1374" s="277"/>
      <c r="J1374" s="277"/>
      <c r="K1374" s="277"/>
      <c r="L1374" s="277"/>
      <c r="M1374" s="277"/>
      <c r="N1374" s="277"/>
      <c r="O1374" s="277"/>
      <c r="P1374" s="277"/>
      <c r="Q1374" s="277"/>
      <c r="R1374" s="277"/>
      <c r="S1374" s="277"/>
      <c r="T1374" s="277"/>
      <c r="U1374" s="277"/>
      <c r="V1374" s="277"/>
      <c r="W1374" s="277"/>
      <c r="X1374" s="277"/>
      <c r="Y1374" s="277"/>
      <c r="Z1374" s="277"/>
      <c r="AA1374" s="277"/>
      <c r="AB1374" s="277"/>
      <c r="AC1374" s="277"/>
      <c r="AD1374" s="277"/>
      <c r="AE1374" s="277"/>
      <c r="AF1374" s="277"/>
      <c r="AG1374" s="277"/>
      <c r="AH1374" s="277"/>
      <c r="AI1374" s="277"/>
      <c r="AJ1374" s="277"/>
      <c r="AK1374" s="277"/>
    </row>
    <row r="1375" spans="1:37" s="289" customFormat="1">
      <c r="A1375" s="277"/>
      <c r="C1375" s="277"/>
      <c r="D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  <c r="P1375" s="277"/>
      <c r="Q1375" s="277"/>
      <c r="R1375" s="277"/>
      <c r="S1375" s="277"/>
      <c r="T1375" s="277"/>
      <c r="U1375" s="277"/>
      <c r="V1375" s="277"/>
      <c r="W1375" s="277"/>
      <c r="X1375" s="277"/>
      <c r="Y1375" s="277"/>
      <c r="Z1375" s="277"/>
      <c r="AA1375" s="277"/>
      <c r="AB1375" s="277"/>
      <c r="AC1375" s="277"/>
      <c r="AD1375" s="277"/>
      <c r="AE1375" s="277"/>
      <c r="AF1375" s="277"/>
      <c r="AG1375" s="277"/>
      <c r="AH1375" s="277"/>
      <c r="AI1375" s="277"/>
      <c r="AJ1375" s="277"/>
      <c r="AK1375" s="277"/>
    </row>
    <row r="1376" spans="1:37" s="289" customFormat="1">
      <c r="A1376" s="277"/>
      <c r="C1376" s="277"/>
      <c r="D1376" s="277"/>
      <c r="E1376" s="277"/>
      <c r="F1376" s="277"/>
      <c r="G1376" s="277"/>
      <c r="H1376" s="277"/>
      <c r="I1376" s="277"/>
      <c r="J1376" s="277"/>
      <c r="K1376" s="277"/>
      <c r="L1376" s="277"/>
      <c r="M1376" s="277"/>
      <c r="N1376" s="277"/>
      <c r="O1376" s="277"/>
      <c r="P1376" s="277"/>
      <c r="Q1376" s="277"/>
      <c r="R1376" s="277"/>
      <c r="S1376" s="277"/>
      <c r="T1376" s="277"/>
      <c r="U1376" s="277"/>
      <c r="V1376" s="277"/>
      <c r="W1376" s="277"/>
      <c r="X1376" s="277"/>
      <c r="Y1376" s="277"/>
      <c r="Z1376" s="277"/>
      <c r="AA1376" s="277"/>
      <c r="AB1376" s="277"/>
      <c r="AC1376" s="277"/>
      <c r="AD1376" s="277"/>
      <c r="AE1376" s="277"/>
      <c r="AF1376" s="277"/>
      <c r="AG1376" s="277"/>
      <c r="AH1376" s="277"/>
      <c r="AI1376" s="277"/>
      <c r="AJ1376" s="277"/>
      <c r="AK1376" s="277"/>
    </row>
    <row r="1377" spans="1:37" s="289" customFormat="1">
      <c r="A1377" s="277"/>
      <c r="C1377" s="277"/>
      <c r="D1377" s="277"/>
      <c r="E1377" s="277"/>
      <c r="F1377" s="277"/>
      <c r="G1377" s="277"/>
      <c r="H1377" s="277"/>
      <c r="I1377" s="277"/>
      <c r="J1377" s="277"/>
      <c r="K1377" s="277"/>
      <c r="L1377" s="277"/>
      <c r="M1377" s="277"/>
      <c r="N1377" s="277"/>
      <c r="O1377" s="277"/>
      <c r="P1377" s="277"/>
      <c r="Q1377" s="277"/>
      <c r="R1377" s="277"/>
      <c r="S1377" s="277"/>
      <c r="T1377" s="277"/>
      <c r="U1377" s="277"/>
      <c r="V1377" s="277"/>
      <c r="W1377" s="277"/>
      <c r="X1377" s="277"/>
      <c r="Y1377" s="277"/>
      <c r="Z1377" s="277"/>
      <c r="AA1377" s="277"/>
      <c r="AB1377" s="277"/>
      <c r="AC1377" s="277"/>
      <c r="AD1377" s="277"/>
      <c r="AE1377" s="277"/>
      <c r="AF1377" s="277"/>
      <c r="AG1377" s="277"/>
      <c r="AH1377" s="277"/>
      <c r="AI1377" s="277"/>
      <c r="AJ1377" s="277"/>
      <c r="AK1377" s="277"/>
    </row>
    <row r="1378" spans="1:37" s="289" customFormat="1">
      <c r="A1378" s="277"/>
      <c r="C1378" s="277"/>
      <c r="D1378" s="277"/>
      <c r="E1378" s="277"/>
      <c r="F1378" s="277"/>
      <c r="G1378" s="277"/>
      <c r="H1378" s="277"/>
      <c r="I1378" s="277"/>
      <c r="J1378" s="277"/>
      <c r="K1378" s="277"/>
      <c r="L1378" s="277"/>
      <c r="M1378" s="277"/>
      <c r="N1378" s="277"/>
      <c r="O1378" s="277"/>
      <c r="P1378" s="277"/>
      <c r="Q1378" s="277"/>
      <c r="R1378" s="277"/>
      <c r="S1378" s="277"/>
      <c r="T1378" s="277"/>
      <c r="U1378" s="277"/>
      <c r="V1378" s="277"/>
      <c r="W1378" s="277"/>
      <c r="X1378" s="277"/>
      <c r="Y1378" s="277"/>
      <c r="Z1378" s="277"/>
      <c r="AA1378" s="277"/>
      <c r="AB1378" s="277"/>
      <c r="AC1378" s="277"/>
      <c r="AD1378" s="277"/>
      <c r="AE1378" s="277"/>
      <c r="AF1378" s="277"/>
      <c r="AG1378" s="277"/>
      <c r="AH1378" s="277"/>
      <c r="AI1378" s="277"/>
      <c r="AJ1378" s="277"/>
      <c r="AK1378" s="277"/>
    </row>
    <row r="1379" spans="1:37" s="289" customFormat="1">
      <c r="A1379" s="277"/>
      <c r="C1379" s="277"/>
      <c r="D1379" s="277"/>
      <c r="E1379" s="277"/>
      <c r="F1379" s="277"/>
      <c r="G1379" s="277"/>
      <c r="H1379" s="277"/>
      <c r="I1379" s="277"/>
      <c r="J1379" s="277"/>
      <c r="K1379" s="277"/>
      <c r="L1379" s="277"/>
      <c r="M1379" s="277"/>
      <c r="N1379" s="277"/>
      <c r="O1379" s="277"/>
      <c r="P1379" s="277"/>
      <c r="Q1379" s="277"/>
      <c r="R1379" s="277"/>
      <c r="S1379" s="277"/>
      <c r="T1379" s="277"/>
      <c r="U1379" s="277"/>
      <c r="V1379" s="277"/>
      <c r="W1379" s="277"/>
      <c r="X1379" s="277"/>
      <c r="Y1379" s="277"/>
      <c r="Z1379" s="277"/>
      <c r="AA1379" s="277"/>
      <c r="AB1379" s="277"/>
      <c r="AC1379" s="277"/>
      <c r="AD1379" s="277"/>
      <c r="AE1379" s="277"/>
      <c r="AF1379" s="277"/>
      <c r="AG1379" s="277"/>
      <c r="AH1379" s="277"/>
      <c r="AI1379" s="277"/>
      <c r="AJ1379" s="277"/>
      <c r="AK1379" s="277"/>
    </row>
    <row r="1380" spans="1:37" s="289" customFormat="1">
      <c r="A1380" s="277"/>
      <c r="C1380" s="277"/>
      <c r="D1380" s="277"/>
      <c r="E1380" s="277"/>
      <c r="F1380" s="277"/>
      <c r="G1380" s="277"/>
      <c r="H1380" s="277"/>
      <c r="I1380" s="277"/>
      <c r="J1380" s="277"/>
      <c r="K1380" s="277"/>
      <c r="L1380" s="277"/>
      <c r="M1380" s="277"/>
      <c r="N1380" s="277"/>
      <c r="O1380" s="277"/>
      <c r="P1380" s="277"/>
      <c r="Q1380" s="277"/>
      <c r="R1380" s="277"/>
      <c r="S1380" s="277"/>
      <c r="T1380" s="277"/>
      <c r="U1380" s="277"/>
      <c r="V1380" s="277"/>
      <c r="W1380" s="277"/>
      <c r="X1380" s="277"/>
      <c r="Y1380" s="277"/>
      <c r="Z1380" s="277"/>
      <c r="AA1380" s="277"/>
      <c r="AB1380" s="277"/>
      <c r="AC1380" s="277"/>
      <c r="AD1380" s="277"/>
      <c r="AE1380" s="277"/>
      <c r="AF1380" s="277"/>
      <c r="AG1380" s="277"/>
      <c r="AH1380" s="277"/>
      <c r="AI1380" s="277"/>
      <c r="AJ1380" s="277"/>
      <c r="AK1380" s="277"/>
    </row>
    <row r="1381" spans="1:37" s="289" customFormat="1">
      <c r="A1381" s="277"/>
      <c r="C1381" s="277"/>
      <c r="D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  <c r="P1381" s="277"/>
      <c r="Q1381" s="277"/>
      <c r="R1381" s="277"/>
      <c r="S1381" s="277"/>
      <c r="T1381" s="277"/>
      <c r="U1381" s="277"/>
      <c r="V1381" s="277"/>
      <c r="W1381" s="277"/>
      <c r="X1381" s="277"/>
      <c r="Y1381" s="277"/>
      <c r="Z1381" s="277"/>
      <c r="AA1381" s="277"/>
      <c r="AB1381" s="277"/>
      <c r="AC1381" s="277"/>
      <c r="AD1381" s="277"/>
      <c r="AE1381" s="277"/>
      <c r="AF1381" s="277"/>
      <c r="AG1381" s="277"/>
      <c r="AH1381" s="277"/>
      <c r="AI1381" s="277"/>
      <c r="AJ1381" s="277"/>
      <c r="AK1381" s="277"/>
    </row>
    <row r="1382" spans="1:37" s="289" customFormat="1">
      <c r="A1382" s="277"/>
      <c r="C1382" s="277"/>
      <c r="D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  <c r="P1382" s="277"/>
      <c r="Q1382" s="277"/>
      <c r="R1382" s="277"/>
      <c r="S1382" s="277"/>
      <c r="T1382" s="277"/>
      <c r="U1382" s="277"/>
      <c r="V1382" s="277"/>
      <c r="W1382" s="277"/>
      <c r="X1382" s="277"/>
      <c r="Y1382" s="277"/>
      <c r="Z1382" s="277"/>
      <c r="AA1382" s="277"/>
      <c r="AB1382" s="277"/>
      <c r="AC1382" s="277"/>
      <c r="AD1382" s="277"/>
      <c r="AE1382" s="277"/>
      <c r="AF1382" s="277"/>
      <c r="AG1382" s="277"/>
      <c r="AH1382" s="277"/>
      <c r="AI1382" s="277"/>
      <c r="AJ1382" s="277"/>
      <c r="AK1382" s="277"/>
    </row>
    <row r="1383" spans="1:37" s="289" customFormat="1">
      <c r="A1383" s="277"/>
      <c r="C1383" s="277"/>
      <c r="D1383" s="277"/>
      <c r="E1383" s="277"/>
      <c r="F1383" s="277"/>
      <c r="G1383" s="277"/>
      <c r="H1383" s="277"/>
      <c r="I1383" s="277"/>
      <c r="J1383" s="277"/>
      <c r="K1383" s="277"/>
      <c r="L1383" s="277"/>
      <c r="M1383" s="277"/>
      <c r="N1383" s="277"/>
      <c r="O1383" s="277"/>
      <c r="P1383" s="277"/>
      <c r="Q1383" s="277"/>
      <c r="R1383" s="277"/>
      <c r="S1383" s="277"/>
      <c r="T1383" s="277"/>
      <c r="U1383" s="277"/>
      <c r="V1383" s="277"/>
      <c r="W1383" s="277"/>
      <c r="X1383" s="277"/>
      <c r="Y1383" s="277"/>
      <c r="Z1383" s="277"/>
      <c r="AA1383" s="277"/>
      <c r="AB1383" s="277"/>
      <c r="AC1383" s="277"/>
      <c r="AD1383" s="277"/>
      <c r="AE1383" s="277"/>
      <c r="AF1383" s="277"/>
      <c r="AG1383" s="277"/>
      <c r="AH1383" s="277"/>
      <c r="AI1383" s="277"/>
      <c r="AJ1383" s="277"/>
      <c r="AK1383" s="277"/>
    </row>
    <row r="1384" spans="1:37" s="289" customFormat="1">
      <c r="A1384" s="277"/>
      <c r="C1384" s="277"/>
      <c r="D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  <c r="P1384" s="277"/>
      <c r="Q1384" s="277"/>
      <c r="R1384" s="277"/>
      <c r="S1384" s="277"/>
      <c r="T1384" s="277"/>
      <c r="U1384" s="277"/>
      <c r="V1384" s="277"/>
      <c r="W1384" s="277"/>
      <c r="X1384" s="277"/>
      <c r="Y1384" s="277"/>
      <c r="Z1384" s="277"/>
      <c r="AA1384" s="277"/>
      <c r="AB1384" s="277"/>
      <c r="AC1384" s="277"/>
      <c r="AD1384" s="277"/>
      <c r="AE1384" s="277"/>
      <c r="AF1384" s="277"/>
      <c r="AG1384" s="277"/>
      <c r="AH1384" s="277"/>
      <c r="AI1384" s="277"/>
      <c r="AJ1384" s="277"/>
      <c r="AK1384" s="277"/>
    </row>
    <row r="1385" spans="1:37" s="289" customFormat="1">
      <c r="A1385" s="277"/>
      <c r="C1385" s="277"/>
      <c r="D1385" s="277"/>
      <c r="E1385" s="277"/>
      <c r="F1385" s="277"/>
      <c r="G1385" s="277"/>
      <c r="H1385" s="277"/>
      <c r="I1385" s="277"/>
      <c r="J1385" s="277"/>
      <c r="K1385" s="277"/>
      <c r="L1385" s="277"/>
      <c r="M1385" s="277"/>
      <c r="N1385" s="277"/>
      <c r="O1385" s="277"/>
      <c r="P1385" s="277"/>
      <c r="Q1385" s="277"/>
      <c r="R1385" s="277"/>
      <c r="S1385" s="277"/>
      <c r="T1385" s="277"/>
      <c r="U1385" s="277"/>
      <c r="V1385" s="277"/>
      <c r="W1385" s="277"/>
      <c r="X1385" s="277"/>
      <c r="Y1385" s="277"/>
      <c r="Z1385" s="277"/>
      <c r="AA1385" s="277"/>
      <c r="AB1385" s="277"/>
      <c r="AC1385" s="277"/>
      <c r="AD1385" s="277"/>
      <c r="AE1385" s="277"/>
      <c r="AF1385" s="277"/>
      <c r="AG1385" s="277"/>
      <c r="AH1385" s="277"/>
      <c r="AI1385" s="277"/>
      <c r="AJ1385" s="277"/>
      <c r="AK1385" s="277"/>
    </row>
    <row r="1386" spans="1:37" s="289" customFormat="1">
      <c r="A1386" s="277"/>
      <c r="C1386" s="277"/>
      <c r="D1386" s="277"/>
      <c r="E1386" s="277"/>
      <c r="F1386" s="277"/>
      <c r="G1386" s="277"/>
      <c r="H1386" s="277"/>
      <c r="I1386" s="277"/>
      <c r="J1386" s="277"/>
      <c r="K1386" s="277"/>
      <c r="L1386" s="277"/>
      <c r="M1386" s="277"/>
      <c r="N1386" s="277"/>
      <c r="O1386" s="277"/>
      <c r="P1386" s="277"/>
      <c r="Q1386" s="277"/>
      <c r="R1386" s="277"/>
      <c r="S1386" s="277"/>
      <c r="T1386" s="277"/>
      <c r="U1386" s="277"/>
      <c r="V1386" s="277"/>
      <c r="W1386" s="277"/>
      <c r="X1386" s="277"/>
      <c r="Y1386" s="277"/>
      <c r="Z1386" s="277"/>
      <c r="AA1386" s="277"/>
      <c r="AB1386" s="277"/>
      <c r="AC1386" s="277"/>
      <c r="AD1386" s="277"/>
      <c r="AE1386" s="277"/>
      <c r="AF1386" s="277"/>
      <c r="AG1386" s="277"/>
      <c r="AH1386" s="277"/>
      <c r="AI1386" s="277"/>
      <c r="AJ1386" s="277"/>
      <c r="AK1386" s="277"/>
    </row>
    <row r="1387" spans="1:37" s="289" customFormat="1">
      <c r="A1387" s="277"/>
      <c r="C1387" s="277"/>
      <c r="D1387" s="277"/>
      <c r="E1387" s="277"/>
      <c r="F1387" s="277"/>
      <c r="G1387" s="277"/>
      <c r="H1387" s="277"/>
      <c r="I1387" s="277"/>
      <c r="J1387" s="277"/>
      <c r="K1387" s="277"/>
      <c r="L1387" s="277"/>
      <c r="M1387" s="277"/>
      <c r="N1387" s="277"/>
      <c r="O1387" s="277"/>
      <c r="P1387" s="277"/>
      <c r="Q1387" s="277"/>
      <c r="R1387" s="277"/>
      <c r="S1387" s="277"/>
      <c r="T1387" s="277"/>
      <c r="U1387" s="277"/>
      <c r="V1387" s="277"/>
      <c r="W1387" s="277"/>
      <c r="X1387" s="277"/>
      <c r="Y1387" s="277"/>
      <c r="Z1387" s="277"/>
      <c r="AA1387" s="277"/>
      <c r="AB1387" s="277"/>
      <c r="AC1387" s="277"/>
      <c r="AD1387" s="277"/>
      <c r="AE1387" s="277"/>
      <c r="AF1387" s="277"/>
      <c r="AG1387" s="277"/>
      <c r="AH1387" s="277"/>
      <c r="AI1387" s="277"/>
      <c r="AJ1387" s="277"/>
      <c r="AK1387" s="277"/>
    </row>
    <row r="1388" spans="1:37" s="289" customFormat="1">
      <c r="A1388" s="277"/>
      <c r="C1388" s="277"/>
      <c r="D1388" s="277"/>
      <c r="E1388" s="277"/>
      <c r="F1388" s="277"/>
      <c r="G1388" s="277"/>
      <c r="H1388" s="277"/>
      <c r="I1388" s="277"/>
      <c r="J1388" s="277"/>
      <c r="K1388" s="277"/>
      <c r="L1388" s="277"/>
      <c r="M1388" s="277"/>
      <c r="N1388" s="277"/>
      <c r="O1388" s="277"/>
      <c r="P1388" s="277"/>
      <c r="Q1388" s="277"/>
      <c r="R1388" s="277"/>
      <c r="S1388" s="277"/>
      <c r="T1388" s="277"/>
      <c r="U1388" s="277"/>
      <c r="V1388" s="277"/>
      <c r="W1388" s="277"/>
      <c r="X1388" s="277"/>
      <c r="Y1388" s="277"/>
      <c r="Z1388" s="277"/>
      <c r="AA1388" s="277"/>
      <c r="AB1388" s="277"/>
      <c r="AC1388" s="277"/>
      <c r="AD1388" s="277"/>
      <c r="AE1388" s="277"/>
      <c r="AF1388" s="277"/>
      <c r="AG1388" s="277"/>
      <c r="AH1388" s="277"/>
      <c r="AI1388" s="277"/>
      <c r="AJ1388" s="277"/>
      <c r="AK1388" s="277"/>
    </row>
    <row r="1389" spans="1:37" s="289" customFormat="1">
      <c r="A1389" s="277"/>
      <c r="C1389" s="277"/>
      <c r="D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  <c r="P1389" s="277"/>
      <c r="Q1389" s="277"/>
      <c r="R1389" s="277"/>
      <c r="S1389" s="277"/>
      <c r="T1389" s="277"/>
      <c r="U1389" s="277"/>
      <c r="V1389" s="277"/>
      <c r="W1389" s="277"/>
      <c r="X1389" s="277"/>
      <c r="Y1389" s="277"/>
      <c r="Z1389" s="277"/>
      <c r="AA1389" s="277"/>
      <c r="AB1389" s="277"/>
      <c r="AC1389" s="277"/>
      <c r="AD1389" s="277"/>
      <c r="AE1389" s="277"/>
      <c r="AF1389" s="277"/>
      <c r="AG1389" s="277"/>
      <c r="AH1389" s="277"/>
      <c r="AI1389" s="277"/>
      <c r="AJ1389" s="277"/>
      <c r="AK1389" s="277"/>
    </row>
    <row r="1390" spans="1:37" s="289" customFormat="1">
      <c r="A1390" s="277"/>
      <c r="C1390" s="277"/>
      <c r="D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  <c r="P1390" s="277"/>
      <c r="Q1390" s="277"/>
      <c r="R1390" s="277"/>
      <c r="S1390" s="277"/>
      <c r="T1390" s="277"/>
      <c r="U1390" s="277"/>
      <c r="V1390" s="277"/>
      <c r="W1390" s="277"/>
      <c r="X1390" s="277"/>
      <c r="Y1390" s="277"/>
      <c r="Z1390" s="277"/>
      <c r="AA1390" s="277"/>
      <c r="AB1390" s="277"/>
      <c r="AC1390" s="277"/>
      <c r="AD1390" s="277"/>
      <c r="AE1390" s="277"/>
      <c r="AF1390" s="277"/>
      <c r="AG1390" s="277"/>
      <c r="AH1390" s="277"/>
      <c r="AI1390" s="277"/>
      <c r="AJ1390" s="277"/>
      <c r="AK1390" s="277"/>
    </row>
    <row r="1391" spans="1:37" s="289" customFormat="1">
      <c r="A1391" s="277"/>
      <c r="C1391" s="277"/>
      <c r="D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  <c r="P1391" s="277"/>
      <c r="Q1391" s="277"/>
      <c r="R1391" s="277"/>
      <c r="S1391" s="277"/>
      <c r="T1391" s="277"/>
      <c r="U1391" s="277"/>
      <c r="V1391" s="277"/>
      <c r="W1391" s="277"/>
      <c r="X1391" s="277"/>
      <c r="Y1391" s="277"/>
      <c r="Z1391" s="277"/>
      <c r="AA1391" s="277"/>
      <c r="AB1391" s="277"/>
      <c r="AC1391" s="277"/>
      <c r="AD1391" s="277"/>
      <c r="AE1391" s="277"/>
      <c r="AF1391" s="277"/>
      <c r="AG1391" s="277"/>
      <c r="AH1391" s="277"/>
      <c r="AI1391" s="277"/>
      <c r="AJ1391" s="277"/>
      <c r="AK1391" s="277"/>
    </row>
    <row r="1392" spans="1:37" s="289" customFormat="1">
      <c r="A1392" s="277"/>
      <c r="C1392" s="277"/>
      <c r="D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  <c r="P1392" s="277"/>
      <c r="Q1392" s="277"/>
      <c r="R1392" s="277"/>
      <c r="S1392" s="277"/>
      <c r="T1392" s="277"/>
      <c r="U1392" s="277"/>
      <c r="V1392" s="277"/>
      <c r="W1392" s="277"/>
      <c r="X1392" s="277"/>
      <c r="Y1392" s="277"/>
      <c r="Z1392" s="277"/>
      <c r="AA1392" s="277"/>
      <c r="AB1392" s="277"/>
      <c r="AC1392" s="277"/>
      <c r="AD1392" s="277"/>
      <c r="AE1392" s="277"/>
      <c r="AF1392" s="277"/>
      <c r="AG1392" s="277"/>
      <c r="AH1392" s="277"/>
      <c r="AI1392" s="277"/>
      <c r="AJ1392" s="277"/>
      <c r="AK1392" s="277"/>
    </row>
    <row r="1393" spans="1:37" s="289" customFormat="1">
      <c r="A1393" s="277"/>
      <c r="C1393" s="277"/>
      <c r="D1393" s="277"/>
      <c r="E1393" s="277"/>
      <c r="F1393" s="277"/>
      <c r="G1393" s="277"/>
      <c r="H1393" s="277"/>
      <c r="I1393" s="277"/>
      <c r="J1393" s="277"/>
      <c r="K1393" s="277"/>
      <c r="L1393" s="277"/>
      <c r="M1393" s="277"/>
      <c r="N1393" s="277"/>
      <c r="O1393" s="277"/>
      <c r="P1393" s="277"/>
      <c r="Q1393" s="277"/>
      <c r="R1393" s="277"/>
      <c r="S1393" s="277"/>
      <c r="T1393" s="277"/>
      <c r="U1393" s="277"/>
      <c r="V1393" s="277"/>
      <c r="W1393" s="277"/>
      <c r="X1393" s="277"/>
      <c r="Y1393" s="277"/>
      <c r="Z1393" s="277"/>
      <c r="AA1393" s="277"/>
      <c r="AB1393" s="277"/>
      <c r="AC1393" s="277"/>
      <c r="AD1393" s="277"/>
      <c r="AE1393" s="277"/>
      <c r="AF1393" s="277"/>
      <c r="AG1393" s="277"/>
      <c r="AH1393" s="277"/>
      <c r="AI1393" s="277"/>
      <c r="AJ1393" s="277"/>
      <c r="AK1393" s="277"/>
    </row>
    <row r="1394" spans="1:37" s="289" customFormat="1">
      <c r="A1394" s="277"/>
      <c r="C1394" s="277"/>
      <c r="D1394" s="277"/>
      <c r="E1394" s="277"/>
      <c r="F1394" s="277"/>
      <c r="G1394" s="277"/>
      <c r="H1394" s="277"/>
      <c r="I1394" s="277"/>
      <c r="J1394" s="277"/>
      <c r="K1394" s="277"/>
      <c r="L1394" s="277"/>
      <c r="M1394" s="277"/>
      <c r="N1394" s="277"/>
      <c r="O1394" s="277"/>
      <c r="P1394" s="277"/>
      <c r="Q1394" s="277"/>
      <c r="R1394" s="277"/>
      <c r="S1394" s="277"/>
      <c r="T1394" s="277"/>
      <c r="U1394" s="277"/>
      <c r="V1394" s="277"/>
      <c r="W1394" s="277"/>
      <c r="X1394" s="277"/>
      <c r="Y1394" s="277"/>
      <c r="Z1394" s="277"/>
      <c r="AA1394" s="277"/>
      <c r="AB1394" s="277"/>
      <c r="AC1394" s="277"/>
      <c r="AD1394" s="277"/>
      <c r="AE1394" s="277"/>
      <c r="AF1394" s="277"/>
      <c r="AG1394" s="277"/>
      <c r="AH1394" s="277"/>
      <c r="AI1394" s="277"/>
      <c r="AJ1394" s="277"/>
      <c r="AK1394" s="277"/>
    </row>
    <row r="1395" spans="1:37" s="289" customFormat="1">
      <c r="A1395" s="277"/>
      <c r="C1395" s="277"/>
      <c r="D1395" s="277"/>
      <c r="E1395" s="277"/>
      <c r="F1395" s="277"/>
      <c r="G1395" s="277"/>
      <c r="H1395" s="277"/>
      <c r="I1395" s="277"/>
      <c r="J1395" s="277"/>
      <c r="K1395" s="277"/>
      <c r="L1395" s="277"/>
      <c r="M1395" s="277"/>
      <c r="N1395" s="277"/>
      <c r="O1395" s="277"/>
      <c r="P1395" s="277"/>
      <c r="Q1395" s="277"/>
      <c r="R1395" s="277"/>
      <c r="S1395" s="277"/>
      <c r="T1395" s="277"/>
      <c r="U1395" s="277"/>
      <c r="V1395" s="277"/>
      <c r="W1395" s="277"/>
      <c r="X1395" s="277"/>
      <c r="Y1395" s="277"/>
      <c r="Z1395" s="277"/>
      <c r="AA1395" s="277"/>
      <c r="AB1395" s="277"/>
      <c r="AC1395" s="277"/>
      <c r="AD1395" s="277"/>
      <c r="AE1395" s="277"/>
      <c r="AF1395" s="277"/>
      <c r="AG1395" s="277"/>
      <c r="AH1395" s="277"/>
      <c r="AI1395" s="277"/>
      <c r="AJ1395" s="277"/>
      <c r="AK1395" s="277"/>
    </row>
    <row r="1396" spans="1:37" s="289" customFormat="1">
      <c r="A1396" s="277"/>
      <c r="C1396" s="277"/>
      <c r="D1396" s="277"/>
      <c r="E1396" s="277"/>
      <c r="F1396" s="277"/>
      <c r="G1396" s="277"/>
      <c r="H1396" s="277"/>
      <c r="I1396" s="277"/>
      <c r="J1396" s="277"/>
      <c r="K1396" s="277"/>
      <c r="L1396" s="277"/>
      <c r="M1396" s="277"/>
      <c r="N1396" s="277"/>
      <c r="O1396" s="277"/>
      <c r="P1396" s="277"/>
      <c r="Q1396" s="277"/>
      <c r="R1396" s="277"/>
      <c r="S1396" s="277"/>
      <c r="T1396" s="277"/>
      <c r="U1396" s="277"/>
      <c r="V1396" s="277"/>
      <c r="W1396" s="277"/>
      <c r="X1396" s="277"/>
      <c r="Y1396" s="277"/>
      <c r="Z1396" s="277"/>
      <c r="AA1396" s="277"/>
      <c r="AB1396" s="277"/>
      <c r="AC1396" s="277"/>
      <c r="AD1396" s="277"/>
      <c r="AE1396" s="277"/>
      <c r="AF1396" s="277"/>
      <c r="AG1396" s="277"/>
      <c r="AH1396" s="277"/>
      <c r="AI1396" s="277"/>
      <c r="AJ1396" s="277"/>
      <c r="AK1396" s="277"/>
    </row>
    <row r="1397" spans="1:37" s="289" customFormat="1">
      <c r="A1397" s="277"/>
      <c r="C1397" s="277"/>
      <c r="D1397" s="277"/>
      <c r="E1397" s="277"/>
      <c r="F1397" s="277"/>
      <c r="G1397" s="277"/>
      <c r="H1397" s="277"/>
      <c r="I1397" s="277"/>
      <c r="J1397" s="277"/>
      <c r="K1397" s="277"/>
      <c r="L1397" s="277"/>
      <c r="M1397" s="277"/>
      <c r="N1397" s="277"/>
      <c r="O1397" s="277"/>
      <c r="P1397" s="277"/>
      <c r="Q1397" s="277"/>
      <c r="R1397" s="277"/>
      <c r="S1397" s="277"/>
      <c r="T1397" s="277"/>
      <c r="U1397" s="277"/>
      <c r="V1397" s="277"/>
      <c r="W1397" s="277"/>
      <c r="X1397" s="277"/>
      <c r="Y1397" s="277"/>
      <c r="Z1397" s="277"/>
      <c r="AA1397" s="277"/>
      <c r="AB1397" s="277"/>
      <c r="AC1397" s="277"/>
      <c r="AD1397" s="277"/>
      <c r="AE1397" s="277"/>
      <c r="AF1397" s="277"/>
      <c r="AG1397" s="277"/>
      <c r="AH1397" s="277"/>
      <c r="AI1397" s="277"/>
      <c r="AJ1397" s="277"/>
      <c r="AK1397" s="277"/>
    </row>
    <row r="1398" spans="1:37" s="289" customFormat="1">
      <c r="A1398" s="277"/>
      <c r="C1398" s="277"/>
      <c r="D1398" s="277"/>
      <c r="E1398" s="277"/>
      <c r="F1398" s="277"/>
      <c r="G1398" s="277"/>
      <c r="H1398" s="277"/>
      <c r="I1398" s="277"/>
      <c r="J1398" s="277"/>
      <c r="K1398" s="277"/>
      <c r="L1398" s="277"/>
      <c r="M1398" s="277"/>
      <c r="N1398" s="277"/>
      <c r="O1398" s="277"/>
      <c r="P1398" s="277"/>
      <c r="Q1398" s="277"/>
      <c r="R1398" s="277"/>
      <c r="S1398" s="277"/>
      <c r="T1398" s="277"/>
      <c r="U1398" s="277"/>
      <c r="V1398" s="277"/>
      <c r="W1398" s="277"/>
      <c r="X1398" s="277"/>
      <c r="Y1398" s="277"/>
      <c r="Z1398" s="277"/>
      <c r="AA1398" s="277"/>
      <c r="AB1398" s="277"/>
      <c r="AC1398" s="277"/>
      <c r="AD1398" s="277"/>
      <c r="AE1398" s="277"/>
      <c r="AF1398" s="277"/>
      <c r="AG1398" s="277"/>
      <c r="AH1398" s="277"/>
      <c r="AI1398" s="277"/>
      <c r="AJ1398" s="277"/>
      <c r="AK1398" s="277"/>
    </row>
    <row r="1399" spans="1:37" s="289" customFormat="1">
      <c r="A1399" s="277"/>
      <c r="C1399" s="277"/>
      <c r="D1399" s="277"/>
      <c r="E1399" s="277"/>
      <c r="F1399" s="277"/>
      <c r="G1399" s="277"/>
      <c r="H1399" s="277"/>
      <c r="I1399" s="277"/>
      <c r="J1399" s="277"/>
      <c r="K1399" s="277"/>
      <c r="L1399" s="277"/>
      <c r="M1399" s="277"/>
      <c r="N1399" s="277"/>
      <c r="O1399" s="277"/>
      <c r="P1399" s="277"/>
      <c r="Q1399" s="277"/>
      <c r="R1399" s="277"/>
      <c r="S1399" s="277"/>
      <c r="T1399" s="277"/>
      <c r="U1399" s="277"/>
      <c r="V1399" s="277"/>
      <c r="W1399" s="277"/>
      <c r="X1399" s="277"/>
      <c r="Y1399" s="277"/>
      <c r="Z1399" s="277"/>
      <c r="AA1399" s="277"/>
      <c r="AB1399" s="277"/>
      <c r="AC1399" s="277"/>
      <c r="AD1399" s="277"/>
      <c r="AE1399" s="277"/>
      <c r="AF1399" s="277"/>
      <c r="AG1399" s="277"/>
      <c r="AH1399" s="277"/>
      <c r="AI1399" s="277"/>
      <c r="AJ1399" s="277"/>
      <c r="AK1399" s="277"/>
    </row>
    <row r="1400" spans="1:37" s="289" customFormat="1">
      <c r="A1400" s="277"/>
      <c r="C1400" s="277"/>
      <c r="D1400" s="277"/>
      <c r="E1400" s="277"/>
      <c r="F1400" s="277"/>
      <c r="G1400" s="277"/>
      <c r="H1400" s="277"/>
      <c r="I1400" s="277"/>
      <c r="J1400" s="277"/>
      <c r="K1400" s="277"/>
      <c r="L1400" s="277"/>
      <c r="M1400" s="277"/>
      <c r="N1400" s="277"/>
      <c r="O1400" s="277"/>
      <c r="P1400" s="277"/>
      <c r="Q1400" s="277"/>
      <c r="R1400" s="277"/>
      <c r="S1400" s="277"/>
      <c r="T1400" s="277"/>
      <c r="U1400" s="277"/>
      <c r="V1400" s="277"/>
      <c r="W1400" s="277"/>
      <c r="X1400" s="277"/>
      <c r="Y1400" s="277"/>
      <c r="Z1400" s="277"/>
      <c r="AA1400" s="277"/>
      <c r="AB1400" s="277"/>
      <c r="AC1400" s="277"/>
      <c r="AD1400" s="277"/>
      <c r="AE1400" s="277"/>
      <c r="AF1400" s="277"/>
      <c r="AG1400" s="277"/>
      <c r="AH1400" s="277"/>
      <c r="AI1400" s="277"/>
      <c r="AJ1400" s="277"/>
      <c r="AK1400" s="277"/>
    </row>
    <row r="1401" spans="1:37" s="289" customFormat="1">
      <c r="A1401" s="277"/>
      <c r="C1401" s="277"/>
      <c r="D1401" s="277"/>
      <c r="E1401" s="277"/>
      <c r="F1401" s="277"/>
      <c r="G1401" s="277"/>
      <c r="H1401" s="277"/>
      <c r="I1401" s="277"/>
      <c r="J1401" s="277"/>
      <c r="K1401" s="277"/>
      <c r="L1401" s="277"/>
      <c r="M1401" s="277"/>
      <c r="N1401" s="277"/>
      <c r="O1401" s="277"/>
      <c r="P1401" s="277"/>
      <c r="Q1401" s="277"/>
      <c r="R1401" s="277"/>
      <c r="S1401" s="277"/>
      <c r="T1401" s="277"/>
      <c r="U1401" s="277"/>
      <c r="V1401" s="277"/>
      <c r="W1401" s="277"/>
      <c r="X1401" s="277"/>
      <c r="Y1401" s="277"/>
      <c r="Z1401" s="277"/>
      <c r="AA1401" s="277"/>
      <c r="AB1401" s="277"/>
      <c r="AC1401" s="277"/>
      <c r="AD1401" s="277"/>
      <c r="AE1401" s="277"/>
      <c r="AF1401" s="277"/>
      <c r="AG1401" s="277"/>
      <c r="AH1401" s="277"/>
      <c r="AI1401" s="277"/>
      <c r="AJ1401" s="277"/>
      <c r="AK1401" s="277"/>
    </row>
    <row r="1402" spans="1:37" s="289" customFormat="1">
      <c r="A1402" s="277"/>
      <c r="C1402" s="277"/>
      <c r="D1402" s="277"/>
      <c r="E1402" s="277"/>
      <c r="F1402" s="277"/>
      <c r="G1402" s="277"/>
      <c r="H1402" s="277"/>
      <c r="I1402" s="277"/>
      <c r="J1402" s="277"/>
      <c r="K1402" s="277"/>
      <c r="L1402" s="277"/>
      <c r="M1402" s="277"/>
      <c r="N1402" s="277"/>
      <c r="O1402" s="277"/>
      <c r="P1402" s="277"/>
      <c r="Q1402" s="277"/>
      <c r="R1402" s="277"/>
      <c r="S1402" s="277"/>
      <c r="T1402" s="277"/>
      <c r="U1402" s="277"/>
      <c r="V1402" s="277"/>
      <c r="W1402" s="277"/>
      <c r="X1402" s="277"/>
      <c r="Y1402" s="277"/>
      <c r="Z1402" s="277"/>
      <c r="AA1402" s="277"/>
      <c r="AB1402" s="277"/>
      <c r="AC1402" s="277"/>
      <c r="AD1402" s="277"/>
      <c r="AE1402" s="277"/>
      <c r="AF1402" s="277"/>
      <c r="AG1402" s="277"/>
      <c r="AH1402" s="277"/>
      <c r="AI1402" s="277"/>
      <c r="AJ1402" s="277"/>
      <c r="AK1402" s="277"/>
    </row>
    <row r="1403" spans="1:37" s="289" customFormat="1">
      <c r="A1403" s="277"/>
      <c r="C1403" s="277"/>
      <c r="D1403" s="277"/>
      <c r="E1403" s="277"/>
      <c r="F1403" s="277"/>
      <c r="G1403" s="277"/>
      <c r="H1403" s="277"/>
      <c r="I1403" s="277"/>
      <c r="J1403" s="277"/>
      <c r="K1403" s="277"/>
      <c r="L1403" s="277"/>
      <c r="M1403" s="277"/>
      <c r="N1403" s="277"/>
      <c r="O1403" s="277"/>
      <c r="P1403" s="277"/>
      <c r="Q1403" s="277"/>
      <c r="R1403" s="277"/>
      <c r="S1403" s="277"/>
      <c r="T1403" s="277"/>
      <c r="U1403" s="277"/>
      <c r="V1403" s="277"/>
      <c r="W1403" s="277"/>
      <c r="X1403" s="277"/>
      <c r="Y1403" s="277"/>
      <c r="Z1403" s="277"/>
      <c r="AA1403" s="277"/>
      <c r="AB1403" s="277"/>
      <c r="AC1403" s="277"/>
      <c r="AD1403" s="277"/>
      <c r="AE1403" s="277"/>
      <c r="AF1403" s="277"/>
      <c r="AG1403" s="277"/>
      <c r="AH1403" s="277"/>
      <c r="AI1403" s="277"/>
      <c r="AJ1403" s="277"/>
      <c r="AK1403" s="277"/>
    </row>
    <row r="1404" spans="1:37" s="289" customFormat="1">
      <c r="A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  <c r="P1404" s="277"/>
      <c r="Q1404" s="277"/>
      <c r="R1404" s="277"/>
      <c r="S1404" s="277"/>
      <c r="T1404" s="277"/>
      <c r="U1404" s="277"/>
      <c r="V1404" s="277"/>
      <c r="W1404" s="277"/>
      <c r="X1404" s="277"/>
      <c r="Y1404" s="277"/>
      <c r="Z1404" s="277"/>
      <c r="AA1404" s="277"/>
      <c r="AB1404" s="277"/>
      <c r="AC1404" s="277"/>
      <c r="AD1404" s="277"/>
      <c r="AE1404" s="277"/>
      <c r="AF1404" s="277"/>
      <c r="AG1404" s="277"/>
      <c r="AH1404" s="277"/>
      <c r="AI1404" s="277"/>
      <c r="AJ1404" s="277"/>
      <c r="AK1404" s="277"/>
    </row>
    <row r="1405" spans="1:37" s="289" customFormat="1">
      <c r="A1405" s="277"/>
      <c r="C1405" s="277"/>
      <c r="D1405" s="277"/>
      <c r="E1405" s="277"/>
      <c r="F1405" s="277"/>
      <c r="G1405" s="277"/>
      <c r="H1405" s="277"/>
      <c r="I1405" s="277"/>
      <c r="J1405" s="277"/>
      <c r="K1405" s="277"/>
      <c r="L1405" s="277"/>
      <c r="M1405" s="277"/>
      <c r="N1405" s="277"/>
      <c r="O1405" s="277"/>
      <c r="P1405" s="277"/>
      <c r="Q1405" s="277"/>
      <c r="R1405" s="277"/>
      <c r="S1405" s="277"/>
      <c r="T1405" s="277"/>
      <c r="U1405" s="277"/>
      <c r="V1405" s="277"/>
      <c r="W1405" s="277"/>
      <c r="X1405" s="277"/>
      <c r="Y1405" s="277"/>
      <c r="Z1405" s="277"/>
      <c r="AA1405" s="277"/>
      <c r="AB1405" s="277"/>
      <c r="AC1405" s="277"/>
      <c r="AD1405" s="277"/>
      <c r="AE1405" s="277"/>
      <c r="AF1405" s="277"/>
      <c r="AG1405" s="277"/>
      <c r="AH1405" s="277"/>
      <c r="AI1405" s="277"/>
      <c r="AJ1405" s="277"/>
      <c r="AK1405" s="277"/>
    </row>
    <row r="1406" spans="1:37" s="289" customFormat="1">
      <c r="A1406" s="277"/>
      <c r="C1406" s="277"/>
      <c r="D1406" s="277"/>
      <c r="E1406" s="277"/>
      <c r="F1406" s="277"/>
      <c r="G1406" s="277"/>
      <c r="H1406" s="277"/>
      <c r="I1406" s="277"/>
      <c r="J1406" s="277"/>
      <c r="K1406" s="277"/>
      <c r="L1406" s="277"/>
      <c r="M1406" s="277"/>
      <c r="N1406" s="277"/>
      <c r="O1406" s="277"/>
      <c r="P1406" s="277"/>
      <c r="Q1406" s="277"/>
      <c r="R1406" s="277"/>
      <c r="S1406" s="277"/>
      <c r="T1406" s="277"/>
      <c r="U1406" s="277"/>
      <c r="V1406" s="277"/>
      <c r="W1406" s="277"/>
      <c r="X1406" s="277"/>
      <c r="Y1406" s="277"/>
      <c r="Z1406" s="277"/>
      <c r="AA1406" s="277"/>
      <c r="AB1406" s="277"/>
      <c r="AC1406" s="277"/>
      <c r="AD1406" s="277"/>
      <c r="AE1406" s="277"/>
      <c r="AF1406" s="277"/>
      <c r="AG1406" s="277"/>
      <c r="AH1406" s="277"/>
      <c r="AI1406" s="277"/>
      <c r="AJ1406" s="277"/>
      <c r="AK1406" s="277"/>
    </row>
    <row r="1407" spans="1:37" s="289" customFormat="1">
      <c r="A1407" s="277"/>
      <c r="C1407" s="277"/>
      <c r="D1407" s="277"/>
      <c r="E1407" s="277"/>
      <c r="F1407" s="277"/>
      <c r="G1407" s="277"/>
      <c r="H1407" s="277"/>
      <c r="I1407" s="277"/>
      <c r="J1407" s="277"/>
      <c r="K1407" s="277"/>
      <c r="L1407" s="277"/>
      <c r="M1407" s="277"/>
      <c r="N1407" s="277"/>
      <c r="O1407" s="277"/>
      <c r="P1407" s="277"/>
      <c r="Q1407" s="277"/>
      <c r="R1407" s="277"/>
      <c r="S1407" s="277"/>
      <c r="T1407" s="277"/>
      <c r="U1407" s="277"/>
      <c r="V1407" s="277"/>
      <c r="W1407" s="277"/>
      <c r="X1407" s="277"/>
      <c r="Y1407" s="277"/>
      <c r="Z1407" s="277"/>
      <c r="AA1407" s="277"/>
      <c r="AB1407" s="277"/>
      <c r="AC1407" s="277"/>
      <c r="AD1407" s="277"/>
      <c r="AE1407" s="277"/>
      <c r="AF1407" s="277"/>
      <c r="AG1407" s="277"/>
      <c r="AH1407" s="277"/>
      <c r="AI1407" s="277"/>
      <c r="AJ1407" s="277"/>
      <c r="AK1407" s="277"/>
    </row>
    <row r="1408" spans="1:37" s="289" customFormat="1">
      <c r="A1408" s="277"/>
      <c r="C1408" s="277"/>
      <c r="D1408" s="277"/>
      <c r="E1408" s="277"/>
      <c r="F1408" s="277"/>
      <c r="G1408" s="277"/>
      <c r="H1408" s="277"/>
      <c r="I1408" s="277"/>
      <c r="J1408" s="277"/>
      <c r="K1408" s="277"/>
      <c r="L1408" s="277"/>
      <c r="M1408" s="277"/>
      <c r="N1408" s="277"/>
      <c r="O1408" s="277"/>
      <c r="P1408" s="277"/>
      <c r="Q1408" s="277"/>
      <c r="R1408" s="277"/>
      <c r="S1408" s="277"/>
      <c r="T1408" s="277"/>
      <c r="U1408" s="277"/>
      <c r="V1408" s="277"/>
      <c r="W1408" s="277"/>
      <c r="X1408" s="277"/>
      <c r="Y1408" s="277"/>
      <c r="Z1408" s="277"/>
      <c r="AA1408" s="277"/>
      <c r="AB1408" s="277"/>
      <c r="AC1408" s="277"/>
      <c r="AD1408" s="277"/>
      <c r="AE1408" s="277"/>
      <c r="AF1408" s="277"/>
      <c r="AG1408" s="277"/>
      <c r="AH1408" s="277"/>
      <c r="AI1408" s="277"/>
      <c r="AJ1408" s="277"/>
      <c r="AK1408" s="277"/>
    </row>
    <row r="1409" spans="1:37" s="289" customFormat="1">
      <c r="A1409" s="277"/>
      <c r="C1409" s="277"/>
      <c r="D1409" s="277"/>
      <c r="E1409" s="277"/>
      <c r="F1409" s="277"/>
      <c r="G1409" s="277"/>
      <c r="H1409" s="277"/>
      <c r="I1409" s="277"/>
      <c r="J1409" s="277"/>
      <c r="K1409" s="277"/>
      <c r="L1409" s="277"/>
      <c r="M1409" s="277"/>
      <c r="N1409" s="277"/>
      <c r="O1409" s="277"/>
      <c r="P1409" s="277"/>
      <c r="Q1409" s="277"/>
      <c r="R1409" s="277"/>
      <c r="S1409" s="277"/>
      <c r="T1409" s="277"/>
      <c r="U1409" s="277"/>
      <c r="V1409" s="277"/>
      <c r="W1409" s="277"/>
      <c r="X1409" s="277"/>
      <c r="Y1409" s="277"/>
      <c r="Z1409" s="277"/>
      <c r="AA1409" s="277"/>
      <c r="AB1409" s="277"/>
      <c r="AC1409" s="277"/>
      <c r="AD1409" s="277"/>
      <c r="AE1409" s="277"/>
      <c r="AF1409" s="277"/>
      <c r="AG1409" s="277"/>
      <c r="AH1409" s="277"/>
      <c r="AI1409" s="277"/>
      <c r="AJ1409" s="277"/>
      <c r="AK1409" s="277"/>
    </row>
    <row r="1410" spans="1:37" s="289" customFormat="1">
      <c r="A1410" s="277"/>
      <c r="C1410" s="277"/>
      <c r="D1410" s="277"/>
      <c r="E1410" s="277"/>
      <c r="F1410" s="277"/>
      <c r="G1410" s="277"/>
      <c r="H1410" s="277"/>
      <c r="I1410" s="277"/>
      <c r="J1410" s="277"/>
      <c r="K1410" s="277"/>
      <c r="L1410" s="277"/>
      <c r="M1410" s="277"/>
      <c r="N1410" s="277"/>
      <c r="O1410" s="277"/>
      <c r="P1410" s="277"/>
      <c r="Q1410" s="277"/>
      <c r="R1410" s="277"/>
      <c r="S1410" s="277"/>
      <c r="T1410" s="277"/>
      <c r="U1410" s="277"/>
      <c r="V1410" s="277"/>
      <c r="W1410" s="277"/>
      <c r="X1410" s="277"/>
      <c r="Y1410" s="277"/>
      <c r="Z1410" s="277"/>
      <c r="AA1410" s="277"/>
      <c r="AB1410" s="277"/>
      <c r="AC1410" s="277"/>
      <c r="AD1410" s="277"/>
      <c r="AE1410" s="277"/>
      <c r="AF1410" s="277"/>
      <c r="AG1410" s="277"/>
      <c r="AH1410" s="277"/>
      <c r="AI1410" s="277"/>
      <c r="AJ1410" s="277"/>
      <c r="AK1410" s="277"/>
    </row>
    <row r="1411" spans="1:37" s="289" customFormat="1">
      <c r="A1411" s="277"/>
      <c r="C1411" s="277"/>
      <c r="D1411" s="277"/>
      <c r="E1411" s="277"/>
      <c r="F1411" s="277"/>
      <c r="G1411" s="277"/>
      <c r="H1411" s="277"/>
      <c r="I1411" s="277"/>
      <c r="J1411" s="277"/>
      <c r="K1411" s="277"/>
      <c r="L1411" s="277"/>
      <c r="M1411" s="277"/>
      <c r="N1411" s="277"/>
      <c r="O1411" s="277"/>
      <c r="P1411" s="277"/>
      <c r="Q1411" s="277"/>
      <c r="R1411" s="277"/>
      <c r="S1411" s="277"/>
      <c r="T1411" s="277"/>
      <c r="U1411" s="277"/>
      <c r="V1411" s="277"/>
      <c r="W1411" s="277"/>
      <c r="X1411" s="277"/>
      <c r="Y1411" s="277"/>
      <c r="Z1411" s="277"/>
      <c r="AA1411" s="277"/>
      <c r="AB1411" s="277"/>
      <c r="AC1411" s="277"/>
      <c r="AD1411" s="277"/>
      <c r="AE1411" s="277"/>
      <c r="AF1411" s="277"/>
      <c r="AG1411" s="277"/>
      <c r="AH1411" s="277"/>
      <c r="AI1411" s="277"/>
      <c r="AJ1411" s="277"/>
      <c r="AK1411" s="277"/>
    </row>
    <row r="1412" spans="1:37" s="289" customFormat="1">
      <c r="A1412" s="277"/>
      <c r="C1412" s="277"/>
      <c r="D1412" s="277"/>
      <c r="E1412" s="277"/>
      <c r="F1412" s="277"/>
      <c r="G1412" s="277"/>
      <c r="H1412" s="277"/>
      <c r="I1412" s="277"/>
      <c r="J1412" s="277"/>
      <c r="K1412" s="277"/>
      <c r="L1412" s="277"/>
      <c r="M1412" s="277"/>
      <c r="N1412" s="277"/>
      <c r="O1412" s="277"/>
      <c r="P1412" s="277"/>
      <c r="Q1412" s="277"/>
      <c r="R1412" s="277"/>
      <c r="S1412" s="277"/>
      <c r="T1412" s="277"/>
      <c r="U1412" s="277"/>
      <c r="V1412" s="277"/>
      <c r="W1412" s="277"/>
      <c r="X1412" s="277"/>
      <c r="Y1412" s="277"/>
      <c r="Z1412" s="277"/>
      <c r="AA1412" s="277"/>
      <c r="AB1412" s="277"/>
      <c r="AC1412" s="277"/>
      <c r="AD1412" s="277"/>
      <c r="AE1412" s="277"/>
      <c r="AF1412" s="277"/>
      <c r="AG1412" s="277"/>
      <c r="AH1412" s="277"/>
      <c r="AI1412" s="277"/>
      <c r="AJ1412" s="277"/>
      <c r="AK1412" s="277"/>
    </row>
    <row r="1413" spans="1:37" s="289" customFormat="1">
      <c r="A1413" s="277"/>
      <c r="C1413" s="277"/>
      <c r="D1413" s="277"/>
      <c r="E1413" s="277"/>
      <c r="F1413" s="277"/>
      <c r="G1413" s="277"/>
      <c r="H1413" s="277"/>
      <c r="I1413" s="277"/>
      <c r="J1413" s="277"/>
      <c r="K1413" s="277"/>
      <c r="L1413" s="277"/>
      <c r="M1413" s="277"/>
      <c r="N1413" s="277"/>
      <c r="O1413" s="277"/>
      <c r="P1413" s="277"/>
      <c r="Q1413" s="277"/>
      <c r="R1413" s="277"/>
      <c r="S1413" s="277"/>
      <c r="T1413" s="277"/>
      <c r="U1413" s="277"/>
      <c r="V1413" s="277"/>
      <c r="W1413" s="277"/>
      <c r="X1413" s="277"/>
      <c r="Y1413" s="277"/>
      <c r="Z1413" s="277"/>
      <c r="AA1413" s="277"/>
      <c r="AB1413" s="277"/>
      <c r="AC1413" s="277"/>
      <c r="AD1413" s="277"/>
      <c r="AE1413" s="277"/>
      <c r="AF1413" s="277"/>
      <c r="AG1413" s="277"/>
      <c r="AH1413" s="277"/>
      <c r="AI1413" s="277"/>
      <c r="AJ1413" s="277"/>
      <c r="AK1413" s="277"/>
    </row>
    <row r="1414" spans="1:37" s="289" customFormat="1">
      <c r="A1414" s="277"/>
      <c r="C1414" s="277"/>
      <c r="D1414" s="277"/>
      <c r="E1414" s="277"/>
      <c r="F1414" s="277"/>
      <c r="G1414" s="277"/>
      <c r="H1414" s="277"/>
      <c r="I1414" s="277"/>
      <c r="J1414" s="277"/>
      <c r="K1414" s="277"/>
      <c r="L1414" s="277"/>
      <c r="M1414" s="277"/>
      <c r="N1414" s="277"/>
      <c r="O1414" s="277"/>
      <c r="P1414" s="277"/>
      <c r="Q1414" s="277"/>
      <c r="R1414" s="277"/>
      <c r="S1414" s="277"/>
      <c r="T1414" s="277"/>
      <c r="U1414" s="277"/>
      <c r="V1414" s="277"/>
      <c r="W1414" s="277"/>
      <c r="X1414" s="277"/>
      <c r="Y1414" s="277"/>
      <c r="Z1414" s="277"/>
      <c r="AA1414" s="277"/>
      <c r="AB1414" s="277"/>
      <c r="AC1414" s="277"/>
      <c r="AD1414" s="277"/>
      <c r="AE1414" s="277"/>
      <c r="AF1414" s="277"/>
      <c r="AG1414" s="277"/>
      <c r="AH1414" s="277"/>
      <c r="AI1414" s="277"/>
      <c r="AJ1414" s="277"/>
      <c r="AK1414" s="277"/>
    </row>
    <row r="1415" spans="1:37" s="289" customFormat="1">
      <c r="A1415" s="277"/>
      <c r="C1415" s="277"/>
      <c r="D1415" s="277"/>
      <c r="E1415" s="277"/>
      <c r="F1415" s="277"/>
      <c r="G1415" s="277"/>
      <c r="H1415" s="277"/>
      <c r="I1415" s="277"/>
      <c r="J1415" s="277"/>
      <c r="K1415" s="277"/>
      <c r="L1415" s="277"/>
      <c r="M1415" s="277"/>
      <c r="N1415" s="277"/>
      <c r="O1415" s="277"/>
      <c r="P1415" s="277"/>
      <c r="Q1415" s="277"/>
      <c r="R1415" s="277"/>
      <c r="S1415" s="277"/>
      <c r="T1415" s="277"/>
      <c r="U1415" s="277"/>
      <c r="V1415" s="277"/>
      <c r="W1415" s="277"/>
      <c r="X1415" s="277"/>
      <c r="Y1415" s="277"/>
      <c r="Z1415" s="277"/>
      <c r="AA1415" s="277"/>
      <c r="AB1415" s="277"/>
      <c r="AC1415" s="277"/>
      <c r="AD1415" s="277"/>
      <c r="AE1415" s="277"/>
      <c r="AF1415" s="277"/>
      <c r="AG1415" s="277"/>
      <c r="AH1415" s="277"/>
      <c r="AI1415" s="277"/>
      <c r="AJ1415" s="277"/>
      <c r="AK1415" s="277"/>
    </row>
    <row r="1416" spans="1:37" s="289" customFormat="1">
      <c r="A1416" s="277"/>
      <c r="C1416" s="277"/>
      <c r="D1416" s="277"/>
      <c r="E1416" s="277"/>
      <c r="F1416" s="277"/>
      <c r="G1416" s="277"/>
      <c r="H1416" s="277"/>
      <c r="I1416" s="277"/>
      <c r="J1416" s="277"/>
      <c r="K1416" s="277"/>
      <c r="L1416" s="277"/>
      <c r="M1416" s="277"/>
      <c r="N1416" s="277"/>
      <c r="O1416" s="277"/>
      <c r="P1416" s="277"/>
      <c r="Q1416" s="277"/>
      <c r="R1416" s="277"/>
      <c r="S1416" s="277"/>
      <c r="T1416" s="277"/>
      <c r="U1416" s="277"/>
      <c r="V1416" s="277"/>
      <c r="W1416" s="277"/>
      <c r="X1416" s="277"/>
      <c r="Y1416" s="277"/>
      <c r="Z1416" s="277"/>
      <c r="AA1416" s="277"/>
      <c r="AB1416" s="277"/>
      <c r="AC1416" s="277"/>
      <c r="AD1416" s="277"/>
      <c r="AE1416" s="277"/>
      <c r="AF1416" s="277"/>
      <c r="AG1416" s="277"/>
      <c r="AH1416" s="277"/>
      <c r="AI1416" s="277"/>
      <c r="AJ1416" s="277"/>
      <c r="AK1416" s="277"/>
    </row>
    <row r="1417" spans="1:37" s="289" customFormat="1">
      <c r="A1417" s="277"/>
      <c r="C1417" s="277"/>
      <c r="D1417" s="277"/>
      <c r="E1417" s="277"/>
      <c r="F1417" s="277"/>
      <c r="G1417" s="277"/>
      <c r="H1417" s="277"/>
      <c r="I1417" s="277"/>
      <c r="J1417" s="277"/>
      <c r="K1417" s="277"/>
      <c r="L1417" s="277"/>
      <c r="M1417" s="277"/>
      <c r="N1417" s="277"/>
      <c r="O1417" s="277"/>
      <c r="P1417" s="277"/>
      <c r="Q1417" s="277"/>
      <c r="R1417" s="277"/>
      <c r="S1417" s="277"/>
      <c r="T1417" s="277"/>
      <c r="U1417" s="277"/>
      <c r="V1417" s="277"/>
      <c r="W1417" s="277"/>
      <c r="X1417" s="277"/>
      <c r="Y1417" s="277"/>
      <c r="Z1417" s="277"/>
      <c r="AA1417" s="277"/>
      <c r="AB1417" s="277"/>
      <c r="AC1417" s="277"/>
      <c r="AD1417" s="277"/>
      <c r="AE1417" s="277"/>
      <c r="AF1417" s="277"/>
      <c r="AG1417" s="277"/>
      <c r="AH1417" s="277"/>
      <c r="AI1417" s="277"/>
      <c r="AJ1417" s="277"/>
      <c r="AK1417" s="277"/>
    </row>
    <row r="1418" spans="1:37" s="289" customFormat="1">
      <c r="A1418" s="277"/>
      <c r="C1418" s="277"/>
      <c r="D1418" s="277"/>
      <c r="E1418" s="277"/>
      <c r="F1418" s="277"/>
      <c r="G1418" s="277"/>
      <c r="H1418" s="277"/>
      <c r="I1418" s="277"/>
      <c r="J1418" s="277"/>
      <c r="K1418" s="277"/>
      <c r="L1418" s="277"/>
      <c r="M1418" s="277"/>
      <c r="N1418" s="277"/>
      <c r="O1418" s="277"/>
      <c r="P1418" s="277"/>
      <c r="Q1418" s="277"/>
      <c r="R1418" s="277"/>
      <c r="S1418" s="277"/>
      <c r="T1418" s="277"/>
      <c r="U1418" s="277"/>
      <c r="V1418" s="277"/>
      <c r="W1418" s="277"/>
      <c r="X1418" s="277"/>
      <c r="Y1418" s="277"/>
      <c r="Z1418" s="277"/>
      <c r="AA1418" s="277"/>
      <c r="AB1418" s="277"/>
      <c r="AC1418" s="277"/>
      <c r="AD1418" s="277"/>
      <c r="AE1418" s="277"/>
      <c r="AF1418" s="277"/>
      <c r="AG1418" s="277"/>
      <c r="AH1418" s="277"/>
      <c r="AI1418" s="277"/>
      <c r="AJ1418" s="277"/>
      <c r="AK1418" s="277"/>
    </row>
    <row r="1419" spans="1:37" s="289" customFormat="1">
      <c r="A1419" s="277"/>
      <c r="C1419" s="277"/>
      <c r="D1419" s="277"/>
      <c r="E1419" s="277"/>
      <c r="F1419" s="277"/>
      <c r="G1419" s="277"/>
      <c r="H1419" s="277"/>
      <c r="I1419" s="277"/>
      <c r="J1419" s="277"/>
      <c r="K1419" s="277"/>
      <c r="L1419" s="277"/>
      <c r="M1419" s="277"/>
      <c r="N1419" s="277"/>
      <c r="O1419" s="277"/>
      <c r="P1419" s="277"/>
      <c r="Q1419" s="277"/>
      <c r="R1419" s="277"/>
      <c r="S1419" s="277"/>
      <c r="T1419" s="277"/>
      <c r="U1419" s="277"/>
      <c r="V1419" s="277"/>
      <c r="W1419" s="277"/>
      <c r="X1419" s="277"/>
      <c r="Y1419" s="277"/>
      <c r="Z1419" s="277"/>
      <c r="AA1419" s="277"/>
      <c r="AB1419" s="277"/>
      <c r="AC1419" s="277"/>
      <c r="AD1419" s="277"/>
      <c r="AE1419" s="277"/>
      <c r="AF1419" s="277"/>
      <c r="AG1419" s="277"/>
      <c r="AH1419" s="277"/>
      <c r="AI1419" s="277"/>
      <c r="AJ1419" s="277"/>
      <c r="AK1419" s="277"/>
    </row>
    <row r="1420" spans="1:37" s="289" customFormat="1">
      <c r="A1420" s="277"/>
      <c r="C1420" s="277"/>
      <c r="D1420" s="277"/>
      <c r="E1420" s="277"/>
      <c r="F1420" s="277"/>
      <c r="G1420" s="277"/>
      <c r="H1420" s="277"/>
      <c r="I1420" s="277"/>
      <c r="J1420" s="277"/>
      <c r="K1420" s="277"/>
      <c r="L1420" s="277"/>
      <c r="M1420" s="277"/>
      <c r="N1420" s="277"/>
      <c r="O1420" s="277"/>
      <c r="P1420" s="277"/>
      <c r="Q1420" s="277"/>
      <c r="R1420" s="277"/>
      <c r="S1420" s="277"/>
      <c r="T1420" s="277"/>
      <c r="U1420" s="277"/>
      <c r="V1420" s="277"/>
      <c r="W1420" s="277"/>
      <c r="X1420" s="277"/>
      <c r="Y1420" s="277"/>
      <c r="Z1420" s="277"/>
      <c r="AA1420" s="277"/>
      <c r="AB1420" s="277"/>
      <c r="AC1420" s="277"/>
      <c r="AD1420" s="277"/>
      <c r="AE1420" s="277"/>
      <c r="AF1420" s="277"/>
      <c r="AG1420" s="277"/>
      <c r="AH1420" s="277"/>
      <c r="AI1420" s="277"/>
      <c r="AJ1420" s="277"/>
      <c r="AK1420" s="277"/>
    </row>
    <row r="1421" spans="1:37" s="289" customFormat="1">
      <c r="A1421" s="277"/>
      <c r="C1421" s="277"/>
      <c r="D1421" s="277"/>
      <c r="E1421" s="277"/>
      <c r="F1421" s="277"/>
      <c r="G1421" s="277"/>
      <c r="H1421" s="277"/>
      <c r="I1421" s="277"/>
      <c r="J1421" s="277"/>
      <c r="K1421" s="277"/>
      <c r="L1421" s="277"/>
      <c r="M1421" s="277"/>
      <c r="N1421" s="277"/>
      <c r="O1421" s="277"/>
      <c r="P1421" s="277"/>
      <c r="Q1421" s="277"/>
      <c r="R1421" s="277"/>
      <c r="S1421" s="277"/>
      <c r="T1421" s="277"/>
      <c r="U1421" s="277"/>
      <c r="V1421" s="277"/>
      <c r="W1421" s="277"/>
      <c r="X1421" s="277"/>
      <c r="Y1421" s="277"/>
      <c r="Z1421" s="277"/>
      <c r="AA1421" s="277"/>
      <c r="AB1421" s="277"/>
      <c r="AC1421" s="277"/>
      <c r="AD1421" s="277"/>
      <c r="AE1421" s="277"/>
      <c r="AF1421" s="277"/>
      <c r="AG1421" s="277"/>
      <c r="AH1421" s="277"/>
      <c r="AI1421" s="277"/>
      <c r="AJ1421" s="277"/>
      <c r="AK1421" s="277"/>
    </row>
    <row r="1422" spans="1:37" s="289" customFormat="1">
      <c r="A1422" s="277"/>
      <c r="C1422" s="277"/>
      <c r="D1422" s="277"/>
      <c r="E1422" s="277"/>
      <c r="F1422" s="277"/>
      <c r="G1422" s="277"/>
      <c r="H1422" s="277"/>
      <c r="I1422" s="277"/>
      <c r="J1422" s="277"/>
      <c r="K1422" s="277"/>
      <c r="L1422" s="277"/>
      <c r="M1422" s="277"/>
      <c r="N1422" s="277"/>
      <c r="O1422" s="277"/>
      <c r="P1422" s="277"/>
      <c r="Q1422" s="277"/>
      <c r="R1422" s="277"/>
      <c r="S1422" s="277"/>
      <c r="T1422" s="277"/>
      <c r="U1422" s="277"/>
      <c r="V1422" s="277"/>
      <c r="W1422" s="277"/>
      <c r="X1422" s="277"/>
      <c r="Y1422" s="277"/>
      <c r="Z1422" s="277"/>
      <c r="AA1422" s="277"/>
      <c r="AB1422" s="277"/>
      <c r="AC1422" s="277"/>
      <c r="AD1422" s="277"/>
      <c r="AE1422" s="277"/>
      <c r="AF1422" s="277"/>
      <c r="AG1422" s="277"/>
      <c r="AH1422" s="277"/>
      <c r="AI1422" s="277"/>
      <c r="AJ1422" s="277"/>
      <c r="AK1422" s="277"/>
    </row>
    <row r="1423" spans="1:37" s="289" customFormat="1">
      <c r="A1423" s="277"/>
      <c r="C1423" s="277"/>
      <c r="D1423" s="277"/>
      <c r="E1423" s="277"/>
      <c r="F1423" s="277"/>
      <c r="G1423" s="277"/>
      <c r="H1423" s="277"/>
      <c r="I1423" s="277"/>
      <c r="J1423" s="277"/>
      <c r="K1423" s="277"/>
      <c r="L1423" s="277"/>
      <c r="M1423" s="277"/>
      <c r="N1423" s="277"/>
      <c r="O1423" s="277"/>
      <c r="P1423" s="277"/>
      <c r="Q1423" s="277"/>
      <c r="R1423" s="277"/>
      <c r="S1423" s="277"/>
      <c r="T1423" s="277"/>
      <c r="U1423" s="277"/>
      <c r="V1423" s="277"/>
      <c r="W1423" s="277"/>
      <c r="X1423" s="277"/>
      <c r="Y1423" s="277"/>
      <c r="Z1423" s="277"/>
      <c r="AA1423" s="277"/>
      <c r="AB1423" s="277"/>
      <c r="AC1423" s="277"/>
      <c r="AD1423" s="277"/>
      <c r="AE1423" s="277"/>
      <c r="AF1423" s="277"/>
      <c r="AG1423" s="277"/>
      <c r="AH1423" s="277"/>
      <c r="AI1423" s="277"/>
      <c r="AJ1423" s="277"/>
      <c r="AK1423" s="277"/>
    </row>
    <row r="1424" spans="1:37" s="289" customFormat="1">
      <c r="A1424" s="277"/>
      <c r="C1424" s="277"/>
      <c r="D1424" s="277"/>
      <c r="E1424" s="277"/>
      <c r="F1424" s="277"/>
      <c r="G1424" s="277"/>
      <c r="H1424" s="277"/>
      <c r="I1424" s="277"/>
      <c r="J1424" s="277"/>
      <c r="K1424" s="277"/>
      <c r="L1424" s="277"/>
      <c r="M1424" s="277"/>
      <c r="N1424" s="277"/>
      <c r="O1424" s="277"/>
      <c r="P1424" s="277"/>
      <c r="Q1424" s="277"/>
      <c r="R1424" s="277"/>
      <c r="S1424" s="277"/>
      <c r="T1424" s="277"/>
      <c r="U1424" s="277"/>
      <c r="V1424" s="277"/>
      <c r="W1424" s="277"/>
      <c r="X1424" s="277"/>
      <c r="Y1424" s="277"/>
      <c r="Z1424" s="277"/>
      <c r="AA1424" s="277"/>
      <c r="AB1424" s="277"/>
      <c r="AC1424" s="277"/>
      <c r="AD1424" s="277"/>
      <c r="AE1424" s="277"/>
      <c r="AF1424" s="277"/>
      <c r="AG1424" s="277"/>
      <c r="AH1424" s="277"/>
      <c r="AI1424" s="277"/>
      <c r="AJ1424" s="277"/>
      <c r="AK1424" s="277"/>
    </row>
    <row r="1425" spans="1:37" s="289" customFormat="1">
      <c r="A1425" s="277"/>
      <c r="C1425" s="277"/>
      <c r="D1425" s="277"/>
      <c r="E1425" s="277"/>
      <c r="F1425" s="277"/>
      <c r="G1425" s="277"/>
      <c r="H1425" s="277"/>
      <c r="I1425" s="277"/>
      <c r="J1425" s="277"/>
      <c r="K1425" s="277"/>
      <c r="L1425" s="277"/>
      <c r="M1425" s="277"/>
      <c r="N1425" s="277"/>
      <c r="O1425" s="277"/>
      <c r="P1425" s="277"/>
      <c r="Q1425" s="277"/>
      <c r="R1425" s="277"/>
      <c r="S1425" s="277"/>
      <c r="T1425" s="277"/>
      <c r="U1425" s="277"/>
      <c r="V1425" s="277"/>
      <c r="W1425" s="277"/>
      <c r="X1425" s="277"/>
      <c r="Y1425" s="277"/>
      <c r="Z1425" s="277"/>
      <c r="AA1425" s="277"/>
      <c r="AB1425" s="277"/>
      <c r="AC1425" s="277"/>
      <c r="AD1425" s="277"/>
      <c r="AE1425" s="277"/>
      <c r="AF1425" s="277"/>
      <c r="AG1425" s="277"/>
      <c r="AH1425" s="277"/>
      <c r="AI1425" s="277"/>
      <c r="AJ1425" s="277"/>
      <c r="AK1425" s="277"/>
    </row>
    <row r="1426" spans="1:37" s="289" customFormat="1">
      <c r="A1426" s="277"/>
      <c r="C1426" s="277"/>
      <c r="D1426" s="277"/>
      <c r="E1426" s="277"/>
      <c r="F1426" s="277"/>
      <c r="G1426" s="277"/>
      <c r="H1426" s="277"/>
      <c r="I1426" s="277"/>
      <c r="J1426" s="277"/>
      <c r="K1426" s="277"/>
      <c r="L1426" s="277"/>
      <c r="M1426" s="277"/>
      <c r="N1426" s="277"/>
      <c r="O1426" s="277"/>
      <c r="P1426" s="277"/>
      <c r="Q1426" s="277"/>
      <c r="R1426" s="277"/>
      <c r="S1426" s="277"/>
      <c r="T1426" s="277"/>
      <c r="U1426" s="277"/>
      <c r="V1426" s="277"/>
      <c r="W1426" s="277"/>
      <c r="X1426" s="277"/>
      <c r="Y1426" s="277"/>
      <c r="Z1426" s="277"/>
      <c r="AA1426" s="277"/>
      <c r="AB1426" s="277"/>
      <c r="AC1426" s="277"/>
      <c r="AD1426" s="277"/>
      <c r="AE1426" s="277"/>
      <c r="AF1426" s="277"/>
      <c r="AG1426" s="277"/>
      <c r="AH1426" s="277"/>
      <c r="AI1426" s="277"/>
      <c r="AJ1426" s="277"/>
      <c r="AK1426" s="277"/>
    </row>
    <row r="1427" spans="1:37" s="289" customFormat="1">
      <c r="A1427" s="277"/>
      <c r="C1427" s="277"/>
      <c r="D1427" s="277"/>
      <c r="E1427" s="277"/>
      <c r="F1427" s="277"/>
      <c r="G1427" s="277"/>
      <c r="H1427" s="277"/>
      <c r="I1427" s="277"/>
      <c r="J1427" s="277"/>
      <c r="K1427" s="277"/>
      <c r="L1427" s="277"/>
      <c r="M1427" s="277"/>
      <c r="N1427" s="277"/>
      <c r="O1427" s="277"/>
      <c r="P1427" s="277"/>
      <c r="Q1427" s="277"/>
      <c r="R1427" s="277"/>
      <c r="S1427" s="277"/>
      <c r="T1427" s="277"/>
      <c r="U1427" s="277"/>
      <c r="V1427" s="277"/>
      <c r="W1427" s="277"/>
      <c r="X1427" s="277"/>
      <c r="Y1427" s="277"/>
      <c r="Z1427" s="277"/>
      <c r="AA1427" s="277"/>
      <c r="AB1427" s="277"/>
      <c r="AC1427" s="277"/>
      <c r="AD1427" s="277"/>
      <c r="AE1427" s="277"/>
      <c r="AF1427" s="277"/>
      <c r="AG1427" s="277"/>
      <c r="AH1427" s="277"/>
      <c r="AI1427" s="277"/>
      <c r="AJ1427" s="277"/>
      <c r="AK1427" s="277"/>
    </row>
    <row r="1428" spans="1:37" s="289" customFormat="1">
      <c r="A1428" s="277"/>
      <c r="C1428" s="277"/>
      <c r="D1428" s="277"/>
      <c r="E1428" s="277"/>
      <c r="F1428" s="277"/>
      <c r="G1428" s="277"/>
      <c r="H1428" s="277"/>
      <c r="I1428" s="277"/>
      <c r="J1428" s="277"/>
      <c r="K1428" s="277"/>
      <c r="L1428" s="277"/>
      <c r="M1428" s="277"/>
      <c r="N1428" s="277"/>
      <c r="O1428" s="277"/>
      <c r="P1428" s="277"/>
      <c r="Q1428" s="277"/>
      <c r="R1428" s="277"/>
      <c r="S1428" s="277"/>
      <c r="T1428" s="277"/>
      <c r="U1428" s="277"/>
      <c r="V1428" s="277"/>
      <c r="W1428" s="277"/>
      <c r="X1428" s="277"/>
      <c r="Y1428" s="277"/>
      <c r="Z1428" s="277"/>
      <c r="AA1428" s="277"/>
      <c r="AB1428" s="277"/>
      <c r="AC1428" s="277"/>
      <c r="AD1428" s="277"/>
      <c r="AE1428" s="277"/>
      <c r="AF1428" s="277"/>
      <c r="AG1428" s="277"/>
      <c r="AH1428" s="277"/>
      <c r="AI1428" s="277"/>
      <c r="AJ1428" s="277"/>
      <c r="AK1428" s="277"/>
    </row>
    <row r="1429" spans="1:37" s="289" customFormat="1">
      <c r="A1429" s="277"/>
      <c r="C1429" s="277"/>
      <c r="D1429" s="277"/>
      <c r="E1429" s="277"/>
      <c r="F1429" s="277"/>
      <c r="G1429" s="277"/>
      <c r="H1429" s="277"/>
      <c r="I1429" s="277"/>
      <c r="J1429" s="277"/>
      <c r="K1429" s="277"/>
      <c r="L1429" s="277"/>
      <c r="M1429" s="277"/>
      <c r="N1429" s="277"/>
      <c r="O1429" s="277"/>
      <c r="P1429" s="277"/>
      <c r="Q1429" s="277"/>
      <c r="R1429" s="277"/>
      <c r="S1429" s="277"/>
      <c r="T1429" s="277"/>
      <c r="U1429" s="277"/>
      <c r="V1429" s="277"/>
      <c r="W1429" s="277"/>
      <c r="X1429" s="277"/>
      <c r="Y1429" s="277"/>
      <c r="Z1429" s="277"/>
      <c r="AA1429" s="277"/>
      <c r="AB1429" s="277"/>
      <c r="AC1429" s="277"/>
      <c r="AD1429" s="277"/>
      <c r="AE1429" s="277"/>
      <c r="AF1429" s="277"/>
      <c r="AG1429" s="277"/>
      <c r="AH1429" s="277"/>
      <c r="AI1429" s="277"/>
      <c r="AJ1429" s="277"/>
      <c r="AK1429" s="277"/>
    </row>
    <row r="1430" spans="1:37" s="289" customFormat="1">
      <c r="A1430" s="277"/>
      <c r="C1430" s="277"/>
      <c r="D1430" s="277"/>
      <c r="E1430" s="277"/>
      <c r="F1430" s="277"/>
      <c r="G1430" s="277"/>
      <c r="H1430" s="277"/>
      <c r="I1430" s="277"/>
      <c r="J1430" s="277"/>
      <c r="K1430" s="277"/>
      <c r="L1430" s="277"/>
      <c r="M1430" s="277"/>
      <c r="N1430" s="277"/>
      <c r="O1430" s="277"/>
      <c r="P1430" s="277"/>
      <c r="Q1430" s="277"/>
      <c r="R1430" s="277"/>
      <c r="S1430" s="277"/>
      <c r="T1430" s="277"/>
      <c r="U1430" s="277"/>
      <c r="V1430" s="277"/>
      <c r="W1430" s="277"/>
      <c r="X1430" s="277"/>
      <c r="Y1430" s="277"/>
      <c r="Z1430" s="277"/>
      <c r="AA1430" s="277"/>
      <c r="AB1430" s="277"/>
      <c r="AC1430" s="277"/>
      <c r="AD1430" s="277"/>
      <c r="AE1430" s="277"/>
      <c r="AF1430" s="277"/>
      <c r="AG1430" s="277"/>
      <c r="AH1430" s="277"/>
      <c r="AI1430" s="277"/>
      <c r="AJ1430" s="277"/>
      <c r="AK1430" s="277"/>
    </row>
    <row r="1431" spans="1:37" s="289" customFormat="1">
      <c r="A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277"/>
      <c r="P1431" s="277"/>
      <c r="Q1431" s="277"/>
      <c r="R1431" s="277"/>
      <c r="S1431" s="277"/>
      <c r="T1431" s="277"/>
      <c r="U1431" s="277"/>
      <c r="V1431" s="277"/>
      <c r="W1431" s="277"/>
      <c r="X1431" s="277"/>
      <c r="Y1431" s="277"/>
      <c r="Z1431" s="277"/>
      <c r="AA1431" s="277"/>
      <c r="AB1431" s="277"/>
      <c r="AC1431" s="277"/>
      <c r="AD1431" s="277"/>
      <c r="AE1431" s="277"/>
      <c r="AF1431" s="277"/>
      <c r="AG1431" s="277"/>
      <c r="AH1431" s="277"/>
      <c r="AI1431" s="277"/>
      <c r="AJ1431" s="277"/>
      <c r="AK1431" s="277"/>
    </row>
    <row r="1432" spans="1:37" s="289" customFormat="1">
      <c r="A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277"/>
      <c r="P1432" s="277"/>
      <c r="Q1432" s="277"/>
      <c r="R1432" s="277"/>
      <c r="S1432" s="277"/>
      <c r="T1432" s="277"/>
      <c r="U1432" s="277"/>
      <c r="V1432" s="277"/>
      <c r="W1432" s="277"/>
      <c r="X1432" s="277"/>
      <c r="Y1432" s="277"/>
      <c r="Z1432" s="277"/>
      <c r="AA1432" s="277"/>
      <c r="AB1432" s="277"/>
      <c r="AC1432" s="277"/>
      <c r="AD1432" s="277"/>
      <c r="AE1432" s="277"/>
      <c r="AF1432" s="277"/>
      <c r="AG1432" s="277"/>
      <c r="AH1432" s="277"/>
      <c r="AI1432" s="277"/>
      <c r="AJ1432" s="277"/>
      <c r="AK1432" s="277"/>
    </row>
    <row r="1433" spans="1:37" s="289" customFormat="1">
      <c r="A1433" s="277"/>
      <c r="C1433" s="277"/>
      <c r="D1433" s="277"/>
      <c r="E1433" s="277"/>
      <c r="F1433" s="277"/>
      <c r="G1433" s="277"/>
      <c r="H1433" s="277"/>
      <c r="I1433" s="277"/>
      <c r="J1433" s="277"/>
      <c r="K1433" s="277"/>
      <c r="L1433" s="277"/>
      <c r="M1433" s="277"/>
      <c r="N1433" s="277"/>
      <c r="O1433" s="277"/>
      <c r="P1433" s="277"/>
      <c r="Q1433" s="277"/>
      <c r="R1433" s="277"/>
      <c r="S1433" s="277"/>
      <c r="T1433" s="277"/>
      <c r="U1433" s="277"/>
      <c r="V1433" s="277"/>
      <c r="W1433" s="277"/>
      <c r="X1433" s="277"/>
      <c r="Y1433" s="277"/>
      <c r="Z1433" s="277"/>
      <c r="AA1433" s="277"/>
      <c r="AB1433" s="277"/>
      <c r="AC1433" s="277"/>
      <c r="AD1433" s="277"/>
      <c r="AE1433" s="277"/>
      <c r="AF1433" s="277"/>
      <c r="AG1433" s="277"/>
      <c r="AH1433" s="277"/>
      <c r="AI1433" s="277"/>
      <c r="AJ1433" s="277"/>
      <c r="AK1433" s="277"/>
    </row>
    <row r="1434" spans="1:37" s="289" customFormat="1">
      <c r="A1434" s="277"/>
      <c r="C1434" s="277"/>
      <c r="D1434" s="277"/>
      <c r="E1434" s="277"/>
      <c r="F1434" s="277"/>
      <c r="G1434" s="277"/>
      <c r="H1434" s="277"/>
      <c r="I1434" s="277"/>
      <c r="J1434" s="277"/>
      <c r="K1434" s="277"/>
      <c r="L1434" s="277"/>
      <c r="M1434" s="277"/>
      <c r="N1434" s="277"/>
      <c r="O1434" s="277"/>
      <c r="P1434" s="277"/>
      <c r="Q1434" s="277"/>
      <c r="R1434" s="277"/>
      <c r="S1434" s="277"/>
      <c r="T1434" s="277"/>
      <c r="U1434" s="277"/>
      <c r="V1434" s="277"/>
      <c r="W1434" s="277"/>
      <c r="X1434" s="277"/>
      <c r="Y1434" s="277"/>
      <c r="Z1434" s="277"/>
      <c r="AA1434" s="277"/>
      <c r="AB1434" s="277"/>
      <c r="AC1434" s="277"/>
      <c r="AD1434" s="277"/>
      <c r="AE1434" s="277"/>
      <c r="AF1434" s="277"/>
      <c r="AG1434" s="277"/>
      <c r="AH1434" s="277"/>
      <c r="AI1434" s="277"/>
      <c r="AJ1434" s="277"/>
      <c r="AK1434" s="277"/>
    </row>
    <row r="1435" spans="1:37" s="289" customFormat="1">
      <c r="A1435" s="277"/>
      <c r="C1435" s="277"/>
      <c r="D1435" s="277"/>
      <c r="E1435" s="277"/>
      <c r="F1435" s="277"/>
      <c r="G1435" s="277"/>
      <c r="H1435" s="277"/>
      <c r="I1435" s="277"/>
      <c r="J1435" s="277"/>
      <c r="K1435" s="277"/>
      <c r="L1435" s="277"/>
      <c r="M1435" s="277"/>
      <c r="N1435" s="277"/>
      <c r="O1435" s="277"/>
      <c r="P1435" s="277"/>
      <c r="Q1435" s="277"/>
      <c r="R1435" s="277"/>
      <c r="S1435" s="277"/>
      <c r="T1435" s="277"/>
      <c r="U1435" s="277"/>
      <c r="V1435" s="277"/>
      <c r="W1435" s="277"/>
      <c r="X1435" s="277"/>
      <c r="Y1435" s="277"/>
      <c r="Z1435" s="277"/>
      <c r="AA1435" s="277"/>
      <c r="AB1435" s="277"/>
      <c r="AC1435" s="277"/>
      <c r="AD1435" s="277"/>
      <c r="AE1435" s="277"/>
      <c r="AF1435" s="277"/>
      <c r="AG1435" s="277"/>
      <c r="AH1435" s="277"/>
      <c r="AI1435" s="277"/>
      <c r="AJ1435" s="277"/>
      <c r="AK1435" s="277"/>
    </row>
    <row r="1436" spans="1:37" s="289" customFormat="1">
      <c r="A1436" s="277"/>
      <c r="C1436" s="277"/>
      <c r="D1436" s="277"/>
      <c r="E1436" s="277"/>
      <c r="F1436" s="277"/>
      <c r="G1436" s="277"/>
      <c r="H1436" s="277"/>
      <c r="I1436" s="277"/>
      <c r="J1436" s="277"/>
      <c r="K1436" s="277"/>
      <c r="L1436" s="277"/>
      <c r="M1436" s="277"/>
      <c r="N1436" s="277"/>
      <c r="O1436" s="277"/>
      <c r="P1436" s="277"/>
      <c r="Q1436" s="277"/>
      <c r="R1436" s="277"/>
      <c r="S1436" s="277"/>
      <c r="T1436" s="277"/>
      <c r="U1436" s="277"/>
      <c r="V1436" s="277"/>
      <c r="W1436" s="277"/>
      <c r="X1436" s="277"/>
      <c r="Y1436" s="277"/>
      <c r="Z1436" s="277"/>
      <c r="AA1436" s="277"/>
      <c r="AB1436" s="277"/>
      <c r="AC1436" s="277"/>
      <c r="AD1436" s="277"/>
      <c r="AE1436" s="277"/>
      <c r="AF1436" s="277"/>
      <c r="AG1436" s="277"/>
      <c r="AH1436" s="277"/>
      <c r="AI1436" s="277"/>
      <c r="AJ1436" s="277"/>
      <c r="AK1436" s="277"/>
    </row>
    <row r="1437" spans="1:37" s="289" customFormat="1">
      <c r="A1437" s="277"/>
      <c r="C1437" s="277"/>
      <c r="D1437" s="277"/>
      <c r="E1437" s="277"/>
      <c r="F1437" s="277"/>
      <c r="G1437" s="277"/>
      <c r="H1437" s="277"/>
      <c r="I1437" s="277"/>
      <c r="J1437" s="277"/>
      <c r="K1437" s="277"/>
      <c r="L1437" s="277"/>
      <c r="M1437" s="277"/>
      <c r="N1437" s="277"/>
      <c r="O1437" s="277"/>
      <c r="P1437" s="277"/>
      <c r="Q1437" s="277"/>
      <c r="R1437" s="277"/>
      <c r="S1437" s="277"/>
      <c r="T1437" s="277"/>
      <c r="U1437" s="277"/>
      <c r="V1437" s="277"/>
      <c r="W1437" s="277"/>
      <c r="X1437" s="277"/>
      <c r="Y1437" s="277"/>
      <c r="Z1437" s="277"/>
      <c r="AA1437" s="277"/>
      <c r="AB1437" s="277"/>
      <c r="AC1437" s="277"/>
      <c r="AD1437" s="277"/>
      <c r="AE1437" s="277"/>
      <c r="AF1437" s="277"/>
      <c r="AG1437" s="277"/>
      <c r="AH1437" s="277"/>
      <c r="AI1437" s="277"/>
      <c r="AJ1437" s="277"/>
      <c r="AK1437" s="277"/>
    </row>
    <row r="1438" spans="1:37" s="289" customFormat="1">
      <c r="A1438" s="277"/>
      <c r="C1438" s="277"/>
      <c r="D1438" s="277"/>
      <c r="E1438" s="277"/>
      <c r="F1438" s="277"/>
      <c r="G1438" s="277"/>
      <c r="H1438" s="277"/>
      <c r="I1438" s="277"/>
      <c r="J1438" s="277"/>
      <c r="K1438" s="277"/>
      <c r="L1438" s="277"/>
      <c r="M1438" s="277"/>
      <c r="N1438" s="277"/>
      <c r="O1438" s="277"/>
      <c r="P1438" s="277"/>
      <c r="Q1438" s="277"/>
      <c r="R1438" s="277"/>
      <c r="S1438" s="277"/>
      <c r="T1438" s="277"/>
      <c r="U1438" s="277"/>
      <c r="V1438" s="277"/>
      <c r="W1438" s="277"/>
      <c r="X1438" s="277"/>
      <c r="Y1438" s="277"/>
      <c r="Z1438" s="277"/>
      <c r="AA1438" s="277"/>
      <c r="AB1438" s="277"/>
      <c r="AC1438" s="277"/>
      <c r="AD1438" s="277"/>
      <c r="AE1438" s="277"/>
      <c r="AF1438" s="277"/>
      <c r="AG1438" s="277"/>
      <c r="AH1438" s="277"/>
      <c r="AI1438" s="277"/>
      <c r="AJ1438" s="277"/>
      <c r="AK1438" s="277"/>
    </row>
    <row r="1439" spans="1:37" s="289" customFormat="1">
      <c r="A1439" s="277"/>
      <c r="C1439" s="277"/>
      <c r="D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  <c r="P1439" s="277"/>
      <c r="Q1439" s="277"/>
      <c r="R1439" s="277"/>
      <c r="S1439" s="277"/>
      <c r="T1439" s="277"/>
      <c r="U1439" s="277"/>
      <c r="V1439" s="277"/>
      <c r="W1439" s="277"/>
      <c r="X1439" s="277"/>
      <c r="Y1439" s="277"/>
      <c r="Z1439" s="277"/>
      <c r="AA1439" s="277"/>
      <c r="AB1439" s="277"/>
      <c r="AC1439" s="277"/>
      <c r="AD1439" s="277"/>
      <c r="AE1439" s="277"/>
      <c r="AF1439" s="277"/>
      <c r="AG1439" s="277"/>
      <c r="AH1439" s="277"/>
      <c r="AI1439" s="277"/>
      <c r="AJ1439" s="277"/>
      <c r="AK1439" s="277"/>
    </row>
    <row r="1440" spans="1:37" s="289" customFormat="1">
      <c r="A1440" s="277"/>
      <c r="C1440" s="277"/>
      <c r="D1440" s="277"/>
      <c r="E1440" s="277"/>
      <c r="F1440" s="277"/>
      <c r="G1440" s="277"/>
      <c r="H1440" s="277"/>
      <c r="I1440" s="277"/>
      <c r="J1440" s="277"/>
      <c r="K1440" s="277"/>
      <c r="L1440" s="277"/>
      <c r="M1440" s="277"/>
      <c r="N1440" s="277"/>
      <c r="O1440" s="277"/>
      <c r="P1440" s="277"/>
      <c r="Q1440" s="277"/>
      <c r="R1440" s="277"/>
      <c r="S1440" s="277"/>
      <c r="T1440" s="277"/>
      <c r="U1440" s="277"/>
      <c r="V1440" s="277"/>
      <c r="W1440" s="277"/>
      <c r="X1440" s="277"/>
      <c r="Y1440" s="277"/>
      <c r="Z1440" s="277"/>
      <c r="AA1440" s="277"/>
      <c r="AB1440" s="277"/>
      <c r="AC1440" s="277"/>
      <c r="AD1440" s="277"/>
      <c r="AE1440" s="277"/>
      <c r="AF1440" s="277"/>
      <c r="AG1440" s="277"/>
      <c r="AH1440" s="277"/>
      <c r="AI1440" s="277"/>
      <c r="AJ1440" s="277"/>
      <c r="AK1440" s="277"/>
    </row>
    <row r="1441" spans="1:37" s="289" customFormat="1">
      <c r="A1441" s="277"/>
      <c r="C1441" s="277"/>
      <c r="D1441" s="277"/>
      <c r="E1441" s="277"/>
      <c r="F1441" s="277"/>
      <c r="G1441" s="277"/>
      <c r="H1441" s="277"/>
      <c r="I1441" s="277"/>
      <c r="J1441" s="277"/>
      <c r="K1441" s="277"/>
      <c r="L1441" s="277"/>
      <c r="M1441" s="277"/>
      <c r="N1441" s="277"/>
      <c r="O1441" s="277"/>
      <c r="P1441" s="277"/>
      <c r="Q1441" s="277"/>
      <c r="R1441" s="277"/>
      <c r="S1441" s="277"/>
      <c r="T1441" s="277"/>
      <c r="U1441" s="277"/>
      <c r="V1441" s="277"/>
      <c r="W1441" s="277"/>
      <c r="X1441" s="277"/>
      <c r="Y1441" s="277"/>
      <c r="Z1441" s="277"/>
      <c r="AA1441" s="277"/>
      <c r="AB1441" s="277"/>
      <c r="AC1441" s="277"/>
      <c r="AD1441" s="277"/>
      <c r="AE1441" s="277"/>
      <c r="AF1441" s="277"/>
      <c r="AG1441" s="277"/>
      <c r="AH1441" s="277"/>
      <c r="AI1441" s="277"/>
      <c r="AJ1441" s="277"/>
      <c r="AK1441" s="277"/>
    </row>
    <row r="1442" spans="1:37" s="289" customFormat="1">
      <c r="A1442" s="277"/>
      <c r="C1442" s="277"/>
      <c r="D1442" s="277"/>
      <c r="E1442" s="277"/>
      <c r="F1442" s="277"/>
      <c r="G1442" s="277"/>
      <c r="H1442" s="277"/>
      <c r="I1442" s="277"/>
      <c r="J1442" s="277"/>
      <c r="K1442" s="277"/>
      <c r="L1442" s="277"/>
      <c r="M1442" s="277"/>
      <c r="N1442" s="277"/>
      <c r="O1442" s="277"/>
      <c r="P1442" s="277"/>
      <c r="Q1442" s="277"/>
      <c r="R1442" s="277"/>
      <c r="S1442" s="277"/>
      <c r="T1442" s="277"/>
      <c r="U1442" s="277"/>
      <c r="V1442" s="277"/>
      <c r="W1442" s="277"/>
      <c r="X1442" s="277"/>
      <c r="Y1442" s="277"/>
      <c r="Z1442" s="277"/>
      <c r="AA1442" s="277"/>
      <c r="AB1442" s="277"/>
      <c r="AC1442" s="277"/>
      <c r="AD1442" s="277"/>
      <c r="AE1442" s="277"/>
      <c r="AF1442" s="277"/>
      <c r="AG1442" s="277"/>
      <c r="AH1442" s="277"/>
      <c r="AI1442" s="277"/>
      <c r="AJ1442" s="277"/>
      <c r="AK1442" s="277"/>
    </row>
    <row r="1443" spans="1:37" s="289" customFormat="1">
      <c r="A1443" s="277"/>
      <c r="C1443" s="277"/>
      <c r="D1443" s="277"/>
      <c r="E1443" s="277"/>
      <c r="F1443" s="277"/>
      <c r="G1443" s="277"/>
      <c r="H1443" s="277"/>
      <c r="I1443" s="277"/>
      <c r="J1443" s="277"/>
      <c r="K1443" s="277"/>
      <c r="L1443" s="277"/>
      <c r="M1443" s="277"/>
      <c r="N1443" s="277"/>
      <c r="O1443" s="277"/>
      <c r="P1443" s="277"/>
      <c r="Q1443" s="277"/>
      <c r="R1443" s="277"/>
      <c r="S1443" s="277"/>
      <c r="T1443" s="277"/>
      <c r="U1443" s="277"/>
      <c r="V1443" s="277"/>
      <c r="W1443" s="277"/>
      <c r="X1443" s="277"/>
      <c r="Y1443" s="277"/>
      <c r="Z1443" s="277"/>
      <c r="AA1443" s="277"/>
      <c r="AB1443" s="277"/>
      <c r="AC1443" s="277"/>
      <c r="AD1443" s="277"/>
      <c r="AE1443" s="277"/>
      <c r="AF1443" s="277"/>
      <c r="AG1443" s="277"/>
      <c r="AH1443" s="277"/>
      <c r="AI1443" s="277"/>
      <c r="AJ1443" s="277"/>
      <c r="AK1443" s="277"/>
    </row>
    <row r="1444" spans="1:37" s="289" customFormat="1">
      <c r="A1444" s="277"/>
      <c r="C1444" s="277"/>
      <c r="D1444" s="277"/>
      <c r="E1444" s="277"/>
      <c r="F1444" s="277"/>
      <c r="G1444" s="277"/>
      <c r="H1444" s="277"/>
      <c r="I1444" s="277"/>
      <c r="J1444" s="277"/>
      <c r="K1444" s="277"/>
      <c r="L1444" s="277"/>
      <c r="M1444" s="277"/>
      <c r="N1444" s="277"/>
      <c r="O1444" s="277"/>
      <c r="P1444" s="277"/>
      <c r="Q1444" s="277"/>
      <c r="R1444" s="277"/>
      <c r="S1444" s="277"/>
      <c r="T1444" s="277"/>
      <c r="U1444" s="277"/>
      <c r="V1444" s="277"/>
      <c r="W1444" s="277"/>
      <c r="X1444" s="277"/>
      <c r="Y1444" s="277"/>
      <c r="Z1444" s="277"/>
      <c r="AA1444" s="277"/>
      <c r="AB1444" s="277"/>
      <c r="AC1444" s="277"/>
      <c r="AD1444" s="277"/>
      <c r="AE1444" s="277"/>
      <c r="AF1444" s="277"/>
      <c r="AG1444" s="277"/>
      <c r="AH1444" s="277"/>
      <c r="AI1444" s="277"/>
      <c r="AJ1444" s="277"/>
      <c r="AK1444" s="277"/>
    </row>
    <row r="1445" spans="1:37" s="289" customFormat="1">
      <c r="A1445" s="277"/>
      <c r="C1445" s="277"/>
      <c r="D1445" s="277"/>
      <c r="E1445" s="277"/>
      <c r="F1445" s="277"/>
      <c r="G1445" s="277"/>
      <c r="H1445" s="277"/>
      <c r="I1445" s="277"/>
      <c r="J1445" s="277"/>
      <c r="K1445" s="277"/>
      <c r="L1445" s="277"/>
      <c r="M1445" s="277"/>
      <c r="N1445" s="277"/>
      <c r="O1445" s="277"/>
      <c r="P1445" s="277"/>
      <c r="Q1445" s="277"/>
      <c r="R1445" s="277"/>
      <c r="S1445" s="277"/>
      <c r="T1445" s="277"/>
      <c r="U1445" s="277"/>
      <c r="V1445" s="277"/>
      <c r="W1445" s="277"/>
      <c r="X1445" s="277"/>
      <c r="Y1445" s="277"/>
      <c r="Z1445" s="277"/>
      <c r="AA1445" s="277"/>
      <c r="AB1445" s="277"/>
      <c r="AC1445" s="277"/>
      <c r="AD1445" s="277"/>
      <c r="AE1445" s="277"/>
      <c r="AF1445" s="277"/>
      <c r="AG1445" s="277"/>
      <c r="AH1445" s="277"/>
      <c r="AI1445" s="277"/>
      <c r="AJ1445" s="277"/>
      <c r="AK1445" s="277"/>
    </row>
    <row r="1446" spans="1:37" s="289" customFormat="1">
      <c r="A1446" s="277"/>
      <c r="C1446" s="277"/>
      <c r="D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  <c r="P1446" s="277"/>
      <c r="Q1446" s="277"/>
      <c r="R1446" s="277"/>
      <c r="S1446" s="277"/>
      <c r="T1446" s="277"/>
      <c r="U1446" s="277"/>
      <c r="V1446" s="277"/>
      <c r="W1446" s="277"/>
      <c r="X1446" s="277"/>
      <c r="Y1446" s="277"/>
      <c r="Z1446" s="277"/>
      <c r="AA1446" s="277"/>
      <c r="AB1446" s="277"/>
      <c r="AC1446" s="277"/>
      <c r="AD1446" s="277"/>
      <c r="AE1446" s="277"/>
      <c r="AF1446" s="277"/>
      <c r="AG1446" s="277"/>
      <c r="AH1446" s="277"/>
      <c r="AI1446" s="277"/>
      <c r="AJ1446" s="277"/>
      <c r="AK1446" s="277"/>
    </row>
    <row r="1447" spans="1:37" s="289" customFormat="1">
      <c r="A1447" s="277"/>
      <c r="C1447" s="277"/>
      <c r="D1447" s="277"/>
      <c r="E1447" s="277"/>
      <c r="F1447" s="277"/>
      <c r="G1447" s="277"/>
      <c r="H1447" s="277"/>
      <c r="I1447" s="277"/>
      <c r="J1447" s="277"/>
      <c r="K1447" s="277"/>
      <c r="L1447" s="277"/>
      <c r="M1447" s="277"/>
      <c r="N1447" s="277"/>
      <c r="O1447" s="277"/>
      <c r="P1447" s="277"/>
      <c r="Q1447" s="277"/>
      <c r="R1447" s="277"/>
      <c r="S1447" s="277"/>
      <c r="T1447" s="277"/>
      <c r="U1447" s="277"/>
      <c r="V1447" s="277"/>
      <c r="W1447" s="277"/>
      <c r="X1447" s="277"/>
      <c r="Y1447" s="277"/>
      <c r="Z1447" s="277"/>
      <c r="AA1447" s="277"/>
      <c r="AB1447" s="277"/>
      <c r="AC1447" s="277"/>
      <c r="AD1447" s="277"/>
      <c r="AE1447" s="277"/>
      <c r="AF1447" s="277"/>
      <c r="AG1447" s="277"/>
      <c r="AH1447" s="277"/>
      <c r="AI1447" s="277"/>
      <c r="AJ1447" s="277"/>
      <c r="AK1447" s="277"/>
    </row>
    <row r="1448" spans="1:37" s="289" customFormat="1">
      <c r="A1448" s="277"/>
      <c r="C1448" s="277"/>
      <c r="D1448" s="277"/>
      <c r="E1448" s="277"/>
      <c r="F1448" s="277"/>
      <c r="G1448" s="277"/>
      <c r="H1448" s="277"/>
      <c r="I1448" s="277"/>
      <c r="J1448" s="277"/>
      <c r="K1448" s="277"/>
      <c r="L1448" s="277"/>
      <c r="M1448" s="277"/>
      <c r="N1448" s="277"/>
      <c r="O1448" s="277"/>
      <c r="P1448" s="277"/>
      <c r="Q1448" s="277"/>
      <c r="R1448" s="277"/>
      <c r="S1448" s="277"/>
      <c r="T1448" s="277"/>
      <c r="U1448" s="277"/>
      <c r="V1448" s="277"/>
      <c r="W1448" s="277"/>
      <c r="X1448" s="277"/>
      <c r="Y1448" s="277"/>
      <c r="Z1448" s="277"/>
      <c r="AA1448" s="277"/>
      <c r="AB1448" s="277"/>
      <c r="AC1448" s="277"/>
      <c r="AD1448" s="277"/>
      <c r="AE1448" s="277"/>
      <c r="AF1448" s="277"/>
      <c r="AG1448" s="277"/>
      <c r="AH1448" s="277"/>
      <c r="AI1448" s="277"/>
      <c r="AJ1448" s="277"/>
      <c r="AK1448" s="277"/>
    </row>
    <row r="1449" spans="1:37" s="289" customFormat="1">
      <c r="A1449" s="277"/>
      <c r="C1449" s="277"/>
      <c r="D1449" s="277"/>
      <c r="E1449" s="277"/>
      <c r="F1449" s="277"/>
      <c r="G1449" s="277"/>
      <c r="H1449" s="277"/>
      <c r="I1449" s="277"/>
      <c r="J1449" s="277"/>
      <c r="K1449" s="277"/>
      <c r="L1449" s="277"/>
      <c r="M1449" s="277"/>
      <c r="N1449" s="277"/>
      <c r="O1449" s="277"/>
      <c r="P1449" s="277"/>
      <c r="Q1449" s="277"/>
      <c r="R1449" s="277"/>
      <c r="S1449" s="277"/>
      <c r="T1449" s="277"/>
      <c r="U1449" s="277"/>
      <c r="V1449" s="277"/>
      <c r="W1449" s="277"/>
      <c r="X1449" s="277"/>
      <c r="Y1449" s="277"/>
      <c r="Z1449" s="277"/>
      <c r="AA1449" s="277"/>
      <c r="AB1449" s="277"/>
      <c r="AC1449" s="277"/>
      <c r="AD1449" s="277"/>
      <c r="AE1449" s="277"/>
      <c r="AF1449" s="277"/>
      <c r="AG1449" s="277"/>
      <c r="AH1449" s="277"/>
      <c r="AI1449" s="277"/>
      <c r="AJ1449" s="277"/>
      <c r="AK1449" s="277"/>
    </row>
    <row r="1450" spans="1:37" s="289" customFormat="1">
      <c r="A1450" s="277"/>
      <c r="C1450" s="277"/>
      <c r="D1450" s="277"/>
      <c r="E1450" s="277"/>
      <c r="F1450" s="277"/>
      <c r="G1450" s="277"/>
      <c r="H1450" s="277"/>
      <c r="I1450" s="277"/>
      <c r="J1450" s="277"/>
      <c r="K1450" s="277"/>
      <c r="L1450" s="277"/>
      <c r="M1450" s="277"/>
      <c r="N1450" s="277"/>
      <c r="O1450" s="277"/>
      <c r="P1450" s="277"/>
      <c r="Q1450" s="277"/>
      <c r="R1450" s="277"/>
      <c r="S1450" s="277"/>
      <c r="T1450" s="277"/>
      <c r="U1450" s="277"/>
      <c r="V1450" s="277"/>
      <c r="W1450" s="277"/>
      <c r="X1450" s="277"/>
      <c r="Y1450" s="277"/>
      <c r="Z1450" s="277"/>
      <c r="AA1450" s="277"/>
      <c r="AB1450" s="277"/>
      <c r="AC1450" s="277"/>
      <c r="AD1450" s="277"/>
      <c r="AE1450" s="277"/>
      <c r="AF1450" s="277"/>
      <c r="AG1450" s="277"/>
      <c r="AH1450" s="277"/>
      <c r="AI1450" s="277"/>
      <c r="AJ1450" s="277"/>
      <c r="AK1450" s="277"/>
    </row>
    <row r="1451" spans="1:37" s="289" customFormat="1">
      <c r="A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7"/>
      <c r="Q1451" s="277"/>
      <c r="R1451" s="277"/>
      <c r="S1451" s="277"/>
      <c r="T1451" s="277"/>
      <c r="U1451" s="277"/>
      <c r="V1451" s="277"/>
      <c r="W1451" s="277"/>
      <c r="X1451" s="277"/>
      <c r="Y1451" s="277"/>
      <c r="Z1451" s="277"/>
      <c r="AA1451" s="277"/>
      <c r="AB1451" s="277"/>
      <c r="AC1451" s="277"/>
      <c r="AD1451" s="277"/>
      <c r="AE1451" s="277"/>
      <c r="AF1451" s="277"/>
      <c r="AG1451" s="277"/>
      <c r="AH1451" s="277"/>
      <c r="AI1451" s="277"/>
      <c r="AJ1451" s="277"/>
      <c r="AK1451" s="277"/>
    </row>
    <row r="1452" spans="1:37" s="289" customFormat="1">
      <c r="A1452" s="277"/>
      <c r="C1452" s="277"/>
      <c r="D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/>
      <c r="P1452" s="277"/>
      <c r="Q1452" s="277"/>
      <c r="R1452" s="277"/>
      <c r="S1452" s="277"/>
      <c r="T1452" s="277"/>
      <c r="U1452" s="277"/>
      <c r="V1452" s="277"/>
      <c r="W1452" s="277"/>
      <c r="X1452" s="277"/>
      <c r="Y1452" s="277"/>
      <c r="Z1452" s="277"/>
      <c r="AA1452" s="277"/>
      <c r="AB1452" s="277"/>
      <c r="AC1452" s="277"/>
      <c r="AD1452" s="277"/>
      <c r="AE1452" s="277"/>
      <c r="AF1452" s="277"/>
      <c r="AG1452" s="277"/>
      <c r="AH1452" s="277"/>
      <c r="AI1452" s="277"/>
      <c r="AJ1452" s="277"/>
      <c r="AK1452" s="277"/>
    </row>
    <row r="1453" spans="1:37" s="289" customFormat="1">
      <c r="A1453" s="277"/>
      <c r="C1453" s="277"/>
      <c r="D1453" s="277"/>
      <c r="E1453" s="277"/>
      <c r="F1453" s="277"/>
      <c r="G1453" s="277"/>
      <c r="H1453" s="277"/>
      <c r="I1453" s="277"/>
      <c r="J1453" s="277"/>
      <c r="K1453" s="277"/>
      <c r="L1453" s="277"/>
      <c r="M1453" s="277"/>
      <c r="N1453" s="277"/>
      <c r="O1453" s="277"/>
      <c r="P1453" s="277"/>
      <c r="Q1453" s="277"/>
      <c r="R1453" s="277"/>
      <c r="S1453" s="277"/>
      <c r="T1453" s="277"/>
      <c r="U1453" s="277"/>
      <c r="V1453" s="277"/>
      <c r="W1453" s="277"/>
      <c r="X1453" s="277"/>
      <c r="Y1453" s="277"/>
      <c r="Z1453" s="277"/>
      <c r="AA1453" s="277"/>
      <c r="AB1453" s="277"/>
      <c r="AC1453" s="277"/>
      <c r="AD1453" s="277"/>
      <c r="AE1453" s="277"/>
      <c r="AF1453" s="277"/>
      <c r="AG1453" s="277"/>
      <c r="AH1453" s="277"/>
      <c r="AI1453" s="277"/>
      <c r="AJ1453" s="277"/>
      <c r="AK1453" s="277"/>
    </row>
    <row r="1454" spans="1:37" s="289" customFormat="1">
      <c r="A1454" s="277"/>
      <c r="C1454" s="277"/>
      <c r="D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277"/>
      <c r="R1454" s="277"/>
      <c r="S1454" s="277"/>
      <c r="T1454" s="277"/>
      <c r="U1454" s="277"/>
      <c r="V1454" s="277"/>
      <c r="W1454" s="277"/>
      <c r="X1454" s="277"/>
      <c r="Y1454" s="277"/>
      <c r="Z1454" s="277"/>
      <c r="AA1454" s="277"/>
      <c r="AB1454" s="277"/>
      <c r="AC1454" s="277"/>
      <c r="AD1454" s="277"/>
      <c r="AE1454" s="277"/>
      <c r="AF1454" s="277"/>
      <c r="AG1454" s="277"/>
      <c r="AH1454" s="277"/>
      <c r="AI1454" s="277"/>
      <c r="AJ1454" s="277"/>
      <c r="AK1454" s="277"/>
    </row>
    <row r="1455" spans="1:37" s="289" customFormat="1">
      <c r="A1455" s="277"/>
      <c r="C1455" s="277"/>
      <c r="D1455" s="277"/>
      <c r="E1455" s="277"/>
      <c r="F1455" s="277"/>
      <c r="G1455" s="277"/>
      <c r="H1455" s="277"/>
      <c r="I1455" s="277"/>
      <c r="J1455" s="277"/>
      <c r="K1455" s="277"/>
      <c r="L1455" s="277"/>
      <c r="M1455" s="277"/>
      <c r="N1455" s="277"/>
      <c r="O1455" s="277"/>
      <c r="P1455" s="277"/>
      <c r="Q1455" s="277"/>
      <c r="R1455" s="277"/>
      <c r="S1455" s="277"/>
      <c r="T1455" s="277"/>
      <c r="U1455" s="277"/>
      <c r="V1455" s="277"/>
      <c r="W1455" s="277"/>
      <c r="X1455" s="277"/>
      <c r="Y1455" s="277"/>
      <c r="Z1455" s="277"/>
      <c r="AA1455" s="277"/>
      <c r="AB1455" s="277"/>
      <c r="AC1455" s="277"/>
      <c r="AD1455" s="277"/>
      <c r="AE1455" s="277"/>
      <c r="AF1455" s="277"/>
      <c r="AG1455" s="277"/>
      <c r="AH1455" s="277"/>
      <c r="AI1455" s="277"/>
      <c r="AJ1455" s="277"/>
      <c r="AK1455" s="277"/>
    </row>
    <row r="1456" spans="1:37" s="289" customFormat="1">
      <c r="A1456" s="277"/>
      <c r="C1456" s="277"/>
      <c r="D1456" s="277"/>
      <c r="E1456" s="277"/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/>
      <c r="Q1456" s="277"/>
      <c r="R1456" s="277"/>
      <c r="S1456" s="277"/>
      <c r="T1456" s="277"/>
      <c r="U1456" s="277"/>
      <c r="V1456" s="277"/>
      <c r="W1456" s="277"/>
      <c r="X1456" s="277"/>
      <c r="Y1456" s="277"/>
      <c r="Z1456" s="277"/>
      <c r="AA1456" s="277"/>
      <c r="AB1456" s="277"/>
      <c r="AC1456" s="277"/>
      <c r="AD1456" s="277"/>
      <c r="AE1456" s="277"/>
      <c r="AF1456" s="277"/>
      <c r="AG1456" s="277"/>
      <c r="AH1456" s="277"/>
      <c r="AI1456" s="277"/>
      <c r="AJ1456" s="277"/>
      <c r="AK1456" s="277"/>
    </row>
    <row r="1457" spans="1:37" s="289" customFormat="1">
      <c r="A1457" s="277"/>
      <c r="C1457" s="277"/>
      <c r="D1457" s="277"/>
      <c r="E1457" s="277"/>
      <c r="F1457" s="277"/>
      <c r="G1457" s="277"/>
      <c r="H1457" s="277"/>
      <c r="I1457" s="277"/>
      <c r="J1457" s="277"/>
      <c r="K1457" s="277"/>
      <c r="L1457" s="277"/>
      <c r="M1457" s="277"/>
      <c r="N1457" s="277"/>
      <c r="O1457" s="277"/>
      <c r="P1457" s="277"/>
      <c r="Q1457" s="277"/>
      <c r="R1457" s="277"/>
      <c r="S1457" s="277"/>
      <c r="T1457" s="277"/>
      <c r="U1457" s="277"/>
      <c r="V1457" s="277"/>
      <c r="W1457" s="277"/>
      <c r="X1457" s="277"/>
      <c r="Y1457" s="277"/>
      <c r="Z1457" s="277"/>
      <c r="AA1457" s="277"/>
      <c r="AB1457" s="277"/>
      <c r="AC1457" s="277"/>
      <c r="AD1457" s="277"/>
      <c r="AE1457" s="277"/>
      <c r="AF1457" s="277"/>
      <c r="AG1457" s="277"/>
      <c r="AH1457" s="277"/>
      <c r="AI1457" s="277"/>
      <c r="AJ1457" s="277"/>
      <c r="AK1457" s="277"/>
    </row>
    <row r="1458" spans="1:37" s="289" customFormat="1">
      <c r="A1458" s="277"/>
      <c r="C1458" s="277"/>
      <c r="D1458" s="277"/>
      <c r="E1458" s="277"/>
      <c r="F1458" s="277"/>
      <c r="G1458" s="277"/>
      <c r="H1458" s="277"/>
      <c r="I1458" s="277"/>
      <c r="J1458" s="277"/>
      <c r="K1458" s="277"/>
      <c r="L1458" s="277"/>
      <c r="M1458" s="277"/>
      <c r="N1458" s="277"/>
      <c r="O1458" s="277"/>
      <c r="P1458" s="277"/>
      <c r="Q1458" s="277"/>
      <c r="R1458" s="277"/>
      <c r="S1458" s="277"/>
      <c r="T1458" s="277"/>
      <c r="U1458" s="277"/>
      <c r="V1458" s="277"/>
      <c r="W1458" s="277"/>
      <c r="X1458" s="277"/>
      <c r="Y1458" s="277"/>
      <c r="Z1458" s="277"/>
      <c r="AA1458" s="277"/>
      <c r="AB1458" s="277"/>
      <c r="AC1458" s="277"/>
      <c r="AD1458" s="277"/>
      <c r="AE1458" s="277"/>
      <c r="AF1458" s="277"/>
      <c r="AG1458" s="277"/>
      <c r="AH1458" s="277"/>
      <c r="AI1458" s="277"/>
      <c r="AJ1458" s="277"/>
      <c r="AK1458" s="277"/>
    </row>
    <row r="1459" spans="1:37" s="289" customFormat="1">
      <c r="A1459" s="277"/>
      <c r="C1459" s="277"/>
      <c r="D1459" s="277"/>
      <c r="E1459" s="277"/>
      <c r="F1459" s="277"/>
      <c r="G1459" s="277"/>
      <c r="H1459" s="277"/>
      <c r="I1459" s="277"/>
      <c r="J1459" s="277"/>
      <c r="K1459" s="277"/>
      <c r="L1459" s="277"/>
      <c r="M1459" s="277"/>
      <c r="N1459" s="277"/>
      <c r="O1459" s="277"/>
      <c r="P1459" s="277"/>
      <c r="Q1459" s="277"/>
      <c r="R1459" s="277"/>
      <c r="S1459" s="277"/>
      <c r="T1459" s="277"/>
      <c r="U1459" s="277"/>
      <c r="V1459" s="277"/>
      <c r="W1459" s="277"/>
      <c r="X1459" s="277"/>
      <c r="Y1459" s="277"/>
      <c r="Z1459" s="277"/>
      <c r="AA1459" s="277"/>
      <c r="AB1459" s="277"/>
      <c r="AC1459" s="277"/>
      <c r="AD1459" s="277"/>
      <c r="AE1459" s="277"/>
      <c r="AF1459" s="277"/>
      <c r="AG1459" s="277"/>
      <c r="AH1459" s="277"/>
      <c r="AI1459" s="277"/>
      <c r="AJ1459" s="277"/>
      <c r="AK1459" s="277"/>
    </row>
    <row r="1460" spans="1:37" s="289" customFormat="1">
      <c r="A1460" s="277"/>
      <c r="C1460" s="277"/>
      <c r="D1460" s="277"/>
      <c r="E1460" s="277"/>
      <c r="F1460" s="277"/>
      <c r="G1460" s="277"/>
      <c r="H1460" s="277"/>
      <c r="I1460" s="277"/>
      <c r="J1460" s="277"/>
      <c r="K1460" s="277"/>
      <c r="L1460" s="277"/>
      <c r="M1460" s="277"/>
      <c r="N1460" s="277"/>
      <c r="O1460" s="277"/>
      <c r="P1460" s="277"/>
      <c r="Q1460" s="277"/>
      <c r="R1460" s="277"/>
      <c r="S1460" s="277"/>
      <c r="T1460" s="277"/>
      <c r="U1460" s="277"/>
      <c r="V1460" s="277"/>
      <c r="W1460" s="277"/>
      <c r="X1460" s="277"/>
      <c r="Y1460" s="277"/>
      <c r="Z1460" s="277"/>
      <c r="AA1460" s="277"/>
      <c r="AB1460" s="277"/>
      <c r="AC1460" s="277"/>
      <c r="AD1460" s="277"/>
      <c r="AE1460" s="277"/>
      <c r="AF1460" s="277"/>
      <c r="AG1460" s="277"/>
      <c r="AH1460" s="277"/>
      <c r="AI1460" s="277"/>
      <c r="AJ1460" s="277"/>
      <c r="AK1460" s="277"/>
    </row>
    <row r="1461" spans="1:37" s="289" customFormat="1">
      <c r="A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277"/>
      <c r="R1461" s="277"/>
      <c r="S1461" s="277"/>
      <c r="T1461" s="277"/>
      <c r="U1461" s="277"/>
      <c r="V1461" s="277"/>
      <c r="W1461" s="277"/>
      <c r="X1461" s="277"/>
      <c r="Y1461" s="277"/>
      <c r="Z1461" s="277"/>
      <c r="AA1461" s="277"/>
      <c r="AB1461" s="277"/>
      <c r="AC1461" s="277"/>
      <c r="AD1461" s="277"/>
      <c r="AE1461" s="277"/>
      <c r="AF1461" s="277"/>
      <c r="AG1461" s="277"/>
      <c r="AH1461" s="277"/>
      <c r="AI1461" s="277"/>
      <c r="AJ1461" s="277"/>
      <c r="AK1461" s="277"/>
    </row>
    <row r="1462" spans="1:37" s="289" customFormat="1">
      <c r="A1462" s="277"/>
      <c r="C1462" s="277"/>
      <c r="D1462" s="277"/>
      <c r="E1462" s="277"/>
      <c r="F1462" s="277"/>
      <c r="G1462" s="277"/>
      <c r="H1462" s="277"/>
      <c r="I1462" s="277"/>
      <c r="J1462" s="277"/>
      <c r="K1462" s="277"/>
      <c r="L1462" s="277"/>
      <c r="M1462" s="277"/>
      <c r="N1462" s="277"/>
      <c r="O1462" s="277"/>
      <c r="P1462" s="277"/>
      <c r="Q1462" s="277"/>
      <c r="R1462" s="277"/>
      <c r="S1462" s="277"/>
      <c r="T1462" s="277"/>
      <c r="U1462" s="277"/>
      <c r="V1462" s="277"/>
      <c r="W1462" s="277"/>
      <c r="X1462" s="277"/>
      <c r="Y1462" s="277"/>
      <c r="Z1462" s="277"/>
      <c r="AA1462" s="277"/>
      <c r="AB1462" s="277"/>
      <c r="AC1462" s="277"/>
      <c r="AD1462" s="277"/>
      <c r="AE1462" s="277"/>
      <c r="AF1462" s="277"/>
      <c r="AG1462" s="277"/>
      <c r="AH1462" s="277"/>
      <c r="AI1462" s="277"/>
      <c r="AJ1462" s="277"/>
      <c r="AK1462" s="277"/>
    </row>
    <row r="1463" spans="1:37" s="289" customFormat="1">
      <c r="A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7"/>
      <c r="O1463" s="277"/>
      <c r="P1463" s="277"/>
      <c r="Q1463" s="277"/>
      <c r="R1463" s="277"/>
      <c r="S1463" s="277"/>
      <c r="T1463" s="277"/>
      <c r="U1463" s="277"/>
      <c r="V1463" s="277"/>
      <c r="W1463" s="277"/>
      <c r="X1463" s="277"/>
      <c r="Y1463" s="277"/>
      <c r="Z1463" s="277"/>
      <c r="AA1463" s="277"/>
      <c r="AB1463" s="277"/>
      <c r="AC1463" s="277"/>
      <c r="AD1463" s="277"/>
      <c r="AE1463" s="277"/>
      <c r="AF1463" s="277"/>
      <c r="AG1463" s="277"/>
      <c r="AH1463" s="277"/>
      <c r="AI1463" s="277"/>
      <c r="AJ1463" s="277"/>
      <c r="AK1463" s="277"/>
    </row>
    <row r="1464" spans="1:37" s="289" customFormat="1">
      <c r="A1464" s="277"/>
      <c r="C1464" s="277"/>
      <c r="D1464" s="277"/>
      <c r="E1464" s="277"/>
      <c r="F1464" s="277"/>
      <c r="G1464" s="277"/>
      <c r="H1464" s="277"/>
      <c r="I1464" s="277"/>
      <c r="J1464" s="277"/>
      <c r="K1464" s="277"/>
      <c r="L1464" s="277"/>
      <c r="M1464" s="277"/>
      <c r="N1464" s="277"/>
      <c r="O1464" s="277"/>
      <c r="P1464" s="277"/>
      <c r="Q1464" s="277"/>
      <c r="R1464" s="277"/>
      <c r="S1464" s="277"/>
      <c r="T1464" s="277"/>
      <c r="U1464" s="277"/>
      <c r="V1464" s="277"/>
      <c r="W1464" s="277"/>
      <c r="X1464" s="277"/>
      <c r="Y1464" s="277"/>
      <c r="Z1464" s="277"/>
      <c r="AA1464" s="277"/>
      <c r="AB1464" s="277"/>
      <c r="AC1464" s="277"/>
      <c r="AD1464" s="277"/>
      <c r="AE1464" s="277"/>
      <c r="AF1464" s="277"/>
      <c r="AG1464" s="277"/>
      <c r="AH1464" s="277"/>
      <c r="AI1464" s="277"/>
      <c r="AJ1464" s="277"/>
      <c r="AK1464" s="277"/>
    </row>
    <row r="1465" spans="1:37" s="289" customFormat="1">
      <c r="A1465" s="277"/>
      <c r="C1465" s="277"/>
      <c r="D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/>
      <c r="O1465" s="277"/>
      <c r="P1465" s="277"/>
      <c r="Q1465" s="277"/>
      <c r="R1465" s="277"/>
      <c r="S1465" s="277"/>
      <c r="T1465" s="277"/>
      <c r="U1465" s="277"/>
      <c r="V1465" s="277"/>
      <c r="W1465" s="277"/>
      <c r="X1465" s="277"/>
      <c r="Y1465" s="277"/>
      <c r="Z1465" s="277"/>
      <c r="AA1465" s="277"/>
      <c r="AB1465" s="277"/>
      <c r="AC1465" s="277"/>
      <c r="AD1465" s="277"/>
      <c r="AE1465" s="277"/>
      <c r="AF1465" s="277"/>
      <c r="AG1465" s="277"/>
      <c r="AH1465" s="277"/>
      <c r="AI1465" s="277"/>
      <c r="AJ1465" s="277"/>
      <c r="AK1465" s="277"/>
    </row>
    <row r="1466" spans="1:37" s="289" customFormat="1">
      <c r="A1466" s="277"/>
      <c r="C1466" s="277"/>
      <c r="D1466" s="277"/>
      <c r="E1466" s="277"/>
      <c r="F1466" s="277"/>
      <c r="G1466" s="277"/>
      <c r="H1466" s="277"/>
      <c r="I1466" s="277"/>
      <c r="J1466" s="277"/>
      <c r="K1466" s="277"/>
      <c r="L1466" s="277"/>
      <c r="M1466" s="277"/>
      <c r="N1466" s="277"/>
      <c r="O1466" s="277"/>
      <c r="P1466" s="277"/>
      <c r="Q1466" s="277"/>
      <c r="R1466" s="277"/>
      <c r="S1466" s="277"/>
      <c r="T1466" s="277"/>
      <c r="U1466" s="277"/>
      <c r="V1466" s="277"/>
      <c r="W1466" s="277"/>
      <c r="X1466" s="277"/>
      <c r="Y1466" s="277"/>
      <c r="Z1466" s="277"/>
      <c r="AA1466" s="277"/>
      <c r="AB1466" s="277"/>
      <c r="AC1466" s="277"/>
      <c r="AD1466" s="277"/>
      <c r="AE1466" s="277"/>
      <c r="AF1466" s="277"/>
      <c r="AG1466" s="277"/>
      <c r="AH1466" s="277"/>
      <c r="AI1466" s="277"/>
      <c r="AJ1466" s="277"/>
      <c r="AK1466" s="277"/>
    </row>
    <row r="1467" spans="1:37" s="289" customFormat="1">
      <c r="A1467" s="277"/>
      <c r="C1467" s="277"/>
      <c r="D1467" s="277"/>
      <c r="E1467" s="277"/>
      <c r="F1467" s="277"/>
      <c r="G1467" s="277"/>
      <c r="H1467" s="277"/>
      <c r="I1467" s="277"/>
      <c r="J1467" s="277"/>
      <c r="K1467" s="277"/>
      <c r="L1467" s="277"/>
      <c r="M1467" s="277"/>
      <c r="N1467" s="277"/>
      <c r="O1467" s="277"/>
      <c r="P1467" s="277"/>
      <c r="Q1467" s="277"/>
      <c r="R1467" s="277"/>
      <c r="S1467" s="277"/>
      <c r="T1467" s="277"/>
      <c r="U1467" s="277"/>
      <c r="V1467" s="277"/>
      <c r="W1467" s="277"/>
      <c r="X1467" s="277"/>
      <c r="Y1467" s="277"/>
      <c r="Z1467" s="277"/>
      <c r="AA1467" s="277"/>
      <c r="AB1467" s="277"/>
      <c r="AC1467" s="277"/>
      <c r="AD1467" s="277"/>
      <c r="AE1467" s="277"/>
      <c r="AF1467" s="277"/>
      <c r="AG1467" s="277"/>
      <c r="AH1467" s="277"/>
      <c r="AI1467" s="277"/>
      <c r="AJ1467" s="277"/>
      <c r="AK1467" s="277"/>
    </row>
    <row r="1468" spans="1:37" s="289" customFormat="1">
      <c r="A1468" s="277"/>
      <c r="C1468" s="277"/>
      <c r="D1468" s="277"/>
      <c r="E1468" s="277"/>
      <c r="F1468" s="277"/>
      <c r="G1468" s="277"/>
      <c r="H1468" s="277"/>
      <c r="I1468" s="277"/>
      <c r="J1468" s="277"/>
      <c r="K1468" s="277"/>
      <c r="L1468" s="277"/>
      <c r="M1468" s="277"/>
      <c r="N1468" s="277"/>
      <c r="O1468" s="277"/>
      <c r="P1468" s="277"/>
      <c r="Q1468" s="277"/>
      <c r="R1468" s="277"/>
      <c r="S1468" s="277"/>
      <c r="T1468" s="277"/>
      <c r="U1468" s="277"/>
      <c r="V1468" s="277"/>
      <c r="W1468" s="277"/>
      <c r="X1468" s="277"/>
      <c r="Y1468" s="277"/>
      <c r="Z1468" s="277"/>
      <c r="AA1468" s="277"/>
      <c r="AB1468" s="277"/>
      <c r="AC1468" s="277"/>
      <c r="AD1468" s="277"/>
      <c r="AE1468" s="277"/>
      <c r="AF1468" s="277"/>
      <c r="AG1468" s="277"/>
      <c r="AH1468" s="277"/>
      <c r="AI1468" s="277"/>
      <c r="AJ1468" s="277"/>
      <c r="AK1468" s="277"/>
    </row>
    <row r="1469" spans="1:37" s="289" customFormat="1">
      <c r="A1469" s="277"/>
      <c r="C1469" s="277"/>
      <c r="D1469" s="277"/>
      <c r="E1469" s="277"/>
      <c r="F1469" s="277"/>
      <c r="G1469" s="277"/>
      <c r="H1469" s="277"/>
      <c r="I1469" s="277"/>
      <c r="J1469" s="277"/>
      <c r="K1469" s="277"/>
      <c r="L1469" s="277"/>
      <c r="M1469" s="277"/>
      <c r="N1469" s="277"/>
      <c r="O1469" s="277"/>
      <c r="P1469" s="277"/>
      <c r="Q1469" s="277"/>
      <c r="R1469" s="277"/>
      <c r="S1469" s="277"/>
      <c r="T1469" s="277"/>
      <c r="U1469" s="277"/>
      <c r="V1469" s="277"/>
      <c r="W1469" s="277"/>
      <c r="X1469" s="277"/>
      <c r="Y1469" s="277"/>
      <c r="Z1469" s="277"/>
      <c r="AA1469" s="277"/>
      <c r="AB1469" s="277"/>
      <c r="AC1469" s="277"/>
      <c r="AD1469" s="277"/>
      <c r="AE1469" s="277"/>
      <c r="AF1469" s="277"/>
      <c r="AG1469" s="277"/>
      <c r="AH1469" s="277"/>
      <c r="AI1469" s="277"/>
      <c r="AJ1469" s="277"/>
      <c r="AK1469" s="277"/>
    </row>
    <row r="1470" spans="1:37" s="289" customFormat="1">
      <c r="A1470" s="277"/>
      <c r="C1470" s="277"/>
      <c r="D1470" s="277"/>
      <c r="E1470" s="277"/>
      <c r="F1470" s="277"/>
      <c r="G1470" s="277"/>
      <c r="H1470" s="277"/>
      <c r="I1470" s="277"/>
      <c r="J1470" s="277"/>
      <c r="K1470" s="277"/>
      <c r="L1470" s="277"/>
      <c r="M1470" s="277"/>
      <c r="N1470" s="277"/>
      <c r="O1470" s="277"/>
      <c r="P1470" s="277"/>
      <c r="Q1470" s="277"/>
      <c r="R1470" s="277"/>
      <c r="S1470" s="277"/>
      <c r="T1470" s="277"/>
      <c r="U1470" s="277"/>
      <c r="V1470" s="277"/>
      <c r="W1470" s="277"/>
      <c r="X1470" s="277"/>
      <c r="Y1470" s="277"/>
      <c r="Z1470" s="277"/>
      <c r="AA1470" s="277"/>
      <c r="AB1470" s="277"/>
      <c r="AC1470" s="277"/>
      <c r="AD1470" s="277"/>
      <c r="AE1470" s="277"/>
      <c r="AF1470" s="277"/>
      <c r="AG1470" s="277"/>
      <c r="AH1470" s="277"/>
      <c r="AI1470" s="277"/>
      <c r="AJ1470" s="277"/>
      <c r="AK1470" s="277"/>
    </row>
    <row r="1471" spans="1:37" s="289" customFormat="1">
      <c r="A1471" s="277"/>
      <c r="C1471" s="277"/>
      <c r="D1471" s="277"/>
      <c r="E1471" s="277"/>
      <c r="F1471" s="277"/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277"/>
      <c r="R1471" s="277"/>
      <c r="S1471" s="277"/>
      <c r="T1471" s="277"/>
      <c r="U1471" s="277"/>
      <c r="V1471" s="277"/>
      <c r="W1471" s="277"/>
      <c r="X1471" s="277"/>
      <c r="Y1471" s="277"/>
      <c r="Z1471" s="277"/>
      <c r="AA1471" s="277"/>
      <c r="AB1471" s="277"/>
      <c r="AC1471" s="277"/>
      <c r="AD1471" s="277"/>
      <c r="AE1471" s="277"/>
      <c r="AF1471" s="277"/>
      <c r="AG1471" s="277"/>
      <c r="AH1471" s="277"/>
      <c r="AI1471" s="277"/>
      <c r="AJ1471" s="277"/>
      <c r="AK1471" s="277"/>
    </row>
    <row r="1472" spans="1:37" s="289" customFormat="1">
      <c r="A1472" s="277"/>
      <c r="C1472" s="277"/>
      <c r="D1472" s="277"/>
      <c r="E1472" s="277"/>
      <c r="F1472" s="277"/>
      <c r="G1472" s="277"/>
      <c r="H1472" s="277"/>
      <c r="I1472" s="277"/>
      <c r="J1472" s="277"/>
      <c r="K1472" s="277"/>
      <c r="L1472" s="277"/>
      <c r="M1472" s="277"/>
      <c r="N1472" s="277"/>
      <c r="O1472" s="277"/>
      <c r="P1472" s="277"/>
      <c r="Q1472" s="277"/>
      <c r="R1472" s="277"/>
      <c r="S1472" s="277"/>
      <c r="T1472" s="277"/>
      <c r="U1472" s="277"/>
      <c r="V1472" s="277"/>
      <c r="W1472" s="277"/>
      <c r="X1472" s="277"/>
      <c r="Y1472" s="277"/>
      <c r="Z1472" s="277"/>
      <c r="AA1472" s="277"/>
      <c r="AB1472" s="277"/>
      <c r="AC1472" s="277"/>
      <c r="AD1472" s="277"/>
      <c r="AE1472" s="277"/>
      <c r="AF1472" s="277"/>
      <c r="AG1472" s="277"/>
      <c r="AH1472" s="277"/>
      <c r="AI1472" s="277"/>
      <c r="AJ1472" s="277"/>
      <c r="AK1472" s="277"/>
    </row>
    <row r="1473" spans="1:37" s="289" customFormat="1">
      <c r="A1473" s="277"/>
      <c r="C1473" s="277"/>
      <c r="D1473" s="277"/>
      <c r="E1473" s="277"/>
      <c r="F1473" s="277"/>
      <c r="G1473" s="277"/>
      <c r="H1473" s="277"/>
      <c r="I1473" s="277"/>
      <c r="J1473" s="277"/>
      <c r="K1473" s="277"/>
      <c r="L1473" s="277"/>
      <c r="M1473" s="277"/>
      <c r="N1473" s="277"/>
      <c r="O1473" s="277"/>
      <c r="P1473" s="277"/>
      <c r="Q1473" s="277"/>
      <c r="R1473" s="277"/>
      <c r="S1473" s="277"/>
      <c r="T1473" s="277"/>
      <c r="U1473" s="277"/>
      <c r="V1473" s="277"/>
      <c r="W1473" s="277"/>
      <c r="X1473" s="277"/>
      <c r="Y1473" s="277"/>
      <c r="Z1473" s="277"/>
      <c r="AA1473" s="277"/>
      <c r="AB1473" s="277"/>
      <c r="AC1473" s="277"/>
      <c r="AD1473" s="277"/>
      <c r="AE1473" s="277"/>
      <c r="AF1473" s="277"/>
      <c r="AG1473" s="277"/>
      <c r="AH1473" s="277"/>
      <c r="AI1473" s="277"/>
      <c r="AJ1473" s="277"/>
      <c r="AK1473" s="277"/>
    </row>
    <row r="1474" spans="1:37" s="289" customFormat="1">
      <c r="A1474" s="277"/>
      <c r="C1474" s="277"/>
      <c r="D1474" s="277"/>
      <c r="E1474" s="277"/>
      <c r="F1474" s="277"/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277"/>
      <c r="R1474" s="277"/>
      <c r="S1474" s="277"/>
      <c r="T1474" s="277"/>
      <c r="U1474" s="277"/>
      <c r="V1474" s="277"/>
      <c r="W1474" s="277"/>
      <c r="X1474" s="277"/>
      <c r="Y1474" s="277"/>
      <c r="Z1474" s="277"/>
      <c r="AA1474" s="277"/>
      <c r="AB1474" s="277"/>
      <c r="AC1474" s="277"/>
      <c r="AD1474" s="277"/>
      <c r="AE1474" s="277"/>
      <c r="AF1474" s="277"/>
      <c r="AG1474" s="277"/>
      <c r="AH1474" s="277"/>
      <c r="AI1474" s="277"/>
      <c r="AJ1474" s="277"/>
      <c r="AK1474" s="277"/>
    </row>
    <row r="1475" spans="1:37" s="289" customFormat="1">
      <c r="A1475" s="277"/>
      <c r="C1475" s="277"/>
      <c r="D1475" s="277"/>
      <c r="E1475" s="277"/>
      <c r="F1475" s="277"/>
      <c r="G1475" s="277"/>
      <c r="H1475" s="277"/>
      <c r="I1475" s="277"/>
      <c r="J1475" s="277"/>
      <c r="K1475" s="277"/>
      <c r="L1475" s="277"/>
      <c r="M1475" s="277"/>
      <c r="N1475" s="277"/>
      <c r="O1475" s="277"/>
      <c r="P1475" s="277"/>
      <c r="Q1475" s="277"/>
      <c r="R1475" s="277"/>
      <c r="S1475" s="277"/>
      <c r="T1475" s="277"/>
      <c r="U1475" s="277"/>
      <c r="V1475" s="277"/>
      <c r="W1475" s="277"/>
      <c r="X1475" s="277"/>
      <c r="Y1475" s="277"/>
      <c r="Z1475" s="277"/>
      <c r="AA1475" s="277"/>
      <c r="AB1475" s="277"/>
      <c r="AC1475" s="277"/>
      <c r="AD1475" s="277"/>
      <c r="AE1475" s="277"/>
      <c r="AF1475" s="277"/>
      <c r="AG1475" s="277"/>
      <c r="AH1475" s="277"/>
      <c r="AI1475" s="277"/>
      <c r="AJ1475" s="277"/>
      <c r="AK1475" s="277"/>
    </row>
    <row r="1476" spans="1:37" s="289" customFormat="1">
      <c r="A1476" s="277"/>
      <c r="C1476" s="277"/>
      <c r="D1476" s="277"/>
      <c r="E1476" s="277"/>
      <c r="F1476" s="277"/>
      <c r="G1476" s="277"/>
      <c r="H1476" s="277"/>
      <c r="I1476" s="277"/>
      <c r="J1476" s="277"/>
      <c r="K1476" s="277"/>
      <c r="L1476" s="277"/>
      <c r="M1476" s="277"/>
      <c r="N1476" s="277"/>
      <c r="O1476" s="277"/>
      <c r="P1476" s="277"/>
      <c r="Q1476" s="277"/>
      <c r="R1476" s="277"/>
      <c r="S1476" s="277"/>
      <c r="T1476" s="277"/>
      <c r="U1476" s="277"/>
      <c r="V1476" s="277"/>
      <c r="W1476" s="277"/>
      <c r="X1476" s="277"/>
      <c r="Y1476" s="277"/>
      <c r="Z1476" s="277"/>
      <c r="AA1476" s="277"/>
      <c r="AB1476" s="277"/>
      <c r="AC1476" s="277"/>
      <c r="AD1476" s="277"/>
      <c r="AE1476" s="277"/>
      <c r="AF1476" s="277"/>
      <c r="AG1476" s="277"/>
      <c r="AH1476" s="277"/>
      <c r="AI1476" s="277"/>
      <c r="AJ1476" s="277"/>
      <c r="AK1476" s="277"/>
    </row>
    <row r="1477" spans="1:37" s="289" customFormat="1">
      <c r="A1477" s="277"/>
      <c r="C1477" s="277"/>
      <c r="D1477" s="277"/>
      <c r="E1477" s="277"/>
      <c r="F1477" s="277"/>
      <c r="G1477" s="277"/>
      <c r="H1477" s="277"/>
      <c r="I1477" s="277"/>
      <c r="J1477" s="277"/>
      <c r="K1477" s="277"/>
      <c r="L1477" s="277"/>
      <c r="M1477" s="277"/>
      <c r="N1477" s="277"/>
      <c r="O1477" s="277"/>
      <c r="P1477" s="277"/>
      <c r="Q1477" s="277"/>
      <c r="R1477" s="277"/>
      <c r="S1477" s="277"/>
      <c r="T1477" s="277"/>
      <c r="U1477" s="277"/>
      <c r="V1477" s="277"/>
      <c r="W1477" s="277"/>
      <c r="X1477" s="277"/>
      <c r="Y1477" s="277"/>
      <c r="Z1477" s="277"/>
      <c r="AA1477" s="277"/>
      <c r="AB1477" s="277"/>
      <c r="AC1477" s="277"/>
      <c r="AD1477" s="277"/>
      <c r="AE1477" s="277"/>
      <c r="AF1477" s="277"/>
      <c r="AG1477" s="277"/>
      <c r="AH1477" s="277"/>
      <c r="AI1477" s="277"/>
      <c r="AJ1477" s="277"/>
      <c r="AK1477" s="277"/>
    </row>
    <row r="1478" spans="1:37" s="289" customFormat="1">
      <c r="A1478" s="277"/>
      <c r="C1478" s="277"/>
      <c r="D1478" s="277"/>
      <c r="E1478" s="277"/>
      <c r="F1478" s="277"/>
      <c r="G1478" s="277"/>
      <c r="H1478" s="277"/>
      <c r="I1478" s="277"/>
      <c r="J1478" s="277"/>
      <c r="K1478" s="277"/>
      <c r="L1478" s="277"/>
      <c r="M1478" s="277"/>
      <c r="N1478" s="277"/>
      <c r="O1478" s="277"/>
      <c r="P1478" s="277"/>
      <c r="Q1478" s="277"/>
      <c r="R1478" s="277"/>
      <c r="S1478" s="277"/>
      <c r="T1478" s="277"/>
      <c r="U1478" s="277"/>
      <c r="V1478" s="277"/>
      <c r="W1478" s="277"/>
      <c r="X1478" s="277"/>
      <c r="Y1478" s="277"/>
      <c r="Z1478" s="277"/>
      <c r="AA1478" s="277"/>
      <c r="AB1478" s="277"/>
      <c r="AC1478" s="277"/>
      <c r="AD1478" s="277"/>
      <c r="AE1478" s="277"/>
      <c r="AF1478" s="277"/>
      <c r="AG1478" s="277"/>
      <c r="AH1478" s="277"/>
      <c r="AI1478" s="277"/>
      <c r="AJ1478" s="277"/>
      <c r="AK1478" s="277"/>
    </row>
    <row r="1479" spans="1:37" s="289" customFormat="1">
      <c r="A1479" s="277"/>
      <c r="C1479" s="277"/>
      <c r="D1479" s="277"/>
      <c r="E1479" s="277"/>
      <c r="F1479" s="277"/>
      <c r="G1479" s="277"/>
      <c r="H1479" s="277"/>
      <c r="I1479" s="277"/>
      <c r="J1479" s="277"/>
      <c r="K1479" s="277"/>
      <c r="L1479" s="277"/>
      <c r="M1479" s="277"/>
      <c r="N1479" s="277"/>
      <c r="O1479" s="277"/>
      <c r="P1479" s="277"/>
      <c r="Q1479" s="277"/>
      <c r="R1479" s="277"/>
      <c r="S1479" s="277"/>
      <c r="T1479" s="277"/>
      <c r="U1479" s="277"/>
      <c r="V1479" s="277"/>
      <c r="W1479" s="277"/>
      <c r="X1479" s="277"/>
      <c r="Y1479" s="277"/>
      <c r="Z1479" s="277"/>
      <c r="AA1479" s="277"/>
      <c r="AB1479" s="277"/>
      <c r="AC1479" s="277"/>
      <c r="AD1479" s="277"/>
      <c r="AE1479" s="277"/>
      <c r="AF1479" s="277"/>
      <c r="AG1479" s="277"/>
      <c r="AH1479" s="277"/>
      <c r="AI1479" s="277"/>
      <c r="AJ1479" s="277"/>
      <c r="AK1479" s="277"/>
    </row>
    <row r="1480" spans="1:37" s="289" customFormat="1">
      <c r="A1480" s="277"/>
      <c r="C1480" s="277"/>
      <c r="D1480" s="277"/>
      <c r="E1480" s="277"/>
      <c r="F1480" s="277"/>
      <c r="G1480" s="277"/>
      <c r="H1480" s="277"/>
      <c r="I1480" s="277"/>
      <c r="J1480" s="277"/>
      <c r="K1480" s="277"/>
      <c r="L1480" s="277"/>
      <c r="M1480" s="277"/>
      <c r="N1480" s="277"/>
      <c r="O1480" s="277"/>
      <c r="P1480" s="277"/>
      <c r="Q1480" s="277"/>
      <c r="R1480" s="277"/>
      <c r="S1480" s="277"/>
      <c r="T1480" s="277"/>
      <c r="U1480" s="277"/>
      <c r="V1480" s="277"/>
      <c r="W1480" s="277"/>
      <c r="X1480" s="277"/>
      <c r="Y1480" s="277"/>
      <c r="Z1480" s="277"/>
      <c r="AA1480" s="277"/>
      <c r="AB1480" s="277"/>
      <c r="AC1480" s="277"/>
      <c r="AD1480" s="277"/>
      <c r="AE1480" s="277"/>
      <c r="AF1480" s="277"/>
      <c r="AG1480" s="277"/>
      <c r="AH1480" s="277"/>
      <c r="AI1480" s="277"/>
      <c r="AJ1480" s="277"/>
      <c r="AK1480" s="277"/>
    </row>
    <row r="1481" spans="1:37" s="289" customFormat="1">
      <c r="A1481" s="277"/>
      <c r="C1481" s="277"/>
      <c r="D1481" s="277"/>
      <c r="E1481" s="277"/>
      <c r="F1481" s="277"/>
      <c r="G1481" s="277"/>
      <c r="H1481" s="277"/>
      <c r="I1481" s="277"/>
      <c r="J1481" s="277"/>
      <c r="K1481" s="277"/>
      <c r="L1481" s="277"/>
      <c r="M1481" s="277"/>
      <c r="N1481" s="277"/>
      <c r="O1481" s="277"/>
      <c r="P1481" s="277"/>
      <c r="Q1481" s="277"/>
      <c r="R1481" s="277"/>
      <c r="S1481" s="277"/>
      <c r="T1481" s="277"/>
      <c r="U1481" s="277"/>
      <c r="V1481" s="277"/>
      <c r="W1481" s="277"/>
      <c r="X1481" s="277"/>
      <c r="Y1481" s="277"/>
      <c r="Z1481" s="277"/>
      <c r="AA1481" s="277"/>
      <c r="AB1481" s="277"/>
      <c r="AC1481" s="277"/>
      <c r="AD1481" s="277"/>
      <c r="AE1481" s="277"/>
      <c r="AF1481" s="277"/>
      <c r="AG1481" s="277"/>
      <c r="AH1481" s="277"/>
      <c r="AI1481" s="277"/>
      <c r="AJ1481" s="277"/>
      <c r="AK1481" s="277"/>
    </row>
    <row r="1482" spans="1:37" s="289" customFormat="1">
      <c r="A1482" s="277"/>
      <c r="C1482" s="277"/>
      <c r="D1482" s="277"/>
      <c r="E1482" s="277"/>
      <c r="F1482" s="277"/>
      <c r="G1482" s="277"/>
      <c r="H1482" s="277"/>
      <c r="I1482" s="277"/>
      <c r="J1482" s="277"/>
      <c r="K1482" s="277"/>
      <c r="L1482" s="277"/>
      <c r="M1482" s="277"/>
      <c r="N1482" s="277"/>
      <c r="O1482" s="277"/>
      <c r="P1482" s="277"/>
      <c r="Q1482" s="277"/>
      <c r="R1482" s="277"/>
      <c r="S1482" s="277"/>
      <c r="T1482" s="277"/>
      <c r="U1482" s="277"/>
      <c r="V1482" s="277"/>
      <c r="W1482" s="277"/>
      <c r="X1482" s="277"/>
      <c r="Y1482" s="277"/>
      <c r="Z1482" s="277"/>
      <c r="AA1482" s="277"/>
      <c r="AB1482" s="277"/>
      <c r="AC1482" s="277"/>
      <c r="AD1482" s="277"/>
      <c r="AE1482" s="277"/>
      <c r="AF1482" s="277"/>
      <c r="AG1482" s="277"/>
      <c r="AH1482" s="277"/>
      <c r="AI1482" s="277"/>
      <c r="AJ1482" s="277"/>
      <c r="AK1482" s="277"/>
    </row>
    <row r="1483" spans="1:37" s="289" customFormat="1">
      <c r="A1483" s="277"/>
      <c r="C1483" s="277"/>
      <c r="D1483" s="277"/>
      <c r="E1483" s="277"/>
      <c r="F1483" s="277"/>
      <c r="G1483" s="277"/>
      <c r="H1483" s="277"/>
      <c r="I1483" s="277"/>
      <c r="J1483" s="277"/>
      <c r="K1483" s="277"/>
      <c r="L1483" s="277"/>
      <c r="M1483" s="277"/>
      <c r="N1483" s="277"/>
      <c r="O1483" s="277"/>
      <c r="P1483" s="277"/>
      <c r="Q1483" s="277"/>
      <c r="R1483" s="277"/>
      <c r="S1483" s="277"/>
      <c r="T1483" s="277"/>
      <c r="U1483" s="277"/>
      <c r="V1483" s="277"/>
      <c r="W1483" s="277"/>
      <c r="X1483" s="277"/>
      <c r="Y1483" s="277"/>
      <c r="Z1483" s="277"/>
      <c r="AA1483" s="277"/>
      <c r="AB1483" s="277"/>
      <c r="AC1483" s="277"/>
      <c r="AD1483" s="277"/>
      <c r="AE1483" s="277"/>
      <c r="AF1483" s="277"/>
      <c r="AG1483" s="277"/>
      <c r="AH1483" s="277"/>
      <c r="AI1483" s="277"/>
      <c r="AJ1483" s="277"/>
      <c r="AK1483" s="277"/>
    </row>
    <row r="1484" spans="1:37" s="289" customFormat="1">
      <c r="A1484" s="277"/>
      <c r="C1484" s="277"/>
      <c r="D1484" s="277"/>
      <c r="E1484" s="277"/>
      <c r="F1484" s="277"/>
      <c r="G1484" s="277"/>
      <c r="H1484" s="277"/>
      <c r="I1484" s="277"/>
      <c r="J1484" s="277"/>
      <c r="K1484" s="277"/>
      <c r="L1484" s="277"/>
      <c r="M1484" s="277"/>
      <c r="N1484" s="277"/>
      <c r="O1484" s="277"/>
      <c r="P1484" s="277"/>
      <c r="Q1484" s="277"/>
      <c r="R1484" s="277"/>
      <c r="S1484" s="277"/>
      <c r="T1484" s="277"/>
      <c r="U1484" s="277"/>
      <c r="V1484" s="277"/>
      <c r="W1484" s="277"/>
      <c r="X1484" s="277"/>
      <c r="Y1484" s="277"/>
      <c r="Z1484" s="277"/>
      <c r="AA1484" s="277"/>
      <c r="AB1484" s="277"/>
      <c r="AC1484" s="277"/>
      <c r="AD1484" s="277"/>
      <c r="AE1484" s="277"/>
      <c r="AF1484" s="277"/>
      <c r="AG1484" s="277"/>
      <c r="AH1484" s="277"/>
      <c r="AI1484" s="277"/>
      <c r="AJ1484" s="277"/>
      <c r="AK1484" s="277"/>
    </row>
    <row r="1485" spans="1:37" s="289" customFormat="1">
      <c r="A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L1485" s="277"/>
      <c r="M1485" s="277"/>
      <c r="N1485" s="277"/>
      <c r="O1485" s="277"/>
      <c r="P1485" s="277"/>
      <c r="Q1485" s="277"/>
      <c r="R1485" s="277"/>
      <c r="S1485" s="277"/>
      <c r="T1485" s="277"/>
      <c r="U1485" s="277"/>
      <c r="V1485" s="277"/>
      <c r="W1485" s="277"/>
      <c r="X1485" s="277"/>
      <c r="Y1485" s="277"/>
      <c r="Z1485" s="277"/>
      <c r="AA1485" s="277"/>
      <c r="AB1485" s="277"/>
      <c r="AC1485" s="277"/>
      <c r="AD1485" s="277"/>
      <c r="AE1485" s="277"/>
      <c r="AF1485" s="277"/>
      <c r="AG1485" s="277"/>
      <c r="AH1485" s="277"/>
      <c r="AI1485" s="277"/>
      <c r="AJ1485" s="277"/>
      <c r="AK1485" s="277"/>
    </row>
    <row r="1486" spans="1:37" s="289" customFormat="1">
      <c r="A1486" s="277"/>
      <c r="C1486" s="277"/>
      <c r="D1486" s="277"/>
      <c r="E1486" s="277"/>
      <c r="F1486" s="277"/>
      <c r="G1486" s="277"/>
      <c r="H1486" s="277"/>
      <c r="I1486" s="277"/>
      <c r="J1486" s="277"/>
      <c r="K1486" s="277"/>
      <c r="L1486" s="277"/>
      <c r="M1486" s="277"/>
      <c r="N1486" s="277"/>
      <c r="O1486" s="277"/>
      <c r="P1486" s="277"/>
      <c r="Q1486" s="277"/>
      <c r="R1486" s="277"/>
      <c r="S1486" s="277"/>
      <c r="T1486" s="277"/>
      <c r="U1486" s="277"/>
      <c r="V1486" s="277"/>
      <c r="W1486" s="277"/>
      <c r="X1486" s="277"/>
      <c r="Y1486" s="277"/>
      <c r="Z1486" s="277"/>
      <c r="AA1486" s="277"/>
      <c r="AB1486" s="277"/>
      <c r="AC1486" s="277"/>
      <c r="AD1486" s="277"/>
      <c r="AE1486" s="277"/>
      <c r="AF1486" s="277"/>
      <c r="AG1486" s="277"/>
      <c r="AH1486" s="277"/>
      <c r="AI1486" s="277"/>
      <c r="AJ1486" s="277"/>
      <c r="AK1486" s="277"/>
    </row>
    <row r="1487" spans="1:37" s="289" customFormat="1">
      <c r="A1487" s="277"/>
      <c r="C1487" s="277"/>
      <c r="D1487" s="277"/>
      <c r="E1487" s="277"/>
      <c r="F1487" s="277"/>
      <c r="G1487" s="277"/>
      <c r="H1487" s="277"/>
      <c r="I1487" s="277"/>
      <c r="J1487" s="277"/>
      <c r="K1487" s="277"/>
      <c r="L1487" s="277"/>
      <c r="M1487" s="277"/>
      <c r="N1487" s="277"/>
      <c r="O1487" s="277"/>
      <c r="P1487" s="277"/>
      <c r="Q1487" s="277"/>
      <c r="R1487" s="277"/>
      <c r="S1487" s="277"/>
      <c r="T1487" s="277"/>
      <c r="U1487" s="277"/>
      <c r="V1487" s="277"/>
      <c r="W1487" s="277"/>
      <c r="X1487" s="277"/>
      <c r="Y1487" s="277"/>
      <c r="Z1487" s="277"/>
      <c r="AA1487" s="277"/>
      <c r="AB1487" s="277"/>
      <c r="AC1487" s="277"/>
      <c r="AD1487" s="277"/>
      <c r="AE1487" s="277"/>
      <c r="AF1487" s="277"/>
      <c r="AG1487" s="277"/>
      <c r="AH1487" s="277"/>
      <c r="AI1487" s="277"/>
      <c r="AJ1487" s="277"/>
      <c r="AK1487" s="277"/>
    </row>
    <row r="1488" spans="1:37" s="289" customFormat="1">
      <c r="A1488" s="277"/>
      <c r="C1488" s="277"/>
      <c r="D1488" s="277"/>
      <c r="E1488" s="277"/>
      <c r="F1488" s="277"/>
      <c r="G1488" s="277"/>
      <c r="H1488" s="277"/>
      <c r="I1488" s="277"/>
      <c r="J1488" s="277"/>
      <c r="K1488" s="277"/>
      <c r="L1488" s="277"/>
      <c r="M1488" s="277"/>
      <c r="N1488" s="277"/>
      <c r="O1488" s="277"/>
      <c r="P1488" s="277"/>
      <c r="Q1488" s="277"/>
      <c r="R1488" s="277"/>
      <c r="S1488" s="277"/>
      <c r="T1488" s="277"/>
      <c r="U1488" s="277"/>
      <c r="V1488" s="277"/>
      <c r="W1488" s="277"/>
      <c r="X1488" s="277"/>
      <c r="Y1488" s="277"/>
      <c r="Z1488" s="277"/>
      <c r="AA1488" s="277"/>
      <c r="AB1488" s="277"/>
      <c r="AC1488" s="277"/>
      <c r="AD1488" s="277"/>
      <c r="AE1488" s="277"/>
      <c r="AF1488" s="277"/>
      <c r="AG1488" s="277"/>
      <c r="AH1488" s="277"/>
      <c r="AI1488" s="277"/>
      <c r="AJ1488" s="277"/>
      <c r="AK1488" s="277"/>
    </row>
  </sheetData>
  <mergeCells count="22">
    <mergeCell ref="N105:S105"/>
    <mergeCell ref="T105:Y105"/>
    <mergeCell ref="I107:M107"/>
    <mergeCell ref="I66:M66"/>
    <mergeCell ref="A81:H81"/>
    <mergeCell ref="A83:H83"/>
    <mergeCell ref="A85:H85"/>
    <mergeCell ref="B86:D86"/>
    <mergeCell ref="I87:L87"/>
    <mergeCell ref="N104:Y104"/>
    <mergeCell ref="I41:L41"/>
    <mergeCell ref="A1:H1"/>
    <mergeCell ref="A3:H3"/>
    <mergeCell ref="I3:K4"/>
    <mergeCell ref="A5:H5"/>
    <mergeCell ref="K6:N6"/>
    <mergeCell ref="B7:D7"/>
    <mergeCell ref="J8:O8"/>
    <mergeCell ref="A34:H34"/>
    <mergeCell ref="A36:H36"/>
    <mergeCell ref="A38:H38"/>
    <mergeCell ref="B40:D40"/>
  </mergeCells>
  <pageMargins left="0.9" right="0.7" top="0.75" bottom="0.5" header="0" footer="0.25"/>
  <pageSetup scale="90" fitToHeight="20" orientation="landscape" r:id="rId1"/>
  <headerFooter alignWithMargins="0"/>
  <rowBreaks count="2" manualBreakCount="2">
    <brk id="33" max="16383" man="1"/>
    <brk id="80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65"/>
  <sheetViews>
    <sheetView workbookViewId="0">
      <selection activeCell="B22" sqref="B22"/>
    </sheetView>
  </sheetViews>
  <sheetFormatPr defaultRowHeight="12" outlineLevelRow="1"/>
  <cols>
    <col min="1" max="1" width="3.5546875" style="183" customWidth="1"/>
    <col min="2" max="2" width="19.21875" style="184" customWidth="1"/>
    <col min="3" max="3" width="7.5546875" style="184" customWidth="1"/>
    <col min="4" max="5" width="7.5546875" style="221" customWidth="1"/>
    <col min="6" max="6" width="8.88671875" style="188"/>
    <col min="7" max="7" width="7.33203125" style="188" bestFit="1" customWidth="1"/>
    <col min="8" max="11" width="8.88671875" style="188"/>
    <col min="12" max="12" width="10.109375" style="188" customWidth="1"/>
    <col min="13" max="13" width="9" style="188" bestFit="1" customWidth="1"/>
    <col min="14" max="14" width="8.88671875" style="188"/>
    <col min="15" max="16" width="8.88671875" style="190"/>
    <col min="17" max="17" width="7.109375" style="188" customWidth="1"/>
    <col min="18" max="19" width="8.88671875" style="190"/>
    <col min="20" max="16384" width="8.88671875" style="188"/>
  </cols>
  <sheetData>
    <row r="2" spans="1:19" ht="26.25" customHeight="1">
      <c r="D2" s="185" t="s">
        <v>233</v>
      </c>
      <c r="E2" s="185" t="s">
        <v>234</v>
      </c>
      <c r="F2" s="186" t="s">
        <v>235</v>
      </c>
      <c r="G2" s="187" t="s">
        <v>236</v>
      </c>
      <c r="H2" s="186" t="s">
        <v>210</v>
      </c>
      <c r="I2" s="186" t="s">
        <v>235</v>
      </c>
      <c r="J2" s="187" t="s">
        <v>236</v>
      </c>
      <c r="K2" s="186" t="s">
        <v>210</v>
      </c>
      <c r="L2" s="188" t="s">
        <v>237</v>
      </c>
      <c r="O2" s="987" t="s">
        <v>238</v>
      </c>
      <c r="P2" s="987"/>
      <c r="R2" s="987" t="s">
        <v>238</v>
      </c>
      <c r="S2" s="987"/>
    </row>
    <row r="3" spans="1:19">
      <c r="D3" s="185" t="s">
        <v>223</v>
      </c>
      <c r="E3" s="185" t="s">
        <v>239</v>
      </c>
      <c r="F3" s="186" t="s">
        <v>240</v>
      </c>
      <c r="G3" s="187" t="s">
        <v>240</v>
      </c>
      <c r="H3" s="186" t="s">
        <v>240</v>
      </c>
      <c r="I3" s="186" t="s">
        <v>241</v>
      </c>
      <c r="J3" s="187" t="s">
        <v>241</v>
      </c>
      <c r="K3" s="186" t="s">
        <v>241</v>
      </c>
      <c r="L3" s="188" t="s">
        <v>242</v>
      </c>
      <c r="O3" s="189">
        <v>41730</v>
      </c>
      <c r="R3" s="189">
        <v>41730</v>
      </c>
    </row>
    <row r="4" spans="1:19">
      <c r="B4" s="191" t="s">
        <v>243</v>
      </c>
      <c r="D4" s="185"/>
      <c r="E4" s="185"/>
      <c r="F4" s="186"/>
      <c r="G4" s="187"/>
      <c r="H4" s="186"/>
      <c r="I4" s="186"/>
      <c r="J4" s="187"/>
      <c r="K4" s="186"/>
      <c r="O4" s="192" t="s">
        <v>240</v>
      </c>
      <c r="P4" s="192" t="s">
        <v>210</v>
      </c>
      <c r="R4" s="192" t="s">
        <v>241</v>
      </c>
      <c r="S4" s="192" t="s">
        <v>210</v>
      </c>
    </row>
    <row r="5" spans="1:19">
      <c r="D5" s="185"/>
      <c r="E5" s="185"/>
      <c r="F5" s="186"/>
      <c r="G5" s="187"/>
      <c r="H5" s="186"/>
      <c r="I5" s="186"/>
      <c r="J5" s="187"/>
      <c r="K5" s="186"/>
      <c r="M5" s="192" t="s">
        <v>210</v>
      </c>
      <c r="N5" s="193"/>
      <c r="O5" s="192" t="s">
        <v>244</v>
      </c>
      <c r="P5" s="192" t="s">
        <v>245</v>
      </c>
      <c r="R5" s="192" t="s">
        <v>244</v>
      </c>
      <c r="S5" s="192" t="s">
        <v>245</v>
      </c>
    </row>
    <row r="6" spans="1:19" s="196" customFormat="1">
      <c r="A6" s="194"/>
      <c r="B6" s="195" t="s">
        <v>235</v>
      </c>
      <c r="C6" s="195" t="s">
        <v>246</v>
      </c>
      <c r="D6" s="195" t="s">
        <v>247</v>
      </c>
      <c r="E6" s="195"/>
      <c r="G6" s="197"/>
      <c r="J6" s="197"/>
      <c r="N6" s="198"/>
      <c r="O6" s="199"/>
      <c r="P6" s="199"/>
      <c r="R6" s="199"/>
      <c r="S6" s="199"/>
    </row>
    <row r="7" spans="1:19">
      <c r="A7" s="183">
        <v>16</v>
      </c>
      <c r="B7" s="200" t="s">
        <v>787</v>
      </c>
      <c r="C7" s="200" t="s">
        <v>248</v>
      </c>
      <c r="D7" s="201">
        <v>16.3</v>
      </c>
      <c r="E7" s="201"/>
      <c r="F7" s="202">
        <v>78</v>
      </c>
      <c r="G7" s="203">
        <f>SUM(H7-F7)</f>
        <v>240.35000000000002</v>
      </c>
      <c r="H7" s="202">
        <v>318.35000000000002</v>
      </c>
      <c r="I7" s="202">
        <v>0</v>
      </c>
      <c r="J7" s="203">
        <f>SUM(K7-I7)</f>
        <v>39.090000000000003</v>
      </c>
      <c r="K7" s="202">
        <v>39.090000000000003</v>
      </c>
      <c r="L7" s="193"/>
      <c r="M7" s="193"/>
      <c r="N7" s="202">
        <f>+G7+J7+L7</f>
        <v>279.44000000000005</v>
      </c>
      <c r="O7" s="204">
        <v>318.35000000000002</v>
      </c>
      <c r="P7" s="204" t="str">
        <f>IF(O7=H7,"Total Match",O7-H7)</f>
        <v>Total Match</v>
      </c>
      <c r="R7" s="204">
        <v>39.090000000000003</v>
      </c>
      <c r="S7" s="204" t="str">
        <f>IF(R7=K7,"Total Match",R7-K7)</f>
        <v>Total Match</v>
      </c>
    </row>
    <row r="8" spans="1:19">
      <c r="A8" s="183">
        <v>17</v>
      </c>
      <c r="B8" s="200" t="s">
        <v>787</v>
      </c>
      <c r="C8" s="200" t="s">
        <v>248</v>
      </c>
      <c r="D8" s="201">
        <v>14.28</v>
      </c>
      <c r="E8" s="201"/>
      <c r="F8" s="202">
        <v>0</v>
      </c>
      <c r="G8" s="203">
        <f t="shared" ref="G8:G27" si="0">SUM(H8-F8)</f>
        <v>0</v>
      </c>
      <c r="H8" s="202">
        <v>0</v>
      </c>
      <c r="I8" s="202">
        <v>0</v>
      </c>
      <c r="J8" s="203">
        <f t="shared" ref="J8:J27" si="1">SUM(K8-I8)</f>
        <v>0</v>
      </c>
      <c r="K8" s="202">
        <v>0</v>
      </c>
      <c r="L8" s="193"/>
      <c r="M8" s="193"/>
      <c r="N8" s="202">
        <f t="shared" ref="N8:N27" si="2">+G8+J8+L8</f>
        <v>0</v>
      </c>
      <c r="O8" s="205"/>
      <c r="P8" s="205"/>
      <c r="R8" s="205"/>
      <c r="S8" s="205"/>
    </row>
    <row r="9" spans="1:19">
      <c r="A9" s="183">
        <v>11</v>
      </c>
      <c r="B9" s="200" t="s">
        <v>787</v>
      </c>
      <c r="C9" s="200" t="s">
        <v>249</v>
      </c>
      <c r="D9" s="201">
        <v>2703.66</v>
      </c>
      <c r="E9" s="201">
        <v>5407.32</v>
      </c>
      <c r="F9" s="202">
        <v>144</v>
      </c>
      <c r="G9" s="203">
        <f t="shared" si="0"/>
        <v>578.17999999999995</v>
      </c>
      <c r="H9" s="202">
        <v>722.18</v>
      </c>
      <c r="I9" s="202">
        <v>0</v>
      </c>
      <c r="J9" s="203">
        <f t="shared" si="1"/>
        <v>39.090000000000003</v>
      </c>
      <c r="K9" s="202">
        <v>39.090000000000003</v>
      </c>
      <c r="L9" s="193">
        <v>125</v>
      </c>
      <c r="M9" s="193"/>
      <c r="N9" s="202">
        <f>+G9+J9+L9</f>
        <v>742.27</v>
      </c>
      <c r="O9" s="204">
        <v>722.18</v>
      </c>
      <c r="P9" s="204" t="str">
        <f t="shared" ref="P9:P24" si="3">IF(O9=H9,"Total Match",O9-H9)</f>
        <v>Total Match</v>
      </c>
      <c r="R9" s="204">
        <v>39.090000000000003</v>
      </c>
      <c r="S9" s="204" t="str">
        <f>IF(R9=K9,"Total Match",R9-K9)</f>
        <v>Total Match</v>
      </c>
    </row>
    <row r="10" spans="1:19">
      <c r="A10" s="183">
        <v>15</v>
      </c>
      <c r="B10" s="200" t="s">
        <v>787</v>
      </c>
      <c r="C10" s="200" t="s">
        <v>248</v>
      </c>
      <c r="D10" s="201">
        <v>32.630000000000003</v>
      </c>
      <c r="E10" s="201"/>
      <c r="F10" s="202">
        <v>233</v>
      </c>
      <c r="G10" s="203">
        <f t="shared" si="0"/>
        <v>722.03</v>
      </c>
      <c r="H10" s="202">
        <v>955.03</v>
      </c>
      <c r="I10" s="202">
        <v>47.54</v>
      </c>
      <c r="J10" s="203">
        <f t="shared" si="1"/>
        <v>40.559999999999995</v>
      </c>
      <c r="K10" s="202">
        <v>88.1</v>
      </c>
      <c r="L10" s="193"/>
      <c r="M10" s="193"/>
      <c r="N10" s="202">
        <f t="shared" si="2"/>
        <v>762.58999999999992</v>
      </c>
      <c r="O10" s="204">
        <v>955.03</v>
      </c>
      <c r="P10" s="204" t="str">
        <f t="shared" si="3"/>
        <v>Total Match</v>
      </c>
      <c r="R10" s="204">
        <v>88.1</v>
      </c>
      <c r="S10" s="204" t="str">
        <f t="shared" ref="S10:S23" si="4">IF(R10=K10,"Total Match",R10-K10)</f>
        <v>Total Match</v>
      </c>
    </row>
    <row r="11" spans="1:19">
      <c r="A11" s="183">
        <v>20</v>
      </c>
      <c r="B11" s="200" t="s">
        <v>787</v>
      </c>
      <c r="C11" s="200" t="s">
        <v>249</v>
      </c>
      <c r="D11" s="201">
        <v>1459.97</v>
      </c>
      <c r="E11" s="201">
        <v>2919.94</v>
      </c>
      <c r="F11" s="202">
        <v>6</v>
      </c>
      <c r="G11" s="203">
        <f t="shared" si="0"/>
        <v>415.26</v>
      </c>
      <c r="H11" s="202">
        <v>421.26</v>
      </c>
      <c r="I11" s="202">
        <v>0</v>
      </c>
      <c r="J11" s="203">
        <f t="shared" si="1"/>
        <v>39.090000000000003</v>
      </c>
      <c r="K11" s="202">
        <v>39.090000000000003</v>
      </c>
      <c r="L11" s="193">
        <v>125</v>
      </c>
      <c r="M11" s="193"/>
      <c r="N11" s="202">
        <f t="shared" si="2"/>
        <v>579.35</v>
      </c>
      <c r="O11" s="204">
        <v>421.26</v>
      </c>
      <c r="P11" s="204" t="str">
        <f t="shared" si="3"/>
        <v>Total Match</v>
      </c>
      <c r="R11" s="204">
        <v>39.090000000000003</v>
      </c>
      <c r="S11" s="204" t="str">
        <f t="shared" si="4"/>
        <v>Total Match</v>
      </c>
    </row>
    <row r="12" spans="1:19">
      <c r="A12" s="183">
        <v>22</v>
      </c>
      <c r="B12" s="200" t="s">
        <v>787</v>
      </c>
      <c r="C12" s="200" t="s">
        <v>249</v>
      </c>
      <c r="D12" s="201">
        <v>1731.56</v>
      </c>
      <c r="E12" s="201">
        <v>3463.12</v>
      </c>
      <c r="F12" s="202">
        <v>78</v>
      </c>
      <c r="G12" s="203">
        <f t="shared" si="0"/>
        <v>240.35000000000002</v>
      </c>
      <c r="H12" s="202">
        <v>318.35000000000002</v>
      </c>
      <c r="I12" s="202">
        <v>0</v>
      </c>
      <c r="J12" s="203">
        <f t="shared" si="1"/>
        <v>39.090000000000003</v>
      </c>
      <c r="K12" s="202">
        <v>39.090000000000003</v>
      </c>
      <c r="L12" s="193"/>
      <c r="M12" s="193"/>
      <c r="N12" s="202">
        <f t="shared" si="2"/>
        <v>279.44000000000005</v>
      </c>
      <c r="O12" s="204">
        <v>318.35000000000002</v>
      </c>
      <c r="P12" s="204" t="str">
        <f t="shared" si="3"/>
        <v>Total Match</v>
      </c>
      <c r="R12" s="204">
        <v>39.090000000000003</v>
      </c>
      <c r="S12" s="204" t="str">
        <f t="shared" si="4"/>
        <v>Total Match</v>
      </c>
    </row>
    <row r="13" spans="1:19">
      <c r="A13" s="183">
        <v>23</v>
      </c>
      <c r="B13" s="200" t="s">
        <v>787</v>
      </c>
      <c r="C13" s="200" t="s">
        <v>249</v>
      </c>
      <c r="D13" s="201">
        <v>1588.81</v>
      </c>
      <c r="E13" s="201">
        <v>3177.62</v>
      </c>
      <c r="F13" s="202">
        <v>233</v>
      </c>
      <c r="G13" s="203">
        <f t="shared" si="0"/>
        <v>722.03</v>
      </c>
      <c r="H13" s="202">
        <v>955.03</v>
      </c>
      <c r="I13" s="202">
        <v>95.02</v>
      </c>
      <c r="J13" s="203">
        <f t="shared" si="1"/>
        <v>42.030000000000015</v>
      </c>
      <c r="K13" s="202">
        <v>137.05000000000001</v>
      </c>
      <c r="L13" s="193">
        <v>125</v>
      </c>
      <c r="M13" s="193"/>
      <c r="N13" s="202">
        <f t="shared" si="2"/>
        <v>889.06</v>
      </c>
      <c r="O13" s="204">
        <v>955.03</v>
      </c>
      <c r="P13" s="204" t="str">
        <f t="shared" si="3"/>
        <v>Total Match</v>
      </c>
      <c r="R13" s="204">
        <v>137.05000000000001</v>
      </c>
      <c r="S13" s="204" t="str">
        <f t="shared" si="4"/>
        <v>Total Match</v>
      </c>
    </row>
    <row r="14" spans="1:19">
      <c r="A14" s="183">
        <v>24</v>
      </c>
      <c r="B14" s="200" t="s">
        <v>787</v>
      </c>
      <c r="C14" s="200" t="s">
        <v>249</v>
      </c>
      <c r="D14" s="201">
        <v>1731.56</v>
      </c>
      <c r="E14" s="201">
        <v>3463.12</v>
      </c>
      <c r="F14" s="202">
        <v>12</v>
      </c>
      <c r="G14" s="203">
        <f t="shared" si="0"/>
        <v>409.26</v>
      </c>
      <c r="H14" s="202">
        <v>421.26</v>
      </c>
      <c r="I14" s="202">
        <v>0</v>
      </c>
      <c r="J14" s="203">
        <f t="shared" si="1"/>
        <v>39.090000000000003</v>
      </c>
      <c r="K14" s="202">
        <v>39.090000000000003</v>
      </c>
      <c r="L14" s="193"/>
      <c r="M14" s="193"/>
      <c r="N14" s="202">
        <f t="shared" si="2"/>
        <v>448.35</v>
      </c>
      <c r="O14" s="204">
        <v>421.26</v>
      </c>
      <c r="P14" s="204" t="str">
        <f t="shared" si="3"/>
        <v>Total Match</v>
      </c>
      <c r="R14" s="204">
        <v>39.090000000000003</v>
      </c>
      <c r="S14" s="204" t="str">
        <f t="shared" si="4"/>
        <v>Total Match</v>
      </c>
    </row>
    <row r="15" spans="1:19">
      <c r="A15" s="183">
        <v>25</v>
      </c>
      <c r="B15" s="200" t="s">
        <v>787</v>
      </c>
      <c r="C15" s="200" t="s">
        <v>249</v>
      </c>
      <c r="D15" s="201">
        <v>1459.96</v>
      </c>
      <c r="E15" s="201">
        <v>2919.94</v>
      </c>
      <c r="F15" s="202">
        <v>12</v>
      </c>
      <c r="G15" s="203">
        <f t="shared" si="0"/>
        <v>409.26</v>
      </c>
      <c r="H15" s="202">
        <v>421.26</v>
      </c>
      <c r="I15" s="202">
        <v>47.54</v>
      </c>
      <c r="J15" s="203">
        <f t="shared" si="1"/>
        <v>40.559999999999995</v>
      </c>
      <c r="K15" s="202">
        <v>88.1</v>
      </c>
      <c r="L15" s="193">
        <v>125</v>
      </c>
      <c r="M15" s="193"/>
      <c r="N15" s="202">
        <f t="shared" si="2"/>
        <v>574.81999999999994</v>
      </c>
      <c r="O15" s="204">
        <v>421.26</v>
      </c>
      <c r="P15" s="204" t="str">
        <f t="shared" si="3"/>
        <v>Total Match</v>
      </c>
      <c r="R15" s="204">
        <v>88.1</v>
      </c>
      <c r="S15" s="204" t="str">
        <f t="shared" si="4"/>
        <v>Total Match</v>
      </c>
    </row>
    <row r="16" spans="1:19">
      <c r="A16" s="183">
        <v>31</v>
      </c>
      <c r="B16" s="200" t="s">
        <v>787</v>
      </c>
      <c r="C16" s="200" t="s">
        <v>248</v>
      </c>
      <c r="D16" s="201">
        <v>21.05</v>
      </c>
      <c r="E16" s="201"/>
      <c r="F16" s="202">
        <v>233</v>
      </c>
      <c r="G16" s="203">
        <f t="shared" si="0"/>
        <v>489.17999999999995</v>
      </c>
      <c r="H16" s="202">
        <v>722.18</v>
      </c>
      <c r="I16" s="202">
        <v>95.02</v>
      </c>
      <c r="J16" s="203">
        <f t="shared" si="1"/>
        <v>42.030000000000015</v>
      </c>
      <c r="K16" s="202">
        <v>137.05000000000001</v>
      </c>
      <c r="L16" s="193"/>
      <c r="M16" s="193"/>
      <c r="N16" s="202">
        <f t="shared" si="2"/>
        <v>531.20999999999992</v>
      </c>
      <c r="O16" s="204">
        <v>722.18</v>
      </c>
      <c r="P16" s="204" t="str">
        <f t="shared" si="3"/>
        <v>Total Match</v>
      </c>
      <c r="R16" s="204">
        <v>137.05000000000001</v>
      </c>
      <c r="S16" s="204" t="str">
        <f t="shared" si="4"/>
        <v>Total Match</v>
      </c>
    </row>
    <row r="17" spans="1:19">
      <c r="A17" s="183">
        <v>30</v>
      </c>
      <c r="B17" s="200" t="s">
        <v>787</v>
      </c>
      <c r="C17" s="200" t="s">
        <v>248</v>
      </c>
      <c r="D17" s="201">
        <v>21.05</v>
      </c>
      <c r="E17" s="201"/>
      <c r="F17" s="202">
        <v>175</v>
      </c>
      <c r="G17" s="203">
        <f t="shared" si="0"/>
        <v>541.28</v>
      </c>
      <c r="H17" s="202">
        <v>716.28</v>
      </c>
      <c r="I17" s="202">
        <v>35.58</v>
      </c>
      <c r="J17" s="203">
        <f t="shared" si="1"/>
        <v>40.19</v>
      </c>
      <c r="K17" s="202">
        <v>75.77</v>
      </c>
      <c r="L17" s="193"/>
      <c r="M17" s="193"/>
      <c r="N17" s="202">
        <f t="shared" si="2"/>
        <v>581.47</v>
      </c>
      <c r="O17" s="204">
        <v>716.28</v>
      </c>
      <c r="P17" s="204" t="str">
        <f t="shared" si="3"/>
        <v>Total Match</v>
      </c>
      <c r="R17" s="204">
        <v>75.77</v>
      </c>
      <c r="S17" s="204" t="str">
        <f t="shared" si="4"/>
        <v>Total Match</v>
      </c>
    </row>
    <row r="18" spans="1:19">
      <c r="A18" s="183">
        <v>41</v>
      </c>
      <c r="B18" s="200" t="s">
        <v>787</v>
      </c>
      <c r="C18" s="200" t="s">
        <v>248</v>
      </c>
      <c r="D18" s="201">
        <v>27.11</v>
      </c>
      <c r="E18" s="201"/>
      <c r="F18" s="202">
        <v>0</v>
      </c>
      <c r="G18" s="203">
        <f t="shared" si="0"/>
        <v>240.73</v>
      </c>
      <c r="H18" s="202">
        <v>240.73</v>
      </c>
      <c r="I18" s="202">
        <v>0</v>
      </c>
      <c r="J18" s="203">
        <f t="shared" si="1"/>
        <v>39.090000000000003</v>
      </c>
      <c r="K18" s="202">
        <v>39.090000000000003</v>
      </c>
      <c r="L18" s="193">
        <v>65</v>
      </c>
      <c r="M18" s="193"/>
      <c r="N18" s="202">
        <f t="shared" si="2"/>
        <v>344.82</v>
      </c>
      <c r="O18" s="204">
        <v>240.73</v>
      </c>
      <c r="P18" s="204" t="str">
        <f t="shared" si="3"/>
        <v>Total Match</v>
      </c>
      <c r="R18" s="204">
        <v>39.090000000000003</v>
      </c>
      <c r="S18" s="204" t="str">
        <f t="shared" si="4"/>
        <v>Total Match</v>
      </c>
    </row>
    <row r="19" spans="1:19">
      <c r="A19" s="183">
        <v>47</v>
      </c>
      <c r="B19" s="200" t="s">
        <v>787</v>
      </c>
      <c r="C19" s="200" t="s">
        <v>248</v>
      </c>
      <c r="D19" s="201">
        <v>15.81</v>
      </c>
      <c r="E19" s="201"/>
      <c r="F19" s="202">
        <v>175</v>
      </c>
      <c r="G19" s="203">
        <f t="shared" si="0"/>
        <v>143.35000000000002</v>
      </c>
      <c r="H19" s="202">
        <v>318.35000000000002</v>
      </c>
      <c r="I19" s="202">
        <v>0</v>
      </c>
      <c r="J19" s="203">
        <f t="shared" si="1"/>
        <v>39.090000000000003</v>
      </c>
      <c r="K19" s="202">
        <v>39.090000000000003</v>
      </c>
      <c r="L19" s="193"/>
      <c r="M19" s="193"/>
      <c r="N19" s="202">
        <f t="shared" si="2"/>
        <v>182.44000000000003</v>
      </c>
      <c r="O19" s="204">
        <v>318.35000000000002</v>
      </c>
      <c r="P19" s="204" t="str">
        <f t="shared" si="3"/>
        <v>Total Match</v>
      </c>
      <c r="R19" s="204">
        <v>39.090000000000003</v>
      </c>
      <c r="S19" s="204" t="str">
        <f t="shared" si="4"/>
        <v>Total Match</v>
      </c>
    </row>
    <row r="20" spans="1:19">
      <c r="A20" s="183">
        <v>40</v>
      </c>
      <c r="B20" s="200" t="s">
        <v>787</v>
      </c>
      <c r="C20" s="200" t="s">
        <v>248</v>
      </c>
      <c r="D20" s="201">
        <v>36.24</v>
      </c>
      <c r="E20" s="201"/>
      <c r="F20" s="202">
        <v>175</v>
      </c>
      <c r="G20" s="203">
        <f t="shared" si="0"/>
        <v>143.35000000000002</v>
      </c>
      <c r="H20" s="202">
        <v>318.35000000000002</v>
      </c>
      <c r="I20" s="202">
        <v>0</v>
      </c>
      <c r="J20" s="203">
        <f t="shared" si="1"/>
        <v>75.77</v>
      </c>
      <c r="K20" s="202">
        <v>75.77</v>
      </c>
      <c r="L20" s="193"/>
      <c r="M20" s="193"/>
      <c r="N20" s="202">
        <f t="shared" si="2"/>
        <v>219.12</v>
      </c>
      <c r="O20" s="204">
        <v>318.35000000000002</v>
      </c>
      <c r="P20" s="204" t="str">
        <f t="shared" si="3"/>
        <v>Total Match</v>
      </c>
      <c r="R20" s="204">
        <v>75.77</v>
      </c>
      <c r="S20" s="204" t="str">
        <f t="shared" si="4"/>
        <v>Total Match</v>
      </c>
    </row>
    <row r="21" spans="1:19">
      <c r="A21" s="183">
        <v>27</v>
      </c>
      <c r="B21" s="200" t="s">
        <v>787</v>
      </c>
      <c r="C21" s="200" t="s">
        <v>248</v>
      </c>
      <c r="D21" s="201">
        <v>13.26</v>
      </c>
      <c r="E21" s="201"/>
      <c r="F21" s="202">
        <v>0</v>
      </c>
      <c r="G21" s="203">
        <f t="shared" si="0"/>
        <v>240.73</v>
      </c>
      <c r="H21" s="202">
        <v>240.73</v>
      </c>
      <c r="I21" s="202">
        <v>35.58</v>
      </c>
      <c r="J21" s="203">
        <f t="shared" si="1"/>
        <v>3.5100000000000051</v>
      </c>
      <c r="K21" s="202">
        <v>39.090000000000003</v>
      </c>
      <c r="L21" s="193">
        <v>65</v>
      </c>
      <c r="M21" s="193"/>
      <c r="N21" s="202">
        <f t="shared" si="2"/>
        <v>309.24</v>
      </c>
      <c r="O21" s="204">
        <v>240.73</v>
      </c>
      <c r="P21" s="204" t="str">
        <f t="shared" si="3"/>
        <v>Total Match</v>
      </c>
      <c r="R21" s="204">
        <v>39.090000000000003</v>
      </c>
      <c r="S21" s="204" t="str">
        <f t="shared" si="4"/>
        <v>Total Match</v>
      </c>
    </row>
    <row r="22" spans="1:19">
      <c r="A22" s="183">
        <v>43</v>
      </c>
      <c r="B22" s="200" t="s">
        <v>787</v>
      </c>
      <c r="C22" s="200" t="s">
        <v>248</v>
      </c>
      <c r="D22" s="201">
        <v>14.75</v>
      </c>
      <c r="E22" s="201"/>
      <c r="F22" s="202">
        <v>144</v>
      </c>
      <c r="G22" s="203">
        <f t="shared" si="0"/>
        <v>578.17999999999995</v>
      </c>
      <c r="H22" s="202">
        <v>722.18</v>
      </c>
      <c r="I22" s="202">
        <v>47.54</v>
      </c>
      <c r="J22" s="203">
        <f t="shared" si="1"/>
        <v>28.229999999999997</v>
      </c>
      <c r="K22" s="202">
        <v>75.77</v>
      </c>
      <c r="L22" s="193">
        <v>125</v>
      </c>
      <c r="M22" s="193"/>
      <c r="N22" s="202">
        <f t="shared" si="2"/>
        <v>731.41</v>
      </c>
      <c r="O22" s="204">
        <v>722.18</v>
      </c>
      <c r="P22" s="204" t="str">
        <f t="shared" si="3"/>
        <v>Total Match</v>
      </c>
      <c r="R22" s="204">
        <v>75.77</v>
      </c>
      <c r="S22" s="204" t="str">
        <f t="shared" si="4"/>
        <v>Total Match</v>
      </c>
    </row>
    <row r="23" spans="1:19">
      <c r="A23" s="183">
        <v>44</v>
      </c>
      <c r="B23" s="200" t="s">
        <v>787</v>
      </c>
      <c r="C23" s="200" t="s">
        <v>248</v>
      </c>
      <c r="D23" s="201">
        <v>14.75</v>
      </c>
      <c r="E23" s="201"/>
      <c r="F23" s="202">
        <v>78</v>
      </c>
      <c r="G23" s="203">
        <f t="shared" si="0"/>
        <v>240.35000000000002</v>
      </c>
      <c r="H23" s="202">
        <v>318.35000000000002</v>
      </c>
      <c r="I23" s="202">
        <v>0</v>
      </c>
      <c r="J23" s="203">
        <f t="shared" si="1"/>
        <v>39.090000000000003</v>
      </c>
      <c r="K23" s="202">
        <v>39.090000000000003</v>
      </c>
      <c r="L23" s="193"/>
      <c r="M23" s="193"/>
      <c r="N23" s="202">
        <f t="shared" si="2"/>
        <v>279.44000000000005</v>
      </c>
      <c r="O23" s="204">
        <v>318.35000000000002</v>
      </c>
      <c r="P23" s="204" t="str">
        <f t="shared" si="3"/>
        <v>Total Match</v>
      </c>
      <c r="R23" s="204">
        <v>39.090000000000003</v>
      </c>
      <c r="S23" s="204" t="str">
        <f t="shared" si="4"/>
        <v>Total Match</v>
      </c>
    </row>
    <row r="24" spans="1:19">
      <c r="A24" s="206"/>
      <c r="B24" s="200" t="s">
        <v>787</v>
      </c>
      <c r="C24" s="207" t="s">
        <v>248</v>
      </c>
      <c r="D24" s="208">
        <v>12</v>
      </c>
      <c r="E24" s="208"/>
      <c r="F24" s="209">
        <v>78</v>
      </c>
      <c r="G24" s="209">
        <f t="shared" si="0"/>
        <v>240.35000000000002</v>
      </c>
      <c r="H24" s="209">
        <v>318.35000000000002</v>
      </c>
      <c r="I24" s="209">
        <v>0</v>
      </c>
      <c r="J24" s="203">
        <f t="shared" si="1"/>
        <v>0</v>
      </c>
      <c r="K24" s="209">
        <v>0</v>
      </c>
      <c r="L24" s="210"/>
      <c r="M24" s="210"/>
      <c r="N24" s="209">
        <f t="shared" si="2"/>
        <v>240.35000000000002</v>
      </c>
      <c r="O24" s="211">
        <v>318.35000000000002</v>
      </c>
      <c r="P24" s="211" t="str">
        <f t="shared" si="3"/>
        <v>Total Match</v>
      </c>
      <c r="R24" s="205"/>
      <c r="S24" s="205"/>
    </row>
    <row r="25" spans="1:19">
      <c r="B25" s="200" t="s">
        <v>787</v>
      </c>
      <c r="C25" s="200" t="s">
        <v>248</v>
      </c>
      <c r="D25" s="201">
        <v>14.28</v>
      </c>
      <c r="E25" s="201"/>
      <c r="F25" s="202">
        <v>0</v>
      </c>
      <c r="G25" s="203">
        <f t="shared" si="0"/>
        <v>0</v>
      </c>
      <c r="H25" s="202">
        <v>0</v>
      </c>
      <c r="I25" s="202">
        <v>0</v>
      </c>
      <c r="J25" s="203">
        <f t="shared" si="1"/>
        <v>0</v>
      </c>
      <c r="K25" s="202">
        <v>0</v>
      </c>
      <c r="L25" s="193"/>
      <c r="M25" s="193"/>
      <c r="N25" s="202">
        <f t="shared" si="2"/>
        <v>0</v>
      </c>
      <c r="O25" s="205"/>
      <c r="P25" s="205"/>
      <c r="R25" s="205"/>
      <c r="S25" s="205"/>
    </row>
    <row r="26" spans="1:19">
      <c r="B26" s="200" t="s">
        <v>787</v>
      </c>
      <c r="C26" s="200" t="s">
        <v>248</v>
      </c>
      <c r="D26" s="201">
        <v>14.28</v>
      </c>
      <c r="E26" s="201"/>
      <c r="F26" s="202">
        <v>0</v>
      </c>
      <c r="G26" s="203">
        <f t="shared" si="0"/>
        <v>0</v>
      </c>
      <c r="H26" s="202">
        <v>0</v>
      </c>
      <c r="I26" s="202">
        <v>0</v>
      </c>
      <c r="J26" s="203">
        <f t="shared" si="1"/>
        <v>0</v>
      </c>
      <c r="K26" s="202">
        <v>0</v>
      </c>
      <c r="L26" s="193"/>
      <c r="M26" s="193"/>
      <c r="N26" s="202">
        <f t="shared" si="2"/>
        <v>0</v>
      </c>
      <c r="O26" s="205"/>
      <c r="P26" s="205"/>
      <c r="R26" s="205"/>
      <c r="S26" s="205"/>
    </row>
    <row r="27" spans="1:19">
      <c r="B27" s="200" t="s">
        <v>787</v>
      </c>
      <c r="C27" s="212" t="s">
        <v>248</v>
      </c>
      <c r="D27" s="213">
        <v>12.24</v>
      </c>
      <c r="E27" s="213"/>
      <c r="F27" s="214">
        <v>0</v>
      </c>
      <c r="G27" s="215">
        <f t="shared" si="0"/>
        <v>0</v>
      </c>
      <c r="H27" s="214">
        <v>0</v>
      </c>
      <c r="I27" s="214">
        <v>0</v>
      </c>
      <c r="J27" s="215">
        <f t="shared" si="1"/>
        <v>0</v>
      </c>
      <c r="K27" s="214">
        <v>0</v>
      </c>
      <c r="L27" s="193"/>
      <c r="M27" s="193"/>
      <c r="N27" s="202">
        <f t="shared" si="2"/>
        <v>0</v>
      </c>
      <c r="O27" s="205"/>
      <c r="P27" s="205"/>
      <c r="R27" s="205"/>
      <c r="S27" s="205"/>
    </row>
    <row r="28" spans="1:19">
      <c r="B28" s="216" t="s">
        <v>250</v>
      </c>
      <c r="C28" s="217"/>
      <c r="D28" s="218">
        <f>COUNT(D7:D27)</f>
        <v>21</v>
      </c>
      <c r="E28" s="201"/>
      <c r="F28" s="193"/>
      <c r="G28" s="203">
        <f>SUM(G7:G27)</f>
        <v>6594.2200000000012</v>
      </c>
      <c r="H28" s="193"/>
      <c r="I28" s="193"/>
      <c r="J28" s="203">
        <f>SUM(J7:J27)</f>
        <v>625.60000000000014</v>
      </c>
      <c r="K28" s="193"/>
      <c r="L28" s="193">
        <f>SUM(L7:L27)</f>
        <v>755</v>
      </c>
      <c r="M28" s="202">
        <f>+G28+J28+L28</f>
        <v>7974.8200000000015</v>
      </c>
      <c r="N28" s="202">
        <f>SUM(N7:N27)</f>
        <v>7974.82</v>
      </c>
      <c r="O28" s="204"/>
      <c r="P28" s="204"/>
      <c r="R28" s="204"/>
      <c r="S28" s="204"/>
    </row>
    <row r="29" spans="1:19">
      <c r="B29" s="200" t="s">
        <v>251</v>
      </c>
      <c r="C29" s="200"/>
      <c r="D29" s="201"/>
      <c r="E29" s="201"/>
      <c r="F29" s="202">
        <f>SUM(F7:F28)</f>
        <v>1854</v>
      </c>
      <c r="G29" s="219"/>
      <c r="H29" s="193"/>
      <c r="I29" s="193"/>
      <c r="J29" s="219"/>
      <c r="K29" s="193"/>
      <c r="L29" s="193"/>
      <c r="M29" s="193"/>
      <c r="N29" s="193"/>
      <c r="O29" s="204"/>
      <c r="P29" s="204"/>
      <c r="R29" s="204"/>
      <c r="S29" s="204"/>
    </row>
    <row r="30" spans="1:19">
      <c r="B30" s="200"/>
      <c r="C30" s="200"/>
      <c r="D30" s="201"/>
      <c r="E30" s="201"/>
      <c r="F30" s="193"/>
      <c r="G30" s="219"/>
      <c r="H30" s="193"/>
      <c r="I30" s="193"/>
      <c r="J30" s="219"/>
      <c r="K30" s="193"/>
      <c r="L30" s="193"/>
      <c r="M30" s="193"/>
      <c r="N30" s="193"/>
      <c r="O30" s="204"/>
      <c r="P30" s="204"/>
      <c r="R30" s="204"/>
      <c r="S30" s="204"/>
    </row>
    <row r="31" spans="1:19">
      <c r="B31" s="200" t="s">
        <v>252</v>
      </c>
      <c r="C31" s="200"/>
      <c r="D31" s="201"/>
      <c r="E31" s="201"/>
      <c r="F31" s="193"/>
      <c r="G31" s="203">
        <f>SUM(G7:G27)</f>
        <v>6594.2200000000012</v>
      </c>
      <c r="H31" s="193"/>
      <c r="I31" s="193"/>
      <c r="J31" s="219"/>
      <c r="K31" s="193"/>
      <c r="M31" s="220">
        <f>G31</f>
        <v>6594.2200000000012</v>
      </c>
      <c r="N31" s="193"/>
      <c r="O31" s="204"/>
      <c r="P31" s="204"/>
      <c r="R31" s="204"/>
      <c r="S31" s="204"/>
    </row>
    <row r="32" spans="1:19">
      <c r="B32" s="200"/>
      <c r="C32" s="200"/>
      <c r="D32" s="201"/>
      <c r="E32" s="201"/>
      <c r="F32" s="193"/>
      <c r="G32" s="219"/>
      <c r="H32" s="193"/>
      <c r="I32" s="193"/>
      <c r="J32" s="219"/>
      <c r="K32" s="193"/>
      <c r="M32" s="204"/>
      <c r="N32" s="193"/>
      <c r="O32" s="204"/>
      <c r="P32" s="204"/>
      <c r="R32" s="204"/>
      <c r="S32" s="204"/>
    </row>
    <row r="33" spans="1:19">
      <c r="B33" s="200" t="s">
        <v>253</v>
      </c>
      <c r="C33" s="200"/>
      <c r="D33" s="201"/>
      <c r="E33" s="201"/>
      <c r="F33" s="193"/>
      <c r="G33" s="219"/>
      <c r="H33" s="202">
        <f>SUM(H7:H27)</f>
        <v>8448.2200000000012</v>
      </c>
      <c r="I33" s="193"/>
      <c r="J33" s="219"/>
      <c r="K33" s="193"/>
      <c r="M33" s="204"/>
      <c r="N33" s="193"/>
      <c r="O33" s="204"/>
      <c r="P33" s="204"/>
      <c r="R33" s="204"/>
      <c r="S33" s="204"/>
    </row>
    <row r="34" spans="1:19">
      <c r="B34" s="200"/>
      <c r="C34" s="200"/>
      <c r="D34" s="201"/>
      <c r="E34" s="201"/>
      <c r="F34" s="193"/>
      <c r="G34" s="219"/>
      <c r="H34" s="193"/>
      <c r="I34" s="193"/>
      <c r="J34" s="219"/>
      <c r="K34" s="193"/>
      <c r="M34" s="204"/>
      <c r="N34" s="193"/>
      <c r="O34" s="204"/>
      <c r="P34" s="204"/>
      <c r="R34" s="204"/>
      <c r="S34" s="204"/>
    </row>
    <row r="35" spans="1:19">
      <c r="B35" s="200" t="s">
        <v>254</v>
      </c>
      <c r="C35" s="200"/>
      <c r="D35" s="201"/>
      <c r="E35" s="201"/>
      <c r="F35" s="193"/>
      <c r="G35" s="219"/>
      <c r="H35" s="193"/>
      <c r="I35" s="202">
        <f>SUM(I7:I27)</f>
        <v>403.82</v>
      </c>
      <c r="J35" s="219"/>
      <c r="K35" s="193"/>
      <c r="M35" s="204"/>
      <c r="N35" s="193"/>
      <c r="O35" s="204"/>
      <c r="P35" s="204"/>
      <c r="R35" s="204"/>
      <c r="S35" s="204"/>
    </row>
    <row r="36" spans="1:19">
      <c r="B36" s="200"/>
      <c r="C36" s="200"/>
      <c r="D36" s="201"/>
      <c r="E36" s="201"/>
      <c r="F36" s="193"/>
      <c r="G36" s="219"/>
      <c r="H36" s="193"/>
      <c r="I36" s="193"/>
      <c r="J36" s="219"/>
      <c r="K36" s="193"/>
      <c r="M36" s="204"/>
      <c r="N36" s="193"/>
      <c r="O36" s="204"/>
      <c r="P36" s="204"/>
      <c r="R36" s="204"/>
      <c r="S36" s="204"/>
    </row>
    <row r="37" spans="1:19">
      <c r="B37" s="200" t="s">
        <v>255</v>
      </c>
      <c r="C37" s="200"/>
      <c r="D37" s="201"/>
      <c r="E37" s="201"/>
      <c r="F37" s="193"/>
      <c r="G37" s="219"/>
      <c r="H37" s="193"/>
      <c r="I37" s="193"/>
      <c r="J37" s="203">
        <f>SUM(J7:J27)</f>
        <v>625.60000000000014</v>
      </c>
      <c r="K37" s="193"/>
      <c r="M37" s="220">
        <f>J37</f>
        <v>625.60000000000014</v>
      </c>
      <c r="N37" s="193"/>
      <c r="O37" s="204"/>
      <c r="P37" s="204"/>
      <c r="R37" s="204"/>
      <c r="S37" s="204"/>
    </row>
    <row r="38" spans="1:19">
      <c r="B38" s="200"/>
      <c r="C38" s="200"/>
      <c r="D38" s="201"/>
      <c r="E38" s="201"/>
      <c r="F38" s="193"/>
      <c r="G38" s="219"/>
      <c r="H38" s="193"/>
      <c r="I38" s="193"/>
      <c r="J38" s="219"/>
      <c r="K38" s="193"/>
      <c r="M38" s="204"/>
      <c r="N38" s="193"/>
      <c r="O38" s="204"/>
      <c r="P38" s="204"/>
      <c r="R38" s="204"/>
      <c r="S38" s="204"/>
    </row>
    <row r="39" spans="1:19">
      <c r="B39" s="184" t="s">
        <v>256</v>
      </c>
      <c r="G39" s="219"/>
      <c r="J39" s="219"/>
      <c r="K39" s="202">
        <f>SUM(K7:K27)</f>
        <v>1029.42</v>
      </c>
      <c r="M39" s="190"/>
    </row>
    <row r="40" spans="1:19">
      <c r="G40" s="219"/>
      <c r="J40" s="219"/>
      <c r="M40" s="190"/>
    </row>
    <row r="41" spans="1:19" s="190" customFormat="1">
      <c r="A41" s="183"/>
      <c r="B41" s="222" t="s">
        <v>257</v>
      </c>
      <c r="C41" s="222"/>
      <c r="D41" s="223"/>
      <c r="E41" s="223"/>
      <c r="G41" s="224"/>
      <c r="J41" s="224"/>
      <c r="M41" s="225">
        <f>SUM(M31:M40)</f>
        <v>7219.8200000000015</v>
      </c>
    </row>
    <row r="42" spans="1:19">
      <c r="G42" s="219"/>
      <c r="J42" s="219"/>
    </row>
    <row r="43" spans="1:19" s="232" customFormat="1">
      <c r="A43" s="183"/>
      <c r="B43" s="226" t="s">
        <v>785</v>
      </c>
      <c r="C43" s="226"/>
      <c r="D43" s="227"/>
      <c r="E43" s="227"/>
      <c r="F43" s="228"/>
      <c r="G43" s="229">
        <f>G31*12</f>
        <v>79130.640000000014</v>
      </c>
      <c r="H43" s="228"/>
      <c r="I43" s="228"/>
      <c r="J43" s="228">
        <f>J37*12</f>
        <v>7507.2000000000016</v>
      </c>
      <c r="K43" s="228"/>
      <c r="L43" s="228"/>
      <c r="M43" s="230">
        <f>G43+J43+M49</f>
        <v>95437.840000000011</v>
      </c>
      <c r="N43" s="231" t="str">
        <f>B43</f>
        <v>Annual Employer Payments for Medical and Denial</v>
      </c>
    </row>
    <row r="44" spans="1:19" s="232" customFormat="1">
      <c r="A44" s="183"/>
      <c r="B44" s="233" t="s">
        <v>258</v>
      </c>
      <c r="C44" s="191"/>
      <c r="D44" s="234"/>
      <c r="E44" s="234"/>
      <c r="G44" s="235"/>
      <c r="J44" s="235"/>
      <c r="M44" s="236">
        <f>'Schedule 1 Results of Operation'!C79</f>
        <v>109018.45000000001</v>
      </c>
      <c r="N44" s="231" t="str">
        <f>B44</f>
        <v>Income Statement Expense</v>
      </c>
    </row>
    <row r="45" spans="1:19" s="232" customFormat="1">
      <c r="A45" s="183"/>
      <c r="B45" s="233"/>
      <c r="C45" s="191"/>
      <c r="D45" s="234"/>
      <c r="E45" s="234"/>
      <c r="G45" s="235"/>
      <c r="J45" s="235"/>
      <c r="M45" s="237">
        <f>M43-M44</f>
        <v>-13580.61</v>
      </c>
    </row>
    <row r="46" spans="1:19">
      <c r="B46" s="184" t="s">
        <v>259</v>
      </c>
      <c r="N46" s="231"/>
      <c r="O46" s="237"/>
    </row>
    <row r="47" spans="1:19">
      <c r="B47" s="184" t="s">
        <v>260</v>
      </c>
      <c r="M47" s="832">
        <f>M45*'Schedule 4, RC-1, RC-1A'!P113+M46</f>
        <v>-12351.917339051919</v>
      </c>
      <c r="N47" s="239" t="s">
        <v>261</v>
      </c>
    </row>
    <row r="48" spans="1:19">
      <c r="B48" s="184" t="s">
        <v>262</v>
      </c>
    </row>
    <row r="49" spans="1:14">
      <c r="M49" s="240">
        <v>8800</v>
      </c>
      <c r="N49" s="190" t="s">
        <v>263</v>
      </c>
    </row>
    <row r="50" spans="1:14" hidden="1" outlineLevel="1"/>
    <row r="51" spans="1:14" s="190" customFormat="1" hidden="1" outlineLevel="1">
      <c r="A51" s="183">
        <f>COUNT(A7:A27)</f>
        <v>17</v>
      </c>
      <c r="B51" s="222" t="s">
        <v>786</v>
      </c>
      <c r="C51" s="222"/>
      <c r="D51" s="223"/>
      <c r="E51" s="223"/>
      <c r="G51" s="190">
        <f>COUNTIF(G7:G27,"&gt;0")</f>
        <v>17</v>
      </c>
      <c r="J51" s="190">
        <f t="shared" ref="J51" si="5">COUNTIF(J7:J27,"&gt;0")</f>
        <v>16</v>
      </c>
    </row>
    <row r="52" spans="1:14" s="190" customFormat="1" hidden="1" outlineLevel="1">
      <c r="A52" s="183"/>
    </row>
    <row r="53" spans="1:14" s="190" customFormat="1" hidden="1" outlineLevel="1">
      <c r="A53" s="183"/>
      <c r="B53" s="222" t="s">
        <v>264</v>
      </c>
      <c r="C53" s="222"/>
      <c r="D53" s="223"/>
      <c r="E53" s="223"/>
      <c r="G53" s="190">
        <v>86</v>
      </c>
    </row>
    <row r="54" spans="1:14" hidden="1" outlineLevel="1"/>
    <row r="55" spans="1:14" hidden="1" outlineLevel="1">
      <c r="B55" s="222" t="s">
        <v>265</v>
      </c>
      <c r="C55" s="222"/>
      <c r="D55" s="223"/>
      <c r="E55" s="223"/>
      <c r="F55" s="190"/>
      <c r="G55" s="241">
        <f>G51/G53</f>
        <v>0.19767441860465115</v>
      </c>
      <c r="H55" s="190"/>
      <c r="I55" s="190"/>
      <c r="J55" s="190"/>
      <c r="K55" s="190"/>
      <c r="L55" s="190"/>
      <c r="M55" s="190"/>
    </row>
    <row r="56" spans="1:14" hidden="1" outlineLevel="1"/>
    <row r="57" spans="1:14" hidden="1" outlineLevel="1"/>
    <row r="58" spans="1:14" collapsed="1"/>
    <row r="59" spans="1:14">
      <c r="M59" s="832">
        <f>'[8]WP-3, pg 2 -  Labor Increase'!$AD$59</f>
        <v>-15554.717721473076</v>
      </c>
      <c r="N59" s="835" t="s">
        <v>754</v>
      </c>
    </row>
    <row r="60" spans="1:14">
      <c r="M60" s="836"/>
      <c r="N60" s="836"/>
    </row>
    <row r="61" spans="1:14" ht="12.75" thickBot="1">
      <c r="M61" s="238">
        <f>M47+M59</f>
        <v>-27906.635060524997</v>
      </c>
      <c r="N61" s="835" t="s">
        <v>755</v>
      </c>
    </row>
    <row r="62" spans="1:14" ht="12.75" thickTop="1">
      <c r="M62" s="836"/>
      <c r="N62" s="836"/>
    </row>
    <row r="63" spans="1:14">
      <c r="M63" s="834">
        <f>M65-M61</f>
        <v>36623.511876669661</v>
      </c>
      <c r="N63" s="835" t="s">
        <v>756</v>
      </c>
    </row>
    <row r="64" spans="1:14">
      <c r="M64" s="866"/>
      <c r="N64" s="835"/>
    </row>
    <row r="65" spans="13:14">
      <c r="M65" s="833">
        <f>'Schedule 1 Results of Operation'!L29</f>
        <v>8716.876816144666</v>
      </c>
      <c r="N65" s="232" t="s">
        <v>757</v>
      </c>
    </row>
  </sheetData>
  <mergeCells count="2">
    <mergeCell ref="O2:P2"/>
    <mergeCell ref="R2:S2"/>
  </mergeCells>
  <pageMargins left="0.7" right="0.7" top="1.25" bottom="0.65277777777777801" header="0.3" footer="0.3"/>
  <pageSetup scale="58" fitToHeight="0" orientation="landscape" r:id="rId1"/>
  <headerFooter>
    <oddHeader xml:space="preserve">&amp;C&amp;11STAFF
MEDICAL PRO FORMA
DECREASE
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workbookViewId="0">
      <selection activeCell="J36" sqref="J36"/>
    </sheetView>
  </sheetViews>
  <sheetFormatPr defaultRowHeight="15"/>
  <cols>
    <col min="1" max="1" width="13.33203125" style="837" customWidth="1"/>
    <col min="2" max="2" width="8.109375" style="837" customWidth="1"/>
    <col min="3" max="3" width="2.44140625" style="838" customWidth="1"/>
    <col min="4" max="4" width="12.109375" style="837" customWidth="1"/>
    <col min="5" max="5" width="8.21875" style="840" customWidth="1"/>
    <col min="6" max="6" width="11.21875" style="837" customWidth="1"/>
    <col min="7" max="7" width="8.6640625" style="840" bestFit="1" customWidth="1"/>
    <col min="8" max="8" width="11.21875" style="837" customWidth="1"/>
    <col min="9" max="9" width="8.21875" style="840" customWidth="1"/>
    <col min="10" max="10" width="2.33203125" style="837" customWidth="1"/>
    <col min="11" max="11" width="8.21875" style="840" customWidth="1"/>
    <col min="12" max="12" width="10.21875" style="837" bestFit="1" customWidth="1"/>
    <col min="13" max="13" width="2.33203125" style="837" customWidth="1"/>
    <col min="14" max="14" width="7.88671875" style="840" bestFit="1" customWidth="1"/>
    <col min="15" max="16384" width="8.88671875" style="837"/>
  </cols>
  <sheetData>
    <row r="1" spans="1:14" ht="15.75">
      <c r="A1" s="988" t="s">
        <v>86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8"/>
      <c r="M1" s="988"/>
      <c r="N1" s="988"/>
    </row>
    <row r="3" spans="1:14" ht="15.75">
      <c r="A3" s="988" t="s">
        <v>722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988"/>
      <c r="M3" s="988"/>
      <c r="N3" s="988"/>
    </row>
    <row r="5" spans="1:14" ht="15.75" thickBot="1">
      <c r="D5" s="839" t="s">
        <v>723</v>
      </c>
      <c r="E5" s="839"/>
      <c r="F5" s="839"/>
      <c r="G5" s="839"/>
      <c r="H5" s="839"/>
      <c r="I5" s="839"/>
      <c r="J5" s="840"/>
      <c r="K5" s="839" t="s">
        <v>724</v>
      </c>
      <c r="L5" s="839"/>
    </row>
    <row r="6" spans="1:14" ht="15.75" thickTop="1">
      <c r="D6" s="841"/>
      <c r="E6" s="842"/>
      <c r="F6" s="841" t="s">
        <v>725</v>
      </c>
      <c r="G6" s="842"/>
      <c r="H6" s="843" t="s">
        <v>725</v>
      </c>
      <c r="I6" s="842"/>
      <c r="J6" s="840"/>
      <c r="K6" s="842"/>
      <c r="L6" s="841"/>
      <c r="N6" s="844"/>
    </row>
    <row r="7" spans="1:14">
      <c r="D7" s="845" t="s">
        <v>726</v>
      </c>
      <c r="E7" s="842"/>
      <c r="F7" s="845" t="s">
        <v>727</v>
      </c>
      <c r="G7" s="842"/>
      <c r="H7" s="845" t="s">
        <v>728</v>
      </c>
      <c r="I7" s="842"/>
      <c r="J7" s="845"/>
      <c r="K7" s="842"/>
      <c r="L7" s="845" t="s">
        <v>729</v>
      </c>
    </row>
    <row r="8" spans="1:14">
      <c r="D8" s="845" t="s">
        <v>730</v>
      </c>
      <c r="E8" s="842"/>
      <c r="F8" s="846" t="s">
        <v>731</v>
      </c>
      <c r="G8" s="842" t="s">
        <v>732</v>
      </c>
      <c r="H8" s="846" t="s">
        <v>733</v>
      </c>
      <c r="I8" s="847" t="s">
        <v>734</v>
      </c>
      <c r="J8" s="845"/>
      <c r="K8" s="842"/>
      <c r="L8" s="846" t="s">
        <v>730</v>
      </c>
    </row>
    <row r="9" spans="1:14" ht="41.25">
      <c r="B9" s="848" t="s">
        <v>735</v>
      </c>
      <c r="C9" s="849" t="s">
        <v>736</v>
      </c>
      <c r="D9" s="848" t="s">
        <v>737</v>
      </c>
      <c r="E9" s="850" t="s">
        <v>730</v>
      </c>
      <c r="F9" s="851" t="s">
        <v>738</v>
      </c>
      <c r="G9" s="850" t="s">
        <v>739</v>
      </c>
      <c r="H9" s="848" t="s">
        <v>740</v>
      </c>
      <c r="I9" s="850" t="s">
        <v>632</v>
      </c>
      <c r="J9" s="848"/>
      <c r="K9" s="850" t="s">
        <v>730</v>
      </c>
      <c r="L9" s="848" t="s">
        <v>741</v>
      </c>
      <c r="N9" s="842" t="s">
        <v>210</v>
      </c>
    </row>
    <row r="10" spans="1:14">
      <c r="E10" s="852">
        <v>41540</v>
      </c>
      <c r="F10" s="845"/>
      <c r="G10" s="852">
        <v>41632</v>
      </c>
      <c r="H10" s="845"/>
      <c r="I10" s="852">
        <v>41723</v>
      </c>
      <c r="J10" s="845"/>
      <c r="K10" s="852">
        <v>41732</v>
      </c>
    </row>
    <row r="11" spans="1:14" ht="15.75">
      <c r="B11" s="853" t="s">
        <v>155</v>
      </c>
      <c r="C11" s="838">
        <v>1</v>
      </c>
      <c r="D11" s="854">
        <f>SUM([21]Sheet1!$D$5:$D$11)</f>
        <v>30292.800000000003</v>
      </c>
      <c r="E11" s="855"/>
      <c r="F11" s="854">
        <f>SUM([21]Sheet1!$D$12:$D$41)</f>
        <v>61077.1</v>
      </c>
      <c r="G11" s="855"/>
      <c r="H11" s="854">
        <f>SUM([21]Sheet1!$D$42:$D$43)</f>
        <v>24214.6</v>
      </c>
      <c r="I11" s="855"/>
      <c r="J11" s="854"/>
      <c r="K11" s="855"/>
      <c r="L11" s="854">
        <f>SUM([21]Sheet1!$D$44:$D$46)</f>
        <v>29486.9</v>
      </c>
      <c r="N11" s="856">
        <f>+SUM(D11:L11)</f>
        <v>145071.4</v>
      </c>
    </row>
    <row r="12" spans="1:14" ht="15.75">
      <c r="B12" s="853" t="s">
        <v>156</v>
      </c>
      <c r="C12" s="838">
        <v>2</v>
      </c>
      <c r="D12" s="854">
        <f>+[22]Sheet1!$N$15</f>
        <v>0</v>
      </c>
      <c r="E12" s="855"/>
      <c r="F12" s="854">
        <v>24486.18</v>
      </c>
      <c r="G12" s="855"/>
      <c r="H12" s="854">
        <v>32976.620000000003</v>
      </c>
      <c r="I12" s="855"/>
      <c r="J12" s="854"/>
      <c r="K12" s="855"/>
      <c r="L12" s="854">
        <v>54419.79</v>
      </c>
      <c r="N12" s="856">
        <f>+SUM(D12:L12)</f>
        <v>111882.59</v>
      </c>
    </row>
    <row r="13" spans="1:14" ht="15.75">
      <c r="B13" s="853"/>
      <c r="E13" s="857"/>
      <c r="G13" s="857"/>
      <c r="I13" s="857"/>
      <c r="J13" s="854"/>
      <c r="K13" s="857"/>
    </row>
    <row r="14" spans="1:14" ht="15.75">
      <c r="B14" s="853" t="s">
        <v>742</v>
      </c>
      <c r="D14" s="858">
        <f>+D11+D12</f>
        <v>30292.800000000003</v>
      </c>
      <c r="E14" s="857"/>
      <c r="F14" s="858">
        <f t="shared" ref="F14:L14" si="0">+F11+F12</f>
        <v>85563.28</v>
      </c>
      <c r="G14" s="857"/>
      <c r="H14" s="858">
        <f t="shared" si="0"/>
        <v>57191.22</v>
      </c>
      <c r="I14" s="857"/>
      <c r="J14" s="854"/>
      <c r="K14" s="857"/>
      <c r="L14" s="858">
        <f t="shared" si="0"/>
        <v>83906.69</v>
      </c>
      <c r="N14" s="856">
        <f>+SUM(D14:L14)</f>
        <v>256953.99</v>
      </c>
    </row>
    <row r="15" spans="1:14" ht="15.75">
      <c r="B15" s="853"/>
      <c r="E15" s="857"/>
      <c r="G15" s="857"/>
      <c r="I15" s="857"/>
      <c r="J15" s="854"/>
      <c r="K15" s="857"/>
    </row>
    <row r="16" spans="1:14" ht="15.75">
      <c r="B16" s="853" t="s">
        <v>743</v>
      </c>
      <c r="C16" s="838">
        <v>3</v>
      </c>
      <c r="D16" s="859">
        <v>1</v>
      </c>
      <c r="E16" s="857"/>
      <c r="F16" s="859">
        <v>1</v>
      </c>
      <c r="G16" s="842"/>
      <c r="H16" s="859">
        <v>0.5</v>
      </c>
      <c r="I16" s="842"/>
      <c r="J16" s="860"/>
      <c r="K16" s="842"/>
      <c r="L16" s="859">
        <v>0.5</v>
      </c>
      <c r="N16" s="856"/>
    </row>
    <row r="17" spans="1:14" ht="15.75">
      <c r="B17" s="853"/>
      <c r="E17" s="857"/>
      <c r="G17" s="857"/>
      <c r="I17" s="857"/>
      <c r="J17" s="854"/>
      <c r="K17" s="857"/>
    </row>
    <row r="18" spans="1:14" ht="15.75">
      <c r="B18" s="853" t="s">
        <v>744</v>
      </c>
      <c r="D18" s="858">
        <f t="shared" ref="D18:L18" si="1">+D14*D16</f>
        <v>30292.800000000003</v>
      </c>
      <c r="E18" s="857"/>
      <c r="F18" s="858">
        <f t="shared" si="1"/>
        <v>85563.28</v>
      </c>
      <c r="G18" s="857"/>
      <c r="H18" s="858">
        <f t="shared" si="1"/>
        <v>28595.61</v>
      </c>
      <c r="I18" s="857"/>
      <c r="J18" s="854"/>
      <c r="K18" s="857"/>
      <c r="L18" s="858">
        <f t="shared" si="1"/>
        <v>41953.345000000001</v>
      </c>
      <c r="N18" s="856">
        <f>+SUM(D18:L18)</f>
        <v>186405.035</v>
      </c>
    </row>
    <row r="19" spans="1:14" ht="15.75">
      <c r="B19" s="853"/>
      <c r="E19" s="857"/>
      <c r="G19" s="857"/>
      <c r="I19" s="857"/>
      <c r="J19" s="854"/>
      <c r="K19" s="857"/>
    </row>
    <row r="20" spans="1:14" ht="15.75">
      <c r="B20" s="853" t="s">
        <v>745</v>
      </c>
      <c r="E20" s="857"/>
      <c r="G20" s="857"/>
      <c r="I20" s="857"/>
      <c r="J20" s="854"/>
      <c r="K20" s="857"/>
      <c r="N20" s="856"/>
    </row>
    <row r="21" spans="1:14">
      <c r="B21" s="853" t="s">
        <v>746</v>
      </c>
      <c r="C21" s="838">
        <v>4</v>
      </c>
      <c r="D21" s="845">
        <v>5</v>
      </c>
      <c r="E21" s="857"/>
      <c r="F21" s="845">
        <v>5</v>
      </c>
      <c r="G21" s="842"/>
      <c r="H21" s="845">
        <v>5</v>
      </c>
      <c r="I21" s="842"/>
      <c r="J21" s="845"/>
      <c r="K21" s="842"/>
      <c r="L21" s="845">
        <v>5</v>
      </c>
    </row>
    <row r="22" spans="1:14">
      <c r="B22" s="853"/>
      <c r="E22" s="857"/>
      <c r="F22" s="845"/>
      <c r="G22" s="842"/>
      <c r="H22" s="845"/>
      <c r="I22" s="842"/>
      <c r="J22" s="845"/>
      <c r="K22" s="842"/>
      <c r="L22" s="845"/>
    </row>
    <row r="23" spans="1:14">
      <c r="B23" s="853"/>
      <c r="E23" s="857"/>
      <c r="G23" s="857"/>
      <c r="I23" s="857"/>
      <c r="K23" s="857"/>
      <c r="N23" s="861"/>
    </row>
    <row r="24" spans="1:14">
      <c r="B24" s="853"/>
      <c r="E24" s="857"/>
      <c r="G24" s="857"/>
      <c r="I24" s="857"/>
      <c r="K24" s="857"/>
    </row>
    <row r="25" spans="1:14">
      <c r="A25" s="989" t="s">
        <v>747</v>
      </c>
      <c r="B25" s="989"/>
      <c r="C25" s="989"/>
      <c r="E25" s="857"/>
      <c r="G25" s="857"/>
      <c r="I25" s="857"/>
      <c r="K25" s="857"/>
      <c r="N25" s="856"/>
    </row>
    <row r="26" spans="1:14">
      <c r="E26" s="857"/>
      <c r="G26" s="857"/>
      <c r="I26" s="857"/>
      <c r="K26" s="857"/>
      <c r="N26" s="856"/>
    </row>
    <row r="27" spans="1:14" ht="15.75" thickBot="1">
      <c r="B27" s="837" t="s">
        <v>748</v>
      </c>
      <c r="D27" s="858">
        <f>+D18/D21</f>
        <v>6058.56</v>
      </c>
      <c r="E27" s="857"/>
      <c r="F27" s="858">
        <f>+F18/F21</f>
        <v>17112.655999999999</v>
      </c>
      <c r="G27" s="857"/>
      <c r="H27" s="858">
        <f>+H18/H21</f>
        <v>5719.1220000000003</v>
      </c>
      <c r="I27" s="857"/>
      <c r="K27" s="857"/>
      <c r="L27" s="858">
        <f>+L18/L21</f>
        <v>8390.6689999999999</v>
      </c>
      <c r="N27" s="862">
        <f>+SUM(D27:L27)</f>
        <v>37281.006999999998</v>
      </c>
    </row>
    <row r="28" spans="1:14" ht="15.75" thickTop="1">
      <c r="E28" s="857"/>
      <c r="G28" s="857"/>
      <c r="I28" s="857"/>
      <c r="K28" s="857"/>
    </row>
    <row r="29" spans="1:14">
      <c r="E29" s="857"/>
      <c r="G29" s="857"/>
      <c r="I29" s="857"/>
      <c r="K29" s="857"/>
    </row>
    <row r="30" spans="1:14">
      <c r="N30" s="863"/>
    </row>
    <row r="32" spans="1:14">
      <c r="B32" s="864" t="s">
        <v>749</v>
      </c>
    </row>
    <row r="33" spans="3:4">
      <c r="C33" s="838">
        <v>1</v>
      </c>
      <c r="D33" s="865" t="s">
        <v>750</v>
      </c>
    </row>
    <row r="34" spans="3:4">
      <c r="C34" s="838">
        <v>2</v>
      </c>
      <c r="D34" s="865" t="s">
        <v>751</v>
      </c>
    </row>
    <row r="35" spans="3:4">
      <c r="C35" s="838">
        <v>3</v>
      </c>
      <c r="D35" s="865" t="s">
        <v>752</v>
      </c>
    </row>
    <row r="36" spans="3:4">
      <c r="C36" s="838">
        <v>4</v>
      </c>
      <c r="D36" s="865" t="s">
        <v>753</v>
      </c>
    </row>
  </sheetData>
  <mergeCells count="3">
    <mergeCell ref="A1:N1"/>
    <mergeCell ref="A3:N3"/>
    <mergeCell ref="A25:C25"/>
  </mergeCells>
  <pageMargins left="0.7" right="0.7" top="0.75" bottom="0.75" header="0.3" footer="0.3"/>
  <pageSetup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"/>
  <sheetViews>
    <sheetView topLeftCell="A39" workbookViewId="0">
      <selection activeCell="A36" sqref="A36"/>
    </sheetView>
  </sheetViews>
  <sheetFormatPr defaultRowHeight="15.75"/>
  <cols>
    <col min="1" max="1" width="21.77734375" style="407" customWidth="1"/>
    <col min="2" max="2" width="7.77734375" style="407" customWidth="1"/>
    <col min="3" max="3" width="8.88671875" style="407"/>
    <col min="4" max="4" width="1.77734375" style="445" customWidth="1"/>
    <col min="5" max="5" width="12.109375" style="407" customWidth="1"/>
    <col min="6" max="6" width="1.44140625" style="407" customWidth="1"/>
    <col min="7" max="7" width="11" style="407" bestFit="1" customWidth="1"/>
    <col min="8" max="8" width="8.88671875" style="407"/>
    <col min="9" max="9" width="8.88671875" style="408"/>
    <col min="10" max="10" width="10.88671875" style="407" customWidth="1"/>
    <col min="11" max="16384" width="8.88671875" style="407"/>
  </cols>
  <sheetData>
    <row r="1" spans="1:10">
      <c r="A1" s="939" t="str">
        <f>+'Schedule 4, R-8 and R-9'!A1:H1</f>
        <v>WASTE CONTROL, INC.</v>
      </c>
      <c r="B1" s="940"/>
      <c r="C1" s="940"/>
      <c r="D1" s="940"/>
      <c r="E1" s="940"/>
      <c r="F1" s="940"/>
      <c r="G1" s="940"/>
    </row>
    <row r="2" spans="1:10">
      <c r="A2" s="409"/>
      <c r="B2" s="410"/>
      <c r="C2" s="410"/>
      <c r="D2" s="410"/>
      <c r="E2" s="411"/>
      <c r="F2" s="410"/>
      <c r="G2" s="411"/>
    </row>
    <row r="3" spans="1:10">
      <c r="A3" s="940" t="s">
        <v>426</v>
      </c>
      <c r="B3" s="940"/>
      <c r="C3" s="940"/>
      <c r="D3" s="940"/>
      <c r="E3" s="940"/>
      <c r="F3" s="940"/>
      <c r="G3" s="940"/>
    </row>
    <row r="4" spans="1:10">
      <c r="A4" s="412"/>
      <c r="B4" s="412"/>
      <c r="C4" s="412"/>
      <c r="D4" s="413"/>
      <c r="E4" s="412"/>
      <c r="F4" s="412"/>
      <c r="G4" s="412"/>
    </row>
    <row r="5" spans="1:10">
      <c r="A5" s="939" t="str">
        <f>+'[8]WP-1 Exp Summary'!A5:D5</f>
        <v>In Support of Tariff No. 16, G-101 Effective June 1, 2014</v>
      </c>
      <c r="B5" s="940"/>
      <c r="C5" s="940"/>
      <c r="D5" s="940"/>
      <c r="E5" s="940"/>
      <c r="F5" s="940"/>
      <c r="G5" s="940"/>
    </row>
    <row r="8" spans="1:10">
      <c r="A8" s="414"/>
      <c r="B8" s="414"/>
      <c r="C8" s="415" t="s">
        <v>427</v>
      </c>
      <c r="D8" s="416"/>
      <c r="E8" s="417"/>
      <c r="F8" s="418"/>
      <c r="G8" s="991" t="s">
        <v>428</v>
      </c>
      <c r="H8" s="991"/>
    </row>
    <row r="9" spans="1:10">
      <c r="A9" s="414"/>
      <c r="B9" s="414"/>
      <c r="C9" s="415" t="s">
        <v>108</v>
      </c>
      <c r="D9" s="416"/>
      <c r="E9" s="419" t="s">
        <v>108</v>
      </c>
      <c r="F9" s="418"/>
      <c r="G9" s="991" t="s">
        <v>268</v>
      </c>
      <c r="H9" s="991"/>
      <c r="I9" s="420"/>
      <c r="J9" s="421"/>
    </row>
    <row r="10" spans="1:10">
      <c r="A10" s="414"/>
      <c r="B10" s="414"/>
      <c r="C10" s="422" t="s">
        <v>429</v>
      </c>
      <c r="D10" s="423"/>
      <c r="E10" s="424" t="s">
        <v>430</v>
      </c>
      <c r="F10" s="425"/>
      <c r="G10" s="990" t="s">
        <v>431</v>
      </c>
      <c r="H10" s="990"/>
      <c r="I10" s="426"/>
      <c r="J10" s="427"/>
    </row>
    <row r="11" spans="1:10">
      <c r="A11" s="428">
        <v>41091</v>
      </c>
      <c r="B11" s="414"/>
      <c r="C11" s="414">
        <v>6493</v>
      </c>
      <c r="D11" s="429"/>
      <c r="E11" s="430">
        <v>24568.620000000003</v>
      </c>
      <c r="F11" s="431"/>
      <c r="G11" s="432">
        <f>+E11/C11</f>
        <v>3.7838626212844604</v>
      </c>
      <c r="H11" s="433" t="s">
        <v>432</v>
      </c>
      <c r="I11" s="434"/>
      <c r="J11" s="435"/>
    </row>
    <row r="12" spans="1:10">
      <c r="A12" s="428">
        <v>41122</v>
      </c>
      <c r="B12" s="414"/>
      <c r="C12" s="414">
        <v>6434.46</v>
      </c>
      <c r="D12" s="429"/>
      <c r="E12" s="430">
        <v>27437.13</v>
      </c>
      <c r="F12" s="431"/>
      <c r="G12" s="432">
        <f t="shared" ref="G12:G32" si="0">+E12/C12</f>
        <v>4.2640920916440539</v>
      </c>
      <c r="H12" s="433" t="s">
        <v>432</v>
      </c>
      <c r="I12" s="434"/>
      <c r="J12" s="435"/>
    </row>
    <row r="13" spans="1:10">
      <c r="A13" s="428">
        <v>41153</v>
      </c>
      <c r="B13" s="414"/>
      <c r="C13" s="414">
        <v>5408.88</v>
      </c>
      <c r="D13" s="429"/>
      <c r="E13" s="430">
        <v>22894.09</v>
      </c>
      <c r="F13" s="431"/>
      <c r="G13" s="432">
        <f>+E13/C13</f>
        <v>4.2326858795166462</v>
      </c>
      <c r="H13" s="433" t="s">
        <v>432</v>
      </c>
      <c r="I13" s="434"/>
      <c r="J13" s="435"/>
    </row>
    <row r="14" spans="1:10">
      <c r="A14" s="428">
        <v>41183</v>
      </c>
      <c r="B14" s="414"/>
      <c r="C14" s="414">
        <v>6235.01</v>
      </c>
      <c r="D14" s="429"/>
      <c r="E14" s="430">
        <v>26661.040000000001</v>
      </c>
      <c r="F14" s="431"/>
      <c r="G14" s="432">
        <f t="shared" si="0"/>
        <v>4.2760220111916416</v>
      </c>
      <c r="H14" s="433" t="s">
        <v>432</v>
      </c>
      <c r="I14" s="434"/>
      <c r="J14" s="435"/>
    </row>
    <row r="15" spans="1:10">
      <c r="A15" s="428">
        <v>41214</v>
      </c>
      <c r="B15" s="414"/>
      <c r="C15" s="414">
        <v>6074.04</v>
      </c>
      <c r="D15" s="429"/>
      <c r="E15" s="430">
        <v>28072.49</v>
      </c>
      <c r="F15" s="431"/>
      <c r="G15" s="432">
        <f t="shared" si="0"/>
        <v>4.6217163535307639</v>
      </c>
      <c r="H15" s="433" t="s">
        <v>432</v>
      </c>
      <c r="I15" s="434"/>
      <c r="J15" s="435"/>
    </row>
    <row r="16" spans="1:10">
      <c r="A16" s="428">
        <v>41244</v>
      </c>
      <c r="B16" s="414"/>
      <c r="C16" s="414">
        <v>5814.15</v>
      </c>
      <c r="D16" s="429"/>
      <c r="E16" s="430">
        <v>21675.7</v>
      </c>
      <c r="F16" s="431"/>
      <c r="G16" s="432">
        <f t="shared" si="0"/>
        <v>3.7280943904096047</v>
      </c>
      <c r="H16" s="433" t="s">
        <v>432</v>
      </c>
      <c r="I16" s="434"/>
      <c r="J16" s="435"/>
    </row>
    <row r="17" spans="1:10">
      <c r="A17" s="428">
        <v>41275</v>
      </c>
      <c r="B17" s="414"/>
      <c r="C17" s="414">
        <v>6419.14</v>
      </c>
      <c r="D17" s="429"/>
      <c r="E17" s="430">
        <v>24889.89</v>
      </c>
      <c r="F17" s="431"/>
      <c r="G17" s="432">
        <f t="shared" si="0"/>
        <v>3.8774493156404124</v>
      </c>
      <c r="H17" s="433" t="s">
        <v>432</v>
      </c>
      <c r="I17" s="434"/>
      <c r="J17" s="435"/>
    </row>
    <row r="18" spans="1:10">
      <c r="A18" s="428">
        <v>41306</v>
      </c>
      <c r="B18" s="414"/>
      <c r="C18" s="414">
        <v>5701.24</v>
      </c>
      <c r="D18" s="429"/>
      <c r="E18" s="430">
        <v>23634.03</v>
      </c>
      <c r="F18" s="431"/>
      <c r="G18" s="432">
        <f t="shared" si="0"/>
        <v>4.1454192421297824</v>
      </c>
      <c r="H18" s="433" t="s">
        <v>432</v>
      </c>
      <c r="I18" s="434"/>
      <c r="J18" s="435"/>
    </row>
    <row r="19" spans="1:10">
      <c r="A19" s="428">
        <v>41334</v>
      </c>
      <c r="B19" s="414"/>
      <c r="C19" s="414">
        <v>5778.05</v>
      </c>
      <c r="D19" s="429"/>
      <c r="E19" s="430">
        <v>22591.010000000002</v>
      </c>
      <c r="F19" s="431"/>
      <c r="G19" s="432">
        <f t="shared" si="0"/>
        <v>3.9097982883498759</v>
      </c>
      <c r="H19" s="433" t="s">
        <v>432</v>
      </c>
      <c r="I19" s="434"/>
      <c r="J19" s="435"/>
    </row>
    <row r="20" spans="1:10">
      <c r="A20" s="428">
        <v>41365</v>
      </c>
      <c r="B20" s="414"/>
      <c r="C20" s="436">
        <v>6088.77</v>
      </c>
      <c r="D20" s="437"/>
      <c r="E20" s="430">
        <v>21417.899999999998</v>
      </c>
      <c r="F20" s="431"/>
      <c r="G20" s="432">
        <f t="shared" si="0"/>
        <v>3.51760700437034</v>
      </c>
      <c r="H20" s="433" t="s">
        <v>432</v>
      </c>
      <c r="I20" s="434"/>
      <c r="J20" s="435"/>
    </row>
    <row r="21" spans="1:10">
      <c r="A21" s="428">
        <v>41395</v>
      </c>
      <c r="B21" s="414"/>
      <c r="C21" s="436">
        <v>6511.79</v>
      </c>
      <c r="D21" s="437"/>
      <c r="E21" s="430">
        <v>25198.469999999998</v>
      </c>
      <c r="F21" s="431"/>
      <c r="G21" s="432">
        <f t="shared" si="0"/>
        <v>3.8696687086039319</v>
      </c>
      <c r="H21" s="433" t="s">
        <v>432</v>
      </c>
      <c r="I21" s="434"/>
      <c r="J21" s="435"/>
    </row>
    <row r="22" spans="1:10" ht="18" customHeight="1">
      <c r="A22" s="428">
        <v>41426</v>
      </c>
      <c r="B22" s="414"/>
      <c r="C22" s="438">
        <v>5982.73</v>
      </c>
      <c r="D22" s="438"/>
      <c r="E22" s="439">
        <v>22294.16</v>
      </c>
      <c r="F22" s="440"/>
      <c r="G22" s="441">
        <f t="shared" si="0"/>
        <v>3.7264192099593334</v>
      </c>
      <c r="H22" s="442" t="s">
        <v>432</v>
      </c>
      <c r="I22" s="443"/>
      <c r="J22" s="444"/>
    </row>
    <row r="23" spans="1:10">
      <c r="A23" s="428">
        <v>41456</v>
      </c>
      <c r="B23" s="414"/>
      <c r="C23" s="438">
        <v>6380.4</v>
      </c>
      <c r="D23" s="437"/>
      <c r="E23" s="430">
        <v>24565.7</v>
      </c>
      <c r="F23" s="431"/>
      <c r="G23" s="432">
        <f t="shared" si="0"/>
        <v>3.850181806783274</v>
      </c>
      <c r="H23" s="433"/>
      <c r="I23" s="434"/>
      <c r="J23" s="435"/>
    </row>
    <row r="24" spans="1:10">
      <c r="A24" s="428">
        <v>41487</v>
      </c>
      <c r="C24" s="407">
        <v>5683.77</v>
      </c>
      <c r="E24" s="430">
        <v>22014.21</v>
      </c>
      <c r="G24" s="432">
        <f t="shared" si="0"/>
        <v>3.8731704484875351</v>
      </c>
    </row>
    <row r="25" spans="1:10">
      <c r="A25" s="428">
        <v>41518</v>
      </c>
      <c r="B25" s="414"/>
      <c r="C25" s="438">
        <v>5850.62</v>
      </c>
      <c r="D25" s="438"/>
      <c r="E25" s="439">
        <v>22667.93</v>
      </c>
      <c r="F25" s="431"/>
      <c r="G25" s="432">
        <f t="shared" si="0"/>
        <v>3.8744492036741405</v>
      </c>
      <c r="H25" s="433"/>
      <c r="I25" s="446"/>
      <c r="J25" s="444"/>
    </row>
    <row r="26" spans="1:10">
      <c r="A26" s="428">
        <v>41548</v>
      </c>
      <c r="B26" s="414"/>
      <c r="C26" s="438">
        <v>5456.93</v>
      </c>
      <c r="D26" s="438"/>
      <c r="E26" s="439">
        <v>21405.55</v>
      </c>
      <c r="F26" s="431"/>
      <c r="G26" s="432">
        <f t="shared" si="0"/>
        <v>3.9226359876340724</v>
      </c>
      <c r="H26" s="433"/>
      <c r="I26" s="446"/>
      <c r="J26" s="444"/>
    </row>
    <row r="27" spans="1:10">
      <c r="A27" s="428">
        <v>41579</v>
      </c>
      <c r="B27" s="414"/>
      <c r="C27" s="438">
        <v>5127.58</v>
      </c>
      <c r="D27" s="438"/>
      <c r="E27" s="439">
        <v>19250.91</v>
      </c>
      <c r="F27" s="431"/>
      <c r="G27" s="432">
        <f>+E27/C27</f>
        <v>3.7543851095448537</v>
      </c>
      <c r="H27" s="433"/>
      <c r="I27" s="446"/>
      <c r="J27" s="444"/>
    </row>
    <row r="28" spans="1:10">
      <c r="A28" s="428">
        <v>41609</v>
      </c>
      <c r="B28" s="414"/>
      <c r="C28" s="438">
        <v>5977.78</v>
      </c>
      <c r="D28" s="438"/>
      <c r="E28" s="439">
        <v>22295.439999999999</v>
      </c>
      <c r="F28" s="431"/>
      <c r="G28" s="432">
        <f t="shared" si="0"/>
        <v>3.7297190595839926</v>
      </c>
      <c r="H28" s="433"/>
      <c r="I28" s="446"/>
      <c r="J28" s="444"/>
    </row>
    <row r="29" spans="1:10">
      <c r="A29" s="428">
        <v>41640</v>
      </c>
      <c r="B29" s="414"/>
      <c r="C29" s="438">
        <v>5361.51</v>
      </c>
      <c r="D29" s="438"/>
      <c r="E29" s="439">
        <v>22597.98</v>
      </c>
      <c r="F29" s="431"/>
      <c r="G29" s="432">
        <f t="shared" si="0"/>
        <v>4.2148536513034571</v>
      </c>
      <c r="H29" s="433"/>
      <c r="I29" s="446"/>
      <c r="J29" s="444"/>
    </row>
    <row r="30" spans="1:10">
      <c r="A30" s="428">
        <v>41671</v>
      </c>
      <c r="B30" s="414"/>
      <c r="C30" s="438">
        <v>5556.74</v>
      </c>
      <c r="D30" s="438"/>
      <c r="E30" s="439">
        <v>21295.22</v>
      </c>
      <c r="F30" s="431"/>
      <c r="G30" s="432">
        <f t="shared" si="0"/>
        <v>3.8323225488325892</v>
      </c>
      <c r="H30" s="433"/>
      <c r="I30" s="446"/>
      <c r="J30" s="444"/>
    </row>
    <row r="31" spans="1:10">
      <c r="A31" s="428">
        <v>41699</v>
      </c>
      <c r="B31" s="414"/>
      <c r="C31" s="438">
        <v>6132.79</v>
      </c>
      <c r="D31" s="438"/>
      <c r="E31" s="439">
        <v>23459.15</v>
      </c>
      <c r="F31" s="431"/>
      <c r="G31" s="432">
        <f t="shared" si="0"/>
        <v>3.825200275894006</v>
      </c>
      <c r="H31" s="433"/>
      <c r="I31" s="446"/>
      <c r="J31" s="444"/>
    </row>
    <row r="32" spans="1:10">
      <c r="A32" s="428">
        <v>41730</v>
      </c>
      <c r="B32" s="414"/>
      <c r="C32" s="438">
        <v>5922.75</v>
      </c>
      <c r="D32" s="438"/>
      <c r="E32" s="439">
        <v>23465.87</v>
      </c>
      <c r="F32" s="431"/>
      <c r="G32" s="432">
        <f t="shared" si="0"/>
        <v>3.9619889409480393</v>
      </c>
      <c r="H32" s="433"/>
      <c r="I32" s="446"/>
      <c r="J32" s="444"/>
    </row>
    <row r="33" spans="1:13">
      <c r="A33" s="414"/>
      <c r="B33" s="414"/>
      <c r="C33" s="438"/>
      <c r="D33" s="438"/>
      <c r="E33" s="439"/>
      <c r="F33" s="431"/>
      <c r="G33" s="432"/>
      <c r="H33" s="433"/>
      <c r="I33" s="446"/>
      <c r="J33" s="444"/>
    </row>
    <row r="34" spans="1:13" ht="16.5" thickBot="1">
      <c r="C34" s="447">
        <f>SUM(C11:C32)</f>
        <v>130392.12999999998</v>
      </c>
      <c r="E34" s="448"/>
      <c r="F34" s="433"/>
      <c r="I34" s="449"/>
      <c r="J34" s="433"/>
    </row>
    <row r="35" spans="1:13" ht="17.25" thickTop="1" thickBot="1">
      <c r="A35" s="414" t="s">
        <v>433</v>
      </c>
      <c r="B35" s="414"/>
      <c r="C35" s="414"/>
      <c r="D35" s="429"/>
      <c r="E35" s="430">
        <f>SUM(E21:E32)</f>
        <v>270510.59000000003</v>
      </c>
      <c r="F35" s="431"/>
      <c r="G35" s="450">
        <f>AVERAGE(G21:G32)</f>
        <v>3.8695829126041019</v>
      </c>
      <c r="H35" s="451" t="s">
        <v>434</v>
      </c>
      <c r="I35" s="452"/>
      <c r="J35" s="453">
        <f>SUM(J11:J34)</f>
        <v>0</v>
      </c>
      <c r="K35" s="454"/>
      <c r="L35" s="454"/>
      <c r="M35" s="454"/>
    </row>
    <row r="36" spans="1:13" ht="16.5" thickTop="1">
      <c r="A36" s="455" t="s">
        <v>435</v>
      </c>
      <c r="B36" s="414"/>
      <c r="C36" s="414"/>
      <c r="D36" s="429"/>
      <c r="E36" s="456">
        <v>27008.720000000001</v>
      </c>
      <c r="F36" s="431"/>
      <c r="G36" s="457" t="s">
        <v>789</v>
      </c>
      <c r="H36" s="433"/>
      <c r="I36" s="452"/>
      <c r="J36" s="433"/>
      <c r="K36" s="454"/>
      <c r="L36" s="458"/>
      <c r="M36" s="458"/>
    </row>
    <row r="37" spans="1:13">
      <c r="A37" s="414" t="s">
        <v>436</v>
      </c>
      <c r="B37" s="414"/>
      <c r="C37" s="414"/>
      <c r="D37" s="429"/>
      <c r="E37" s="430">
        <f>SUM(E35:E36)</f>
        <v>297519.31000000006</v>
      </c>
      <c r="F37" s="431"/>
      <c r="G37" s="431"/>
      <c r="H37" s="433"/>
      <c r="I37" s="452"/>
      <c r="J37" s="433"/>
      <c r="K37" s="454"/>
      <c r="L37" s="454"/>
      <c r="M37" s="458"/>
    </row>
    <row r="38" spans="1:13">
      <c r="E38" s="448"/>
      <c r="F38" s="433"/>
      <c r="G38" s="433"/>
      <c r="H38" s="433"/>
      <c r="I38" s="452"/>
      <c r="J38" s="433"/>
      <c r="K38" s="454"/>
      <c r="L38" s="454"/>
      <c r="M38" s="459"/>
    </row>
    <row r="39" spans="1:13">
      <c r="A39" s="414" t="s">
        <v>437</v>
      </c>
      <c r="B39" s="414"/>
      <c r="C39" s="414"/>
      <c r="D39" s="429"/>
      <c r="E39" s="460">
        <f>'Schedule 1 Results of Operation'!C36</f>
        <v>311517.43</v>
      </c>
      <c r="F39" s="431"/>
      <c r="G39" s="431"/>
      <c r="H39" s="433"/>
      <c r="I39" s="452"/>
      <c r="J39" s="433"/>
      <c r="K39" s="454"/>
      <c r="L39" s="454"/>
      <c r="M39" s="454"/>
    </row>
    <row r="40" spans="1:13">
      <c r="K40" s="461"/>
      <c r="L40" s="461"/>
      <c r="M40" s="462"/>
    </row>
    <row r="41" spans="1:13">
      <c r="A41" s="463"/>
      <c r="B41" s="464"/>
      <c r="C41" s="464"/>
      <c r="D41" s="465"/>
      <c r="E41" s="464"/>
      <c r="F41" s="464"/>
      <c r="G41" s="464"/>
      <c r="J41" s="408"/>
      <c r="K41" s="454"/>
      <c r="L41" s="454"/>
      <c r="M41" s="454"/>
    </row>
    <row r="42" spans="1:13" s="408" customFormat="1">
      <c r="A42" s="466" t="s">
        <v>438</v>
      </c>
      <c r="B42" s="466"/>
      <c r="C42" s="466"/>
      <c r="D42" s="468"/>
      <c r="E42" s="469">
        <f>SUM(E11:E22)</f>
        <v>291334.52999999997</v>
      </c>
      <c r="F42" s="466"/>
      <c r="G42" s="466"/>
      <c r="H42" s="466"/>
      <c r="I42" s="466"/>
      <c r="J42" s="466"/>
      <c r="K42" s="466"/>
      <c r="L42" s="466"/>
    </row>
    <row r="43" spans="1:13">
      <c r="A43" s="466"/>
      <c r="B43" s="466"/>
      <c r="C43" s="466"/>
      <c r="D43" s="468"/>
      <c r="E43" s="469"/>
      <c r="F43" s="466"/>
      <c r="G43" s="466"/>
      <c r="H43" s="466"/>
      <c r="I43" s="466"/>
      <c r="J43" s="466"/>
      <c r="K43" s="466"/>
      <c r="L43" s="466"/>
      <c r="M43" s="408"/>
    </row>
    <row r="44" spans="1:13">
      <c r="A44" s="466"/>
      <c r="B44" s="466"/>
      <c r="C44" s="466"/>
      <c r="D44" s="468"/>
      <c r="E44" s="469"/>
      <c r="F44" s="466"/>
      <c r="G44" s="466"/>
      <c r="H44" s="466"/>
      <c r="I44" s="466"/>
      <c r="J44" s="466"/>
      <c r="K44" s="466"/>
      <c r="L44" s="466"/>
    </row>
    <row r="45" spans="1:13">
      <c r="A45" s="466" t="s">
        <v>439</v>
      </c>
      <c r="B45" s="466"/>
      <c r="C45" s="466"/>
      <c r="D45" s="468"/>
      <c r="E45" s="469">
        <f>E42</f>
        <v>291334.52999999997</v>
      </c>
      <c r="F45" s="466"/>
      <c r="G45" s="466" t="s">
        <v>440</v>
      </c>
      <c r="H45" s="466"/>
      <c r="I45" s="466"/>
      <c r="J45" s="466"/>
      <c r="K45" s="466"/>
      <c r="L45" s="466"/>
    </row>
    <row r="46" spans="1:13">
      <c r="A46" s="466"/>
      <c r="B46" s="466"/>
      <c r="C46" s="466"/>
      <c r="D46" s="468"/>
      <c r="E46" s="469"/>
      <c r="F46" s="466"/>
      <c r="G46" s="466"/>
      <c r="H46" s="466"/>
      <c r="I46" s="466"/>
      <c r="J46" s="466"/>
      <c r="K46" s="466"/>
      <c r="L46" s="466"/>
    </row>
    <row r="47" spans="1:13">
      <c r="A47" s="466" t="s">
        <v>441</v>
      </c>
      <c r="B47" s="466"/>
      <c r="C47" s="466"/>
      <c r="D47" s="468"/>
      <c r="E47" s="470">
        <f>SUM(E45:E46)</f>
        <v>291334.52999999997</v>
      </c>
      <c r="F47" s="466"/>
      <c r="G47" s="466"/>
      <c r="H47" s="466"/>
      <c r="I47" s="466"/>
      <c r="J47" s="466"/>
      <c r="K47" s="466"/>
      <c r="L47" s="466"/>
    </row>
    <row r="48" spans="1:13">
      <c r="A48" s="466" t="s">
        <v>442</v>
      </c>
      <c r="B48" s="466"/>
      <c r="C48" s="466"/>
      <c r="D48" s="468"/>
      <c r="E48" s="469">
        <f>SUM(C11:C22)</f>
        <v>72941.259999999995</v>
      </c>
      <c r="F48" s="466"/>
      <c r="G48" s="466"/>
      <c r="H48" s="466"/>
      <c r="I48" s="466"/>
      <c r="J48" s="466"/>
      <c r="K48" s="466"/>
      <c r="L48" s="466"/>
    </row>
    <row r="49" spans="1:12">
      <c r="A49" s="466" t="s">
        <v>443</v>
      </c>
      <c r="B49" s="466"/>
      <c r="C49" s="466"/>
      <c r="D49" s="468"/>
      <c r="E49" s="471">
        <f>E47/E48</f>
        <v>3.9940978535331029</v>
      </c>
      <c r="F49" s="466"/>
      <c r="G49" s="466"/>
      <c r="H49" s="466"/>
      <c r="I49" s="466"/>
      <c r="J49" s="466"/>
      <c r="K49" s="466"/>
      <c r="L49" s="466"/>
    </row>
    <row r="50" spans="1:12">
      <c r="F50" s="466"/>
      <c r="G50" s="466"/>
      <c r="H50" s="466"/>
      <c r="I50" s="466"/>
      <c r="J50" s="466"/>
      <c r="K50" s="466"/>
      <c r="L50" s="466"/>
    </row>
    <row r="51" spans="1:12">
      <c r="A51" s="466"/>
      <c r="B51" s="466"/>
      <c r="C51" s="466"/>
      <c r="D51" s="468"/>
      <c r="E51" s="469"/>
      <c r="F51" s="466"/>
      <c r="G51" s="466"/>
      <c r="H51" s="466"/>
      <c r="I51" s="466"/>
      <c r="J51" s="472"/>
      <c r="K51" s="466"/>
      <c r="L51" s="466"/>
    </row>
    <row r="52" spans="1:12">
      <c r="A52" s="466" t="s">
        <v>444</v>
      </c>
      <c r="B52" s="466"/>
      <c r="C52" s="466"/>
      <c r="D52" s="468"/>
      <c r="E52" s="469">
        <f>SUM(E21:E32)</f>
        <v>270510.59000000003</v>
      </c>
      <c r="F52" s="466"/>
      <c r="G52" s="466"/>
      <c r="H52" s="466"/>
      <c r="I52" s="466"/>
      <c r="J52" s="472"/>
      <c r="K52" s="466"/>
      <c r="L52" s="466"/>
    </row>
    <row r="53" spans="1:12">
      <c r="A53" s="466"/>
      <c r="B53" s="466"/>
      <c r="C53" s="466"/>
      <c r="D53" s="468"/>
      <c r="E53" s="469"/>
      <c r="F53" s="466"/>
      <c r="G53" s="466"/>
      <c r="H53" s="466"/>
      <c r="I53" s="466"/>
      <c r="J53" s="466"/>
      <c r="K53" s="466"/>
      <c r="L53" s="466"/>
    </row>
    <row r="54" spans="1:12">
      <c r="A54" s="466" t="s">
        <v>445</v>
      </c>
      <c r="B54" s="466"/>
      <c r="C54" s="466"/>
      <c r="D54" s="468"/>
      <c r="E54" s="470">
        <f>SUM(E52:E53)</f>
        <v>270510.59000000003</v>
      </c>
      <c r="F54" s="466"/>
      <c r="G54" s="466"/>
      <c r="H54" s="466"/>
      <c r="I54" s="466"/>
      <c r="J54" s="466"/>
      <c r="K54" s="466"/>
      <c r="L54" s="466"/>
    </row>
    <row r="55" spans="1:12">
      <c r="A55" s="466" t="str">
        <f>A48</f>
        <v>Test Year Actual Total  Gallons</v>
      </c>
      <c r="B55" s="466"/>
      <c r="C55" s="466"/>
      <c r="D55" s="468"/>
      <c r="E55" s="469">
        <f>E48</f>
        <v>72941.259999999995</v>
      </c>
      <c r="F55" s="466"/>
      <c r="G55" s="466"/>
      <c r="H55" s="466"/>
      <c r="I55" s="466"/>
      <c r="J55" s="466"/>
      <c r="K55" s="466"/>
      <c r="L55" s="466"/>
    </row>
    <row r="56" spans="1:12">
      <c r="A56" s="466"/>
      <c r="B56" s="466"/>
      <c r="C56" s="466"/>
      <c r="D56" s="468"/>
      <c r="E56" s="469"/>
      <c r="F56" s="466"/>
      <c r="G56" s="466"/>
      <c r="H56" s="466"/>
      <c r="I56" s="466"/>
      <c r="J56" s="466"/>
      <c r="K56" s="466"/>
      <c r="L56" s="466"/>
    </row>
    <row r="57" spans="1:12">
      <c r="A57" s="466" t="s">
        <v>446</v>
      </c>
      <c r="B57" s="466"/>
      <c r="C57" s="466"/>
      <c r="D57" s="468"/>
      <c r="E57" s="473">
        <f>E54/E55</f>
        <v>3.7086086804642537</v>
      </c>
      <c r="F57" s="466"/>
      <c r="G57" s="466"/>
      <c r="H57" s="466"/>
      <c r="I57" s="466"/>
      <c r="J57" s="466"/>
      <c r="K57" s="466"/>
      <c r="L57" s="466"/>
    </row>
    <row r="58" spans="1:12">
      <c r="A58" s="466"/>
      <c r="B58" s="466"/>
      <c r="C58" s="466"/>
      <c r="D58" s="468"/>
      <c r="E58" s="469"/>
      <c r="F58" s="466"/>
      <c r="G58" s="466"/>
      <c r="H58" s="466"/>
      <c r="I58" s="466"/>
      <c r="J58" s="466"/>
      <c r="K58" s="466"/>
      <c r="L58" s="466"/>
    </row>
    <row r="59" spans="1:12">
      <c r="A59" s="466" t="s">
        <v>447</v>
      </c>
      <c r="B59" s="466"/>
      <c r="C59" s="466"/>
      <c r="D59" s="468"/>
      <c r="E59" s="474">
        <f>E57-E49</f>
        <v>-0.28548917306884913</v>
      </c>
      <c r="F59" s="466"/>
      <c r="G59" s="466"/>
      <c r="H59" s="466"/>
      <c r="I59" s="466"/>
      <c r="J59" s="466"/>
      <c r="K59" s="466"/>
      <c r="L59" s="466"/>
    </row>
    <row r="60" spans="1:12">
      <c r="A60" s="466"/>
      <c r="B60" s="466"/>
      <c r="C60" s="466"/>
      <c r="D60" s="468"/>
      <c r="E60" s="469"/>
      <c r="F60" s="466"/>
      <c r="G60" s="466"/>
      <c r="H60" s="466"/>
      <c r="I60" s="466"/>
      <c r="J60" s="466"/>
      <c r="K60" s="466"/>
      <c r="L60" s="466"/>
    </row>
    <row r="61" spans="1:12">
      <c r="A61" s="466"/>
      <c r="B61" s="466"/>
      <c r="C61" s="466"/>
      <c r="D61" s="468"/>
      <c r="E61" s="469"/>
      <c r="F61" s="466"/>
      <c r="G61" s="466"/>
      <c r="H61" s="466"/>
      <c r="I61" s="466"/>
      <c r="J61" s="466"/>
      <c r="K61" s="466"/>
      <c r="L61" s="466"/>
    </row>
    <row r="62" spans="1:12">
      <c r="A62" s="466" t="s">
        <v>788</v>
      </c>
      <c r="B62" s="466"/>
      <c r="C62" s="466"/>
      <c r="D62" s="468"/>
      <c r="E62" s="469">
        <f>E48*E59</f>
        <v>-20823.939999999922</v>
      </c>
      <c r="F62" s="466"/>
      <c r="G62" s="475"/>
      <c r="H62" s="466"/>
      <c r="I62" s="466"/>
      <c r="J62" s="466"/>
      <c r="K62" s="466"/>
      <c r="L62" s="466"/>
    </row>
    <row r="63" spans="1:12">
      <c r="A63" s="466"/>
      <c r="B63" s="466"/>
      <c r="C63" s="466"/>
      <c r="D63" s="468"/>
      <c r="E63" s="469"/>
      <c r="F63" s="466"/>
      <c r="G63" s="466"/>
      <c r="H63" s="466"/>
      <c r="I63" s="466"/>
      <c r="J63" s="466"/>
      <c r="K63" s="466"/>
      <c r="L63" s="466"/>
    </row>
    <row r="64" spans="1:12" ht="16.5" thickBot="1">
      <c r="A64" s="467" t="s">
        <v>448</v>
      </c>
      <c r="B64" s="466"/>
      <c r="C64" s="466"/>
      <c r="D64" s="468"/>
      <c r="E64" s="476">
        <f>E62*'Schedule 4, RC-1, RC-1A'!V113</f>
        <v>-18926.938991007122</v>
      </c>
      <c r="F64" s="466"/>
      <c r="G64" s="475"/>
      <c r="H64" s="466"/>
      <c r="I64" s="466"/>
      <c r="J64" s="466"/>
      <c r="K64" s="466"/>
      <c r="L64" s="466"/>
    </row>
    <row r="65" spans="1:10" ht="16.5" thickTop="1">
      <c r="A65" s="466"/>
      <c r="B65" s="466"/>
      <c r="C65" s="466"/>
      <c r="D65" s="468"/>
      <c r="E65" s="474"/>
      <c r="F65" s="466"/>
      <c r="G65" s="466"/>
      <c r="H65" s="466"/>
      <c r="I65" s="466"/>
      <c r="J65" s="466"/>
    </row>
    <row r="66" spans="1:10">
      <c r="A66" s="466"/>
      <c r="B66" s="466"/>
      <c r="C66" s="466"/>
      <c r="D66" s="468"/>
      <c r="E66" s="469"/>
      <c r="F66" s="466"/>
      <c r="G66" s="466"/>
      <c r="H66" s="466"/>
      <c r="I66" s="466"/>
      <c r="J66" s="466"/>
    </row>
    <row r="67" spans="1:10">
      <c r="A67" s="466"/>
      <c r="B67" s="466"/>
      <c r="C67" s="466"/>
      <c r="D67" s="468"/>
      <c r="E67" s="477"/>
      <c r="F67" s="466"/>
      <c r="G67" s="466"/>
      <c r="H67" s="466"/>
      <c r="I67" s="466"/>
      <c r="J67" s="466"/>
    </row>
    <row r="68" spans="1:10">
      <c r="A68" s="466"/>
      <c r="B68" s="466"/>
      <c r="C68" s="466"/>
      <c r="D68" s="468"/>
      <c r="E68" s="469"/>
      <c r="F68" s="466"/>
      <c r="G68" s="466"/>
      <c r="H68" s="466"/>
      <c r="I68" s="466"/>
      <c r="J68" s="466"/>
    </row>
    <row r="69" spans="1:10">
      <c r="A69" s="466"/>
      <c r="B69" s="466"/>
      <c r="C69" s="466"/>
      <c r="D69" s="468"/>
      <c r="E69" s="469"/>
      <c r="F69" s="466"/>
      <c r="G69" s="466"/>
      <c r="H69" s="466"/>
      <c r="I69" s="466"/>
      <c r="J69" s="466"/>
    </row>
  </sheetData>
  <mergeCells count="6">
    <mergeCell ref="G10:H10"/>
    <mergeCell ref="A1:G1"/>
    <mergeCell ref="A3:G3"/>
    <mergeCell ref="A5:G5"/>
    <mergeCell ref="G8:H8"/>
    <mergeCell ref="G9:H9"/>
  </mergeCells>
  <pageMargins left="0.7" right="0.7" top="0.75" bottom="0.75" header="0.3" footer="0.3"/>
  <pageSetup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33"/>
  <sheetViews>
    <sheetView topLeftCell="A20" workbookViewId="0">
      <selection activeCell="K37" sqref="K37"/>
    </sheetView>
  </sheetViews>
  <sheetFormatPr defaultRowHeight="15.75"/>
  <cols>
    <col min="1" max="1" width="26" style="479" customWidth="1"/>
    <col min="2" max="4" width="7.5546875" style="479" bestFit="1" customWidth="1"/>
    <col min="5" max="5" width="8.109375" style="479" customWidth="1"/>
    <col min="6" max="6" width="8.6640625" style="479" customWidth="1"/>
    <col min="7" max="7" width="8.21875" style="479" bestFit="1" customWidth="1"/>
    <col min="8" max="8" width="9.6640625" style="479" customWidth="1"/>
    <col min="9" max="9" width="8.88671875" style="479" customWidth="1"/>
    <col min="10" max="10" width="9.44140625" style="479" customWidth="1"/>
    <col min="11" max="11" width="12.6640625" style="479" customWidth="1"/>
    <col min="12" max="12" width="8.44140625" style="479" bestFit="1" customWidth="1"/>
    <col min="13" max="13" width="9.109375" style="479" customWidth="1"/>
    <col min="14" max="14" width="1.5546875" style="479" customWidth="1"/>
    <col min="15" max="15" width="9.77734375" style="479" customWidth="1"/>
    <col min="16" max="17" width="8.88671875" style="479"/>
    <col min="18" max="18" width="9.5546875" style="479" bestFit="1" customWidth="1"/>
    <col min="19" max="16384" width="8.88671875" style="479"/>
  </cols>
  <sheetData>
    <row r="1" spans="1:21">
      <c r="A1" s="939" t="str">
        <f>+'Schedule 4, R-6G pg 2'!A1:G1</f>
        <v>WASTE CONTROL, INC.</v>
      </c>
      <c r="B1" s="940"/>
      <c r="C1" s="940"/>
      <c r="D1" s="940"/>
      <c r="E1" s="940"/>
      <c r="F1" s="940"/>
      <c r="G1" s="940"/>
    </row>
    <row r="2" spans="1:2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1">
      <c r="A3" s="940" t="s">
        <v>595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1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1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 t="s">
        <v>596</v>
      </c>
      <c r="J5" s="509" t="s">
        <v>597</v>
      </c>
      <c r="K5" s="509"/>
      <c r="L5" s="508" t="s">
        <v>598</v>
      </c>
      <c r="M5" s="508"/>
    </row>
    <row r="6" spans="1:21">
      <c r="A6" s="479" t="s">
        <v>599</v>
      </c>
    </row>
    <row r="8" spans="1:21">
      <c r="B8" s="633">
        <v>2012</v>
      </c>
      <c r="C8" s="633">
        <v>2012</v>
      </c>
      <c r="D8" s="633">
        <v>2012</v>
      </c>
      <c r="E8" s="633">
        <v>2012</v>
      </c>
      <c r="F8" s="633">
        <v>2012</v>
      </c>
      <c r="G8" s="633">
        <v>2012</v>
      </c>
      <c r="H8" s="633">
        <v>2013</v>
      </c>
      <c r="I8" s="633">
        <v>2013</v>
      </c>
      <c r="J8" s="633">
        <v>2013</v>
      </c>
      <c r="K8" s="633">
        <v>2013</v>
      </c>
      <c r="L8" s="633">
        <v>2013</v>
      </c>
      <c r="M8" s="633">
        <v>2013</v>
      </c>
    </row>
    <row r="9" spans="1:21">
      <c r="A9" s="634"/>
      <c r="B9" s="635" t="s">
        <v>596</v>
      </c>
      <c r="C9" s="635" t="s">
        <v>600</v>
      </c>
      <c r="D9" s="635" t="s">
        <v>601</v>
      </c>
      <c r="E9" s="635" t="s">
        <v>602</v>
      </c>
      <c r="F9" s="635" t="s">
        <v>603</v>
      </c>
      <c r="G9" s="635" t="s">
        <v>604</v>
      </c>
      <c r="H9" s="635" t="s">
        <v>605</v>
      </c>
      <c r="I9" s="635" t="s">
        <v>606</v>
      </c>
      <c r="J9" s="635" t="s">
        <v>607</v>
      </c>
      <c r="K9" s="635" t="s">
        <v>608</v>
      </c>
      <c r="L9" s="635" t="s">
        <v>609</v>
      </c>
      <c r="M9" s="635" t="s">
        <v>610</v>
      </c>
      <c r="O9" s="635" t="s">
        <v>611</v>
      </c>
      <c r="R9" s="636" t="s">
        <v>111</v>
      </c>
      <c r="S9" s="636" t="s">
        <v>612</v>
      </c>
      <c r="T9" s="636"/>
      <c r="U9" s="636"/>
    </row>
    <row r="10" spans="1:21">
      <c r="A10" s="637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O10" s="638"/>
      <c r="R10" s="639">
        <f>O16</f>
        <v>11446.360000000002</v>
      </c>
      <c r="S10" s="640">
        <f>SUM(O12:O15)</f>
        <v>15400.870000000003</v>
      </c>
      <c r="T10" s="969" t="s">
        <v>613</v>
      </c>
      <c r="U10" s="969"/>
    </row>
    <row r="11" spans="1:21" ht="15" customHeight="1"/>
    <row r="12" spans="1:21">
      <c r="A12" s="641" t="s">
        <v>614</v>
      </c>
      <c r="B12">
        <f>1070.04-61.91</f>
        <v>1008.13</v>
      </c>
      <c r="C12">
        <f>1086.89-46.99</f>
        <v>1039.9000000000001</v>
      </c>
      <c r="D12">
        <f>979.4-45.54</f>
        <v>933.86</v>
      </c>
      <c r="E12">
        <f>1048.79-56.82</f>
        <v>991.96999999999991</v>
      </c>
      <c r="F12">
        <f>1037.5-47.27</f>
        <v>990.23</v>
      </c>
      <c r="G12">
        <f>799.6-53.58</f>
        <v>746.02</v>
      </c>
      <c r="H12">
        <f>1006.17-43.08</f>
        <v>963.08999999999992</v>
      </c>
      <c r="I12">
        <f>911.07-40.28</f>
        <v>870.79000000000008</v>
      </c>
      <c r="J12">
        <f>915.22-42.18</f>
        <v>873.04000000000008</v>
      </c>
      <c r="K12">
        <f>1040.12-65</f>
        <v>975.11999999999989</v>
      </c>
      <c r="L12">
        <f>1073.99-46.84</f>
        <v>1027.1500000000001</v>
      </c>
      <c r="M12">
        <f>1004.39-44.78</f>
        <v>959.61</v>
      </c>
      <c r="O12" s="642">
        <f>SUM(B12:N12)</f>
        <v>11378.910000000002</v>
      </c>
    </row>
    <row r="13" spans="1:21">
      <c r="A13" s="641" t="s">
        <v>615</v>
      </c>
      <c r="B13">
        <f>+B20-B15</f>
        <v>252.17099999999999</v>
      </c>
      <c r="C13">
        <f t="shared" ref="C13:M13" si="0">+C20-C15</f>
        <v>246.34800000000001</v>
      </c>
      <c r="D13">
        <f t="shared" si="0"/>
        <v>201.47400000000002</v>
      </c>
      <c r="E13">
        <f t="shared" si="0"/>
        <v>292.37400000000002</v>
      </c>
      <c r="F13">
        <f t="shared" si="0"/>
        <v>309.05099999999999</v>
      </c>
      <c r="G13">
        <f t="shared" si="0"/>
        <v>275.04900000000004</v>
      </c>
      <c r="H13">
        <f t="shared" si="0"/>
        <v>237.71699999999998</v>
      </c>
      <c r="I13">
        <f t="shared" si="0"/>
        <v>174.411</v>
      </c>
      <c r="J13">
        <f t="shared" si="0"/>
        <v>242.74800000000002</v>
      </c>
      <c r="K13">
        <f t="shared" si="0"/>
        <v>255.51900000000001</v>
      </c>
      <c r="L13">
        <f t="shared" si="0"/>
        <v>316.18799999999999</v>
      </c>
      <c r="M13">
        <f t="shared" si="0"/>
        <v>281.87099999999998</v>
      </c>
      <c r="O13" s="642">
        <f>SUM(B13:N13)</f>
        <v>3084.9210000000003</v>
      </c>
    </row>
    <row r="14" spans="1:21">
      <c r="A14" s="641" t="s">
        <v>616</v>
      </c>
      <c r="B14">
        <v>61.91</v>
      </c>
      <c r="C14">
        <v>46.99</v>
      </c>
      <c r="D14">
        <v>45.54</v>
      </c>
      <c r="E14">
        <v>56.82</v>
      </c>
      <c r="F14">
        <v>47.27</v>
      </c>
      <c r="G14">
        <v>53.58</v>
      </c>
      <c r="H14">
        <v>43.08</v>
      </c>
      <c r="I14">
        <v>40.28</v>
      </c>
      <c r="J14">
        <v>42.18</v>
      </c>
      <c r="K14">
        <v>65</v>
      </c>
      <c r="L14">
        <v>46.84</v>
      </c>
      <c r="M14">
        <v>44.78</v>
      </c>
      <c r="O14" s="642">
        <f>SUM(B14:N14)</f>
        <v>594.26999999999987</v>
      </c>
    </row>
    <row r="15" spans="1:21">
      <c r="A15" s="643" t="s">
        <v>617</v>
      </c>
      <c r="B15" s="552">
        <f>+B20*0.1</f>
        <v>28.019000000000002</v>
      </c>
      <c r="C15" s="552">
        <f t="shared" ref="C15:M15" si="1">+C20*0.1</f>
        <v>27.372000000000003</v>
      </c>
      <c r="D15" s="552">
        <f t="shared" si="1"/>
        <v>22.386000000000003</v>
      </c>
      <c r="E15" s="552">
        <f t="shared" si="1"/>
        <v>32.486000000000004</v>
      </c>
      <c r="F15" s="552">
        <f t="shared" si="1"/>
        <v>34.338999999999999</v>
      </c>
      <c r="G15" s="552">
        <f t="shared" si="1"/>
        <v>30.561000000000003</v>
      </c>
      <c r="H15" s="552">
        <f t="shared" si="1"/>
        <v>26.413</v>
      </c>
      <c r="I15" s="552">
        <f t="shared" si="1"/>
        <v>19.379000000000001</v>
      </c>
      <c r="J15" s="552">
        <f t="shared" si="1"/>
        <v>26.972000000000005</v>
      </c>
      <c r="K15" s="552">
        <f t="shared" si="1"/>
        <v>28.391000000000005</v>
      </c>
      <c r="L15" s="552">
        <f t="shared" si="1"/>
        <v>35.131999999999998</v>
      </c>
      <c r="M15" s="552">
        <f t="shared" si="1"/>
        <v>31.319000000000003</v>
      </c>
      <c r="O15" s="642">
        <f>SUM(B15:N15)</f>
        <v>342.76900000000006</v>
      </c>
      <c r="P15" s="479" t="s">
        <v>618</v>
      </c>
    </row>
    <row r="16" spans="1:21">
      <c r="A16" s="641" t="s">
        <v>619</v>
      </c>
      <c r="B16" s="479">
        <v>1186.83</v>
      </c>
      <c r="C16" s="479">
        <v>976.35</v>
      </c>
      <c r="D16" s="479">
        <v>769.24</v>
      </c>
      <c r="E16" s="644">
        <v>1094.5999999999999</v>
      </c>
      <c r="F16" s="644">
        <v>877.3</v>
      </c>
      <c r="G16" s="644">
        <v>948.3</v>
      </c>
      <c r="H16" s="644">
        <v>1020.3</v>
      </c>
      <c r="I16" s="644">
        <v>882.48</v>
      </c>
      <c r="J16" s="644">
        <v>911.11</v>
      </c>
      <c r="K16" s="644">
        <v>723.7</v>
      </c>
      <c r="L16" s="644">
        <v>1025.96</v>
      </c>
      <c r="M16" s="644">
        <v>1030.19</v>
      </c>
      <c r="O16" s="645">
        <f>SUM(B16:M16)</f>
        <v>11446.360000000002</v>
      </c>
    </row>
    <row r="17" spans="1:17">
      <c r="A17" s="646"/>
      <c r="B17" s="634"/>
      <c r="C17" s="634"/>
      <c r="D17" s="634"/>
      <c r="E17" s="634"/>
      <c r="F17" s="647"/>
      <c r="G17" s="647"/>
      <c r="H17" s="647"/>
      <c r="I17" s="647"/>
      <c r="J17" s="647"/>
      <c r="K17" s="647"/>
      <c r="L17" s="647"/>
      <c r="M17" s="647"/>
      <c r="O17" s="648"/>
    </row>
    <row r="18" spans="1:17">
      <c r="A18" s="641" t="s">
        <v>620</v>
      </c>
      <c r="B18" s="649">
        <f>SUM(B12:B17)</f>
        <v>2537.06</v>
      </c>
      <c r="C18" s="649">
        <f t="shared" ref="C18:O18" si="2">SUM(C12:C17)</f>
        <v>2336.96</v>
      </c>
      <c r="D18" s="649">
        <f t="shared" si="2"/>
        <v>1972.5</v>
      </c>
      <c r="E18" s="649">
        <f t="shared" si="2"/>
        <v>2468.25</v>
      </c>
      <c r="F18" s="649">
        <f t="shared" si="2"/>
        <v>2258.1899999999996</v>
      </c>
      <c r="G18" s="649">
        <f t="shared" si="2"/>
        <v>2053.5099999999998</v>
      </c>
      <c r="H18" s="649">
        <f t="shared" si="2"/>
        <v>2290.5999999999995</v>
      </c>
      <c r="I18" s="649">
        <f t="shared" si="2"/>
        <v>1987.34</v>
      </c>
      <c r="J18" s="649">
        <f t="shared" si="2"/>
        <v>2096.0500000000002</v>
      </c>
      <c r="K18" s="649">
        <f t="shared" si="2"/>
        <v>2047.73</v>
      </c>
      <c r="L18" s="649">
        <f t="shared" si="2"/>
        <v>2451.2700000000004</v>
      </c>
      <c r="M18" s="649">
        <f t="shared" si="2"/>
        <v>2347.77</v>
      </c>
      <c r="N18" s="649"/>
      <c r="O18" s="649">
        <f t="shared" si="2"/>
        <v>26847.230000000003</v>
      </c>
    </row>
    <row r="19" spans="1:17">
      <c r="A19" s="641"/>
      <c r="F19" s="644"/>
      <c r="G19" s="644"/>
      <c r="H19" s="644"/>
      <c r="I19" s="644"/>
      <c r="J19" s="644"/>
      <c r="K19" s="644"/>
      <c r="L19" s="644"/>
      <c r="M19" s="644"/>
    </row>
    <row r="20" spans="1:17">
      <c r="A20" s="479" t="s">
        <v>621</v>
      </c>
      <c r="B20" s="479">
        <v>280.19</v>
      </c>
      <c r="C20" s="479">
        <v>273.72000000000003</v>
      </c>
      <c r="D20" s="479">
        <v>223.86</v>
      </c>
      <c r="E20" s="479">
        <v>324.86</v>
      </c>
      <c r="F20" s="479">
        <v>343.39</v>
      </c>
      <c r="G20" s="479">
        <v>305.61</v>
      </c>
      <c r="H20" s="479">
        <v>264.13</v>
      </c>
      <c r="I20" s="479">
        <v>193.79</v>
      </c>
      <c r="J20" s="479">
        <v>269.72000000000003</v>
      </c>
      <c r="K20" s="479">
        <v>283.91000000000003</v>
      </c>
      <c r="L20" s="479">
        <v>351.32</v>
      </c>
      <c r="M20" s="479">
        <v>313.19</v>
      </c>
      <c r="O20" s="479">
        <f>SUM(B20:N20)</f>
        <v>3427.6900000000005</v>
      </c>
    </row>
    <row r="21" spans="1:17">
      <c r="A21" s="479" t="s">
        <v>259</v>
      </c>
    </row>
    <row r="22" spans="1:17">
      <c r="A22" s="650" t="s">
        <v>622</v>
      </c>
      <c r="B22" s="650"/>
    </row>
    <row r="23" spans="1:17">
      <c r="M23" s="651" t="s">
        <v>217</v>
      </c>
      <c r="P23" s="651"/>
      <c r="Q23" s="651"/>
    </row>
    <row r="24" spans="1:17">
      <c r="M24" s="652">
        <v>37.299999999999997</v>
      </c>
      <c r="O24" s="651" t="s">
        <v>427</v>
      </c>
      <c r="Q24" s="651"/>
    </row>
    <row r="25" spans="1:17">
      <c r="A25" s="479" t="s">
        <v>623</v>
      </c>
      <c r="M25" s="652">
        <v>49</v>
      </c>
      <c r="O25" s="651" t="s">
        <v>624</v>
      </c>
      <c r="Q25" s="651"/>
    </row>
    <row r="26" spans="1:17">
      <c r="A26" s="479" t="s">
        <v>625</v>
      </c>
      <c r="M26" s="653">
        <f>M25-M24</f>
        <v>11.700000000000003</v>
      </c>
      <c r="O26" s="651" t="s">
        <v>230</v>
      </c>
      <c r="Q26" s="651"/>
    </row>
    <row r="27" spans="1:17">
      <c r="M27" s="653"/>
      <c r="O27" s="651"/>
      <c r="Q27" s="651"/>
    </row>
    <row r="28" spans="1:17">
      <c r="A28" s="479" t="s">
        <v>626</v>
      </c>
      <c r="M28" s="653"/>
      <c r="O28" s="651"/>
      <c r="Q28" s="651"/>
    </row>
    <row r="29" spans="1:17">
      <c r="M29" s="654">
        <f>M26/M24</f>
        <v>0.31367292225201082</v>
      </c>
      <c r="O29" s="651" t="s">
        <v>627</v>
      </c>
      <c r="Q29" s="651"/>
    </row>
    <row r="30" spans="1:17" ht="15.75" customHeight="1">
      <c r="A30" s="970" t="s">
        <v>628</v>
      </c>
      <c r="B30" s="970"/>
      <c r="C30" s="970"/>
      <c r="D30" s="970"/>
      <c r="E30" s="970"/>
      <c r="F30" s="970"/>
      <c r="G30" s="970"/>
      <c r="H30" s="970"/>
      <c r="I30" s="970"/>
      <c r="J30" s="970"/>
      <c r="O30" s="651"/>
      <c r="P30" s="651"/>
      <c r="Q30" s="651"/>
    </row>
    <row r="31" spans="1:17">
      <c r="A31" s="970"/>
      <c r="B31" s="970"/>
      <c r="C31" s="970"/>
      <c r="D31" s="970"/>
      <c r="E31" s="970"/>
      <c r="F31" s="970"/>
      <c r="G31" s="970"/>
      <c r="H31" s="970"/>
      <c r="I31" s="970"/>
      <c r="J31" s="970"/>
    </row>
    <row r="32" spans="1:17">
      <c r="A32" s="655"/>
      <c r="B32" s="655"/>
      <c r="C32" s="655"/>
      <c r="D32" s="655"/>
      <c r="E32" s="507"/>
      <c r="F32" s="507"/>
      <c r="G32" s="507"/>
      <c r="H32" s="507"/>
      <c r="I32" s="507"/>
      <c r="J32" s="507"/>
    </row>
    <row r="33" spans="1:23">
      <c r="A33" s="479" t="s">
        <v>629</v>
      </c>
    </row>
    <row r="35" spans="1:23">
      <c r="A35" s="968" t="s">
        <v>630</v>
      </c>
      <c r="B35" s="968"/>
      <c r="C35" s="968"/>
      <c r="D35" s="968"/>
      <c r="E35" s="968"/>
      <c r="F35" s="968"/>
      <c r="I35" s="651" t="s">
        <v>65</v>
      </c>
      <c r="J35" s="651"/>
      <c r="K35" s="651"/>
      <c r="L35" s="651"/>
      <c r="M35" s="651"/>
      <c r="N35" s="651"/>
      <c r="O35" s="651"/>
      <c r="Q35" s="636" t="s">
        <v>7</v>
      </c>
      <c r="R35" s="636"/>
      <c r="S35" s="636"/>
      <c r="T35" s="636"/>
      <c r="U35" s="636"/>
      <c r="V35" s="636"/>
      <c r="W35" s="636"/>
    </row>
    <row r="36" spans="1:23" ht="16.5" thickBot="1">
      <c r="A36" s="635" t="s">
        <v>632</v>
      </c>
      <c r="B36" s="635" t="s">
        <v>633</v>
      </c>
      <c r="C36" s="635" t="s">
        <v>634</v>
      </c>
      <c r="D36" s="635" t="s">
        <v>210</v>
      </c>
      <c r="E36" s="635" t="s">
        <v>635</v>
      </c>
      <c r="F36" s="635" t="s">
        <v>210</v>
      </c>
      <c r="I36" s="651" t="s">
        <v>646</v>
      </c>
      <c r="J36" s="651"/>
      <c r="K36" s="651"/>
      <c r="L36" s="651"/>
      <c r="M36" s="651"/>
      <c r="N36" s="651"/>
      <c r="O36" s="651"/>
      <c r="Q36" s="636" t="s">
        <v>790</v>
      </c>
      <c r="R36" s="636"/>
      <c r="S36" s="636"/>
      <c r="T36" s="636"/>
      <c r="U36" s="636"/>
      <c r="V36" s="636"/>
      <c r="W36" s="636"/>
    </row>
    <row r="37" spans="1:23">
      <c r="A37" s="665">
        <v>41092</v>
      </c>
      <c r="B37" s="666">
        <v>7.32</v>
      </c>
      <c r="C37" s="666">
        <v>5.34</v>
      </c>
      <c r="D37" s="666">
        <f>SUM(B37:C37)</f>
        <v>12.66</v>
      </c>
      <c r="E37" s="641"/>
      <c r="I37" s="656"/>
      <c r="J37" s="657"/>
      <c r="K37" s="657" t="s">
        <v>642</v>
      </c>
      <c r="L37" s="657" t="s">
        <v>308</v>
      </c>
      <c r="M37" s="659"/>
      <c r="N37" s="651"/>
      <c r="O37" s="651"/>
      <c r="Q37" s="660"/>
      <c r="R37" s="661"/>
      <c r="S37" s="661" t="s">
        <v>642</v>
      </c>
      <c r="T37" s="661" t="s">
        <v>308</v>
      </c>
      <c r="U37" s="695"/>
      <c r="V37" s="636"/>
      <c r="W37" s="636"/>
    </row>
    <row r="38" spans="1:23">
      <c r="A38" s="665">
        <f>+A37+7</f>
        <v>41099</v>
      </c>
      <c r="B38" s="666">
        <v>7.41</v>
      </c>
      <c r="C38" s="666">
        <v>5.49</v>
      </c>
      <c r="D38" s="666">
        <f t="shared" ref="D38:D88" si="3">SUM(B38:C38)</f>
        <v>12.9</v>
      </c>
      <c r="E38" s="641"/>
      <c r="I38" s="667"/>
      <c r="J38" s="668" t="s">
        <v>640</v>
      </c>
      <c r="K38" s="669">
        <f>'Schedule 4, RC-1A'!K38-L38</f>
        <v>14523.21220643432</v>
      </c>
      <c r="L38" s="669">
        <f>'Schedule 4, RC-1A'!L41</f>
        <v>937.03899999999999</v>
      </c>
      <c r="M38" s="670"/>
      <c r="N38" s="651"/>
      <c r="O38" s="651"/>
      <c r="Q38" s="671"/>
      <c r="R38" s="672" t="s">
        <v>640</v>
      </c>
      <c r="S38" s="680">
        <f>'Schedule 4, RC-1A'!R41</f>
        <v>13893.370816886854</v>
      </c>
      <c r="T38" s="680">
        <f>'Schedule 4, RC-1A'!S41</f>
        <v>1566.8803895474666</v>
      </c>
      <c r="U38" s="674"/>
      <c r="V38" s="636"/>
      <c r="W38" s="636"/>
    </row>
    <row r="39" spans="1:23">
      <c r="A39" s="665">
        <f t="shared" ref="A39:A88" si="4">+A38+7</f>
        <v>41106</v>
      </c>
      <c r="B39" s="666">
        <v>6.82</v>
      </c>
      <c r="C39" s="666">
        <v>5.17</v>
      </c>
      <c r="D39" s="666">
        <f t="shared" si="3"/>
        <v>11.99</v>
      </c>
      <c r="E39" s="641"/>
      <c r="I39" s="696"/>
      <c r="J39" s="668" t="s">
        <v>230</v>
      </c>
      <c r="K39" s="669">
        <f>M26</f>
        <v>11.700000000000003</v>
      </c>
      <c r="L39" s="637"/>
      <c r="M39" s="697"/>
      <c r="Q39" s="671"/>
      <c r="R39" s="672" t="s">
        <v>230</v>
      </c>
      <c r="S39" s="673">
        <f>M26</f>
        <v>11.700000000000003</v>
      </c>
      <c r="T39" s="672"/>
      <c r="U39" s="674"/>
      <c r="V39" s="636"/>
      <c r="W39" s="636"/>
    </row>
    <row r="40" spans="1:23" ht="16.5" thickBot="1">
      <c r="A40" s="665">
        <f t="shared" si="4"/>
        <v>41113</v>
      </c>
      <c r="B40" s="666">
        <v>9.4</v>
      </c>
      <c r="C40" s="666">
        <v>3.23</v>
      </c>
      <c r="D40" s="666">
        <f t="shared" si="3"/>
        <v>12.63</v>
      </c>
      <c r="E40" s="641"/>
      <c r="I40" s="696"/>
      <c r="J40" s="681" t="s">
        <v>97</v>
      </c>
      <c r="K40" s="698">
        <f>K38*K39</f>
        <v>169921.58281528158</v>
      </c>
      <c r="L40" s="637"/>
      <c r="M40" s="697"/>
      <c r="Q40" s="671"/>
      <c r="R40" s="699" t="s">
        <v>97</v>
      </c>
      <c r="S40" s="700">
        <f>S38*S39</f>
        <v>162552.43855757624</v>
      </c>
      <c r="T40" s="672"/>
      <c r="U40" s="674"/>
      <c r="V40" s="636"/>
      <c r="W40" s="636"/>
    </row>
    <row r="41" spans="1:23" ht="17.25" thickTop="1" thickBot="1">
      <c r="A41" s="665">
        <f t="shared" si="4"/>
        <v>41120</v>
      </c>
      <c r="B41" s="666">
        <v>8.82</v>
      </c>
      <c r="C41" s="666">
        <v>2.91</v>
      </c>
      <c r="D41" s="666">
        <f t="shared" si="3"/>
        <v>11.73</v>
      </c>
      <c r="E41" s="641" t="s">
        <v>643</v>
      </c>
      <c r="F41" s="679">
        <f>SUM(D37:D41)</f>
        <v>61.910000000000011</v>
      </c>
      <c r="I41" s="701"/>
      <c r="J41" s="702"/>
      <c r="K41" s="702"/>
      <c r="L41" s="702"/>
      <c r="M41" s="703"/>
      <c r="Q41" s="704"/>
      <c r="R41" s="693"/>
      <c r="S41" s="693"/>
      <c r="T41" s="693"/>
      <c r="U41" s="694"/>
      <c r="V41" s="636"/>
      <c r="W41" s="636"/>
    </row>
    <row r="42" spans="1:23">
      <c r="A42" s="665">
        <f t="shared" si="4"/>
        <v>41127</v>
      </c>
      <c r="B42" s="666">
        <v>11.89</v>
      </c>
      <c r="C42" s="666">
        <v>0</v>
      </c>
      <c r="D42" s="666">
        <f t="shared" si="3"/>
        <v>11.89</v>
      </c>
      <c r="E42" s="641"/>
      <c r="Q42" s="636"/>
      <c r="R42" s="636"/>
      <c r="S42" s="636"/>
      <c r="T42" s="636"/>
      <c r="U42" s="636"/>
      <c r="V42" s="636"/>
      <c r="W42" s="636"/>
    </row>
    <row r="43" spans="1:23">
      <c r="A43" s="665">
        <f t="shared" si="4"/>
        <v>41134</v>
      </c>
      <c r="B43" s="666">
        <v>6.74</v>
      </c>
      <c r="C43" s="666">
        <v>5.31</v>
      </c>
      <c r="D43" s="666">
        <f t="shared" si="3"/>
        <v>12.05</v>
      </c>
      <c r="E43" s="641"/>
      <c r="Q43" s="636"/>
      <c r="R43" s="636"/>
      <c r="S43" s="636"/>
      <c r="T43" s="636"/>
      <c r="U43" s="636"/>
      <c r="V43" s="636"/>
      <c r="W43" s="636"/>
    </row>
    <row r="44" spans="1:23">
      <c r="A44" s="665">
        <f t="shared" si="4"/>
        <v>41141</v>
      </c>
      <c r="B44" s="666">
        <v>8.8000000000000007</v>
      </c>
      <c r="C44" s="666">
        <v>2.99</v>
      </c>
      <c r="D44" s="666">
        <f t="shared" si="3"/>
        <v>11.790000000000001</v>
      </c>
      <c r="E44" s="641"/>
      <c r="Q44" s="636"/>
      <c r="R44" s="636"/>
      <c r="S44" s="636"/>
      <c r="T44" s="636"/>
      <c r="U44" s="636"/>
      <c r="V44" s="636"/>
      <c r="W44" s="636"/>
    </row>
    <row r="45" spans="1:23">
      <c r="A45" s="665">
        <f t="shared" si="4"/>
        <v>41148</v>
      </c>
      <c r="B45" s="666">
        <v>6.23</v>
      </c>
      <c r="C45" s="666">
        <v>5.03</v>
      </c>
      <c r="D45" s="666">
        <f t="shared" si="3"/>
        <v>11.260000000000002</v>
      </c>
      <c r="E45" s="641" t="s">
        <v>645</v>
      </c>
      <c r="F45" s="679">
        <f>SUM(D42:D45)</f>
        <v>46.990000000000009</v>
      </c>
      <c r="Q45" s="636"/>
      <c r="R45" s="636"/>
      <c r="S45" s="636"/>
      <c r="T45" s="636"/>
      <c r="U45" s="636"/>
      <c r="V45" s="636"/>
      <c r="W45" s="636"/>
    </row>
    <row r="46" spans="1:23">
      <c r="A46" s="665">
        <f t="shared" si="4"/>
        <v>41155</v>
      </c>
      <c r="B46" s="666">
        <v>10.84</v>
      </c>
      <c r="C46" s="666">
        <v>0</v>
      </c>
      <c r="D46" s="666">
        <f t="shared" si="3"/>
        <v>10.84</v>
      </c>
      <c r="E46" s="641"/>
      <c r="Q46" s="636"/>
      <c r="R46" s="636"/>
      <c r="S46" s="636"/>
      <c r="T46" s="636"/>
      <c r="U46" s="636"/>
      <c r="V46" s="636"/>
      <c r="W46" s="636"/>
    </row>
    <row r="47" spans="1:23">
      <c r="A47" s="665">
        <f t="shared" si="4"/>
        <v>41162</v>
      </c>
      <c r="B47" s="666">
        <v>12.37</v>
      </c>
      <c r="C47" s="666">
        <v>0</v>
      </c>
      <c r="D47" s="666">
        <f t="shared" si="3"/>
        <v>12.37</v>
      </c>
      <c r="E47" s="641"/>
      <c r="Q47" s="636"/>
      <c r="R47" s="636"/>
      <c r="S47" s="636"/>
      <c r="T47" s="636"/>
      <c r="U47" s="636"/>
      <c r="V47" s="636"/>
      <c r="W47" s="636"/>
    </row>
    <row r="48" spans="1:23">
      <c r="A48" s="665">
        <f t="shared" si="4"/>
        <v>41169</v>
      </c>
      <c r="B48" s="666">
        <v>11.2</v>
      </c>
      <c r="C48" s="666">
        <v>0</v>
      </c>
      <c r="D48" s="666">
        <f t="shared" si="3"/>
        <v>11.2</v>
      </c>
      <c r="E48" s="641"/>
      <c r="Q48" s="636"/>
      <c r="R48" s="636"/>
      <c r="S48" s="636"/>
      <c r="T48" s="636"/>
      <c r="U48" s="636"/>
      <c r="V48" s="636"/>
      <c r="W48" s="636"/>
    </row>
    <row r="49" spans="1:23">
      <c r="A49" s="665">
        <f t="shared" si="4"/>
        <v>41176</v>
      </c>
      <c r="B49" s="666">
        <v>11.13</v>
      </c>
      <c r="C49" s="666">
        <v>0</v>
      </c>
      <c r="D49" s="666">
        <f t="shared" si="3"/>
        <v>11.13</v>
      </c>
      <c r="E49" s="641" t="s">
        <v>647</v>
      </c>
      <c r="F49" s="679">
        <f>SUM(D46:D49)</f>
        <v>45.54</v>
      </c>
      <c r="Q49" s="636"/>
      <c r="R49" s="636"/>
      <c r="S49" s="636"/>
      <c r="T49" s="636"/>
      <c r="U49" s="636"/>
      <c r="V49" s="636"/>
      <c r="W49" s="636"/>
    </row>
    <row r="50" spans="1:23">
      <c r="A50" s="665">
        <f t="shared" si="4"/>
        <v>41183</v>
      </c>
      <c r="B50" s="666">
        <v>10.99</v>
      </c>
      <c r="C50" s="666">
        <v>0</v>
      </c>
      <c r="D50" s="666">
        <f t="shared" si="3"/>
        <v>10.99</v>
      </c>
      <c r="E50" s="641"/>
      <c r="Q50" s="636"/>
      <c r="R50" s="636"/>
      <c r="S50" s="636"/>
      <c r="T50" s="636"/>
      <c r="U50" s="636"/>
      <c r="V50" s="636"/>
      <c r="W50" s="636"/>
    </row>
    <row r="51" spans="1:23">
      <c r="A51" s="665">
        <f t="shared" si="4"/>
        <v>41190</v>
      </c>
      <c r="B51" s="666">
        <v>10.88</v>
      </c>
      <c r="C51" s="666">
        <v>0</v>
      </c>
      <c r="D51" s="666">
        <f t="shared" si="3"/>
        <v>10.88</v>
      </c>
      <c r="E51" s="641"/>
      <c r="Q51" s="636"/>
      <c r="R51" s="636"/>
      <c r="S51" s="636"/>
      <c r="T51" s="636"/>
      <c r="U51" s="636"/>
      <c r="V51" s="636"/>
      <c r="W51" s="636"/>
    </row>
    <row r="52" spans="1:23">
      <c r="A52" s="665">
        <f t="shared" si="4"/>
        <v>41197</v>
      </c>
      <c r="B52" s="666">
        <v>10.83</v>
      </c>
      <c r="C52" s="666">
        <v>0</v>
      </c>
      <c r="D52" s="666">
        <f t="shared" si="3"/>
        <v>10.83</v>
      </c>
      <c r="E52" s="641"/>
      <c r="Q52" s="636"/>
      <c r="R52" s="636"/>
      <c r="S52" s="636"/>
      <c r="T52" s="636"/>
      <c r="U52" s="636"/>
      <c r="V52" s="636"/>
      <c r="W52" s="636"/>
    </row>
    <row r="53" spans="1:23">
      <c r="A53" s="665">
        <f t="shared" si="4"/>
        <v>41204</v>
      </c>
      <c r="B53" s="666">
        <v>8.1999999999999993</v>
      </c>
      <c r="C53" s="666">
        <v>5.24</v>
      </c>
      <c r="D53" s="666">
        <f t="shared" si="3"/>
        <v>13.44</v>
      </c>
      <c r="E53" s="641"/>
      <c r="Q53" s="636"/>
      <c r="R53" s="636"/>
      <c r="S53" s="636"/>
      <c r="T53" s="636"/>
      <c r="U53" s="636"/>
      <c r="V53" s="636"/>
      <c r="W53" s="636"/>
    </row>
    <row r="54" spans="1:23">
      <c r="A54" s="665">
        <f t="shared" si="4"/>
        <v>41211</v>
      </c>
      <c r="B54" s="666">
        <v>10.68</v>
      </c>
      <c r="C54" s="666">
        <v>0</v>
      </c>
      <c r="D54" s="666">
        <f t="shared" si="3"/>
        <v>10.68</v>
      </c>
      <c r="E54" s="641" t="s">
        <v>648</v>
      </c>
      <c r="F54" s="679">
        <f>SUM(D50:D54)</f>
        <v>56.82</v>
      </c>
      <c r="Q54" s="636"/>
      <c r="R54" s="636"/>
      <c r="S54" s="636"/>
      <c r="T54" s="636"/>
      <c r="U54" s="636"/>
      <c r="V54" s="636"/>
      <c r="W54" s="636"/>
    </row>
    <row r="55" spans="1:23">
      <c r="A55" s="665">
        <f t="shared" si="4"/>
        <v>41218</v>
      </c>
      <c r="B55" s="666">
        <v>7.1</v>
      </c>
      <c r="C55" s="666">
        <v>6.39</v>
      </c>
      <c r="D55" s="666">
        <f t="shared" si="3"/>
        <v>13.489999999999998</v>
      </c>
      <c r="E55" s="641"/>
      <c r="Q55" s="636"/>
      <c r="R55" s="636"/>
      <c r="S55" s="636"/>
      <c r="T55" s="636"/>
      <c r="U55" s="636"/>
      <c r="V55" s="636"/>
      <c r="W55" s="636"/>
    </row>
    <row r="56" spans="1:23">
      <c r="A56" s="665">
        <f t="shared" si="4"/>
        <v>41225</v>
      </c>
      <c r="B56" s="666">
        <v>7.56</v>
      </c>
      <c r="C56" s="666">
        <v>0</v>
      </c>
      <c r="D56" s="666">
        <f t="shared" si="3"/>
        <v>7.56</v>
      </c>
      <c r="E56" s="641"/>
      <c r="Q56" s="636"/>
      <c r="R56" s="636"/>
      <c r="S56" s="636"/>
      <c r="T56" s="636"/>
      <c r="U56" s="636"/>
      <c r="V56" s="636"/>
      <c r="W56" s="636"/>
    </row>
    <row r="57" spans="1:23">
      <c r="A57" s="665">
        <f t="shared" si="4"/>
        <v>41232</v>
      </c>
      <c r="B57" s="666">
        <v>6.9</v>
      </c>
      <c r="C57" s="666">
        <v>5.81</v>
      </c>
      <c r="D57" s="666">
        <f t="shared" si="3"/>
        <v>12.71</v>
      </c>
      <c r="E57" s="641"/>
      <c r="Q57" s="636"/>
      <c r="R57" s="636"/>
      <c r="S57" s="636"/>
      <c r="T57" s="636"/>
      <c r="U57" s="636"/>
      <c r="V57" s="636"/>
      <c r="W57" s="636"/>
    </row>
    <row r="58" spans="1:23">
      <c r="A58" s="665">
        <f t="shared" si="4"/>
        <v>41239</v>
      </c>
      <c r="B58" s="666">
        <v>7.58</v>
      </c>
      <c r="C58" s="666">
        <v>5.93</v>
      </c>
      <c r="D58" s="666">
        <f t="shared" si="3"/>
        <v>13.51</v>
      </c>
      <c r="E58" s="641" t="s">
        <v>649</v>
      </c>
      <c r="F58" s="679">
        <f>SUM(D55:D58)</f>
        <v>47.269999999999996</v>
      </c>
      <c r="Q58" s="636"/>
      <c r="R58" s="636"/>
      <c r="S58" s="636"/>
      <c r="T58" s="636"/>
      <c r="U58" s="636"/>
      <c r="V58" s="636"/>
      <c r="W58" s="636"/>
    </row>
    <row r="59" spans="1:23">
      <c r="A59" s="665">
        <f t="shared" si="4"/>
        <v>41246</v>
      </c>
      <c r="B59" s="666">
        <v>10.62</v>
      </c>
      <c r="C59" s="666">
        <v>0</v>
      </c>
      <c r="D59" s="666">
        <f t="shared" si="3"/>
        <v>10.62</v>
      </c>
      <c r="E59" s="641"/>
      <c r="Q59" s="636"/>
      <c r="R59" s="636"/>
      <c r="S59" s="636"/>
      <c r="T59" s="636"/>
      <c r="U59" s="636"/>
      <c r="V59" s="636"/>
      <c r="W59" s="636"/>
    </row>
    <row r="60" spans="1:23">
      <c r="A60" s="665">
        <f t="shared" si="4"/>
        <v>41253</v>
      </c>
      <c r="B60" s="666">
        <v>10.49</v>
      </c>
      <c r="C60" s="666">
        <v>0</v>
      </c>
      <c r="D60" s="666">
        <f t="shared" si="3"/>
        <v>10.49</v>
      </c>
      <c r="E60" s="641"/>
      <c r="Q60" s="636"/>
      <c r="R60" s="636"/>
      <c r="S60" s="636"/>
      <c r="T60" s="636"/>
      <c r="U60" s="636"/>
      <c r="V60" s="636"/>
      <c r="W60" s="636"/>
    </row>
    <row r="61" spans="1:23">
      <c r="A61" s="665">
        <f t="shared" si="4"/>
        <v>41260</v>
      </c>
      <c r="B61" s="666">
        <v>9.9499999999999993</v>
      </c>
      <c r="C61" s="666">
        <v>0</v>
      </c>
      <c r="D61" s="666">
        <f t="shared" si="3"/>
        <v>9.9499999999999993</v>
      </c>
      <c r="E61" s="641"/>
      <c r="Q61" s="636"/>
      <c r="R61" s="636"/>
      <c r="S61" s="636"/>
      <c r="T61" s="636"/>
      <c r="U61" s="636"/>
      <c r="V61" s="636"/>
      <c r="W61" s="636"/>
    </row>
    <row r="62" spans="1:23">
      <c r="A62" s="665">
        <f t="shared" si="4"/>
        <v>41267</v>
      </c>
      <c r="B62" s="666">
        <v>10.75</v>
      </c>
      <c r="C62" s="666">
        <v>0</v>
      </c>
      <c r="D62" s="666">
        <f t="shared" si="3"/>
        <v>10.75</v>
      </c>
      <c r="E62" s="641"/>
      <c r="Q62" s="636"/>
      <c r="R62" s="636"/>
      <c r="S62" s="636"/>
      <c r="T62" s="636"/>
      <c r="U62" s="636"/>
      <c r="V62" s="636"/>
      <c r="W62" s="636"/>
    </row>
    <row r="63" spans="1:23">
      <c r="A63" s="665">
        <f t="shared" si="4"/>
        <v>41274</v>
      </c>
      <c r="B63" s="666">
        <v>8.8699999999999992</v>
      </c>
      <c r="C63" s="666">
        <v>2.9</v>
      </c>
      <c r="D63" s="666">
        <f t="shared" si="3"/>
        <v>11.77</v>
      </c>
      <c r="E63" s="641" t="s">
        <v>650</v>
      </c>
      <c r="F63" s="679">
        <f>SUM(D59:D63)</f>
        <v>53.58</v>
      </c>
      <c r="Q63" s="636"/>
      <c r="R63" s="636"/>
      <c r="S63" s="636"/>
      <c r="T63" s="636"/>
      <c r="U63" s="636"/>
      <c r="V63" s="636"/>
      <c r="W63" s="636"/>
    </row>
    <row r="64" spans="1:23">
      <c r="A64" s="665">
        <f t="shared" si="4"/>
        <v>41281</v>
      </c>
      <c r="B64" s="666">
        <v>9.35</v>
      </c>
      <c r="C64" s="666">
        <v>3.38</v>
      </c>
      <c r="D64" s="666">
        <f t="shared" si="3"/>
        <v>12.73</v>
      </c>
      <c r="E64" s="641"/>
      <c r="Q64" s="636"/>
      <c r="R64" s="636"/>
      <c r="S64" s="636"/>
      <c r="T64" s="636"/>
      <c r="U64" s="636"/>
      <c r="V64" s="636"/>
      <c r="W64" s="636"/>
    </row>
    <row r="65" spans="1:23">
      <c r="A65" s="665">
        <f t="shared" si="4"/>
        <v>41288</v>
      </c>
      <c r="B65" s="666">
        <v>10</v>
      </c>
      <c r="C65" s="666">
        <v>0</v>
      </c>
      <c r="D65" s="666">
        <f t="shared" si="3"/>
        <v>10</v>
      </c>
      <c r="E65" s="641"/>
      <c r="Q65" s="636"/>
      <c r="R65" s="636"/>
      <c r="S65" s="636"/>
      <c r="T65" s="636"/>
      <c r="U65" s="636"/>
      <c r="V65" s="636"/>
      <c r="W65" s="636"/>
    </row>
    <row r="66" spans="1:23">
      <c r="A66" s="665">
        <f t="shared" si="4"/>
        <v>41295</v>
      </c>
      <c r="B66" s="666">
        <v>10.130000000000001</v>
      </c>
      <c r="C66" s="666">
        <v>0</v>
      </c>
      <c r="D66" s="666">
        <f t="shared" si="3"/>
        <v>10.130000000000001</v>
      </c>
      <c r="E66" s="641"/>
      <c r="Q66" s="636"/>
      <c r="R66" s="636"/>
      <c r="S66" s="636"/>
      <c r="T66" s="636"/>
      <c r="U66" s="636"/>
      <c r="V66" s="636"/>
      <c r="W66" s="636"/>
    </row>
    <row r="67" spans="1:23">
      <c r="A67" s="665">
        <f t="shared" si="4"/>
        <v>41302</v>
      </c>
      <c r="B67" s="666">
        <v>10.220000000000001</v>
      </c>
      <c r="C67" s="666">
        <v>0</v>
      </c>
      <c r="D67" s="666">
        <f t="shared" si="3"/>
        <v>10.220000000000001</v>
      </c>
      <c r="E67" s="641" t="s">
        <v>651</v>
      </c>
      <c r="F67" s="679">
        <f>SUM(D64:D67)</f>
        <v>43.08</v>
      </c>
      <c r="Q67" s="636"/>
      <c r="R67" s="636"/>
      <c r="S67" s="636"/>
      <c r="T67" s="636"/>
      <c r="U67" s="636"/>
      <c r="V67" s="636"/>
      <c r="W67" s="636"/>
    </row>
    <row r="68" spans="1:23">
      <c r="A68" s="665">
        <f t="shared" si="4"/>
        <v>41309</v>
      </c>
      <c r="B68" s="666">
        <v>10.15</v>
      </c>
      <c r="C68" s="666">
        <v>0</v>
      </c>
      <c r="D68" s="666">
        <f t="shared" si="3"/>
        <v>10.15</v>
      </c>
      <c r="E68" s="641"/>
      <c r="Q68" s="636"/>
      <c r="R68" s="636"/>
      <c r="S68" s="636"/>
      <c r="T68" s="636"/>
      <c r="U68" s="636"/>
      <c r="V68" s="636"/>
      <c r="W68" s="636"/>
    </row>
    <row r="69" spans="1:23">
      <c r="A69" s="665">
        <f t="shared" si="4"/>
        <v>41316</v>
      </c>
      <c r="B69" s="666">
        <v>10.39</v>
      </c>
      <c r="C69" s="666">
        <v>0</v>
      </c>
      <c r="D69" s="666">
        <f t="shared" si="3"/>
        <v>10.39</v>
      </c>
      <c r="E69" s="641"/>
      <c r="Q69" s="636"/>
      <c r="R69" s="636"/>
      <c r="S69" s="636"/>
      <c r="T69" s="636"/>
      <c r="U69" s="636"/>
      <c r="V69" s="636"/>
      <c r="W69" s="636"/>
    </row>
    <row r="70" spans="1:23">
      <c r="A70" s="665">
        <f t="shared" si="4"/>
        <v>41323</v>
      </c>
      <c r="B70" s="666">
        <v>10.130000000000001</v>
      </c>
      <c r="C70" s="666">
        <v>0</v>
      </c>
      <c r="D70" s="666">
        <f t="shared" si="3"/>
        <v>10.130000000000001</v>
      </c>
      <c r="E70" s="641"/>
      <c r="Q70" s="636"/>
      <c r="R70" s="636"/>
      <c r="S70" s="636"/>
      <c r="T70" s="636"/>
      <c r="U70" s="636"/>
      <c r="V70" s="636"/>
      <c r="W70" s="636"/>
    </row>
    <row r="71" spans="1:23">
      <c r="A71" s="665">
        <f t="shared" si="4"/>
        <v>41330</v>
      </c>
      <c r="B71" s="666">
        <v>9.61</v>
      </c>
      <c r="C71" s="666">
        <v>0</v>
      </c>
      <c r="D71" s="666">
        <f t="shared" si="3"/>
        <v>9.61</v>
      </c>
      <c r="E71" s="641" t="s">
        <v>652</v>
      </c>
      <c r="F71" s="679">
        <f>SUM(D68:D71)</f>
        <v>40.28</v>
      </c>
      <c r="Q71" s="636"/>
      <c r="R71" s="636"/>
      <c r="S71" s="636"/>
      <c r="T71" s="636"/>
      <c r="U71" s="636"/>
      <c r="V71" s="636"/>
      <c r="W71" s="636"/>
    </row>
    <row r="72" spans="1:23">
      <c r="A72" s="665">
        <f t="shared" si="4"/>
        <v>41337</v>
      </c>
      <c r="B72" s="666">
        <v>10.1</v>
      </c>
      <c r="C72" s="666">
        <v>0</v>
      </c>
      <c r="D72" s="666">
        <f t="shared" si="3"/>
        <v>10.1</v>
      </c>
      <c r="E72" s="641"/>
      <c r="Q72" s="636"/>
      <c r="R72" s="636"/>
      <c r="S72" s="636"/>
      <c r="T72" s="636"/>
      <c r="U72" s="636"/>
      <c r="V72" s="636"/>
      <c r="W72" s="636"/>
    </row>
    <row r="73" spans="1:23">
      <c r="A73" s="665">
        <f t="shared" si="4"/>
        <v>41344</v>
      </c>
      <c r="B73" s="666">
        <v>9.9499999999999993</v>
      </c>
      <c r="C73" s="666">
        <v>0</v>
      </c>
      <c r="D73" s="666">
        <f t="shared" si="3"/>
        <v>9.9499999999999993</v>
      </c>
      <c r="E73" s="641"/>
    </row>
    <row r="74" spans="1:23">
      <c r="A74" s="665">
        <f t="shared" si="4"/>
        <v>41351</v>
      </c>
      <c r="B74" s="666">
        <v>10.99</v>
      </c>
      <c r="C74" s="666">
        <v>0</v>
      </c>
      <c r="D74" s="666">
        <f t="shared" si="3"/>
        <v>10.99</v>
      </c>
      <c r="E74" s="641"/>
    </row>
    <row r="75" spans="1:23">
      <c r="A75" s="665">
        <f t="shared" si="4"/>
        <v>41358</v>
      </c>
      <c r="B75" s="666">
        <v>11.14</v>
      </c>
      <c r="C75" s="666">
        <v>0</v>
      </c>
      <c r="D75" s="666">
        <f t="shared" si="3"/>
        <v>11.14</v>
      </c>
      <c r="E75" s="641" t="s">
        <v>607</v>
      </c>
      <c r="F75" s="679">
        <f>SUM(D72:D75)</f>
        <v>42.18</v>
      </c>
    </row>
    <row r="76" spans="1:23">
      <c r="A76" s="665">
        <f t="shared" si="4"/>
        <v>41365</v>
      </c>
      <c r="B76" s="666">
        <v>9.16</v>
      </c>
      <c r="C76" s="666">
        <v>3.18</v>
      </c>
      <c r="D76" s="666">
        <f t="shared" si="3"/>
        <v>12.34</v>
      </c>
      <c r="E76" s="641"/>
    </row>
    <row r="77" spans="1:23">
      <c r="A77" s="665">
        <f t="shared" si="4"/>
        <v>41372</v>
      </c>
      <c r="B77" s="666">
        <v>6.79</v>
      </c>
      <c r="C77" s="666">
        <v>5.7</v>
      </c>
      <c r="D77" s="666">
        <f t="shared" si="3"/>
        <v>12.49</v>
      </c>
      <c r="E77" s="641"/>
    </row>
    <row r="78" spans="1:23">
      <c r="A78" s="665">
        <f t="shared" si="4"/>
        <v>41379</v>
      </c>
      <c r="B78" s="666">
        <v>10.67</v>
      </c>
      <c r="C78" s="666">
        <v>0</v>
      </c>
      <c r="D78" s="666">
        <f t="shared" si="3"/>
        <v>10.67</v>
      </c>
      <c r="E78" s="641"/>
    </row>
    <row r="79" spans="1:23">
      <c r="A79" s="665">
        <f t="shared" si="4"/>
        <v>41386</v>
      </c>
      <c r="B79" s="666">
        <v>8.9700000000000006</v>
      </c>
      <c r="C79" s="666">
        <v>2.66</v>
      </c>
      <c r="D79" s="666">
        <f t="shared" si="3"/>
        <v>11.63</v>
      </c>
      <c r="E79" s="641"/>
    </row>
    <row r="80" spans="1:23">
      <c r="A80" s="665">
        <f t="shared" si="4"/>
        <v>41393</v>
      </c>
      <c r="B80" s="666">
        <v>7.6</v>
      </c>
      <c r="C80" s="666">
        <v>5.35</v>
      </c>
      <c r="D80" s="666">
        <f t="shared" si="3"/>
        <v>12.95</v>
      </c>
      <c r="E80" s="641" t="s">
        <v>608</v>
      </c>
      <c r="F80" s="679">
        <f>SUM(D76:D80)</f>
        <v>60.08</v>
      </c>
    </row>
    <row r="81" spans="1:7">
      <c r="A81" s="665">
        <f t="shared" si="4"/>
        <v>41400</v>
      </c>
      <c r="B81" s="666">
        <v>6.98</v>
      </c>
      <c r="C81" s="666">
        <v>5.46</v>
      </c>
      <c r="D81" s="666">
        <f t="shared" si="3"/>
        <v>12.440000000000001</v>
      </c>
      <c r="E81" s="641"/>
    </row>
    <row r="82" spans="1:7">
      <c r="A82" s="665">
        <f t="shared" si="4"/>
        <v>41407</v>
      </c>
      <c r="B82" s="666">
        <v>6.81</v>
      </c>
      <c r="C82" s="666">
        <v>4.67</v>
      </c>
      <c r="D82" s="666">
        <f t="shared" si="3"/>
        <v>11.48</v>
      </c>
      <c r="E82" s="641"/>
    </row>
    <row r="83" spans="1:7">
      <c r="A83" s="665">
        <f t="shared" si="4"/>
        <v>41414</v>
      </c>
      <c r="B83" s="666">
        <v>7.01</v>
      </c>
      <c r="C83" s="666">
        <v>5.17</v>
      </c>
      <c r="D83" s="666">
        <f t="shared" si="3"/>
        <v>12.18</v>
      </c>
      <c r="E83" s="641"/>
    </row>
    <row r="84" spans="1:7">
      <c r="A84" s="665">
        <f t="shared" si="4"/>
        <v>41421</v>
      </c>
      <c r="B84" s="666">
        <v>10.74</v>
      </c>
      <c r="C84" s="666">
        <v>0</v>
      </c>
      <c r="D84" s="666">
        <f t="shared" si="3"/>
        <v>10.74</v>
      </c>
      <c r="E84" s="641" t="s">
        <v>609</v>
      </c>
      <c r="F84" s="679">
        <f>SUM(D81:D84)</f>
        <v>46.84</v>
      </c>
    </row>
    <row r="85" spans="1:7">
      <c r="A85" s="665">
        <f t="shared" si="4"/>
        <v>41428</v>
      </c>
      <c r="B85" s="666">
        <v>7.49</v>
      </c>
      <c r="C85" s="666">
        <v>5.95</v>
      </c>
      <c r="D85" s="666">
        <f t="shared" si="3"/>
        <v>13.440000000000001</v>
      </c>
      <c r="E85" s="641"/>
    </row>
    <row r="86" spans="1:7">
      <c r="A86" s="665">
        <f t="shared" si="4"/>
        <v>41435</v>
      </c>
      <c r="B86" s="666">
        <v>7.63</v>
      </c>
      <c r="C86" s="666">
        <v>5.31</v>
      </c>
      <c r="D86" s="666">
        <f t="shared" si="3"/>
        <v>12.94</v>
      </c>
      <c r="E86" s="641"/>
    </row>
    <row r="87" spans="1:7">
      <c r="A87" s="665">
        <f t="shared" si="4"/>
        <v>41442</v>
      </c>
      <c r="B87" s="666">
        <v>6.89</v>
      </c>
      <c r="C87" s="666">
        <v>5.24</v>
      </c>
      <c r="D87" s="666">
        <f t="shared" si="3"/>
        <v>12.129999999999999</v>
      </c>
      <c r="E87" s="641"/>
    </row>
    <row r="88" spans="1:7">
      <c r="A88" s="665">
        <f t="shared" si="4"/>
        <v>41449</v>
      </c>
      <c r="B88" s="666">
        <v>6.57</v>
      </c>
      <c r="C88" s="666">
        <v>5.01</v>
      </c>
      <c r="D88" s="666">
        <f t="shared" si="3"/>
        <v>11.58</v>
      </c>
      <c r="E88" s="641" t="s">
        <v>610</v>
      </c>
      <c r="F88" s="679">
        <f>SUM(D85:D88)</f>
        <v>50.09</v>
      </c>
    </row>
    <row r="89" spans="1:7">
      <c r="A89" s="705"/>
      <c r="B89" s="706">
        <f>SUM(B37:B88)</f>
        <v>475.84000000000015</v>
      </c>
      <c r="C89" s="706">
        <f>SUM(C37:C88)</f>
        <v>118.82000000000001</v>
      </c>
      <c r="D89" s="706">
        <f>SUM(D37:D88)</f>
        <v>594.66000000000008</v>
      </c>
      <c r="F89" s="707">
        <f>SUM(F88,F84,F80,F75,F71,F67,F63,F58,F54,F49,F45,F41)</f>
        <v>594.66</v>
      </c>
      <c r="G89" s="679">
        <f>+D89-F89</f>
        <v>0</v>
      </c>
    </row>
    <row r="90" spans="1:7">
      <c r="C90" s="705"/>
    </row>
    <row r="91" spans="1:7">
      <c r="C91" s="705"/>
      <c r="D91" s="708">
        <f>D89/O18</f>
        <v>2.214977113095094E-2</v>
      </c>
      <c r="E91" s="479" t="s">
        <v>653</v>
      </c>
    </row>
    <row r="92" spans="1:7">
      <c r="C92" s="705"/>
    </row>
    <row r="93" spans="1:7">
      <c r="C93" s="705"/>
    </row>
    <row r="94" spans="1:7">
      <c r="C94" s="705"/>
    </row>
    <row r="95" spans="1:7">
      <c r="C95" s="705"/>
    </row>
    <row r="96" spans="1:7">
      <c r="C96" s="705"/>
    </row>
    <row r="97" spans="3:3">
      <c r="C97" s="705"/>
    </row>
    <row r="98" spans="3:3">
      <c r="C98" s="705"/>
    </row>
    <row r="99" spans="3:3">
      <c r="C99" s="705"/>
    </row>
    <row r="100" spans="3:3">
      <c r="C100" s="705"/>
    </row>
    <row r="101" spans="3:3">
      <c r="C101" s="705"/>
    </row>
    <row r="102" spans="3:3">
      <c r="C102" s="705"/>
    </row>
    <row r="103" spans="3:3">
      <c r="C103" s="705"/>
    </row>
    <row r="104" spans="3:3">
      <c r="C104" s="705"/>
    </row>
    <row r="105" spans="3:3">
      <c r="C105" s="705"/>
    </row>
    <row r="106" spans="3:3">
      <c r="C106" s="705"/>
    </row>
    <row r="107" spans="3:3">
      <c r="C107" s="705"/>
    </row>
    <row r="108" spans="3:3">
      <c r="C108" s="705"/>
    </row>
    <row r="109" spans="3:3">
      <c r="C109" s="705"/>
    </row>
    <row r="110" spans="3:3">
      <c r="C110" s="705"/>
    </row>
    <row r="111" spans="3:3">
      <c r="C111" s="705"/>
    </row>
    <row r="112" spans="3:3">
      <c r="C112" s="705"/>
    </row>
    <row r="113" spans="3:3">
      <c r="C113" s="705"/>
    </row>
    <row r="114" spans="3:3">
      <c r="C114" s="705"/>
    </row>
    <row r="115" spans="3:3">
      <c r="C115" s="705"/>
    </row>
    <row r="116" spans="3:3">
      <c r="C116" s="705"/>
    </row>
    <row r="117" spans="3:3">
      <c r="C117" s="705"/>
    </row>
    <row r="118" spans="3:3">
      <c r="C118" s="705"/>
    </row>
    <row r="119" spans="3:3">
      <c r="C119" s="705"/>
    </row>
    <row r="120" spans="3:3">
      <c r="C120" s="705"/>
    </row>
    <row r="121" spans="3:3">
      <c r="C121" s="705"/>
    </row>
    <row r="122" spans="3:3">
      <c r="C122" s="705"/>
    </row>
    <row r="123" spans="3:3">
      <c r="C123" s="705"/>
    </row>
    <row r="124" spans="3:3">
      <c r="C124" s="705"/>
    </row>
    <row r="125" spans="3:3">
      <c r="C125" s="705"/>
    </row>
    <row r="126" spans="3:3">
      <c r="C126" s="705"/>
    </row>
    <row r="127" spans="3:3">
      <c r="C127" s="705"/>
    </row>
    <row r="128" spans="3:3">
      <c r="C128" s="705"/>
    </row>
    <row r="129" spans="3:3">
      <c r="C129" s="705"/>
    </row>
    <row r="130" spans="3:3">
      <c r="C130" s="705"/>
    </row>
    <row r="131" spans="3:3">
      <c r="C131" s="705"/>
    </row>
    <row r="132" spans="3:3">
      <c r="C132" s="705"/>
    </row>
    <row r="133" spans="3:3">
      <c r="C133" s="705"/>
    </row>
  </sheetData>
  <mergeCells count="6">
    <mergeCell ref="A35:F35"/>
    <mergeCell ref="A1:G1"/>
    <mergeCell ref="A3:G3"/>
    <mergeCell ref="A5:G5"/>
    <mergeCell ref="T10:U10"/>
    <mergeCell ref="A30:J31"/>
  </mergeCells>
  <pageMargins left="0.7" right="0.7" top="0.75" bottom="0.75" header="0.3" footer="0.3"/>
  <pageSetup scale="38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O1476"/>
  <sheetViews>
    <sheetView workbookViewId="0">
      <selection activeCell="C33" sqref="C33"/>
    </sheetView>
  </sheetViews>
  <sheetFormatPr defaultColWidth="9.77734375" defaultRowHeight="15.75" outlineLevelRow="1"/>
  <cols>
    <col min="1" max="1" width="1.77734375" style="2" customWidth="1"/>
    <col min="2" max="2" width="3.77734375" style="2" customWidth="1"/>
    <col min="3" max="3" width="12" style="2" customWidth="1"/>
    <col min="4" max="4" width="8.109375" style="2" customWidth="1"/>
    <col min="5" max="5" width="9" style="2" customWidth="1"/>
    <col min="6" max="6" width="10.77734375" style="2" customWidth="1"/>
    <col min="7" max="7" width="4.21875" style="2" customWidth="1"/>
    <col min="8" max="8" width="9.88671875" style="2" bestFit="1" customWidth="1"/>
    <col min="9" max="9" width="11" style="2" customWidth="1"/>
    <col min="10" max="10" width="12.109375" style="2" customWidth="1"/>
    <col min="11" max="20" width="9.77734375" style="2"/>
    <col min="21" max="22" width="13.77734375" style="2" customWidth="1"/>
    <col min="23" max="23" width="9.77734375" style="2" customWidth="1"/>
    <col min="24" max="27" width="9.77734375" style="2"/>
    <col min="28" max="28" width="11.77734375" style="2" customWidth="1"/>
    <col min="29" max="29" width="9.77734375" style="2"/>
    <col min="30" max="30" width="13.77734375" style="2" customWidth="1"/>
    <col min="31" max="31" width="9.77734375" style="2" customWidth="1"/>
    <col min="32" max="32" width="12.77734375" style="2" customWidth="1"/>
    <col min="33" max="35" width="9.77734375" style="2"/>
    <col min="36" max="47" width="11.77734375" style="2" customWidth="1"/>
    <col min="48" max="16384" width="9.77734375" style="2"/>
  </cols>
  <sheetData>
    <row r="1" spans="1:249" s="1" customFormat="1" ht="16.5" customHeight="1">
      <c r="A1" s="992" t="str">
        <f>+'Schedule 1 Results of Operation'!B1</f>
        <v>WASTE CONTROL, INC.</v>
      </c>
      <c r="B1" s="993"/>
      <c r="C1" s="993"/>
      <c r="D1" s="993"/>
      <c r="E1" s="993"/>
      <c r="F1" s="993"/>
      <c r="G1" s="993"/>
      <c r="H1" s="993"/>
      <c r="I1" s="993"/>
      <c r="J1" s="993"/>
    </row>
    <row r="2" spans="1:249" ht="13.5" customHeight="1">
      <c r="B2" s="3"/>
    </row>
    <row r="3" spans="1:249" ht="16.5" customHeight="1">
      <c r="A3" s="993" t="s">
        <v>0</v>
      </c>
      <c r="B3" s="993"/>
      <c r="C3" s="993"/>
      <c r="D3" s="993"/>
      <c r="E3" s="993"/>
      <c r="F3" s="993"/>
      <c r="G3" s="993"/>
      <c r="H3" s="993"/>
      <c r="I3" s="993"/>
      <c r="J3" s="993"/>
      <c r="K3" s="4"/>
      <c r="L3" s="4"/>
      <c r="M3" s="5" t="s">
        <v>1</v>
      </c>
      <c r="N3" s="6"/>
      <c r="O3" s="7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8" t="s">
        <v>2</v>
      </c>
      <c r="AF3" s="8" t="s">
        <v>3</v>
      </c>
      <c r="AG3" s="4"/>
      <c r="AH3" s="4"/>
      <c r="AI3" s="9" t="s">
        <v>4</v>
      </c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</row>
    <row r="4" spans="1:249" ht="18.75">
      <c r="A4" s="813"/>
      <c r="B4" s="813"/>
      <c r="C4" s="813"/>
      <c r="D4" s="813"/>
      <c r="E4" s="813"/>
      <c r="F4" s="813"/>
      <c r="G4" s="813"/>
      <c r="H4" s="813"/>
      <c r="I4" s="813"/>
      <c r="J4" s="813"/>
      <c r="K4" s="4"/>
      <c r="L4" s="4"/>
      <c r="M4" s="11"/>
      <c r="N4" s="12"/>
      <c r="O4" s="13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8"/>
      <c r="AF4" s="8"/>
      <c r="AG4" s="4"/>
      <c r="AH4" s="4"/>
      <c r="AI4" s="9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</row>
    <row r="5" spans="1:249">
      <c r="A5" s="966" t="str">
        <f>+'[8]WP-1 Exp Summary'!A5:D5</f>
        <v>In Support of Tariff No. 16, G-101 Effective June 1, 2014</v>
      </c>
      <c r="B5" s="966"/>
      <c r="C5" s="966"/>
      <c r="D5" s="966"/>
      <c r="E5" s="966"/>
      <c r="F5" s="966"/>
      <c r="G5" s="966"/>
      <c r="H5" s="966"/>
      <c r="I5" s="966"/>
      <c r="J5" s="966"/>
      <c r="K5" s="4"/>
      <c r="L5" s="4"/>
      <c r="M5" s="14"/>
      <c r="N5" s="12" t="s">
        <v>5</v>
      </c>
      <c r="O5" s="13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8"/>
      <c r="AF5" s="8"/>
      <c r="AG5" s="4"/>
      <c r="AH5" s="4"/>
      <c r="AI5" s="9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</row>
    <row r="6" spans="1:249">
      <c r="A6" s="15"/>
      <c r="B6" s="16"/>
      <c r="C6" s="15"/>
      <c r="D6" s="15"/>
      <c r="E6" s="15"/>
      <c r="F6" s="15"/>
      <c r="G6" s="15"/>
      <c r="H6" s="15"/>
      <c r="I6" s="15"/>
      <c r="J6" s="4"/>
      <c r="K6" s="4"/>
      <c r="L6" s="4"/>
      <c r="M6" s="17"/>
      <c r="N6" s="18" t="s">
        <v>6</v>
      </c>
      <c r="O6" s="19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8"/>
      <c r="AF6" s="8"/>
      <c r="AG6" s="4"/>
      <c r="AH6" s="4"/>
      <c r="AI6" s="9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</row>
    <row r="7" spans="1:249">
      <c r="A7" s="15"/>
      <c r="B7" s="15"/>
      <c r="C7" s="15"/>
      <c r="D7" s="15"/>
      <c r="E7" s="20" t="s">
        <v>7</v>
      </c>
      <c r="F7" s="15"/>
      <c r="G7" s="21"/>
      <c r="H7" s="21"/>
      <c r="I7" s="21"/>
      <c r="M7" s="4"/>
      <c r="N7" s="9" t="s">
        <v>8</v>
      </c>
      <c r="O7" s="4"/>
      <c r="P7" s="4"/>
      <c r="Q7" s="4"/>
      <c r="R7" s="4"/>
      <c r="S7" s="4"/>
      <c r="T7" s="4"/>
      <c r="U7" s="8" t="s">
        <v>9</v>
      </c>
      <c r="V7" s="8" t="s">
        <v>10</v>
      </c>
      <c r="W7" s="8" t="s">
        <v>11</v>
      </c>
      <c r="X7" s="8" t="s">
        <v>12</v>
      </c>
      <c r="Y7" s="8" t="s">
        <v>13</v>
      </c>
      <c r="Z7" s="4"/>
      <c r="AA7" s="8" t="s">
        <v>14</v>
      </c>
      <c r="AB7" s="9" t="s">
        <v>15</v>
      </c>
      <c r="AC7" s="8" t="s">
        <v>16</v>
      </c>
      <c r="AD7" s="8" t="s">
        <v>17</v>
      </c>
      <c r="AE7" s="8" t="s">
        <v>18</v>
      </c>
      <c r="AF7" s="4"/>
      <c r="AG7" s="4"/>
      <c r="AH7" s="4"/>
      <c r="AI7" s="9" t="s">
        <v>19</v>
      </c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</row>
    <row r="8" spans="1:249" ht="15" customHeight="1">
      <c r="A8" s="15"/>
      <c r="B8" s="22" t="s">
        <v>20</v>
      </c>
      <c r="C8" s="22" t="s">
        <v>21</v>
      </c>
      <c r="D8" s="15"/>
      <c r="E8" s="23">
        <f>E10+E9</f>
        <v>3882074.5843414199</v>
      </c>
      <c r="F8" s="22" t="s">
        <v>22</v>
      </c>
      <c r="G8" s="21"/>
      <c r="H8" s="21"/>
      <c r="I8" s="21"/>
      <c r="M8" s="4"/>
      <c r="N8" s="9" t="s">
        <v>23</v>
      </c>
      <c r="O8" s="4"/>
      <c r="P8" s="4"/>
      <c r="Q8" s="9" t="s">
        <v>24</v>
      </c>
      <c r="R8" s="4"/>
      <c r="S8" s="4"/>
      <c r="T8" s="4"/>
      <c r="U8" s="24">
        <f>$E$11*1.25</f>
        <v>4446491.5595860602</v>
      </c>
      <c r="V8" s="25">
        <f>100*(+U8/$E$12)</f>
        <v>313.69017512656507</v>
      </c>
      <c r="W8" s="26">
        <f>EXP(5.7226-(0.68367*LN(+V8)))</f>
        <v>6.0049697009024543</v>
      </c>
      <c r="X8" s="26">
        <f>(+W8*V8)/100</f>
        <v>18.836999971058077</v>
      </c>
      <c r="Y8" s="25">
        <f>100*((((X8/100)-((X8/100)-0.03574)*$E$24)-0.03574-0.00619)/0.344)</f>
        <v>27.484244130518405</v>
      </c>
      <c r="Z8" s="27">
        <v>0</v>
      </c>
      <c r="AA8" s="25">
        <f>Y8+Z8</f>
        <v>27.484244130518405</v>
      </c>
      <c r="AB8" s="25">
        <f>100*($E$20*$E$22+($E$21*(AA8/100))/(1-$E$24))</f>
        <v>24.66233257700646</v>
      </c>
      <c r="AC8" s="26">
        <f>AB8/V8</f>
        <v>7.8620035093722368E-2</v>
      </c>
      <c r="AD8" s="24">
        <f>$E$11/(1-AC8)</f>
        <v>3860723.4617161271</v>
      </c>
      <c r="AE8" s="27" t="str">
        <f>IF(AD8=$U$8,"yes","not yet")</f>
        <v>not yet</v>
      </c>
      <c r="AF8" s="25">
        <f>100*(1-AC8)</f>
        <v>92.137996490627756</v>
      </c>
      <c r="AG8" s="4"/>
      <c r="AH8" s="4"/>
      <c r="AI8" s="27">
        <v>0</v>
      </c>
      <c r="AJ8" s="27">
        <v>1</v>
      </c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</row>
    <row r="9" spans="1:249" ht="15" customHeight="1">
      <c r="A9" s="15"/>
      <c r="B9" s="22" t="s">
        <v>20</v>
      </c>
      <c r="C9" s="22" t="s">
        <v>25</v>
      </c>
      <c r="D9" s="15"/>
      <c r="E9" s="28">
        <f>(+E11-((H18/100)*E10))/H28</f>
        <v>132251.90471675457</v>
      </c>
      <c r="F9" s="29" t="s">
        <v>22</v>
      </c>
      <c r="G9" s="21"/>
      <c r="H9" s="30"/>
      <c r="I9" s="31"/>
      <c r="M9" s="4"/>
      <c r="N9" s="9" t="s">
        <v>26</v>
      </c>
      <c r="O9" s="4"/>
      <c r="P9" s="4"/>
      <c r="Q9" s="9" t="s">
        <v>27</v>
      </c>
      <c r="R9" s="4"/>
      <c r="S9" s="4"/>
      <c r="T9" s="4"/>
      <c r="U9" s="24">
        <f>$E$11*1.25</f>
        <v>4446491.5595860602</v>
      </c>
      <c r="V9" s="25">
        <f>100*(+U9/$E$12)</f>
        <v>313.69017512656507</v>
      </c>
      <c r="W9" s="26">
        <f>EXP(5.70827-(0.68367*LN(+V9)))</f>
        <v>5.9195321074833505</v>
      </c>
      <c r="X9" s="26">
        <f>(+W9*V9)/100</f>
        <v>18.568990634637768</v>
      </c>
      <c r="Y9" s="25">
        <f>100*((((X9/100)-((X9/100)-0.03574)*$E$24)-0.03574-0.00619)/0.344)</f>
        <v>26.970040171107339</v>
      </c>
      <c r="Z9" s="27">
        <v>0</v>
      </c>
      <c r="AA9" s="25">
        <f>Y9+Z9</f>
        <v>26.970040171107339</v>
      </c>
      <c r="AB9" s="25">
        <f>100*($E$20*$E$22+($E$21*(AA9/100))/(1-$E$24))</f>
        <v>24.216332496083261</v>
      </c>
      <c r="AC9" s="26">
        <f>AB9/V9</f>
        <v>7.7198249789980383E-2</v>
      </c>
      <c r="AD9" s="24">
        <f>$E$11/(1-AC9)</f>
        <v>3854775.1419622572</v>
      </c>
      <c r="AE9" s="27" t="str">
        <f>IF(AD9=$U$9,"yes","not yet")</f>
        <v>not yet</v>
      </c>
      <c r="AF9" s="25">
        <f>100*(1-AC9)</f>
        <v>92.280175021001966</v>
      </c>
      <c r="AG9" s="4"/>
      <c r="AH9" s="4"/>
      <c r="AI9" s="27">
        <v>50</v>
      </c>
      <c r="AJ9" s="27">
        <v>2</v>
      </c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</row>
    <row r="10" spans="1:249" ht="15" customHeight="1">
      <c r="A10" s="15"/>
      <c r="B10" s="32" t="s">
        <v>28</v>
      </c>
      <c r="C10" s="22" t="s">
        <v>29</v>
      </c>
      <c r="D10" s="32" t="s">
        <v>30</v>
      </c>
      <c r="E10" s="33">
        <f>'Schedule 1 Results of Operation'!N20</f>
        <v>3749822.6796246651</v>
      </c>
      <c r="F10" s="22" t="s">
        <v>31</v>
      </c>
      <c r="G10" s="34"/>
      <c r="H10" s="35">
        <f>+E8-E10</f>
        <v>132251.9047167548</v>
      </c>
      <c r="I10" s="34"/>
      <c r="L10" s="36"/>
      <c r="M10" s="4"/>
      <c r="N10" s="9" t="s">
        <v>32</v>
      </c>
      <c r="O10" s="4"/>
      <c r="P10" s="4"/>
      <c r="Q10" s="9" t="s">
        <v>33</v>
      </c>
      <c r="R10" s="4"/>
      <c r="S10" s="4"/>
      <c r="T10" s="4"/>
      <c r="U10" s="24">
        <f>$E$11*1.25</f>
        <v>4446491.5595860602</v>
      </c>
      <c r="V10" s="25">
        <f>100*(+U10/$E$12)</f>
        <v>313.69017512656507</v>
      </c>
      <c r="W10" s="26">
        <f>EXP(5.6985-(0.68367*LN(V10)))</f>
        <v>5.8619798792214954</v>
      </c>
      <c r="X10" s="26">
        <f>(+W10*V10)/100</f>
        <v>18.388454949013916</v>
      </c>
      <c r="Y10" s="25">
        <f>100*((((X10/100)-((X10/100)-0.03574)*$E$24)-0.03574-0.00619)/0.344)</f>
        <v>26.623663564968563</v>
      </c>
      <c r="Z10" s="27">
        <v>0</v>
      </c>
      <c r="AA10" s="25">
        <f>Y10+Z10</f>
        <v>26.623663564968563</v>
      </c>
      <c r="AB10" s="25">
        <f>100*($E$20*$E$22+($E$21*(AA10/100))/(1-$E$24))</f>
        <v>23.915899192254304</v>
      </c>
      <c r="AC10" s="26">
        <f>AB10/V10</f>
        <v>7.6240510824430244E-2</v>
      </c>
      <c r="AD10" s="24">
        <f>$E$11/(1-AC10)</f>
        <v>3850778.5731581999</v>
      </c>
      <c r="AE10" s="27" t="str">
        <f>IF(AD10=$U$10,"yes","not yet")</f>
        <v>not yet</v>
      </c>
      <c r="AF10" s="25">
        <f>100*(1-AC10)</f>
        <v>92.375948917556968</v>
      </c>
      <c r="AG10" s="4"/>
      <c r="AH10" s="4"/>
      <c r="AI10" s="27">
        <v>125</v>
      </c>
      <c r="AJ10" s="27">
        <v>3</v>
      </c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</row>
    <row r="11" spans="1:249" ht="15" customHeight="1">
      <c r="A11" s="15"/>
      <c r="B11" s="32" t="s">
        <v>28</v>
      </c>
      <c r="C11" s="22" t="s">
        <v>34</v>
      </c>
      <c r="D11" s="32" t="s">
        <v>30</v>
      </c>
      <c r="E11" s="33">
        <f>'Schedule 1 Results of Operation'!N98</f>
        <v>3557193.2476688479</v>
      </c>
      <c r="F11" s="22" t="s">
        <v>31</v>
      </c>
      <c r="G11" s="34"/>
      <c r="H11" s="37">
        <f>+H10/E10</f>
        <v>3.5268842293628783E-2</v>
      </c>
      <c r="I11" s="34"/>
      <c r="L11" s="36"/>
      <c r="M11" s="4"/>
      <c r="N11" s="9" t="s">
        <v>35</v>
      </c>
      <c r="O11" s="4"/>
      <c r="P11" s="4"/>
      <c r="Q11" s="9" t="s">
        <v>36</v>
      </c>
      <c r="R11" s="4"/>
      <c r="S11" s="4"/>
      <c r="T11" s="4"/>
      <c r="U11" s="24">
        <f>$E$11*1.25</f>
        <v>4446491.5595860602</v>
      </c>
      <c r="V11" s="25">
        <f>100*(+U11/$E$12)</f>
        <v>313.69017512656507</v>
      </c>
      <c r="W11" s="26">
        <f>EXP(5.6922-(0.68367*LN(V11)))</f>
        <v>5.8251654930623005</v>
      </c>
      <c r="X11" s="26">
        <f>(+W11*V11)/100</f>
        <v>18.272971836599368</v>
      </c>
      <c r="Y11" s="25">
        <f>100*((((X11/100)-((X11/100)-0.03574)*$E$24)-0.03574-0.00619)/0.344)</f>
        <v>26.402097128359259</v>
      </c>
      <c r="Z11" s="27">
        <v>0</v>
      </c>
      <c r="AA11" s="25">
        <f>Y11+Z11</f>
        <v>26.402097128359259</v>
      </c>
      <c r="AB11" s="25">
        <f>100*($E$20*$E$22+($E$21*(AA11/100))/(1-$E$24))</f>
        <v>23.723721269760677</v>
      </c>
      <c r="AC11" s="26">
        <f>AB11/V11</f>
        <v>7.5627874734007311E-2</v>
      </c>
      <c r="AD11" s="24">
        <f>$E$11/(1-AC11)</f>
        <v>3848226.4343975624</v>
      </c>
      <c r="AE11" s="27" t="str">
        <f>IF(AD11=$U$11,"yes","not yet")</f>
        <v>not yet</v>
      </c>
      <c r="AF11" s="25">
        <f>100*(1-AC11)</f>
        <v>92.437212526599268</v>
      </c>
      <c r="AG11" s="4"/>
      <c r="AH11" s="4"/>
      <c r="AI11" s="27">
        <v>401</v>
      </c>
      <c r="AJ11" s="27">
        <v>4</v>
      </c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</row>
    <row r="12" spans="1:249" ht="15" customHeight="1">
      <c r="A12" s="15"/>
      <c r="B12" s="32" t="s">
        <v>28</v>
      </c>
      <c r="C12" s="22" t="s">
        <v>37</v>
      </c>
      <c r="D12" s="32" t="s">
        <v>30</v>
      </c>
      <c r="E12" s="33">
        <f>'[8]Schedule 4 R-1A, R-10'!T26</f>
        <v>1417478.7456419468</v>
      </c>
      <c r="F12" s="22" t="s">
        <v>31</v>
      </c>
      <c r="G12" s="34"/>
      <c r="H12" s="34"/>
      <c r="I12" s="34"/>
      <c r="L12" s="36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25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</row>
    <row r="13" spans="1:249" ht="15" customHeight="1">
      <c r="A13" s="15"/>
      <c r="B13" s="15"/>
      <c r="C13" s="22" t="s">
        <v>38</v>
      </c>
      <c r="D13" s="15"/>
      <c r="E13" s="38">
        <f>V8</f>
        <v>313.69017512656507</v>
      </c>
      <c r="F13" s="22" t="s">
        <v>39</v>
      </c>
      <c r="G13" s="15"/>
      <c r="H13" s="38"/>
      <c r="I13" s="15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8" t="s">
        <v>40</v>
      </c>
      <c r="W13" s="8" t="s">
        <v>11</v>
      </c>
      <c r="X13" s="8" t="s">
        <v>12</v>
      </c>
      <c r="Y13" s="8" t="s">
        <v>13</v>
      </c>
      <c r="Z13" s="4"/>
      <c r="AA13" s="25"/>
      <c r="AB13" s="4"/>
      <c r="AC13" s="4"/>
      <c r="AD13" s="4"/>
      <c r="AE13" s="4"/>
      <c r="AF13" s="4"/>
      <c r="AG13" s="4"/>
      <c r="AH13" s="4"/>
      <c r="AI13" s="9" t="s">
        <v>41</v>
      </c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</row>
    <row r="14" spans="1:249" ht="15" customHeight="1">
      <c r="A14" s="15"/>
      <c r="B14" s="15"/>
      <c r="C14" s="22" t="s">
        <v>42</v>
      </c>
      <c r="D14" s="15"/>
      <c r="E14" s="38">
        <f>HLOOKUP($AJ$37,$AJ$31:$AR$35,$E$15+1)</f>
        <v>273.57165050427727</v>
      </c>
      <c r="F14" s="22" t="s">
        <v>39</v>
      </c>
      <c r="G14" s="15"/>
      <c r="H14" s="15"/>
      <c r="I14" s="15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25">
        <f>100*(+AD8/$E$12)</f>
        <v>272.36552742578766</v>
      </c>
      <c r="W14" s="39">
        <f>EXP(5.7226-(0.68367*LN(+V14)))</f>
        <v>6.6138316960676713</v>
      </c>
      <c r="X14" s="26">
        <f>(+W14*V14)/100</f>
        <v>18.013797582048632</v>
      </c>
      <c r="Y14" s="25">
        <f>100*((((X14/100)-((X14/100)-0.03574)*$E$24)-0.03574-0.00619)/0.344)</f>
        <v>25.904844198116567</v>
      </c>
      <c r="Z14" s="27">
        <v>0</v>
      </c>
      <c r="AA14" s="25">
        <f>Y14+Z14</f>
        <v>25.904844198116567</v>
      </c>
      <c r="AB14" s="25">
        <f>100*($E$20*$E$22+($E$21*(AA14/100))/(1-$E$24))</f>
        <v>23.292423837937044</v>
      </c>
      <c r="AC14" s="26">
        <f>AB14/V14</f>
        <v>8.5518986408012324E-2</v>
      </c>
      <c r="AD14" s="24">
        <f>$E$11/(1-AC14)</f>
        <v>3889849.2093308289</v>
      </c>
      <c r="AE14" s="27" t="str">
        <f>IF(OR(OR(AD14=AD8,AD14=(AD8+1)),AD14=(AD8207-1)),"yes","not yet")</f>
        <v>not yet</v>
      </c>
      <c r="AF14" s="25">
        <f>100*(1-AC14)</f>
        <v>91.448101359198759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</row>
    <row r="15" spans="1:249" ht="15" customHeight="1">
      <c r="A15" s="15"/>
      <c r="B15" s="15"/>
      <c r="C15" s="22" t="s">
        <v>43</v>
      </c>
      <c r="D15" s="15"/>
      <c r="E15" s="40">
        <f>VLOOKUP(E13,AI8:AJ11,2)</f>
        <v>3</v>
      </c>
      <c r="F15" s="22" t="s">
        <v>39</v>
      </c>
      <c r="G15" s="15"/>
      <c r="H15" s="15"/>
      <c r="I15" s="15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25">
        <f>100*(+AD9/$E$12)</f>
        <v>271.94588658304781</v>
      </c>
      <c r="W15" s="39">
        <f>EXP(5.70827-(0.68367*LN(+V15)))</f>
        <v>6.5266077971055827</v>
      </c>
      <c r="X15" s="26">
        <f>(+W15*V15)/100</f>
        <v>17.7488414376371</v>
      </c>
      <c r="Y15" s="25">
        <f>100*((((X15/100)-((X15/100)-0.03574)*$E$24)-0.03574-0.00619)/0.344)</f>
        <v>25.396498107094441</v>
      </c>
      <c r="Z15" s="27">
        <v>0</v>
      </c>
      <c r="AA15" s="25">
        <f>Y15+Z15</f>
        <v>25.396498107094441</v>
      </c>
      <c r="AB15" s="25">
        <f>100*($E$20*$E$22+($E$21*(AA15/100))/(1-$E$24))</f>
        <v>22.851504639274054</v>
      </c>
      <c r="AC15" s="26">
        <f>AB15/V15</f>
        <v>8.4029602088853739E-2</v>
      </c>
      <c r="AD15" s="24">
        <f>$E$11/(1-AC15)</f>
        <v>3883524.2446491309</v>
      </c>
      <c r="AE15" s="27" t="str">
        <f>IF(OR(OR(AD15=AD9,AD15=(AD9+1)),AD15=(AD9-1)),"yes","not yet")</f>
        <v>not yet</v>
      </c>
      <c r="AF15" s="25">
        <f>100*(1-AC15)</f>
        <v>91.597039791114625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</row>
    <row r="16" spans="1:249" ht="15" customHeight="1">
      <c r="A16" s="15"/>
      <c r="B16" s="15"/>
      <c r="C16" s="15"/>
      <c r="D16" s="15"/>
      <c r="E16" s="15"/>
      <c r="F16" s="15"/>
      <c r="G16" s="15"/>
      <c r="H16" s="15"/>
      <c r="I16" s="15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25">
        <f>100*(+AD10/$E$12)</f>
        <v>271.66393746625539</v>
      </c>
      <c r="W16" s="39">
        <f>EXP(5.6985-(0.68367*LN(V16)))</f>
        <v>6.4677385207078135</v>
      </c>
      <c r="X16" s="26">
        <f>(+W16*V16)/100</f>
        <v>17.570513130376586</v>
      </c>
      <c r="Y16" s="25">
        <f>100*((((X16/100)-((X16/100)-0.03574)*$E$24)-0.03574-0.00619)/0.344)</f>
        <v>25.05435658735043</v>
      </c>
      <c r="Z16" s="27">
        <v>0</v>
      </c>
      <c r="AA16" s="25">
        <f>Y16+Z16</f>
        <v>25.05435658735043</v>
      </c>
      <c r="AB16" s="25">
        <f>100*($E$20*$E$22+($E$21*(AA16/100))/(1-$E$24))</f>
        <v>22.554744681089787</v>
      </c>
      <c r="AC16" s="26">
        <f>AB16/V16</f>
        <v>8.3024434127887931E-2</v>
      </c>
      <c r="AD16" s="24">
        <f>$E$11/(1-AC16)</f>
        <v>3879267.2128462791</v>
      </c>
      <c r="AE16" s="27" t="str">
        <f>IF(OR(OR(AD16=AD10,AD16=(AD10+1)),AD16=(AD10-1)),"yes","not yet")</f>
        <v>not yet</v>
      </c>
      <c r="AF16" s="25">
        <f>100*(1-AC16)</f>
        <v>91.69755658721121</v>
      </c>
      <c r="AG16" s="4"/>
      <c r="AH16" s="4"/>
      <c r="AI16" s="4"/>
      <c r="AJ16" s="27">
        <v>1</v>
      </c>
      <c r="AK16" s="27">
        <v>2</v>
      </c>
      <c r="AL16" s="27">
        <v>3</v>
      </c>
      <c r="AM16" s="27">
        <v>4</v>
      </c>
      <c r="AN16" s="27">
        <v>5</v>
      </c>
      <c r="AO16" s="27">
        <v>6</v>
      </c>
      <c r="AP16" s="27">
        <v>7</v>
      </c>
      <c r="AQ16" s="27">
        <v>8</v>
      </c>
      <c r="AR16" s="27">
        <v>9</v>
      </c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</row>
    <row r="17" spans="1:249" ht="15" customHeight="1">
      <c r="A17" s="15"/>
      <c r="B17" s="15"/>
      <c r="C17" s="22" t="s">
        <v>44</v>
      </c>
      <c r="D17" s="15"/>
      <c r="E17" s="15"/>
      <c r="F17" s="15"/>
      <c r="G17" s="15"/>
      <c r="H17" s="15"/>
      <c r="I17" s="15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25">
        <f>100*(+AD11/$E$12)</f>
        <v>271.48388970409434</v>
      </c>
      <c r="W17" s="39">
        <f>EXP(5.6922-(0.68367*LN(V17)))</f>
        <v>6.4300336599264094</v>
      </c>
      <c r="X17" s="26">
        <f>(+W17*V17)/100</f>
        <v>17.456505489250752</v>
      </c>
      <c r="Y17" s="25">
        <f>100*((((X17/100)-((X17/100)-0.03574)*$E$24)-0.03574-0.00619)/0.344)</f>
        <v>24.835620996818299</v>
      </c>
      <c r="Z17" s="27">
        <v>0</v>
      </c>
      <c r="AA17" s="25">
        <f>Y17+Z17</f>
        <v>24.835620996818299</v>
      </c>
      <c r="AB17" s="25">
        <f>100*($E$20*$E$22+($E$21*(AA17/100))/(1-$E$24))</f>
        <v>22.365022121991156</v>
      </c>
      <c r="AC17" s="26">
        <f>AB17/V17</f>
        <v>8.2380660400762862E-2</v>
      </c>
      <c r="AD17" s="24">
        <f>$E$11/(1-AC17)</f>
        <v>3876545.6373472069</v>
      </c>
      <c r="AE17" s="27" t="str">
        <f>IF(OR(OR(AD17=AD11,AD17=(AD11+1)),AD17=(AD11-1)),"yes","not yet")</f>
        <v>not yet</v>
      </c>
      <c r="AF17" s="25">
        <f>100*(1-AC17)</f>
        <v>91.761933959923709</v>
      </c>
      <c r="AG17" s="4"/>
      <c r="AH17" s="4"/>
      <c r="AI17" s="4"/>
      <c r="AJ17" s="27" t="str">
        <f>AE8</f>
        <v>not yet</v>
      </c>
      <c r="AK17" s="27" t="str">
        <f>AE14</f>
        <v>not yet</v>
      </c>
      <c r="AL17" s="27" t="str">
        <f>AE20</f>
        <v>not yet</v>
      </c>
      <c r="AM17" s="27" t="str">
        <f>AE26</f>
        <v>not yet</v>
      </c>
      <c r="AN17" s="27" t="str">
        <f>AE32</f>
        <v>not yet</v>
      </c>
      <c r="AO17" s="27" t="str">
        <f>AE38</f>
        <v>not yet</v>
      </c>
      <c r="AP17" s="27" t="str">
        <f>AD44</f>
        <v>yes</v>
      </c>
      <c r="AQ17" s="27" t="str">
        <f>AD50</f>
        <v>yes</v>
      </c>
      <c r="AR17" s="27" t="str">
        <f>AD56</f>
        <v>yes</v>
      </c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</row>
    <row r="18" spans="1:249" ht="15" customHeight="1">
      <c r="A18" s="15"/>
      <c r="B18" s="15"/>
      <c r="C18" s="22" t="s">
        <v>45</v>
      </c>
      <c r="D18" s="15"/>
      <c r="E18" s="32" t="s">
        <v>20</v>
      </c>
      <c r="F18" s="22" t="s">
        <v>46</v>
      </c>
      <c r="G18" s="15"/>
      <c r="H18" s="38">
        <f>HLOOKUP($AJ$28,$AJ$22:$AR$26,$E$15+1)</f>
        <v>91.731767128718772</v>
      </c>
      <c r="I18" s="22" t="s">
        <v>22</v>
      </c>
      <c r="J18" s="4"/>
      <c r="K18" s="4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25"/>
      <c r="AB18" s="4"/>
      <c r="AC18" s="4"/>
      <c r="AD18" s="4"/>
      <c r="AE18" s="4"/>
      <c r="AF18" s="4"/>
      <c r="AG18" s="4"/>
      <c r="AH18" s="4"/>
      <c r="AI18" s="4"/>
      <c r="AJ18" s="27" t="str">
        <f>AE9</f>
        <v>not yet</v>
      </c>
      <c r="AK18" s="27" t="str">
        <f>AE15</f>
        <v>not yet</v>
      </c>
      <c r="AL18" s="27" t="str">
        <f>AE21</f>
        <v>not yet</v>
      </c>
      <c r="AM18" s="27" t="str">
        <f>AE27</f>
        <v>not yet</v>
      </c>
      <c r="AN18" s="27" t="str">
        <f>AE33</f>
        <v>not yet</v>
      </c>
      <c r="AO18" s="27" t="str">
        <f>AE39</f>
        <v>not yet</v>
      </c>
      <c r="AP18" s="27" t="str">
        <f>AD45</f>
        <v>yes</v>
      </c>
      <c r="AQ18" s="27" t="str">
        <f>AD51</f>
        <v>yes</v>
      </c>
      <c r="AR18" s="27" t="str">
        <f>AD57</f>
        <v>yes</v>
      </c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</row>
    <row r="19" spans="1:249" ht="15" customHeight="1">
      <c r="A19" s="15"/>
      <c r="B19" s="15"/>
      <c r="C19" s="42" t="s">
        <v>47</v>
      </c>
      <c r="D19" s="42" t="s">
        <v>47</v>
      </c>
      <c r="E19" s="43"/>
      <c r="F19" s="15"/>
      <c r="G19" s="15"/>
      <c r="H19" s="42" t="s">
        <v>48</v>
      </c>
      <c r="I19" s="15"/>
      <c r="J19" s="4"/>
      <c r="K19" s="44"/>
      <c r="L19" s="4"/>
      <c r="M19" s="4"/>
      <c r="N19" s="4"/>
      <c r="O19" s="4"/>
      <c r="P19" s="4"/>
      <c r="Q19" s="4"/>
      <c r="R19" s="4"/>
      <c r="S19" s="4"/>
      <c r="T19" s="4"/>
      <c r="U19" s="4"/>
      <c r="V19" s="9" t="s">
        <v>49</v>
      </c>
      <c r="W19" s="8" t="s">
        <v>11</v>
      </c>
      <c r="X19" s="8" t="s">
        <v>12</v>
      </c>
      <c r="Y19" s="8" t="s">
        <v>13</v>
      </c>
      <c r="Z19" s="4"/>
      <c r="AA19" s="25"/>
      <c r="AB19" s="4"/>
      <c r="AC19" s="4"/>
      <c r="AD19" s="4"/>
      <c r="AE19" s="4"/>
      <c r="AF19" s="4"/>
      <c r="AG19" s="4"/>
      <c r="AH19" s="4"/>
      <c r="AI19" s="4"/>
      <c r="AJ19" s="27" t="str">
        <f>AE10</f>
        <v>not yet</v>
      </c>
      <c r="AK19" s="27" t="str">
        <f>AE16</f>
        <v>not yet</v>
      </c>
      <c r="AL19" s="27" t="str">
        <f>AE22</f>
        <v>not yet</v>
      </c>
      <c r="AM19" s="27" t="str">
        <f>AE28</f>
        <v>not yet</v>
      </c>
      <c r="AN19" s="27" t="str">
        <f>AE34</f>
        <v>not yet</v>
      </c>
      <c r="AO19" s="27" t="str">
        <f>AE40</f>
        <v>not yet</v>
      </c>
      <c r="AP19" s="27" t="str">
        <f>AD46</f>
        <v>yes</v>
      </c>
      <c r="AQ19" s="27" t="str">
        <f>AD52</f>
        <v>yes</v>
      </c>
      <c r="AR19" s="27" t="str">
        <f>AD58</f>
        <v>yes</v>
      </c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</row>
    <row r="20" spans="1:249" ht="15" customHeight="1">
      <c r="A20" s="15"/>
      <c r="B20" s="32" t="s">
        <v>28</v>
      </c>
      <c r="C20" s="22" t="s">
        <v>50</v>
      </c>
      <c r="D20" s="45" t="s">
        <v>30</v>
      </c>
      <c r="E20" s="46">
        <f>'[8]WP-6 - CapitalStructure'!H17</f>
        <v>0.42754222712238149</v>
      </c>
      <c r="F20" s="47" t="s">
        <v>51</v>
      </c>
      <c r="G20" s="15"/>
      <c r="H20" s="15"/>
      <c r="I20" s="1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25">
        <f>100*(+AD14/$E$12)</f>
        <v>274.42028469846275</v>
      </c>
      <c r="W20" s="39">
        <f>EXP(5.7226-(0.68367*LN(+V20)))</f>
        <v>6.5799348184488986</v>
      </c>
      <c r="X20" s="26">
        <f>(+W20*V20)/100</f>
        <v>18.056675861760745</v>
      </c>
      <c r="Y20" s="25">
        <f>100*((((X20/100)-((X20/100)-0.03574)*$E$24)-0.03574-0.00619)/0.344)</f>
        <v>25.987110665006085</v>
      </c>
      <c r="Z20" s="27">
        <v>0</v>
      </c>
      <c r="AA20" s="25">
        <f>Y20+Z20</f>
        <v>25.987110665006085</v>
      </c>
      <c r="AB20" s="25">
        <f>100*($E$20*$E$22+($E$21*(AA20/100))/(1-$E$24))</f>
        <v>23.363778502206866</v>
      </c>
      <c r="AC20" s="26">
        <f>AB20/V20</f>
        <v>8.5138671610516498E-2</v>
      </c>
      <c r="AD20" s="24">
        <f>$E$11/(1-AC20)</f>
        <v>3888232.169492736</v>
      </c>
      <c r="AE20" s="27" t="str">
        <f>IF(OR(OR(AD20=AD14,AD20=(AD14+1)),AD20=(AD3-1)),"yes","not yet")</f>
        <v>not yet</v>
      </c>
      <c r="AF20" s="25">
        <f>100*(1-AC20)</f>
        <v>91.48613283894835</v>
      </c>
      <c r="AG20" s="4"/>
      <c r="AH20" s="4"/>
      <c r="AI20" s="4"/>
      <c r="AJ20" s="27" t="str">
        <f>AE11</f>
        <v>not yet</v>
      </c>
      <c r="AK20" s="27" t="str">
        <f>AE17</f>
        <v>not yet</v>
      </c>
      <c r="AL20" s="27" t="str">
        <f>AE23</f>
        <v>not yet</v>
      </c>
      <c r="AM20" s="27" t="str">
        <f>AE29</f>
        <v>not yet</v>
      </c>
      <c r="AN20" s="27" t="str">
        <f>AE35</f>
        <v>not yet</v>
      </c>
      <c r="AO20" s="27" t="str">
        <f>AD41</f>
        <v>not yet</v>
      </c>
      <c r="AP20" s="27" t="str">
        <f>AD47</f>
        <v>yes</v>
      </c>
      <c r="AQ20" s="27" t="str">
        <f>AD53</f>
        <v>yes</v>
      </c>
      <c r="AR20" s="27" t="str">
        <f>AD59</f>
        <v>yes</v>
      </c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</row>
    <row r="21" spans="1:249" ht="15" customHeight="1">
      <c r="A21" s="15"/>
      <c r="B21" s="32" t="s">
        <v>28</v>
      </c>
      <c r="C21" s="22" t="s">
        <v>52</v>
      </c>
      <c r="D21" s="45" t="s">
        <v>30</v>
      </c>
      <c r="E21" s="46">
        <f>'[8]WP-6 - CapitalStructure'!H18</f>
        <v>0.57245777287761856</v>
      </c>
      <c r="F21" s="47" t="s">
        <v>53</v>
      </c>
      <c r="G21" s="34" t="s">
        <v>30</v>
      </c>
      <c r="H21" s="48">
        <v>1.4999999999999999E-2</v>
      </c>
      <c r="I21" s="49" t="s">
        <v>28</v>
      </c>
      <c r="J21" s="50"/>
      <c r="K21" s="51"/>
      <c r="L21" s="51"/>
      <c r="M21" s="4"/>
      <c r="N21" s="4"/>
      <c r="O21" s="4"/>
      <c r="P21" s="4"/>
      <c r="Q21" s="4"/>
      <c r="R21" s="4"/>
      <c r="S21" s="4"/>
      <c r="T21" s="4"/>
      <c r="U21" s="4"/>
      <c r="V21" s="25">
        <f>100*(+AD15/$E$12)</f>
        <v>273.97407238655722</v>
      </c>
      <c r="W21" s="39">
        <f>EXP(5.70827-(0.68367*LN(+V21)))</f>
        <v>6.4935371895451803</v>
      </c>
      <c r="X21" s="26">
        <f>(+W21*V21)/100</f>
        <v>17.790608280132528</v>
      </c>
      <c r="Y21" s="25">
        <f>100*((((X21/100)-((X21/100)-0.03574)*$E$24)-0.03574-0.00619)/0.344)</f>
        <v>25.47663216537055</v>
      </c>
      <c r="Z21" s="27">
        <v>0</v>
      </c>
      <c r="AA21" s="25">
        <f>Y21+Z21</f>
        <v>25.47663216537055</v>
      </c>
      <c r="AB21" s="25">
        <f>100*($E$20*$E$22+($E$21*(AA21/100))/(1-$E$24))</f>
        <v>22.921009737050401</v>
      </c>
      <c r="AC21" s="26">
        <f>AB21/V21</f>
        <v>8.3661236763712968E-2</v>
      </c>
      <c r="AD21" s="24">
        <f>$E$11/(1-AC21)</f>
        <v>3881963.0800138814</v>
      </c>
      <c r="AE21" s="27" t="str">
        <f>IF(OR(OR(AD21=AD15,AD21=(AD15+1)),AD21=(AD15-1)),"yes","not yet")</f>
        <v>not yet</v>
      </c>
      <c r="AF21" s="25">
        <f>100*(1-AC21)</f>
        <v>91.633876323628698</v>
      </c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</row>
    <row r="22" spans="1:249" ht="15" customHeight="1">
      <c r="A22" s="15"/>
      <c r="B22" s="32" t="s">
        <v>28</v>
      </c>
      <c r="C22" s="22" t="s">
        <v>54</v>
      </c>
      <c r="D22" s="45" t="s">
        <v>30</v>
      </c>
      <c r="E22" s="52">
        <f>'[8]WP-6 - CapitalStructure'!H35</f>
        <v>1.9263392867558474E-2</v>
      </c>
      <c r="F22" s="47" t="s">
        <v>55</v>
      </c>
      <c r="G22" s="34" t="s">
        <v>30</v>
      </c>
      <c r="H22" s="53">
        <f>'[8]WP-6 - CapitalStructure'!C36</f>
        <v>4.2750000000000002E-3</v>
      </c>
      <c r="I22" s="22" t="s">
        <v>28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25">
        <f>100*(+AD16/$E$12)</f>
        <v>273.67374817951429</v>
      </c>
      <c r="W22" s="39">
        <f>EXP(5.6985-(0.68367*LN(V22)))</f>
        <v>6.4352277863327698</v>
      </c>
      <c r="X22" s="26">
        <f>(+W22*V22)/100</f>
        <v>17.611529086746476</v>
      </c>
      <c r="Y22" s="25">
        <f>100*((((X22/100)-((X22/100)-0.03574)*$E$24)-0.03574-0.00619)/0.344)</f>
        <v>25.133049992013586</v>
      </c>
      <c r="Z22" s="27">
        <v>0</v>
      </c>
      <c r="AA22" s="25">
        <f>Y22+Z22</f>
        <v>25.133049992013586</v>
      </c>
      <c r="AB22" s="25">
        <f>100*($E$20*$E$22+($E$21*(AA22/100))/(1-$E$24))</f>
        <v>22.623000213171039</v>
      </c>
      <c r="AC22" s="26">
        <f>AB22/V22</f>
        <v>8.2664122385358085E-2</v>
      </c>
      <c r="AD22" s="24">
        <f>$E$11/(1-AC22)</f>
        <v>3877743.5119169815</v>
      </c>
      <c r="AE22" s="27" t="str">
        <f>IF(OR(OR(AD22=AD16,AD22=(AD16+1)),AD22=(AD16-1)),"yes","not yet")</f>
        <v>not yet</v>
      </c>
      <c r="AF22" s="25">
        <f>100*(1-AC22)</f>
        <v>91.733587761464179</v>
      </c>
      <c r="AG22" s="4"/>
      <c r="AH22" s="4"/>
      <c r="AI22" s="4"/>
      <c r="AJ22" s="27" t="str">
        <f>HLOOKUP(1,$AJ$16:$AR$20,$E$15+1)</f>
        <v>not yet</v>
      </c>
      <c r="AK22" s="27" t="str">
        <f>HLOOKUP(2,$AJ$16:$AR$20,$E$15+1)</f>
        <v>not yet</v>
      </c>
      <c r="AL22" s="27" t="str">
        <f>HLOOKUP(3,$AJ$16:$AR$20,$E$15+1)</f>
        <v>not yet</v>
      </c>
      <c r="AM22" s="27" t="str">
        <f>HLOOKUP(4,$AJ$16:$AR$20,$E$15+1)</f>
        <v>not yet</v>
      </c>
      <c r="AN22" s="27" t="str">
        <f>HLOOKUP(5,$AJ$16:$AR$20,$E$15+1)</f>
        <v>not yet</v>
      </c>
      <c r="AO22" s="27" t="str">
        <f>HLOOKUP(6,$AJ$16:$AR$20,$E$15+1)</f>
        <v>not yet</v>
      </c>
      <c r="AP22" s="27" t="str">
        <f>HLOOKUP(7,$AJ$16:$AR$20,$E$15+1)</f>
        <v>yes</v>
      </c>
      <c r="AQ22" s="27" t="str">
        <f>HLOOKUP(8,$AJ$16:$AR$20,$E$15+1)</f>
        <v>yes</v>
      </c>
      <c r="AR22" s="27" t="str">
        <f>HLOOKUP(9,$AJ$16:$AR$20,$E$15+1)</f>
        <v>yes</v>
      </c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</row>
    <row r="23" spans="1:249" ht="15" customHeight="1">
      <c r="A23" s="15"/>
      <c r="B23" s="15"/>
      <c r="C23" s="15"/>
      <c r="D23" s="45"/>
      <c r="E23" s="54"/>
      <c r="F23" s="47" t="s">
        <v>56</v>
      </c>
      <c r="G23" s="34" t="s">
        <v>30</v>
      </c>
      <c r="H23" s="48">
        <v>0</v>
      </c>
      <c r="I23" s="22" t="s">
        <v>28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25">
        <f>100*(+AD17/$E$12)</f>
        <v>273.48174702906039</v>
      </c>
      <c r="W23" s="39">
        <f>EXP(5.6922-(0.68367*LN(V23)))</f>
        <v>6.3978823243645291</v>
      </c>
      <c r="X23" s="26">
        <f>(+W23*V23)/100</f>
        <v>17.497040353535571</v>
      </c>
      <c r="Y23" s="25">
        <f>100*((((X23/100)-((X23/100)-0.03574)*$E$24)-0.03574-0.00619)/0.344)</f>
        <v>24.913391375969411</v>
      </c>
      <c r="Z23" s="27">
        <v>0</v>
      </c>
      <c r="AA23" s="25">
        <f>Y23+Z23</f>
        <v>24.913391375969411</v>
      </c>
      <c r="AB23" s="25">
        <f>100*($E$20*$E$22+($E$21*(AA23/100))/(1-$E$24))</f>
        <v>22.43247705842251</v>
      </c>
      <c r="AC23" s="26">
        <f>AB23/V23</f>
        <v>8.2025500063954246E-2</v>
      </c>
      <c r="AD23" s="24">
        <f>$E$11/(1-AC23)</f>
        <v>3875045.8187200991</v>
      </c>
      <c r="AE23" s="27" t="str">
        <f>IF(OR(OR(AD23=AD17,AD23=(AD17+1)),AD23=(AD17-1)),"yes","not yet")</f>
        <v>not yet</v>
      </c>
      <c r="AF23" s="25">
        <f>100*(1-AC23)</f>
        <v>91.797449993604573</v>
      </c>
      <c r="AG23" s="4"/>
      <c r="AH23" s="4"/>
      <c r="AI23" s="27">
        <v>1</v>
      </c>
      <c r="AJ23" s="25">
        <f>AF8</f>
        <v>92.137996490627756</v>
      </c>
      <c r="AK23" s="25">
        <f>AF14</f>
        <v>91.448101359198759</v>
      </c>
      <c r="AL23" s="25">
        <f>AF20</f>
        <v>91.48613283894835</v>
      </c>
      <c r="AM23" s="25">
        <f>AF26</f>
        <v>91.484032800064128</v>
      </c>
      <c r="AN23" s="25">
        <f>AF32</f>
        <v>91.484148750250043</v>
      </c>
      <c r="AO23" s="25">
        <f>AF38</f>
        <v>91.484142348219081</v>
      </c>
      <c r="AP23" s="25">
        <f>AE44</f>
        <v>91.484143002112589</v>
      </c>
      <c r="AQ23" s="25">
        <f>AE50</f>
        <v>91.484143002112589</v>
      </c>
      <c r="AR23" s="25">
        <f>AE56</f>
        <v>91.484143002112589</v>
      </c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</row>
    <row r="24" spans="1:249" ht="15" customHeight="1">
      <c r="A24" s="15"/>
      <c r="B24" s="32" t="s">
        <v>28</v>
      </c>
      <c r="C24" s="22" t="s">
        <v>57</v>
      </c>
      <c r="D24" s="45" t="s">
        <v>30</v>
      </c>
      <c r="E24" s="52">
        <f>'[8]WP-6 - CapitalStructure'!C37</f>
        <v>0.34</v>
      </c>
      <c r="F24" s="47" t="s">
        <v>58</v>
      </c>
      <c r="G24" s="34" t="s">
        <v>30</v>
      </c>
      <c r="H24" s="53">
        <f>+C32</f>
        <v>1.0232097162482485E-2</v>
      </c>
      <c r="I24" s="22" t="s">
        <v>28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25"/>
      <c r="AB24" s="4"/>
      <c r="AC24" s="4"/>
      <c r="AD24" s="4"/>
      <c r="AE24" s="4"/>
      <c r="AF24" s="4"/>
      <c r="AG24" s="4"/>
      <c r="AH24" s="4"/>
      <c r="AI24" s="27">
        <v>2</v>
      </c>
      <c r="AJ24" s="25">
        <f>AF9</f>
        <v>92.280175021001966</v>
      </c>
      <c r="AK24" s="25">
        <f>AF15</f>
        <v>91.597039791114625</v>
      </c>
      <c r="AL24" s="25">
        <f>AF21</f>
        <v>91.633876323628698</v>
      </c>
      <c r="AM24" s="25">
        <f>AF27</f>
        <v>91.631886692078908</v>
      </c>
      <c r="AN24" s="25">
        <f>AF33</f>
        <v>91.631994147310508</v>
      </c>
      <c r="AO24" s="25">
        <f>AF39</f>
        <v>91.631988343882824</v>
      </c>
      <c r="AP24" s="25">
        <f>AE45</f>
        <v>91.631988576060081</v>
      </c>
      <c r="AQ24" s="25">
        <f>AE51</f>
        <v>91.631988576060081</v>
      </c>
      <c r="AR24" s="25">
        <f>AE57</f>
        <v>91.631988576060081</v>
      </c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</row>
    <row r="25" spans="1:249" ht="15" customHeight="1">
      <c r="A25" s="15"/>
      <c r="B25" s="15"/>
      <c r="C25" s="15"/>
      <c r="D25" s="15"/>
      <c r="E25" s="15"/>
      <c r="F25" s="15"/>
      <c r="G25" s="15"/>
      <c r="H25" s="42" t="s">
        <v>47</v>
      </c>
      <c r="I25" s="15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9" t="s">
        <v>59</v>
      </c>
      <c r="W25" s="8" t="s">
        <v>11</v>
      </c>
      <c r="X25" s="8" t="s">
        <v>12</v>
      </c>
      <c r="Y25" s="8" t="s">
        <v>13</v>
      </c>
      <c r="Z25" s="4"/>
      <c r="AA25" s="25"/>
      <c r="AB25" s="4"/>
      <c r="AC25" s="4"/>
      <c r="AD25" s="4"/>
      <c r="AE25" s="4"/>
      <c r="AF25" s="4"/>
      <c r="AG25" s="4"/>
      <c r="AH25" s="4"/>
      <c r="AI25" s="27">
        <v>3</v>
      </c>
      <c r="AJ25" s="25">
        <f>AF10</f>
        <v>92.375948917556968</v>
      </c>
      <c r="AK25" s="25">
        <f>AF16</f>
        <v>91.69755658721121</v>
      </c>
      <c r="AL25" s="25">
        <f>AF22</f>
        <v>91.733587761464179</v>
      </c>
      <c r="AM25" s="25">
        <f>AF28</f>
        <v>91.731670875815581</v>
      </c>
      <c r="AN25" s="25">
        <f>AF34</f>
        <v>91.731772846575197</v>
      </c>
      <c r="AO25" s="25">
        <f>AF40</f>
        <v>91.73176742210731</v>
      </c>
      <c r="AP25" s="25">
        <f>AE46</f>
        <v>91.731767128718772</v>
      </c>
      <c r="AQ25" s="25">
        <f>AE52</f>
        <v>91.731767128718772</v>
      </c>
      <c r="AR25" s="25">
        <f>AE58</f>
        <v>91.731767128718772</v>
      </c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</row>
    <row r="26" spans="1:249" ht="15" customHeight="1">
      <c r="A26" s="15"/>
      <c r="B26" s="15"/>
      <c r="C26" s="15"/>
      <c r="D26" s="15"/>
      <c r="E26" s="15"/>
      <c r="F26" s="22" t="s">
        <v>60</v>
      </c>
      <c r="G26" s="15"/>
      <c r="H26" s="55">
        <f>SUM(H21:H24)</f>
        <v>2.9507097162482485E-2</v>
      </c>
      <c r="I26" s="15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25">
        <f>100*(+AD20/$E$12)</f>
        <v>274.30620610341754</v>
      </c>
      <c r="W26" s="39">
        <f>EXP(5.7226-(0.68367*LN(+V26)))</f>
        <v>6.5818055354035563</v>
      </c>
      <c r="X26" s="26">
        <f>(+W26*V26)/100</f>
        <v>18.054301057270223</v>
      </c>
      <c r="Y26" s="25">
        <f>100*((((X26/100)-((X26/100)-0.03574)*$E$24)-0.03574-0.00619)/0.344)</f>
        <v>25.982554354064963</v>
      </c>
      <c r="Z26" s="27">
        <v>0</v>
      </c>
      <c r="AA26" s="25">
        <f>Y26+Z26</f>
        <v>25.982554354064963</v>
      </c>
      <c r="AB26" s="25">
        <f>100*($E$20*$E$22+($E$21*(AA26/100))/(1-$E$24))</f>
        <v>23.359826539155513</v>
      </c>
      <c r="AC26" s="26">
        <f>AB26/V26</f>
        <v>8.5159671999358658E-2</v>
      </c>
      <c r="AD26" s="24">
        <f>$E$11/(1-AC26)</f>
        <v>3888321.4248359571</v>
      </c>
      <c r="AE26" s="27" t="str">
        <f>IF(OR(OR(AD26=AD20,AD26=(AD20+1)),AD26=(AD12-1)),"yes","not yet")</f>
        <v>not yet</v>
      </c>
      <c r="AF26" s="25">
        <f>100*(1-AC26)</f>
        <v>91.484032800064128</v>
      </c>
      <c r="AG26" s="4"/>
      <c r="AH26" s="4"/>
      <c r="AI26" s="27">
        <v>4</v>
      </c>
      <c r="AJ26" s="25">
        <f>AF11</f>
        <v>92.437212526599268</v>
      </c>
      <c r="AK26" s="25">
        <f>AF17</f>
        <v>91.761933959923709</v>
      </c>
      <c r="AL26" s="25">
        <f>AF23</f>
        <v>91.797449993604573</v>
      </c>
      <c r="AM26" s="25">
        <f>AF29</f>
        <v>91.795578944404625</v>
      </c>
      <c r="AN26" s="25">
        <f>AF35</f>
        <v>91.795677506072565</v>
      </c>
      <c r="AO26" s="25">
        <f>AE41</f>
        <v>91.795672314094162</v>
      </c>
      <c r="AP26" s="25">
        <f>AE47</f>
        <v>91.795672760596361</v>
      </c>
      <c r="AQ26" s="25">
        <f>AE53</f>
        <v>91.795672760596361</v>
      </c>
      <c r="AR26" s="25">
        <f>AE59</f>
        <v>91.795672760596361</v>
      </c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</row>
    <row r="27" spans="1:249" ht="15" customHeight="1">
      <c r="A27" s="15"/>
      <c r="B27" s="15"/>
      <c r="C27" s="15"/>
      <c r="D27" s="15"/>
      <c r="E27" s="15"/>
      <c r="F27" s="15"/>
      <c r="G27" s="15"/>
      <c r="H27" s="15"/>
      <c r="I27" s="15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25">
        <f>100*(+AD21/$E$12)</f>
        <v>273.8639356638692</v>
      </c>
      <c r="W27" s="39">
        <f>EXP(5.70827-(0.68367*LN(+V27)))</f>
        <v>6.4953224333678916</v>
      </c>
      <c r="X27" s="26">
        <f>(+W27*V27)/100</f>
        <v>17.788345650079506</v>
      </c>
      <c r="Y27" s="25">
        <f>100*((((X27/100)-((X27/100)-0.03574)*$E$24)-0.03574-0.00619)/0.344)</f>
        <v>25.472291072826962</v>
      </c>
      <c r="Z27" s="27">
        <v>0</v>
      </c>
      <c r="AA27" s="25">
        <f>Y27+Z27</f>
        <v>25.472291072826962</v>
      </c>
      <c r="AB27" s="25">
        <f>100*($E$20*$E$22+($E$21*(AA27/100))/(1-$E$24))</f>
        <v>22.917244445884709</v>
      </c>
      <c r="AC27" s="26">
        <f>AB27/V27</f>
        <v>8.3681133079210962E-2</v>
      </c>
      <c r="AD27" s="24">
        <f>$E$11/(1-AC27)</f>
        <v>3882047.3702811454</v>
      </c>
      <c r="AE27" s="27" t="str">
        <f>IF(OR(OR(AD27=AD21,AD27=(AD21+1)),AD27=(AD21-1)),"yes","not yet")</f>
        <v>not yet</v>
      </c>
      <c r="AF27" s="25">
        <f>100*(1-AC27)</f>
        <v>91.631886692078908</v>
      </c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</row>
    <row r="28" spans="1:249" ht="15" customHeight="1">
      <c r="A28" s="15"/>
      <c r="B28" s="15"/>
      <c r="C28" s="15"/>
      <c r="D28" s="15"/>
      <c r="E28" s="15"/>
      <c r="F28" s="22" t="s">
        <v>61</v>
      </c>
      <c r="G28" s="15"/>
      <c r="H28" s="56">
        <f>((+H18/100)-H26)</f>
        <v>0.88781057412470532</v>
      </c>
      <c r="I28" s="15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25">
        <f>100*(+AD22/$E$12)</f>
        <v>273.56625443867466</v>
      </c>
      <c r="W28" s="39">
        <f>EXP(5.6985-(0.68367*LN(V28)))</f>
        <v>6.4369564245602255</v>
      </c>
      <c r="X28" s="26">
        <f>(+W28*V28)/100</f>
        <v>17.609340590519039</v>
      </c>
      <c r="Y28" s="25">
        <f>100*((((X28/100)-((X28/100)-0.03574)*$E$24)-0.03574-0.00619)/0.344)</f>
        <v>25.128851132972578</v>
      </c>
      <c r="Z28" s="27">
        <v>0</v>
      </c>
      <c r="AA28" s="25">
        <f>Y28+Z28</f>
        <v>25.128851132972578</v>
      </c>
      <c r="AB28" s="25">
        <f>100*($E$20*$E$22+($E$21*(AA28/100))/(1-$E$24))</f>
        <v>22.619358289693402</v>
      </c>
      <c r="AC28" s="26">
        <f>AB28/V28</f>
        <v>8.2683291241844245E-2</v>
      </c>
      <c r="AD28" s="24">
        <f>$E$11/(1-AC28)</f>
        <v>3877824.5438094134</v>
      </c>
      <c r="AE28" s="27" t="str">
        <f>IF(OR(OR(AD28=AD22,AD28=(AD22+1)),AD28=(AD22-1)),"yes","not yet")</f>
        <v>not yet</v>
      </c>
      <c r="AF28" s="25">
        <f>100*(1-AC28)</f>
        <v>91.731670875815581</v>
      </c>
      <c r="AG28" s="4"/>
      <c r="AH28" s="4"/>
      <c r="AI28" s="4"/>
      <c r="AJ28" s="9" t="s">
        <v>62</v>
      </c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</row>
    <row r="29" spans="1:249" ht="15" customHeight="1">
      <c r="A29" s="15"/>
      <c r="B29" s="15"/>
      <c r="C29" s="15"/>
      <c r="D29" s="15"/>
      <c r="E29" s="15"/>
      <c r="F29" s="15"/>
      <c r="G29" s="15"/>
      <c r="H29" s="15"/>
      <c r="I29" s="15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25">
        <f>100*(+AD23/$E$12)</f>
        <v>273.37593813198032</v>
      </c>
      <c r="W29" s="39">
        <f>EXP(5.6922-(0.68367*LN(V29)))</f>
        <v>6.3995751728508985</v>
      </c>
      <c r="X29" s="26">
        <f>(+W29*V29)/100</f>
        <v>17.494898665242445</v>
      </c>
      <c r="Y29" s="25">
        <f>100*((((X29/100)-((X29/100)-0.03574)*$E$24)-0.03574-0.00619)/0.344)</f>
        <v>24.909282322848881</v>
      </c>
      <c r="Z29" s="27">
        <v>0</v>
      </c>
      <c r="AA29" s="25">
        <f>Y29+Z29</f>
        <v>24.909282322848881</v>
      </c>
      <c r="AB29" s="25">
        <f>100*($E$20*$E$22+($E$21*(AA29/100))/(1-$E$24))</f>
        <v>22.428913029031577</v>
      </c>
      <c r="AC29" s="26">
        <f>AB29/V29</f>
        <v>8.2044210555953748E-2</v>
      </c>
      <c r="AD29" s="24">
        <f>$E$11/(1-AC29)</f>
        <v>3875124.8029311285</v>
      </c>
      <c r="AE29" s="27" t="str">
        <f>IF(OR(OR(AD29=AD23,AD29=(AD23+1)),AD29=(AD23-1)),"yes","not yet")</f>
        <v>not yet</v>
      </c>
      <c r="AF29" s="25">
        <f>100*(1-AC29)</f>
        <v>91.795578944404625</v>
      </c>
      <c r="AG29" s="4"/>
      <c r="AH29" s="4"/>
      <c r="AI29" s="4"/>
      <c r="AJ29" s="25">
        <f>HLOOKUP($AJ$28,$AJ$22:$AR$26,$E$15+1)</f>
        <v>91.731767128718772</v>
      </c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</row>
    <row r="30" spans="1:249" ht="17.25" customHeight="1">
      <c r="A30" s="4"/>
      <c r="B30" s="4"/>
      <c r="C30" s="4"/>
      <c r="D30" s="4"/>
      <c r="E30" s="2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25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</row>
    <row r="31" spans="1:249" ht="15" hidden="1" customHeight="1" outlineLevel="1">
      <c r="A31" s="4"/>
      <c r="B31" s="4"/>
      <c r="C31" s="4">
        <f>'Schedule 1 Results of Operation'!N47</f>
        <v>38368.550000000003</v>
      </c>
      <c r="D31" s="4" t="s">
        <v>63</v>
      </c>
      <c r="E31" s="57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9" t="s">
        <v>64</v>
      </c>
      <c r="W31" s="8" t="s">
        <v>11</v>
      </c>
      <c r="X31" s="8" t="s">
        <v>12</v>
      </c>
      <c r="Y31" s="8" t="s">
        <v>13</v>
      </c>
      <c r="Z31" s="4"/>
      <c r="AA31" s="25"/>
      <c r="AB31" s="4"/>
      <c r="AC31" s="4"/>
      <c r="AD31" s="4"/>
      <c r="AE31" s="4"/>
      <c r="AF31" s="4"/>
      <c r="AG31" s="4"/>
      <c r="AH31" s="4"/>
      <c r="AI31" s="4"/>
      <c r="AJ31" s="27" t="str">
        <f>HLOOKUP(1,$AJ$16:$AR$20,$E$15+1)</f>
        <v>not yet</v>
      </c>
      <c r="AK31" s="27" t="str">
        <f>HLOOKUP(2,$AJ$16:$AR$20,$E$15+1)</f>
        <v>not yet</v>
      </c>
      <c r="AL31" s="27" t="str">
        <f>HLOOKUP(3,$AJ$16:$AR$20,$E$15+1)</f>
        <v>not yet</v>
      </c>
      <c r="AM31" s="27" t="str">
        <f>HLOOKUP(4,$AJ$16:$AR$20,$E$15+1)</f>
        <v>not yet</v>
      </c>
      <c r="AN31" s="27" t="str">
        <f>HLOOKUP(5,$AJ$16:$AR$20,$E$15+1)</f>
        <v>not yet</v>
      </c>
      <c r="AO31" s="27" t="str">
        <f>HLOOKUP(6,$AJ$16:$AR$20,$E$15+1)</f>
        <v>not yet</v>
      </c>
      <c r="AP31" s="27" t="str">
        <f>HLOOKUP(7,$AJ$16:$AR$20,$E$15+1)</f>
        <v>yes</v>
      </c>
      <c r="AQ31" s="27" t="str">
        <f>HLOOKUP(8,$AJ$16:$AR$20,$E$15+1)</f>
        <v>yes</v>
      </c>
      <c r="AR31" s="27" t="str">
        <f>HLOOKUP(9,$AJ$16:$AR$20,$E$15+1)</f>
        <v>yes</v>
      </c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</row>
    <row r="32" spans="1:249" ht="15" hidden="1" customHeight="1" outlineLevel="1">
      <c r="A32" s="4"/>
      <c r="B32" s="4"/>
      <c r="C32" s="4">
        <f>C31/E10</f>
        <v>1.0232097162482485E-2</v>
      </c>
      <c r="D32" s="4"/>
      <c r="E32" s="2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25">
        <f>100*(+AD26/$E$12)</f>
        <v>274.31250287107599</v>
      </c>
      <c r="W32" s="39">
        <f>EXP(5.7226-(0.68367*LN(+V32)))</f>
        <v>6.5817022437541448</v>
      </c>
      <c r="X32" s="26">
        <f>(+W32*V32)/100</f>
        <v>18.054432156363763</v>
      </c>
      <c r="Y32" s="25">
        <f>100*((((X32/100)-((X32/100)-0.03574)*$E$24)-0.03574-0.00619)/0.344)</f>
        <v>25.982805881395599</v>
      </c>
      <c r="Z32" s="27">
        <v>0</v>
      </c>
      <c r="AA32" s="25">
        <f>Y32+Z32</f>
        <v>25.982805881395599</v>
      </c>
      <c r="AB32" s="25">
        <f>100*($E$20*$E$22+($E$21*(AA32/100))/(1-$E$24))</f>
        <v>23.360044703966899</v>
      </c>
      <c r="AC32" s="26">
        <f>AB32/V32</f>
        <v>8.5158512497499519E-2</v>
      </c>
      <c r="AD32" s="24">
        <f>$E$11/(1-AC32)</f>
        <v>3888316.4966424033</v>
      </c>
      <c r="AE32" s="27" t="str">
        <f>IF(OR(OR(AD32=AD26,AD32=(AD26+1)),AD32=(AD18-1)),"yes","not yet")</f>
        <v>not yet</v>
      </c>
      <c r="AF32" s="25">
        <f>100*(1-AC32)</f>
        <v>91.484148750250043</v>
      </c>
      <c r="AG32" s="4"/>
      <c r="AH32" s="4"/>
      <c r="AI32" s="27">
        <v>1</v>
      </c>
      <c r="AJ32" s="25">
        <f>V8</f>
        <v>313.69017512656507</v>
      </c>
      <c r="AK32" s="25">
        <f>V14</f>
        <v>272.36552742578766</v>
      </c>
      <c r="AL32" s="25">
        <f>V20</f>
        <v>274.42028469846275</v>
      </c>
      <c r="AM32" s="25">
        <f>V26</f>
        <v>274.30620610341754</v>
      </c>
      <c r="AN32" s="25">
        <f>V32</f>
        <v>274.31250287107599</v>
      </c>
      <c r="AO32" s="25">
        <f>V38</f>
        <v>274.31215519788731</v>
      </c>
      <c r="AP32" s="25">
        <f>U44</f>
        <v>274.31219070865586</v>
      </c>
      <c r="AQ32" s="25">
        <f>U50</f>
        <v>274.31219070865586</v>
      </c>
      <c r="AR32" s="25">
        <f>U56</f>
        <v>274.31219070865586</v>
      </c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</row>
    <row r="33" spans="1:249" ht="15" customHeight="1" collapsed="1">
      <c r="A33" s="59"/>
      <c r="B33" s="59"/>
      <c r="C33" s="59"/>
      <c r="D33" s="59"/>
      <c r="E33" s="815"/>
      <c r="F33" s="58"/>
      <c r="G33" s="59"/>
      <c r="H33" s="59"/>
      <c r="I33" s="59"/>
      <c r="J33" s="59"/>
      <c r="K33" s="59"/>
      <c r="L33" s="4"/>
      <c r="M33" s="4"/>
      <c r="N33" s="4"/>
      <c r="O33" s="4"/>
      <c r="P33" s="4"/>
      <c r="Q33" s="4"/>
      <c r="R33" s="4"/>
      <c r="S33" s="4"/>
      <c r="T33" s="4"/>
      <c r="U33" s="4"/>
      <c r="V33" s="25">
        <f>100*(+AD27/$E$12)</f>
        <v>273.86988215636677</v>
      </c>
      <c r="W33" s="39">
        <f>EXP(5.70827-(0.68367*LN(+V33)))</f>
        <v>6.4952260137669571</v>
      </c>
      <c r="X33" s="26">
        <f>(+W33*V33)/100</f>
        <v>17.788467829693246</v>
      </c>
      <c r="Y33" s="25">
        <f>100*((((X33/100)-((X33/100)-0.03574)*$E$24)-0.03574-0.00619)/0.344)</f>
        <v>25.472525487202159</v>
      </c>
      <c r="Z33" s="27">
        <v>0</v>
      </c>
      <c r="AA33" s="25">
        <f>Y33+Z33</f>
        <v>25.472525487202159</v>
      </c>
      <c r="AB33" s="25">
        <f>100*($E$20*$E$22+($E$21*(AA33/100))/(1-$E$24))</f>
        <v>22.917447767598574</v>
      </c>
      <c r="AC33" s="26">
        <f>AB33/V33</f>
        <v>8.3680058526894877E-2</v>
      </c>
      <c r="AD33" s="24">
        <f>$E$11/(1-AC33)</f>
        <v>3882042.8178723152</v>
      </c>
      <c r="AE33" s="27" t="str">
        <f>IF(OR(OR(AD33=AD27,AD33=(AD27+1)),AD33=(AD27-1)),"yes","not yet")</f>
        <v>not yet</v>
      </c>
      <c r="AF33" s="25">
        <f>100*(1-AC33)</f>
        <v>91.631994147310508</v>
      </c>
      <c r="AG33" s="4"/>
      <c r="AH33" s="4"/>
      <c r="AI33" s="27">
        <v>2</v>
      </c>
      <c r="AJ33" s="25">
        <f>V9</f>
        <v>313.69017512656507</v>
      </c>
      <c r="AK33" s="25">
        <f>V15</f>
        <v>271.94588658304781</v>
      </c>
      <c r="AL33" s="25">
        <f>V21</f>
        <v>273.97407238655722</v>
      </c>
      <c r="AM33" s="25">
        <f>V27</f>
        <v>273.8639356638692</v>
      </c>
      <c r="AN33" s="25">
        <f>V33</f>
        <v>273.86988215636677</v>
      </c>
      <c r="AO33" s="25">
        <f>V39</f>
        <v>273.86956099396173</v>
      </c>
      <c r="AP33" s="25">
        <f>U45</f>
        <v>273.86957384266833</v>
      </c>
      <c r="AQ33" s="25">
        <f>U51</f>
        <v>273.86957384266833</v>
      </c>
      <c r="AR33" s="25">
        <f>U57</f>
        <v>273.86957384266833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</row>
    <row r="34" spans="1:249" ht="15" customHeight="1">
      <c r="A34" s="59"/>
      <c r="B34" s="59"/>
      <c r="C34" s="59"/>
      <c r="D34" s="816"/>
      <c r="E34" s="817"/>
      <c r="F34" s="816"/>
      <c r="G34" s="59"/>
      <c r="H34" s="59"/>
      <c r="I34" s="59"/>
      <c r="J34" s="59"/>
      <c r="K34" s="59"/>
      <c r="L34" s="4"/>
      <c r="M34" s="4"/>
      <c r="N34" s="4"/>
      <c r="O34" s="4"/>
      <c r="P34" s="4"/>
      <c r="Q34" s="4"/>
      <c r="R34" s="4"/>
      <c r="S34" s="4"/>
      <c r="T34" s="4"/>
      <c r="U34" s="4"/>
      <c r="V34" s="25">
        <f>100*(+AD28/$E$12)</f>
        <v>273.5719710600124</v>
      </c>
      <c r="W34" s="39">
        <f>EXP(5.6985-(0.68367*LN(V34)))</f>
        <v>6.4368644651125466</v>
      </c>
      <c r="X34" s="26">
        <f>(+W34*V34)/100</f>
        <v>17.609456991669916</v>
      </c>
      <c r="Y34" s="25">
        <f>100*((((X34/100)-((X34/100)-0.03574)*$E$24)-0.03574-0.00619)/0.344)</f>
        <v>25.129074460762052</v>
      </c>
      <c r="Z34" s="27">
        <v>0</v>
      </c>
      <c r="AA34" s="25">
        <f>Y34+Z34</f>
        <v>25.129074460762052</v>
      </c>
      <c r="AB34" s="25">
        <f>100*($E$20*$E$22+($E$21*(AA34/100))/(1-$E$24))</f>
        <v>22.619551995343372</v>
      </c>
      <c r="AC34" s="26">
        <f>AB34/V34</f>
        <v>8.2682271534247967E-2</v>
      </c>
      <c r="AD34" s="24">
        <f>$E$11/(1-AC34)</f>
        <v>3877820.2331469008</v>
      </c>
      <c r="AE34" s="27" t="str">
        <f>IF(OR(OR(AD34=AD28,AD34=(AD28+1)),AD34=(AD28-1)),"yes","not yet")</f>
        <v>not yet</v>
      </c>
      <c r="AF34" s="25">
        <f>100*(1-AC34)</f>
        <v>91.731772846575197</v>
      </c>
      <c r="AG34" s="4"/>
      <c r="AH34" s="4"/>
      <c r="AI34" s="27">
        <v>3</v>
      </c>
      <c r="AJ34" s="25">
        <f>V10</f>
        <v>313.69017512656507</v>
      </c>
      <c r="AK34" s="25">
        <f>V16</f>
        <v>271.66393746625539</v>
      </c>
      <c r="AL34" s="25">
        <f>V22</f>
        <v>273.67374817951429</v>
      </c>
      <c r="AM34" s="25">
        <f>V28</f>
        <v>273.56625443867466</v>
      </c>
      <c r="AN34" s="25">
        <f>V34</f>
        <v>273.5719710600124</v>
      </c>
      <c r="AO34" s="25">
        <f>V40</f>
        <v>273.57166695227704</v>
      </c>
      <c r="AP34" s="25">
        <f>U46</f>
        <v>273.57165050427727</v>
      </c>
      <c r="AQ34" s="25">
        <f>U52</f>
        <v>273.57165050427727</v>
      </c>
      <c r="AR34" s="25">
        <f>U58</f>
        <v>273.57165050427727</v>
      </c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</row>
    <row r="35" spans="1:249" ht="15" customHeight="1">
      <c r="A35" s="59"/>
      <c r="B35" s="59"/>
      <c r="C35" s="818"/>
      <c r="D35" s="816"/>
      <c r="E35" s="819"/>
      <c r="F35" s="816"/>
      <c r="G35" s="59"/>
      <c r="H35" s="59"/>
      <c r="I35" s="59"/>
      <c r="J35" s="59"/>
      <c r="K35" s="59"/>
      <c r="L35" s="4"/>
      <c r="M35" s="4"/>
      <c r="N35" s="4"/>
      <c r="O35" s="4"/>
      <c r="P35" s="4"/>
      <c r="Q35" s="4"/>
      <c r="R35" s="4"/>
      <c r="S35" s="4"/>
      <c r="T35" s="4"/>
      <c r="U35" s="4"/>
      <c r="V35" s="25">
        <f>100*(+AD29/$E$12)</f>
        <v>273.38151029391025</v>
      </c>
      <c r="W35" s="39">
        <f>EXP(5.6922-(0.68367*LN(V35)))</f>
        <v>6.3994859956865806</v>
      </c>
      <c r="X35" s="26">
        <f>(+W35*V35)/100</f>
        <v>17.495011466055256</v>
      </c>
      <c r="Y35" s="25">
        <f>100*((((X35/100)-((X35/100)-0.03574)*$E$24)-0.03574-0.00619)/0.344)</f>
        <v>24.909498743012996</v>
      </c>
      <c r="Z35" s="27">
        <v>0</v>
      </c>
      <c r="AA35" s="25">
        <f>Y35+Z35</f>
        <v>24.909498743012996</v>
      </c>
      <c r="AB35" s="25">
        <f>100*($E$20*$E$22+($E$21*(AA35/100))/(1-$E$24))</f>
        <v>22.429100743281811</v>
      </c>
      <c r="AC35" s="26">
        <f>AB35/V35</f>
        <v>8.2043224939274295E-2</v>
      </c>
      <c r="AD35" s="24">
        <f>$E$11/(1-AC35)</f>
        <v>3875120.6421822296</v>
      </c>
      <c r="AE35" s="27" t="str">
        <f>IF(OR(OR(AD35=AD29,AD35=(AD29+1)),AD35=(AD29-1)),"yes","not yet")</f>
        <v>not yet</v>
      </c>
      <c r="AF35" s="25">
        <f>100*(1-AC35)</f>
        <v>91.795677506072565</v>
      </c>
      <c r="AG35" s="4"/>
      <c r="AH35" s="4"/>
      <c r="AI35" s="27">
        <v>4</v>
      </c>
      <c r="AJ35" s="25">
        <f>V11</f>
        <v>313.69017512656507</v>
      </c>
      <c r="AK35" s="25">
        <f>V17</f>
        <v>271.48388970409434</v>
      </c>
      <c r="AL35" s="25">
        <f>V23</f>
        <v>273.48174702906039</v>
      </c>
      <c r="AM35" s="25">
        <f>V29</f>
        <v>273.37593813198032</v>
      </c>
      <c r="AN35" s="25">
        <f>V35</f>
        <v>273.38151029391025</v>
      </c>
      <c r="AO35" s="25">
        <f>U41</f>
        <v>273.38121676224978</v>
      </c>
      <c r="AP35" s="25">
        <f>U47</f>
        <v>273.38124200550448</v>
      </c>
      <c r="AQ35" s="25">
        <f>U53</f>
        <v>273.38124200550448</v>
      </c>
      <c r="AR35" s="25">
        <f>U59</f>
        <v>273.38124200550448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</row>
    <row r="36" spans="1:249" ht="15" customHeight="1">
      <c r="A36" s="59"/>
      <c r="B36" s="59"/>
      <c r="C36" s="818"/>
      <c r="D36" s="816"/>
      <c r="E36" s="819"/>
      <c r="F36" s="816"/>
      <c r="G36" s="59"/>
      <c r="H36" s="59"/>
      <c r="I36" s="59"/>
      <c r="J36" s="59"/>
      <c r="K36" s="59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5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</row>
    <row r="37" spans="1:249" ht="15" customHeight="1">
      <c r="A37" s="59"/>
      <c r="B37" s="59"/>
      <c r="C37" s="818"/>
      <c r="D37" s="816"/>
      <c r="E37" s="820"/>
      <c r="F37" s="816"/>
      <c r="G37" s="59"/>
      <c r="H37" s="59"/>
      <c r="I37" s="59"/>
      <c r="J37" s="59"/>
      <c r="K37" s="59"/>
      <c r="L37" s="4"/>
      <c r="M37" s="4"/>
      <c r="N37" s="4"/>
      <c r="O37" s="4"/>
      <c r="P37" s="4"/>
      <c r="Q37" s="4"/>
      <c r="R37" s="4"/>
      <c r="S37" s="4"/>
      <c r="T37" s="4"/>
      <c r="U37" s="4"/>
      <c r="V37" s="9" t="s">
        <v>66</v>
      </c>
      <c r="W37" s="8" t="s">
        <v>11</v>
      </c>
      <c r="X37" s="8" t="s">
        <v>12</v>
      </c>
      <c r="Y37" s="8" t="s">
        <v>13</v>
      </c>
      <c r="Z37" s="4"/>
      <c r="AA37" s="25"/>
      <c r="AB37" s="4"/>
      <c r="AC37" s="4"/>
      <c r="AD37" s="4"/>
      <c r="AE37" s="4"/>
      <c r="AF37" s="4"/>
      <c r="AG37" s="4"/>
      <c r="AH37" s="4"/>
      <c r="AI37" s="4"/>
      <c r="AJ37" s="9" t="s">
        <v>62</v>
      </c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</row>
    <row r="38" spans="1:249" ht="15" customHeight="1">
      <c r="A38" s="59"/>
      <c r="B38" s="59"/>
      <c r="C38" s="818"/>
      <c r="D38" s="816"/>
      <c r="E38" s="821"/>
      <c r="F38" s="816"/>
      <c r="G38" s="59"/>
      <c r="H38" s="59"/>
      <c r="I38" s="59"/>
      <c r="J38" s="59"/>
      <c r="K38" s="59"/>
      <c r="L38" s="4"/>
      <c r="M38" s="4"/>
      <c r="N38" s="4"/>
      <c r="O38" s="4"/>
      <c r="P38" s="4"/>
      <c r="Q38" s="4"/>
      <c r="R38" s="4"/>
      <c r="S38" s="4"/>
      <c r="T38" s="4"/>
      <c r="U38" s="4"/>
      <c r="V38" s="25">
        <f>100*(+AD32/$E$12)</f>
        <v>274.31215519788731</v>
      </c>
      <c r="W38" s="39">
        <f>EXP(5.7226-(0.68367*LN(+V38)))</f>
        <v>6.5817079468518962</v>
      </c>
      <c r="X38" s="26">
        <f>(+W38*V38)/100</f>
        <v>18.054424917840056</v>
      </c>
      <c r="Y38" s="25">
        <f>100*((((X38/100)-((X38/100)-0.03574)*$E$24)-0.03574-0.00619)/0.344)</f>
        <v>25.982791993530345</v>
      </c>
      <c r="Z38" s="27">
        <v>0</v>
      </c>
      <c r="AA38" s="25">
        <f>Y38+Z38</f>
        <v>25.982791993530345</v>
      </c>
      <c r="AB38" s="25">
        <f>100*($E$20*$E$22+($E$21*(AA38/100))/(1-$E$24))</f>
        <v>23.360032658184455</v>
      </c>
      <c r="AC38" s="26">
        <f>AB38/V38</f>
        <v>8.5158576517809254E-2</v>
      </c>
      <c r="AD38" s="24">
        <f>ROUND($E$11/(1-AC38),0)</f>
        <v>3888317</v>
      </c>
      <c r="AE38" s="27" t="str">
        <f>IF(OR(OR(AD38=AD32,AD38=(AD32+1)),AD38=(AD24-1)),"yes","not yet")</f>
        <v>not yet</v>
      </c>
      <c r="AF38" s="25">
        <f>100*(1-AC38)</f>
        <v>91.484142348219081</v>
      </c>
      <c r="AG38" s="4"/>
      <c r="AH38" s="4"/>
      <c r="AI38" s="4"/>
      <c r="AJ38" s="25">
        <f>HLOOKUP($AJ$37,$AJ$31:$AR$35,$E$15+1)</f>
        <v>273.57165050427727</v>
      </c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</row>
    <row r="39" spans="1:249" ht="15" customHeight="1">
      <c r="A39" s="59"/>
      <c r="B39" s="59"/>
      <c r="C39" s="818"/>
      <c r="D39" s="816"/>
      <c r="E39" s="821"/>
      <c r="F39" s="816"/>
      <c r="G39" s="59"/>
      <c r="H39" s="59"/>
      <c r="I39" s="59"/>
      <c r="J39" s="59"/>
      <c r="K39" s="59"/>
      <c r="L39" s="4"/>
      <c r="M39" s="4"/>
      <c r="N39" s="4"/>
      <c r="O39" s="4"/>
      <c r="P39" s="4"/>
      <c r="Q39" s="4"/>
      <c r="R39" s="4"/>
      <c r="S39" s="4"/>
      <c r="T39" s="4"/>
      <c r="U39" s="4"/>
      <c r="V39" s="25">
        <f>100*(+AD33/$E$12)</f>
        <v>273.86956099396173</v>
      </c>
      <c r="W39" s="39">
        <f>EXP(5.70827-(0.68367*LN(+V39)))</f>
        <v>6.495231221175441</v>
      </c>
      <c r="X39" s="26">
        <f>(+W39*V39)/100</f>
        <v>17.788461230975919</v>
      </c>
      <c r="Y39" s="25">
        <f>100*((((X39/100)-((X39/100)-0.03574)*$E$24)-0.03574-0.00619)/0.344)</f>
        <v>25.472512826872407</v>
      </c>
      <c r="Z39" s="27">
        <v>0</v>
      </c>
      <c r="AA39" s="25">
        <f>Y39+Z39</f>
        <v>25.472512826872407</v>
      </c>
      <c r="AB39" s="25">
        <f>100*($E$20*$E$22+($E$21*(AA39/100))/(1-$E$24))</f>
        <v>22.917436786531649</v>
      </c>
      <c r="AC39" s="26">
        <f>AB39/V39</f>
        <v>8.3680116561171733E-2</v>
      </c>
      <c r="AD39" s="24">
        <f>ROUND($E$11/(1-AC39),0)</f>
        <v>3882043</v>
      </c>
      <c r="AE39" s="27" t="str">
        <f>IF(OR(OR(AD39=AD33,AD39=(AD33+1)),AD39=(AD33-1)),"yes","not yet")</f>
        <v>not yet</v>
      </c>
      <c r="AF39" s="25">
        <f>100*(1-AC39)</f>
        <v>91.631988343882824</v>
      </c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</row>
    <row r="40" spans="1:249" ht="15" customHeight="1">
      <c r="A40" s="59"/>
      <c r="B40" s="59"/>
      <c r="C40" s="822"/>
      <c r="D40" s="59"/>
      <c r="E40" s="59"/>
      <c r="F40" s="59"/>
      <c r="G40" s="59"/>
      <c r="H40" s="59"/>
      <c r="I40" s="59"/>
      <c r="J40" s="59"/>
      <c r="K40" s="59"/>
      <c r="L40" s="4"/>
      <c r="M40" s="4"/>
      <c r="N40" s="4"/>
      <c r="O40" s="4"/>
      <c r="P40" s="4"/>
      <c r="Q40" s="4"/>
      <c r="R40" s="4"/>
      <c r="S40" s="4"/>
      <c r="T40" s="4"/>
      <c r="U40" s="4"/>
      <c r="V40" s="25">
        <f>100*(+AD34/$E$12)</f>
        <v>273.57166695227704</v>
      </c>
      <c r="W40" s="39">
        <f>EXP(5.6985-(0.68367*LN(V40)))</f>
        <v>6.4368693570079429</v>
      </c>
      <c r="X40" s="26">
        <f>(+W40*V40)/100</f>
        <v>17.609450799506945</v>
      </c>
      <c r="Y40" s="25">
        <f>100*((((X40/100)-((X40/100)-0.03574)*$E$24)-0.03574-0.00619)/0.344)</f>
        <v>25.129062580449368</v>
      </c>
      <c r="Z40" s="27">
        <v>0</v>
      </c>
      <c r="AA40" s="25">
        <f>Y40+Z40</f>
        <v>25.129062580449368</v>
      </c>
      <c r="AB40" s="25">
        <f>100*($E$20*$E$22+($E$21*(AA40/100))/(1-$E$24))</f>
        <v>22.61954169083225</v>
      </c>
      <c r="AC40" s="26">
        <f>AB40/V40</f>
        <v>8.2682325778926868E-2</v>
      </c>
      <c r="AD40" s="24">
        <f>ROUND($E$11/(1-AC40),0)</f>
        <v>3877820</v>
      </c>
      <c r="AE40" s="27" t="str">
        <f>IF(OR(OR(AD40=AD34,AD40=(AD34+1)),AD40=(AD34-1)),"yes","not yet")</f>
        <v>not yet</v>
      </c>
      <c r="AF40" s="25">
        <f>100*(1-AC40)</f>
        <v>91.73176742210731</v>
      </c>
      <c r="AG40" s="4"/>
      <c r="AH40" s="4"/>
      <c r="AI40" s="4"/>
      <c r="AJ40" s="27" t="str">
        <f>HLOOKUP(1,$AJ$16:$AR$20,$E$15+1)</f>
        <v>not yet</v>
      </c>
      <c r="AK40" s="27" t="str">
        <f>HLOOKUP(2,$AJ$16:$AR$20,$E$15+1)</f>
        <v>not yet</v>
      </c>
      <c r="AL40" s="27" t="str">
        <f>HLOOKUP(3,$AJ$16:$AR$20,$E$15+1)</f>
        <v>not yet</v>
      </c>
      <c r="AM40" s="27" t="str">
        <f>HLOOKUP(4,$AJ$16:$AR$20,$E$15+1)</f>
        <v>not yet</v>
      </c>
      <c r="AN40" s="27" t="str">
        <f>HLOOKUP(5,$AJ$16:$AR$20,$E$15+1)</f>
        <v>not yet</v>
      </c>
      <c r="AO40" s="27" t="str">
        <f>HLOOKUP(6,$AJ$16:$AR$20,$E$15+1)</f>
        <v>not yet</v>
      </c>
      <c r="AP40" s="27" t="str">
        <f>HLOOKUP(7,$AJ$16:$AR$20,$E$15+1)</f>
        <v>yes</v>
      </c>
      <c r="AQ40" s="27" t="str">
        <f>HLOOKUP(8,$AJ$16:$AR$20,$E$15+1)</f>
        <v>yes</v>
      </c>
      <c r="AR40" s="27" t="str">
        <f>HLOOKUP(9,$AJ$16:$AR$20,$E$15+1)</f>
        <v>yes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</row>
    <row r="41" spans="1:249" ht="15" customHeight="1">
      <c r="A41" s="59"/>
      <c r="B41" s="59"/>
      <c r="C41" s="59"/>
      <c r="D41" s="59"/>
      <c r="E41" s="59"/>
      <c r="F41" s="59"/>
      <c r="G41" s="59"/>
      <c r="H41" s="823"/>
      <c r="I41" s="823"/>
      <c r="J41" s="59"/>
      <c r="K41" s="59"/>
      <c r="L41" s="4"/>
      <c r="M41" s="4"/>
      <c r="N41" s="4"/>
      <c r="O41" s="4"/>
      <c r="P41" s="4"/>
      <c r="Q41" s="4"/>
      <c r="R41" s="4"/>
      <c r="S41" s="4"/>
      <c r="T41" s="4"/>
      <c r="U41" s="25">
        <f>100*(+AD35/$E$12)</f>
        <v>273.38121676224978</v>
      </c>
      <c r="V41" s="39">
        <f>EXP(5.6922-(0.68367*LN(U41)))</f>
        <v>6.3994906933059159</v>
      </c>
      <c r="W41" s="26">
        <f>(+V41*U41)/100</f>
        <v>17.495005523946649</v>
      </c>
      <c r="X41" s="25">
        <f>100*((((W41/100)-((W41/100)-0.03574)*$E$24)-0.03574-0.00619)/0.344)</f>
        <v>24.909487342455783</v>
      </c>
      <c r="Y41" s="27">
        <v>0</v>
      </c>
      <c r="Z41" s="25">
        <f>X41+Y41</f>
        <v>24.909487342455783</v>
      </c>
      <c r="AA41" s="25">
        <f>100*($E$20*$E$22+($E$21*(Z41/100))/(1-$E$24))</f>
        <v>22.429090854891523</v>
      </c>
      <c r="AB41" s="26">
        <f>AA41/U41</f>
        <v>8.2043276859058434E-2</v>
      </c>
      <c r="AC41" s="24">
        <f>ROUND($E$11/(1-AB41),0)</f>
        <v>3875121</v>
      </c>
      <c r="AD41" s="27" t="str">
        <f>IF(OR(OR(AC41=AD35,AC41=(AD35+1)),AC41=(AD35-1)),"yes","not yet")</f>
        <v>not yet</v>
      </c>
      <c r="AE41" s="25">
        <f>100*(1-AB41)</f>
        <v>91.795672314094162</v>
      </c>
      <c r="AF41" s="4"/>
      <c r="AG41" s="4"/>
      <c r="AH41" s="27">
        <v>1</v>
      </c>
      <c r="AI41" s="24">
        <f>AD8</f>
        <v>3860723.4617161271</v>
      </c>
      <c r="AJ41" s="24">
        <f>AD14</f>
        <v>3889849.2093308289</v>
      </c>
      <c r="AK41" s="24">
        <f>AD20</f>
        <v>3888232.169492736</v>
      </c>
      <c r="AL41" s="24">
        <f>AD26</f>
        <v>3888321.4248359571</v>
      </c>
      <c r="AM41" s="24">
        <f>AD32</f>
        <v>3888316.4966424033</v>
      </c>
      <c r="AN41" s="24">
        <f>AD38</f>
        <v>3888317</v>
      </c>
      <c r="AO41" s="24">
        <f>AC44</f>
        <v>3888317</v>
      </c>
      <c r="AP41" s="24">
        <f>AC50</f>
        <v>3888317</v>
      </c>
      <c r="AQ41" s="24">
        <f>AC56</f>
        <v>3888317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</row>
    <row r="42" spans="1:249">
      <c r="A42" s="59"/>
      <c r="B42" s="59"/>
      <c r="C42" s="59"/>
      <c r="D42" s="59"/>
      <c r="E42" s="824"/>
      <c r="F42" s="59"/>
      <c r="G42" s="59"/>
      <c r="H42" s="825"/>
      <c r="I42" s="825"/>
      <c r="J42" s="59"/>
      <c r="K42" s="59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25"/>
      <c r="AA42" s="4"/>
      <c r="AB42" s="4"/>
      <c r="AC42" s="4"/>
      <c r="AD42" s="4"/>
      <c r="AE42" s="4"/>
      <c r="AF42" s="4"/>
      <c r="AG42" s="4"/>
      <c r="AH42" s="27">
        <v>2</v>
      </c>
      <c r="AI42" s="24">
        <f>AD9</f>
        <v>3854775.1419622572</v>
      </c>
      <c r="AJ42" s="24">
        <f>AD15</f>
        <v>3883524.2446491309</v>
      </c>
      <c r="AK42" s="24">
        <f>AD21</f>
        <v>3881963.0800138814</v>
      </c>
      <c r="AL42" s="24">
        <f>AD27</f>
        <v>3882047.3702811454</v>
      </c>
      <c r="AM42" s="24">
        <f>AD33</f>
        <v>3882042.8178723152</v>
      </c>
      <c r="AN42" s="24">
        <f>AD39</f>
        <v>3882043</v>
      </c>
      <c r="AO42" s="24">
        <f>AC45</f>
        <v>3882043</v>
      </c>
      <c r="AP42" s="24">
        <f>AC51</f>
        <v>3882043</v>
      </c>
      <c r="AQ42" s="24">
        <f>AC57</f>
        <v>3882043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</row>
    <row r="43" spans="1:249" ht="15" customHeight="1">
      <c r="A43" s="59"/>
      <c r="B43" s="59"/>
      <c r="C43" s="818"/>
      <c r="D43" s="59"/>
      <c r="E43" s="816"/>
      <c r="F43" s="819"/>
      <c r="G43" s="59"/>
      <c r="H43" s="825"/>
      <c r="I43" s="825"/>
      <c r="J43" s="59"/>
      <c r="K43" s="59"/>
      <c r="L43" s="4"/>
      <c r="M43" s="4"/>
      <c r="N43" s="4"/>
      <c r="O43" s="4"/>
      <c r="P43" s="4"/>
      <c r="Q43" s="4"/>
      <c r="R43" s="4"/>
      <c r="S43" s="4"/>
      <c r="T43" s="4"/>
      <c r="U43" s="9" t="s">
        <v>68</v>
      </c>
      <c r="V43" s="8" t="s">
        <v>11</v>
      </c>
      <c r="W43" s="8" t="s">
        <v>12</v>
      </c>
      <c r="X43" s="8" t="s">
        <v>13</v>
      </c>
      <c r="Y43" s="4"/>
      <c r="Z43" s="25"/>
      <c r="AA43" s="4"/>
      <c r="AB43" s="4"/>
      <c r="AC43" s="4"/>
      <c r="AD43" s="4"/>
      <c r="AE43" s="4"/>
      <c r="AF43" s="4"/>
      <c r="AG43" s="4"/>
      <c r="AH43" s="27">
        <v>3</v>
      </c>
      <c r="AI43" s="24">
        <f>AD10</f>
        <v>3850778.5731581999</v>
      </c>
      <c r="AJ43" s="24">
        <f>AD16</f>
        <v>3879267.2128462791</v>
      </c>
      <c r="AK43" s="24">
        <f>AD22</f>
        <v>3877743.5119169815</v>
      </c>
      <c r="AL43" s="24">
        <f>AD28</f>
        <v>3877824.5438094134</v>
      </c>
      <c r="AM43" s="24">
        <f>AD34</f>
        <v>3877820.2331469008</v>
      </c>
      <c r="AN43" s="24">
        <f>AD40</f>
        <v>3877820</v>
      </c>
      <c r="AO43" s="24">
        <f>AC46</f>
        <v>3877820</v>
      </c>
      <c r="AP43" s="24">
        <f>AC52</f>
        <v>3877820</v>
      </c>
      <c r="AQ43" s="24">
        <f>AC58</f>
        <v>3877820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</row>
    <row r="44" spans="1:249" ht="15" customHeight="1">
      <c r="A44" s="59"/>
      <c r="B44" s="59"/>
      <c r="C44" s="818"/>
      <c r="D44" s="59"/>
      <c r="E44" s="816"/>
      <c r="F44" s="819"/>
      <c r="G44" s="59"/>
      <c r="H44" s="825"/>
      <c r="I44" s="825"/>
      <c r="J44" s="59"/>
      <c r="K44" s="59"/>
      <c r="L44" s="4"/>
      <c r="M44" s="4"/>
      <c r="N44" s="4"/>
      <c r="O44" s="4"/>
      <c r="P44" s="4"/>
      <c r="Q44" s="4"/>
      <c r="R44" s="4"/>
      <c r="S44" s="4"/>
      <c r="T44" s="4"/>
      <c r="U44" s="25">
        <f>100*(+AD38/$E$12)</f>
        <v>274.31219070865586</v>
      </c>
      <c r="V44" s="39">
        <f>EXP(5.7226-(0.68367*LN(+U44)))</f>
        <v>6.5817073643462969</v>
      </c>
      <c r="W44" s="26">
        <f>(+V44*U44)/100</f>
        <v>18.054425657171262</v>
      </c>
      <c r="X44" s="25">
        <f>100*((((W44/100)-((W44/100)-0.03574)*$E$24)-0.03574-0.00619)/0.344)</f>
        <v>25.982793412014626</v>
      </c>
      <c r="Y44" s="27">
        <v>0</v>
      </c>
      <c r="Z44" s="25">
        <f>X44+Y44</f>
        <v>25.982793412014626</v>
      </c>
      <c r="AA44" s="25">
        <f>100*($E$20*$E$22+($E$21*(Z44/100))/(1-$E$24))</f>
        <v>23.36003388852135</v>
      </c>
      <c r="AB44" s="26">
        <f>AA44/U44</f>
        <v>8.515856997887418E-2</v>
      </c>
      <c r="AC44" s="24">
        <f>ROUND($E$11/(1-AB44),0)</f>
        <v>3888317</v>
      </c>
      <c r="AD44" s="27" t="str">
        <f>IF(OR(OR(AC44=AD38,AC44=(AD38+1)),AC44=(AD30-1)),"yes","not yet")</f>
        <v>yes</v>
      </c>
      <c r="AE44" s="25">
        <f>100*(1-AB44)</f>
        <v>91.484143002112589</v>
      </c>
      <c r="AF44" s="4"/>
      <c r="AG44" s="4"/>
      <c r="AH44" s="27">
        <v>4</v>
      </c>
      <c r="AI44" s="24">
        <f>AD11</f>
        <v>3848226.4343975624</v>
      </c>
      <c r="AJ44" s="24">
        <f>AD17</f>
        <v>3876545.6373472069</v>
      </c>
      <c r="AK44" s="24">
        <f>AD23</f>
        <v>3875045.8187200991</v>
      </c>
      <c r="AL44" s="24">
        <f>AD29</f>
        <v>3875124.8029311285</v>
      </c>
      <c r="AM44" s="24">
        <f>AD35</f>
        <v>3875120.6421822296</v>
      </c>
      <c r="AN44" s="24">
        <f>AC41</f>
        <v>3875121</v>
      </c>
      <c r="AO44" s="24">
        <f>AC47</f>
        <v>3875121</v>
      </c>
      <c r="AP44" s="24">
        <f>AC53</f>
        <v>3875121</v>
      </c>
      <c r="AQ44" s="24">
        <f>AC59</f>
        <v>3875121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</row>
    <row r="45" spans="1:249" ht="15" customHeight="1">
      <c r="A45" s="59"/>
      <c r="B45" s="59"/>
      <c r="C45" s="818"/>
      <c r="D45" s="59"/>
      <c r="E45" s="816"/>
      <c r="F45" s="819"/>
      <c r="G45" s="59"/>
      <c r="H45" s="825"/>
      <c r="I45" s="825"/>
      <c r="J45" s="59"/>
      <c r="K45" s="59"/>
      <c r="L45" s="4"/>
      <c r="M45" s="4"/>
      <c r="N45" s="4"/>
      <c r="O45" s="4"/>
      <c r="P45" s="4"/>
      <c r="Q45" s="4"/>
      <c r="R45" s="4"/>
      <c r="S45" s="4"/>
      <c r="T45" s="4"/>
      <c r="U45" s="25">
        <f>100*(+AD39/$E$12)</f>
        <v>273.86957384266833</v>
      </c>
      <c r="V45" s="39">
        <f>EXP(5.70827-(0.68367*LN(+U45)))</f>
        <v>6.4952310128430657</v>
      </c>
      <c r="W45" s="26">
        <f>(+V45*U45)/100</f>
        <v>17.788461494970132</v>
      </c>
      <c r="X45" s="25">
        <f>100*((((W45/100)-((W45/100)-0.03574)*$E$24)-0.03574-0.00619)/0.344)</f>
        <v>25.47251333337293</v>
      </c>
      <c r="Y45" s="27">
        <v>0</v>
      </c>
      <c r="Z45" s="25">
        <f>X45+Y45</f>
        <v>25.47251333337293</v>
      </c>
      <c r="AA45" s="25">
        <f>100*($E$20*$E$22+($E$21*(Z45/100))/(1-$E$24))</f>
        <v>22.917437225850076</v>
      </c>
      <c r="AB45" s="26">
        <f>AA45/U45</f>
        <v>8.368011423939925E-2</v>
      </c>
      <c r="AC45" s="24">
        <f>ROUND($E$11/(1-AB45),0)</f>
        <v>3882043</v>
      </c>
      <c r="AD45" s="27" t="str">
        <f>IF(OR(OR(AC45=AD39,AC45=(AD39+1)),AC45=(AD39-1)),"yes","not yet")</f>
        <v>yes</v>
      </c>
      <c r="AE45" s="25">
        <f>100*(1-AB45)</f>
        <v>91.631988576060081</v>
      </c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</row>
    <row r="46" spans="1:249" ht="15" customHeight="1">
      <c r="A46" s="59"/>
      <c r="B46" s="59"/>
      <c r="C46" s="818"/>
      <c r="D46" s="59"/>
      <c r="E46" s="816"/>
      <c r="F46" s="819"/>
      <c r="G46" s="59"/>
      <c r="H46" s="825"/>
      <c r="I46" s="825"/>
      <c r="J46" s="59"/>
      <c r="K46" s="59"/>
      <c r="L46" s="4"/>
      <c r="M46" s="4"/>
      <c r="N46" s="4"/>
      <c r="O46" s="4"/>
      <c r="P46" s="4"/>
      <c r="Q46" s="4"/>
      <c r="R46" s="4"/>
      <c r="S46" s="4"/>
      <c r="T46" s="4"/>
      <c r="U46" s="25">
        <f>100*(+AD40/$E$12)</f>
        <v>273.57165050427727</v>
      </c>
      <c r="V46" s="39">
        <f>EXP(5.6985-(0.68367*LN(U46)))</f>
        <v>6.4368696215917236</v>
      </c>
      <c r="W46" s="26">
        <f>(+V46*U46)/100</f>
        <v>17.609450464596904</v>
      </c>
      <c r="X46" s="25">
        <f>100*((((W46/100)-((W46/100)-0.03574)*$E$24)-0.03574-0.00619)/0.344)</f>
        <v>25.129061937889414</v>
      </c>
      <c r="Y46" s="27">
        <v>0</v>
      </c>
      <c r="Z46" s="25">
        <f>X46+Y46</f>
        <v>25.129061937889414</v>
      </c>
      <c r="AA46" s="25">
        <f>100*($E$20*$E$22+($E$21*(Z46/100))/(1-$E$24))</f>
        <v>22.619541133501279</v>
      </c>
      <c r="AB46" s="26">
        <f>AA46/U46</f>
        <v>8.2682328712812378E-2</v>
      </c>
      <c r="AC46" s="24">
        <f>ROUND($E$11/(1-AB46),0)</f>
        <v>3877820</v>
      </c>
      <c r="AD46" s="27" t="str">
        <f>IF(OR(OR(AC46=AD40,AC46=(AD40+1)),AC46=(AD40-1)),"yes","not yet")</f>
        <v>yes</v>
      </c>
      <c r="AE46" s="25">
        <f>100*(1-AB46)</f>
        <v>91.731767128718772</v>
      </c>
      <c r="AF46" s="4"/>
      <c r="AG46" s="4"/>
      <c r="AH46" s="4"/>
      <c r="AI46" s="9" t="s">
        <v>62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</row>
    <row r="47" spans="1:249" ht="15" customHeight="1">
      <c r="A47" s="59"/>
      <c r="B47" s="59"/>
      <c r="C47" s="818"/>
      <c r="D47" s="59"/>
      <c r="E47" s="816"/>
      <c r="F47" s="819"/>
      <c r="G47" s="59"/>
      <c r="H47" s="825"/>
      <c r="I47" s="825"/>
      <c r="J47" s="59"/>
      <c r="K47" s="59"/>
      <c r="L47" s="4"/>
      <c r="M47" s="4"/>
      <c r="N47" s="4"/>
      <c r="O47" s="4"/>
      <c r="P47" s="4"/>
      <c r="Q47" s="4"/>
      <c r="R47" s="4"/>
      <c r="S47" s="4"/>
      <c r="T47" s="4"/>
      <c r="U47" s="25">
        <f>100*(+AC41/$E$12)</f>
        <v>273.38124200550448</v>
      </c>
      <c r="V47" s="39">
        <f>EXP(5.6922-(0.68367*LN(U47)))</f>
        <v>6.3994902893178098</v>
      </c>
      <c r="W47" s="26">
        <f>(+V47*U47)/100</f>
        <v>17.495006034958681</v>
      </c>
      <c r="X47" s="25">
        <f>100*((((W47/100)-((W47/100)-0.03574)*$E$24)-0.03574-0.00619)/0.344)</f>
        <v>24.909488322885846</v>
      </c>
      <c r="Y47" s="27">
        <v>0</v>
      </c>
      <c r="Z47" s="25">
        <f>X47+Y47</f>
        <v>24.909488322885846</v>
      </c>
      <c r="AA47" s="25">
        <f>100*($E$20*$E$22+($E$21*(Z47/100))/(1-$E$24))</f>
        <v>22.4290917052776</v>
      </c>
      <c r="AB47" s="26">
        <f>AA47/U47</f>
        <v>8.2043272394036443E-2</v>
      </c>
      <c r="AC47" s="24">
        <f>ROUND($E$11/(1-AB47),0)</f>
        <v>3875121</v>
      </c>
      <c r="AD47" s="27" t="str">
        <f>IF(OR(OR(AC47=AC41,AC47=(AC41+1)),AC47=(AC41-1)),"yes","not yet")</f>
        <v>yes</v>
      </c>
      <c r="AE47" s="25">
        <f>100*(1-AB47)</f>
        <v>91.795672760596361</v>
      </c>
      <c r="AF47" s="4"/>
      <c r="AG47" s="4"/>
      <c r="AH47" s="4"/>
      <c r="AI47" s="24">
        <f>HLOOKUP($AJ$37,$AJ$40:$AR$44,$E$15+1)</f>
        <v>3877820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</row>
    <row r="48" spans="1:249" ht="15" customHeight="1">
      <c r="A48" s="59"/>
      <c r="B48" s="59"/>
      <c r="C48" s="59"/>
      <c r="D48" s="59"/>
      <c r="E48" s="816"/>
      <c r="F48" s="826"/>
      <c r="G48" s="59"/>
      <c r="H48" s="825"/>
      <c r="I48" s="825"/>
      <c r="J48" s="59"/>
      <c r="K48" s="59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25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</row>
    <row r="49" spans="1:248">
      <c r="A49" s="59"/>
      <c r="B49" s="59"/>
      <c r="C49" s="59"/>
      <c r="D49" s="827"/>
      <c r="E49" s="824"/>
      <c r="F49" s="828"/>
      <c r="G49" s="59"/>
      <c r="H49" s="825"/>
      <c r="I49" s="825"/>
      <c r="J49" s="59"/>
      <c r="K49" s="59"/>
      <c r="L49" s="4"/>
      <c r="M49" s="4"/>
      <c r="N49" s="4"/>
      <c r="O49" s="4"/>
      <c r="P49" s="4"/>
      <c r="Q49" s="4"/>
      <c r="R49" s="4"/>
      <c r="S49" s="4"/>
      <c r="T49" s="4"/>
      <c r="U49" s="9" t="s">
        <v>71</v>
      </c>
      <c r="V49" s="8" t="s">
        <v>11</v>
      </c>
      <c r="W49" s="8" t="s">
        <v>12</v>
      </c>
      <c r="X49" s="8" t="s">
        <v>13</v>
      </c>
      <c r="Y49" s="4"/>
      <c r="Z49" s="25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</row>
    <row r="50" spans="1:248" ht="15" customHeight="1">
      <c r="A50" s="59"/>
      <c r="B50" s="59"/>
      <c r="C50" s="818"/>
      <c r="D50" s="827"/>
      <c r="E50" s="827"/>
      <c r="F50" s="828"/>
      <c r="G50" s="59"/>
      <c r="H50" s="825"/>
      <c r="I50" s="825"/>
      <c r="J50" s="59"/>
      <c r="K50" s="59"/>
      <c r="L50" s="4"/>
      <c r="M50" s="4"/>
      <c r="N50" s="4"/>
      <c r="O50" s="4"/>
      <c r="P50" s="4"/>
      <c r="Q50" s="4"/>
      <c r="R50" s="4"/>
      <c r="S50" s="4"/>
      <c r="T50" s="4"/>
      <c r="U50" s="25">
        <f>100*(+AC44/$E$12)</f>
        <v>274.31219070865586</v>
      </c>
      <c r="V50" s="39">
        <f>EXP(5.7226-(0.68367*LN(+U50)))</f>
        <v>6.5817073643462969</v>
      </c>
      <c r="W50" s="26">
        <f>(+V50*U50)/100</f>
        <v>18.054425657171262</v>
      </c>
      <c r="X50" s="25">
        <f>100*((((W50/100)-((W50/100)-0.03574)*$E$24)-0.03574-0.00619)/0.344)</f>
        <v>25.982793412014626</v>
      </c>
      <c r="Y50" s="27">
        <v>0</v>
      </c>
      <c r="Z50" s="25">
        <f>X50+Y50</f>
        <v>25.982793412014626</v>
      </c>
      <c r="AA50" s="25">
        <f>100*($E$20*$E$22+($E$21*(Z50/100))/(1-$E$24))</f>
        <v>23.36003388852135</v>
      </c>
      <c r="AB50" s="26">
        <f>AA50/U50</f>
        <v>8.515856997887418E-2</v>
      </c>
      <c r="AC50" s="24">
        <f>ROUND($E$11/(1-AB50),0)</f>
        <v>3888317</v>
      </c>
      <c r="AD50" s="27" t="str">
        <f>IF(OR(OR(AC50=AC44,AC50=(AC44+1)),AC50=(AD36-1)),"yes","not yet")</f>
        <v>yes</v>
      </c>
      <c r="AE50" s="25">
        <f>100*(1-AB50)</f>
        <v>91.484143002112589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</row>
    <row r="51" spans="1:248" ht="15" customHeight="1">
      <c r="A51" s="59"/>
      <c r="B51" s="59"/>
      <c r="C51" s="818"/>
      <c r="D51" s="59"/>
      <c r="E51" s="59"/>
      <c r="F51" s="828"/>
      <c r="G51" s="59"/>
      <c r="H51" s="825"/>
      <c r="I51" s="825"/>
      <c r="J51" s="59"/>
      <c r="K51" s="59"/>
      <c r="L51" s="4"/>
      <c r="M51" s="4"/>
      <c r="N51" s="4"/>
      <c r="O51" s="4"/>
      <c r="P51" s="4"/>
      <c r="Q51" s="4"/>
      <c r="R51" s="4"/>
      <c r="S51" s="4"/>
      <c r="T51" s="4"/>
      <c r="U51" s="25">
        <f>100*(+AC45/$E$12)</f>
        <v>273.86957384266833</v>
      </c>
      <c r="V51" s="39">
        <f>EXP(5.70827-(0.68367*LN(+U51)))</f>
        <v>6.4952310128430657</v>
      </c>
      <c r="W51" s="26">
        <f>(+V51*U51)/100</f>
        <v>17.788461494970132</v>
      </c>
      <c r="X51" s="25">
        <f>100*((((W51/100)-((W51/100)-0.03574)*$E$24)-0.03574-0.00619)/0.344)</f>
        <v>25.47251333337293</v>
      </c>
      <c r="Y51" s="27">
        <v>0</v>
      </c>
      <c r="Z51" s="25">
        <f>X51+Y51</f>
        <v>25.47251333337293</v>
      </c>
      <c r="AA51" s="25">
        <f>100*($E$20*$E$22+($E$21*(Z51/100))/(1-$E$24))</f>
        <v>22.917437225850076</v>
      </c>
      <c r="AB51" s="26">
        <f>AA51/U51</f>
        <v>8.368011423939925E-2</v>
      </c>
      <c r="AC51" s="24">
        <f>ROUND($E$11/(1-AB51),0)</f>
        <v>3882043</v>
      </c>
      <c r="AD51" s="27" t="str">
        <f>IF(OR(OR(AC51=AC45,AC51=(AC45+1)),AC51=(AC45-1)),"yes","not yet")</f>
        <v>yes</v>
      </c>
      <c r="AE51" s="25">
        <f>100*(1-AB51)</f>
        <v>91.631988576060081</v>
      </c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</row>
    <row r="52" spans="1:248" ht="15" customHeight="1">
      <c r="A52" s="59"/>
      <c r="B52" s="59"/>
      <c r="C52" s="818"/>
      <c r="D52" s="59"/>
      <c r="E52" s="59"/>
      <c r="F52" s="828"/>
      <c r="G52" s="59"/>
      <c r="H52" s="825"/>
      <c r="I52" s="825"/>
      <c r="J52" s="59"/>
      <c r="K52" s="59"/>
      <c r="L52" s="4"/>
      <c r="M52" s="4"/>
      <c r="N52" s="4"/>
      <c r="O52" s="4"/>
      <c r="P52" s="4"/>
      <c r="Q52" s="4"/>
      <c r="R52" s="4"/>
      <c r="S52" s="4"/>
      <c r="T52" s="4"/>
      <c r="U52" s="25">
        <f>100*(+AC46/$E$12)</f>
        <v>273.57165050427727</v>
      </c>
      <c r="V52" s="39">
        <f>EXP(5.6985-(0.68367*LN(U52)))</f>
        <v>6.4368696215917236</v>
      </c>
      <c r="W52" s="26">
        <f>(+V52*U52)/100</f>
        <v>17.609450464596904</v>
      </c>
      <c r="X52" s="25">
        <f>100*((((W52/100)-((W52/100)-0.03574)*$E$24)-0.03574-0.00619)/0.344)</f>
        <v>25.129061937889414</v>
      </c>
      <c r="Y52" s="27">
        <v>0</v>
      </c>
      <c r="Z52" s="25">
        <f>X52+Y52</f>
        <v>25.129061937889414</v>
      </c>
      <c r="AA52" s="25">
        <f>100*($E$20*$E$22+($E$21*(Z52/100))/(1-$E$24))</f>
        <v>22.619541133501279</v>
      </c>
      <c r="AB52" s="26">
        <f>AA52/U52</f>
        <v>8.2682328712812378E-2</v>
      </c>
      <c r="AC52" s="24">
        <f>ROUND($E$11/(1-AB52),0)</f>
        <v>3877820</v>
      </c>
      <c r="AD52" s="27" t="str">
        <f>IF(OR(OR(AC52=AC46,AC52=(AC46+1)),AC52=(AC46-1)),"yes","not yet")</f>
        <v>yes</v>
      </c>
      <c r="AE52" s="25">
        <f>100*(1-AB52)</f>
        <v>91.731767128718772</v>
      </c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</row>
    <row r="53" spans="1:248" ht="15" customHeight="1">
      <c r="A53" s="59"/>
      <c r="B53" s="59"/>
      <c r="C53" s="818"/>
      <c r="D53" s="59"/>
      <c r="E53" s="59"/>
      <c r="F53" s="828"/>
      <c r="G53" s="59"/>
      <c r="H53" s="825"/>
      <c r="I53" s="825"/>
      <c r="J53" s="59"/>
      <c r="K53" s="59"/>
      <c r="L53" s="4"/>
      <c r="M53" s="4"/>
      <c r="N53" s="4"/>
      <c r="O53" s="4"/>
      <c r="P53" s="4"/>
      <c r="Q53" s="4"/>
      <c r="R53" s="4"/>
      <c r="S53" s="4"/>
      <c r="T53" s="4"/>
      <c r="U53" s="25">
        <f>100*(+AC47/$E$12)</f>
        <v>273.38124200550448</v>
      </c>
      <c r="V53" s="39">
        <f>EXP(5.6922-(0.68367*LN(U53)))</f>
        <v>6.3994902893178098</v>
      </c>
      <c r="W53" s="26">
        <f>(+V53*U53)/100</f>
        <v>17.495006034958681</v>
      </c>
      <c r="X53" s="25">
        <f>100*((((W53/100)-((W53/100)-0.03574)*$E$24)-0.03574-0.00619)/0.344)</f>
        <v>24.909488322885846</v>
      </c>
      <c r="Y53" s="27">
        <v>0</v>
      </c>
      <c r="Z53" s="25">
        <f>X53+Y53</f>
        <v>24.909488322885846</v>
      </c>
      <c r="AA53" s="25">
        <f>100*($E$20*$E$22+($E$21*(Z53/100))/(1-$E$24))</f>
        <v>22.4290917052776</v>
      </c>
      <c r="AB53" s="26">
        <f>AA53/U53</f>
        <v>8.2043272394036443E-2</v>
      </c>
      <c r="AC53" s="24">
        <f>ROUND($E$11/(1-AB53),0)</f>
        <v>3875121</v>
      </c>
      <c r="AD53" s="27" t="str">
        <f>IF(OR(OR(AC53=AC47,AC53=(AC47+1)),AC53=(AC47-1)),"yes","not yet")</f>
        <v>yes</v>
      </c>
      <c r="AE53" s="25">
        <f>100*(1-AB53)</f>
        <v>91.795672760596361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</row>
    <row r="54" spans="1:248" ht="15" customHeight="1">
      <c r="A54" s="59"/>
      <c r="B54" s="59"/>
      <c r="C54" s="818"/>
      <c r="D54" s="59"/>
      <c r="E54" s="59"/>
      <c r="F54" s="828"/>
      <c r="G54" s="59"/>
      <c r="H54" s="825"/>
      <c r="I54" s="825"/>
      <c r="J54" s="59"/>
      <c r="K54" s="59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25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</row>
    <row r="55" spans="1:248" ht="15" customHeight="1">
      <c r="A55" s="59"/>
      <c r="B55" s="59"/>
      <c r="C55" s="59"/>
      <c r="D55" s="59"/>
      <c r="E55" s="59"/>
      <c r="F55" s="826"/>
      <c r="G55" s="59"/>
      <c r="H55" s="825"/>
      <c r="I55" s="825"/>
      <c r="J55" s="59"/>
      <c r="K55" s="59"/>
      <c r="L55" s="4"/>
      <c r="M55" s="4"/>
      <c r="N55" s="4"/>
      <c r="O55" s="4"/>
      <c r="P55" s="4"/>
      <c r="Q55" s="4"/>
      <c r="R55" s="4"/>
      <c r="S55" s="4"/>
      <c r="T55" s="4"/>
      <c r="U55" s="9" t="s">
        <v>72</v>
      </c>
      <c r="V55" s="8" t="s">
        <v>11</v>
      </c>
      <c r="W55" s="8" t="s">
        <v>12</v>
      </c>
      <c r="X55" s="8" t="s">
        <v>13</v>
      </c>
      <c r="Y55" s="4"/>
      <c r="Z55" s="25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</row>
    <row r="56" spans="1:248">
      <c r="A56" s="59"/>
      <c r="B56" s="59"/>
      <c r="C56" s="59"/>
      <c r="D56" s="59"/>
      <c r="E56" s="829"/>
      <c r="F56" s="826"/>
      <c r="G56" s="59"/>
      <c r="H56" s="825"/>
      <c r="I56" s="825"/>
      <c r="J56" s="59"/>
      <c r="K56" s="59"/>
      <c r="L56" s="4"/>
      <c r="M56" s="4"/>
      <c r="N56" s="4"/>
      <c r="O56" s="4"/>
      <c r="P56" s="4"/>
      <c r="Q56" s="4"/>
      <c r="R56" s="4"/>
      <c r="S56" s="4"/>
      <c r="T56" s="4"/>
      <c r="U56" s="25">
        <f>100*(+AC50/$E$12)</f>
        <v>274.31219070865586</v>
      </c>
      <c r="V56" s="39">
        <f>EXP(5.7226-(0.68367*LN(+U56)))</f>
        <v>6.5817073643462969</v>
      </c>
      <c r="W56" s="26">
        <f>(+V56*U56)/100</f>
        <v>18.054425657171262</v>
      </c>
      <c r="X56" s="25">
        <f>100*((((W56/100)-((W56/100)-0.03574)*$E$24)-0.03574-0.00619)/0.344)</f>
        <v>25.982793412014626</v>
      </c>
      <c r="Y56" s="27">
        <v>0</v>
      </c>
      <c r="Z56" s="25">
        <f>X56+Y56</f>
        <v>25.982793412014626</v>
      </c>
      <c r="AA56" s="25">
        <f>100*($E$20*$E$22+($E$21*(Z56/100))/(1-$E$24))</f>
        <v>23.36003388852135</v>
      </c>
      <c r="AB56" s="26">
        <f>AA56/U56</f>
        <v>8.515856997887418E-2</v>
      </c>
      <c r="AC56" s="24">
        <f>ROUND($E$11/(1-AB56),0)</f>
        <v>3888317</v>
      </c>
      <c r="AD56" s="27" t="str">
        <f>IF(OR(OR(AC56=AC50,AC56=(AC50+1)),AC56=(AC42-1)),"yes","not yet")</f>
        <v>yes</v>
      </c>
      <c r="AE56" s="25">
        <f>100*(1-AB56)</f>
        <v>91.484143002112589</v>
      </c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</row>
    <row r="57" spans="1:248" ht="15" customHeight="1">
      <c r="A57" s="59"/>
      <c r="B57" s="59"/>
      <c r="C57" s="818"/>
      <c r="D57" s="59"/>
      <c r="E57" s="59"/>
      <c r="F57" s="826"/>
      <c r="G57" s="59"/>
      <c r="H57" s="825"/>
      <c r="I57" s="825"/>
      <c r="J57" s="59"/>
      <c r="K57" s="59"/>
      <c r="L57" s="4"/>
      <c r="M57" s="4"/>
      <c r="N57" s="4"/>
      <c r="O57" s="4"/>
      <c r="P57" s="4"/>
      <c r="Q57" s="4"/>
      <c r="R57" s="4"/>
      <c r="S57" s="4"/>
      <c r="T57" s="4"/>
      <c r="U57" s="25">
        <f>100*(+AC51/$E$12)</f>
        <v>273.86957384266833</v>
      </c>
      <c r="V57" s="39">
        <f>EXP(5.70827-(0.68367*LN(+U57)))</f>
        <v>6.4952310128430657</v>
      </c>
      <c r="W57" s="26">
        <f>(+V57*U57)/100</f>
        <v>17.788461494970132</v>
      </c>
      <c r="X57" s="25">
        <f>100*((((W57/100)-((W57/100)-0.03574)*$E$24)-0.03574-0.00619)/0.344)</f>
        <v>25.47251333337293</v>
      </c>
      <c r="Y57" s="27">
        <v>0</v>
      </c>
      <c r="Z57" s="25">
        <f>X57+Y57</f>
        <v>25.47251333337293</v>
      </c>
      <c r="AA57" s="25">
        <f>100*($E$20*$E$22+($E$21*(Z57/100))/(1-$E$24))</f>
        <v>22.917437225850076</v>
      </c>
      <c r="AB57" s="26">
        <f>AA57/U57</f>
        <v>8.368011423939925E-2</v>
      </c>
      <c r="AC57" s="24">
        <f>ROUND($E$11/(1-AB57),0)</f>
        <v>3882043</v>
      </c>
      <c r="AD57" s="27" t="str">
        <f>IF(OR(OR(AC57=AC51,AC57=(AC51+1)),AC57=(AC51-1)),"yes","not yet")</f>
        <v>yes</v>
      </c>
      <c r="AE57" s="25">
        <f>100*(1-AB57)</f>
        <v>91.631988576060081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</row>
    <row r="58" spans="1:248" ht="15" customHeight="1">
      <c r="A58" s="59"/>
      <c r="B58" s="59"/>
      <c r="C58" s="818"/>
      <c r="D58" s="59"/>
      <c r="E58" s="59"/>
      <c r="F58" s="826"/>
      <c r="G58" s="59"/>
      <c r="H58" s="825"/>
      <c r="I58" s="825"/>
      <c r="J58" s="59"/>
      <c r="K58" s="59"/>
      <c r="L58" s="4"/>
      <c r="M58" s="4"/>
      <c r="N58" s="4"/>
      <c r="O58" s="4"/>
      <c r="P58" s="4"/>
      <c r="Q58" s="4"/>
      <c r="R58" s="4"/>
      <c r="S58" s="4"/>
      <c r="T58" s="4"/>
      <c r="U58" s="25">
        <f>100*(+AC52/$E$12)</f>
        <v>273.57165050427727</v>
      </c>
      <c r="V58" s="39">
        <f>EXP(5.6985-(0.68367*LN(U58)))</f>
        <v>6.4368696215917236</v>
      </c>
      <c r="W58" s="26">
        <f>(+V58*U58)/100</f>
        <v>17.609450464596904</v>
      </c>
      <c r="X58" s="25">
        <f>100*((((W58/100)-((W58/100)-0.03574)*$E$24)-0.03574-0.00619)/0.344)</f>
        <v>25.129061937889414</v>
      </c>
      <c r="Y58" s="27">
        <v>0</v>
      </c>
      <c r="Z58" s="25">
        <f>X58+Y58</f>
        <v>25.129061937889414</v>
      </c>
      <c r="AA58" s="25">
        <f>100*($E$20*$E$22+($E$21*(Z58/100))/(1-$E$24))</f>
        <v>22.619541133501279</v>
      </c>
      <c r="AB58" s="26">
        <f>AA58/U58</f>
        <v>8.2682328712812378E-2</v>
      </c>
      <c r="AC58" s="24">
        <f>ROUND($E$11/(1-AB58),0)</f>
        <v>3877820</v>
      </c>
      <c r="AD58" s="27" t="str">
        <f>IF(OR(OR(AC58=AC52,AC58=(AC52+1)),AC58=(AC52-1)),"yes","not yet")</f>
        <v>yes</v>
      </c>
      <c r="AE58" s="25">
        <f>100*(1-AB58)</f>
        <v>91.731767128718772</v>
      </c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</row>
    <row r="59" spans="1:248" ht="15" customHeight="1">
      <c r="A59" s="59"/>
      <c r="B59" s="59"/>
      <c r="C59" s="818"/>
      <c r="D59" s="59"/>
      <c r="E59" s="59"/>
      <c r="F59" s="826"/>
      <c r="G59" s="59"/>
      <c r="H59" s="825"/>
      <c r="I59" s="825"/>
      <c r="J59" s="59"/>
      <c r="K59" s="59"/>
      <c r="L59" s="4"/>
      <c r="M59" s="4"/>
      <c r="N59" s="4"/>
      <c r="O59" s="4"/>
      <c r="P59" s="4"/>
      <c r="Q59" s="4"/>
      <c r="R59" s="4"/>
      <c r="S59" s="4"/>
      <c r="T59" s="4"/>
      <c r="U59" s="25">
        <f>100*(+AC53/$E$12)</f>
        <v>273.38124200550448</v>
      </c>
      <c r="V59" s="39">
        <f>EXP(5.6922-(0.68367*LN(U59)))</f>
        <v>6.3994902893178098</v>
      </c>
      <c r="W59" s="26">
        <f>(+V59*U59)/100</f>
        <v>17.495006034958681</v>
      </c>
      <c r="X59" s="25">
        <f>100*((((W59/100)-((W59/100)-0.03574)*$E$24)-0.03574-0.00619)/0.344)</f>
        <v>24.909488322885846</v>
      </c>
      <c r="Y59" s="27">
        <v>0</v>
      </c>
      <c r="Z59" s="25">
        <f>X59+Y59</f>
        <v>24.909488322885846</v>
      </c>
      <c r="AA59" s="25">
        <f>100*($E$20*$E$22+($E$21*(Z59/100))/(1-$E$24))</f>
        <v>22.4290917052776</v>
      </c>
      <c r="AB59" s="26">
        <f>AA59/U59</f>
        <v>8.2043272394036443E-2</v>
      </c>
      <c r="AC59" s="24">
        <f>ROUND($E$11/(1-AB59),0)</f>
        <v>3875121</v>
      </c>
      <c r="AD59" s="27" t="str">
        <f>IF(OR(OR(AC59=AC53,AC59=(AC53+1)),AC59=(AC53-1)),"yes","not yet")</f>
        <v>yes</v>
      </c>
      <c r="AE59" s="25">
        <f>100*(1-AB59)</f>
        <v>91.795672760596361</v>
      </c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</row>
    <row r="60" spans="1:248" ht="15" customHeight="1">
      <c r="A60" s="59"/>
      <c r="B60" s="59"/>
      <c r="C60" s="818"/>
      <c r="D60" s="59"/>
      <c r="E60" s="59"/>
      <c r="F60" s="826"/>
      <c r="G60" s="59"/>
      <c r="H60" s="825"/>
      <c r="I60" s="825"/>
      <c r="J60" s="59"/>
      <c r="K60" s="59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25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</row>
    <row r="61" spans="1:248" ht="15" customHeight="1">
      <c r="A61" s="59"/>
      <c r="B61" s="59"/>
      <c r="C61" s="818"/>
      <c r="D61" s="59"/>
      <c r="E61" s="59"/>
      <c r="F61" s="826"/>
      <c r="G61" s="59"/>
      <c r="H61" s="825"/>
      <c r="I61" s="825"/>
      <c r="J61" s="59"/>
      <c r="K61" s="59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</row>
    <row r="62" spans="1:248" ht="15" customHeight="1">
      <c r="A62" s="59"/>
      <c r="B62" s="59"/>
      <c r="C62" s="59"/>
      <c r="D62" s="59"/>
      <c r="E62" s="59"/>
      <c r="F62" s="826"/>
      <c r="G62" s="59"/>
      <c r="H62" s="825"/>
      <c r="I62" s="825"/>
      <c r="J62" s="59"/>
      <c r="K62" s="59"/>
      <c r="L62" s="4"/>
      <c r="M62" s="4"/>
      <c r="N62" s="4"/>
      <c r="O62" s="4"/>
      <c r="P62" s="4"/>
      <c r="Q62" s="4"/>
      <c r="R62" s="4"/>
      <c r="S62" s="4"/>
      <c r="T62" s="4"/>
      <c r="U62" s="25"/>
      <c r="V62" s="39"/>
      <c r="W62" s="26"/>
      <c r="X62" s="25"/>
      <c r="Y62" s="4"/>
      <c r="Z62" s="4"/>
      <c r="AA62" s="25"/>
      <c r="AB62" s="26"/>
      <c r="AC62" s="2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</row>
    <row r="63" spans="1:248" ht="15" customHeight="1">
      <c r="A63" s="59"/>
      <c r="B63" s="59"/>
      <c r="C63" s="59"/>
      <c r="D63" s="59"/>
      <c r="E63" s="59"/>
      <c r="F63" s="826"/>
      <c r="G63" s="59"/>
      <c r="H63" s="825"/>
      <c r="I63" s="825"/>
      <c r="J63" s="59"/>
      <c r="K63" s="59"/>
      <c r="L63" s="4"/>
      <c r="M63" s="4"/>
      <c r="N63" s="4"/>
      <c r="O63" s="4"/>
      <c r="P63" s="4"/>
      <c r="Q63" s="4"/>
      <c r="R63" s="4"/>
      <c r="S63" s="4"/>
      <c r="T63" s="4"/>
      <c r="U63" s="25"/>
      <c r="V63" s="39"/>
      <c r="W63" s="26"/>
      <c r="X63" s="25"/>
      <c r="Y63" s="4"/>
      <c r="Z63" s="4"/>
      <c r="AA63" s="25"/>
      <c r="AB63" s="26"/>
      <c r="AC63" s="2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</row>
    <row r="64" spans="1:248" ht="15" customHeight="1">
      <c r="A64" s="59"/>
      <c r="B64" s="59"/>
      <c r="C64" s="818"/>
      <c r="D64" s="59"/>
      <c r="E64" s="59"/>
      <c r="F64" s="826"/>
      <c r="G64" s="59"/>
      <c r="H64" s="825"/>
      <c r="I64" s="825"/>
      <c r="J64" s="59"/>
      <c r="K64" s="59"/>
      <c r="L64" s="4"/>
      <c r="M64" s="4"/>
      <c r="N64" s="4"/>
      <c r="O64" s="4"/>
      <c r="P64" s="4"/>
      <c r="Q64" s="4"/>
      <c r="R64" s="4"/>
      <c r="S64" s="4"/>
      <c r="T64" s="4"/>
      <c r="U64" s="25"/>
      <c r="V64" s="39"/>
      <c r="W64" s="26"/>
      <c r="X64" s="25"/>
      <c r="Y64" s="4"/>
      <c r="Z64" s="4"/>
      <c r="AA64" s="25"/>
      <c r="AB64" s="26"/>
      <c r="AC64" s="2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</row>
    <row r="65" spans="1:248" ht="15" customHeight="1">
      <c r="A65" s="59"/>
      <c r="B65" s="59"/>
      <c r="C65" s="818"/>
      <c r="D65" s="59"/>
      <c r="E65" s="59"/>
      <c r="F65" s="826"/>
      <c r="G65" s="59"/>
      <c r="H65" s="825"/>
      <c r="I65" s="825"/>
      <c r="J65" s="59"/>
      <c r="K65" s="59"/>
      <c r="L65" s="4"/>
      <c r="M65" s="4"/>
      <c r="N65" s="4"/>
      <c r="O65" s="4"/>
      <c r="P65" s="4"/>
      <c r="Q65" s="4"/>
      <c r="R65" s="4"/>
      <c r="S65" s="4"/>
      <c r="T65" s="4"/>
      <c r="U65" s="25"/>
      <c r="V65" s="39"/>
      <c r="W65" s="26"/>
      <c r="X65" s="25"/>
      <c r="Y65" s="4"/>
      <c r="Z65" s="4"/>
      <c r="AA65" s="25"/>
      <c r="AB65" s="26"/>
      <c r="AC65" s="2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</row>
    <row r="66" spans="1:248" ht="15" customHeight="1">
      <c r="A66" s="59"/>
      <c r="B66" s="59"/>
      <c r="C66" s="818"/>
      <c r="D66" s="59"/>
      <c r="E66" s="59"/>
      <c r="F66" s="826"/>
      <c r="G66" s="59"/>
      <c r="H66" s="825"/>
      <c r="I66" s="825"/>
      <c r="J66" s="59"/>
      <c r="K66" s="59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</row>
    <row r="67" spans="1:248" ht="15" customHeight="1">
      <c r="A67" s="59"/>
      <c r="B67" s="59"/>
      <c r="C67" s="818"/>
      <c r="D67" s="59"/>
      <c r="E67" s="59"/>
      <c r="F67" s="826"/>
      <c r="G67" s="59"/>
      <c r="H67" s="825"/>
      <c r="I67" s="825"/>
      <c r="J67" s="59"/>
      <c r="K67" s="59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</row>
    <row r="68" spans="1:248" ht="15" customHeight="1">
      <c r="A68" s="59"/>
      <c r="B68" s="59"/>
      <c r="C68" s="818"/>
      <c r="D68" s="59"/>
      <c r="E68" s="59"/>
      <c r="F68" s="826"/>
      <c r="G68" s="59"/>
      <c r="H68" s="825"/>
      <c r="I68" s="825"/>
      <c r="J68" s="59"/>
      <c r="K68" s="59"/>
      <c r="L68" s="4"/>
      <c r="M68" s="4"/>
      <c r="N68" s="4"/>
      <c r="O68" s="4"/>
      <c r="P68" s="4"/>
      <c r="Q68" s="4"/>
      <c r="R68" s="4"/>
      <c r="S68" s="4"/>
      <c r="T68" s="4"/>
      <c r="U68" s="25"/>
      <c r="V68" s="39"/>
      <c r="W68" s="26"/>
      <c r="X68" s="25"/>
      <c r="Y68" s="4"/>
      <c r="Z68" s="4"/>
      <c r="AA68" s="25"/>
      <c r="AB68" s="26"/>
      <c r="AC68" s="2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</row>
    <row r="69" spans="1:248" ht="15" customHeight="1">
      <c r="A69" s="59"/>
      <c r="B69" s="59"/>
      <c r="C69" s="59"/>
      <c r="D69" s="59"/>
      <c r="E69" s="59"/>
      <c r="F69" s="826"/>
      <c r="G69" s="59"/>
      <c r="H69" s="825"/>
      <c r="I69" s="825"/>
      <c r="J69" s="59"/>
      <c r="K69" s="59"/>
      <c r="L69" s="4"/>
      <c r="M69" s="4"/>
      <c r="N69" s="4"/>
      <c r="O69" s="4"/>
      <c r="P69" s="4"/>
      <c r="Q69" s="4"/>
      <c r="R69" s="4"/>
      <c r="S69" s="4"/>
      <c r="T69" s="4"/>
      <c r="U69" s="25"/>
      <c r="V69" s="39"/>
      <c r="W69" s="26"/>
      <c r="X69" s="25"/>
      <c r="Y69" s="4"/>
      <c r="Z69" s="4"/>
      <c r="AA69" s="25"/>
      <c r="AB69" s="26"/>
      <c r="AC69" s="2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</row>
    <row r="70" spans="1:248">
      <c r="A70" s="59"/>
      <c r="B70" s="59"/>
      <c r="C70" s="59"/>
      <c r="D70" s="59"/>
      <c r="E70" s="829"/>
      <c r="F70" s="826"/>
      <c r="G70" s="59"/>
      <c r="H70" s="825"/>
      <c r="I70" s="825"/>
      <c r="J70" s="823"/>
      <c r="K70" s="59"/>
      <c r="L70" s="4"/>
      <c r="M70" s="4"/>
      <c r="N70" s="4"/>
      <c r="O70" s="4"/>
      <c r="P70" s="4"/>
      <c r="Q70" s="4"/>
      <c r="R70" s="4"/>
      <c r="S70" s="4"/>
      <c r="T70" s="4"/>
      <c r="U70" s="25"/>
      <c r="V70" s="39"/>
      <c r="W70" s="26"/>
      <c r="X70" s="25"/>
      <c r="Y70" s="4"/>
      <c r="Z70" s="4"/>
      <c r="AA70" s="25"/>
      <c r="AB70" s="26"/>
      <c r="AC70" s="2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</row>
    <row r="71" spans="1:248" ht="15" customHeight="1">
      <c r="A71" s="59"/>
      <c r="B71" s="59"/>
      <c r="C71" s="818"/>
      <c r="D71" s="59"/>
      <c r="E71" s="59"/>
      <c r="F71" s="826"/>
      <c r="G71" s="59"/>
      <c r="H71" s="825"/>
      <c r="I71" s="825"/>
      <c r="J71" s="61"/>
      <c r="K71" s="59"/>
      <c r="L71" s="4"/>
      <c r="M71" s="4"/>
      <c r="N71" s="4"/>
      <c r="O71" s="4"/>
      <c r="P71" s="4"/>
      <c r="Q71" s="4"/>
      <c r="R71" s="4"/>
      <c r="S71" s="4"/>
      <c r="T71" s="4"/>
      <c r="U71" s="25"/>
      <c r="V71" s="39"/>
      <c r="W71" s="26"/>
      <c r="X71" s="25"/>
      <c r="Y71" s="4"/>
      <c r="Z71" s="4"/>
      <c r="AA71" s="25"/>
      <c r="AB71" s="26"/>
      <c r="AC71" s="2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</row>
    <row r="72" spans="1:248" ht="15" customHeight="1">
      <c r="A72" s="59"/>
      <c r="B72" s="59"/>
      <c r="C72" s="818"/>
      <c r="D72" s="59"/>
      <c r="E72" s="59"/>
      <c r="F72" s="826"/>
      <c r="G72" s="59"/>
      <c r="H72" s="825"/>
      <c r="I72" s="825"/>
      <c r="J72" s="61"/>
      <c r="K72" s="59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</row>
    <row r="73" spans="1:248" ht="15" customHeight="1">
      <c r="A73" s="59"/>
      <c r="B73" s="59"/>
      <c r="C73" s="818"/>
      <c r="D73" s="59"/>
      <c r="E73" s="59"/>
      <c r="F73" s="826"/>
      <c r="G73" s="59"/>
      <c r="H73" s="825"/>
      <c r="I73" s="825"/>
      <c r="J73" s="61"/>
      <c r="K73" s="59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</row>
    <row r="74" spans="1:248" ht="15" customHeight="1">
      <c r="A74" s="59"/>
      <c r="B74" s="59"/>
      <c r="C74" s="818"/>
      <c r="D74" s="59"/>
      <c r="E74" s="59"/>
      <c r="F74" s="826"/>
      <c r="G74" s="59"/>
      <c r="H74" s="825"/>
      <c r="I74" s="825"/>
      <c r="J74" s="61"/>
      <c r="K74" s="59"/>
      <c r="L74" s="4"/>
      <c r="M74" s="4"/>
      <c r="N74" s="4"/>
      <c r="O74" s="4"/>
      <c r="P74" s="4"/>
      <c r="Q74" s="4"/>
      <c r="R74" s="4"/>
      <c r="S74" s="4"/>
      <c r="T74" s="4"/>
      <c r="U74" s="25"/>
      <c r="V74" s="39"/>
      <c r="W74" s="26"/>
      <c r="X74" s="25"/>
      <c r="Y74" s="4"/>
      <c r="Z74" s="4"/>
      <c r="AA74" s="25"/>
      <c r="AB74" s="26"/>
      <c r="AC74" s="2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</row>
    <row r="75" spans="1:248" ht="15" customHeight="1">
      <c r="A75" s="59"/>
      <c r="B75" s="59"/>
      <c r="C75" s="818"/>
      <c r="D75" s="59"/>
      <c r="E75" s="59"/>
      <c r="F75" s="826"/>
      <c r="G75" s="59"/>
      <c r="H75" s="825"/>
      <c r="I75" s="825"/>
      <c r="J75" s="826"/>
      <c r="K75" s="59"/>
      <c r="L75" s="4"/>
      <c r="M75" s="4"/>
      <c r="N75" s="4"/>
      <c r="O75" s="4"/>
      <c r="P75" s="4"/>
      <c r="Q75" s="4"/>
      <c r="R75" s="4"/>
      <c r="S75" s="4"/>
      <c r="T75" s="4"/>
      <c r="U75" s="25"/>
      <c r="V75" s="39"/>
      <c r="W75" s="26"/>
      <c r="X75" s="25"/>
      <c r="Y75" s="4"/>
      <c r="Z75" s="4"/>
      <c r="AA75" s="25"/>
      <c r="AB75" s="26"/>
      <c r="AC75" s="2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</row>
    <row r="76" spans="1:248" ht="15" customHeight="1">
      <c r="A76" s="59"/>
      <c r="B76" s="59"/>
      <c r="C76" s="59"/>
      <c r="D76" s="59"/>
      <c r="E76" s="59"/>
      <c r="F76" s="826"/>
      <c r="G76" s="59"/>
      <c r="H76" s="825"/>
      <c r="I76" s="825"/>
      <c r="J76" s="59"/>
      <c r="K76" s="59"/>
      <c r="L76" s="4"/>
      <c r="M76" s="4"/>
      <c r="N76" s="4"/>
      <c r="O76" s="4"/>
      <c r="P76" s="4"/>
      <c r="Q76" s="4"/>
      <c r="R76" s="4"/>
      <c r="S76" s="4"/>
      <c r="T76" s="4"/>
      <c r="U76" s="25"/>
      <c r="V76" s="39"/>
      <c r="W76" s="26"/>
      <c r="X76" s="25"/>
      <c r="Y76" s="4"/>
      <c r="Z76" s="4"/>
      <c r="AA76" s="25"/>
      <c r="AB76" s="26"/>
      <c r="AC76" s="2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</row>
    <row r="77" spans="1:248">
      <c r="A77" s="59"/>
      <c r="B77" s="59"/>
      <c r="C77" s="59"/>
      <c r="D77" s="59"/>
      <c r="E77" s="829"/>
      <c r="F77" s="826"/>
      <c r="G77" s="59"/>
      <c r="H77" s="825"/>
      <c r="I77" s="825"/>
      <c r="J77" s="59"/>
      <c r="K77" s="59"/>
      <c r="L77" s="4"/>
      <c r="M77" s="4"/>
      <c r="N77" s="4"/>
      <c r="O77" s="4"/>
      <c r="P77" s="4"/>
      <c r="Q77" s="4"/>
      <c r="R77" s="4"/>
      <c r="S77" s="4"/>
      <c r="T77" s="4"/>
      <c r="U77" s="25"/>
      <c r="V77" s="39"/>
      <c r="W77" s="26"/>
      <c r="X77" s="25"/>
      <c r="Y77" s="4"/>
      <c r="Z77" s="4"/>
      <c r="AA77" s="25"/>
      <c r="AB77" s="26"/>
      <c r="AC77" s="2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</row>
    <row r="78" spans="1:248" ht="15" customHeight="1">
      <c r="A78" s="59"/>
      <c r="B78" s="59"/>
      <c r="C78" s="818"/>
      <c r="D78" s="59"/>
      <c r="E78" s="59"/>
      <c r="F78" s="826"/>
      <c r="G78" s="59"/>
      <c r="H78" s="825"/>
      <c r="I78" s="825"/>
      <c r="J78" s="59"/>
      <c r="K78" s="59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</row>
    <row r="79" spans="1:248" ht="15" customHeight="1">
      <c r="A79" s="59"/>
      <c r="B79" s="59"/>
      <c r="C79" s="818"/>
      <c r="D79" s="59"/>
      <c r="E79" s="59"/>
      <c r="F79" s="826"/>
      <c r="G79" s="59"/>
      <c r="H79" s="825"/>
      <c r="I79" s="825"/>
      <c r="J79" s="59"/>
      <c r="K79" s="59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</row>
    <row r="80" spans="1:248" ht="15" customHeight="1">
      <c r="A80" s="59"/>
      <c r="B80" s="59"/>
      <c r="C80" s="818"/>
      <c r="D80" s="59"/>
      <c r="E80" s="59"/>
      <c r="F80" s="826"/>
      <c r="G80" s="59"/>
      <c r="H80" s="825"/>
      <c r="I80" s="825"/>
      <c r="J80" s="59"/>
      <c r="K80" s="59"/>
      <c r="L80" s="4"/>
      <c r="M80" s="4"/>
      <c r="N80" s="4"/>
      <c r="O80" s="4"/>
      <c r="P80" s="4"/>
      <c r="Q80" s="4"/>
      <c r="R80" s="4"/>
      <c r="S80" s="4"/>
      <c r="T80" s="4"/>
      <c r="U80" s="25"/>
      <c r="V80" s="39"/>
      <c r="W80" s="26"/>
      <c r="X80" s="25"/>
      <c r="Y80" s="4"/>
      <c r="Z80" s="4"/>
      <c r="AA80" s="25"/>
      <c r="AB80" s="26"/>
      <c r="AC80" s="2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</row>
    <row r="81" spans="1:248" ht="15" customHeight="1">
      <c r="A81" s="59"/>
      <c r="B81" s="59"/>
      <c r="C81" s="818"/>
      <c r="D81" s="59"/>
      <c r="E81" s="59"/>
      <c r="F81" s="826"/>
      <c r="G81" s="59"/>
      <c r="H81" s="825"/>
      <c r="I81" s="825"/>
      <c r="J81" s="59"/>
      <c r="K81" s="59"/>
      <c r="L81" s="4"/>
      <c r="M81" s="4"/>
      <c r="N81" s="4"/>
      <c r="O81" s="4"/>
      <c r="P81" s="4"/>
      <c r="Q81" s="4"/>
      <c r="R81" s="4"/>
      <c r="S81" s="4"/>
      <c r="T81" s="4"/>
      <c r="U81" s="25"/>
      <c r="V81" s="39"/>
      <c r="W81" s="26"/>
      <c r="X81" s="25"/>
      <c r="Y81" s="4"/>
      <c r="Z81" s="4"/>
      <c r="AA81" s="25"/>
      <c r="AB81" s="26"/>
      <c r="AC81" s="2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</row>
    <row r="82" spans="1:248" ht="15" customHeight="1">
      <c r="A82" s="59"/>
      <c r="B82" s="59"/>
      <c r="C82" s="818"/>
      <c r="D82" s="59"/>
      <c r="E82" s="59"/>
      <c r="F82" s="826"/>
      <c r="G82" s="59"/>
      <c r="H82" s="825"/>
      <c r="I82" s="825"/>
      <c r="J82" s="59"/>
      <c r="K82" s="59"/>
      <c r="L82" s="4"/>
      <c r="M82" s="4"/>
      <c r="N82" s="4"/>
      <c r="O82" s="4"/>
      <c r="P82" s="4"/>
      <c r="Q82" s="4"/>
      <c r="R82" s="4"/>
      <c r="S82" s="4"/>
      <c r="T82" s="4"/>
      <c r="U82" s="25"/>
      <c r="V82" s="39"/>
      <c r="W82" s="26"/>
      <c r="X82" s="25"/>
      <c r="Y82" s="4"/>
      <c r="Z82" s="4"/>
      <c r="AA82" s="25"/>
      <c r="AB82" s="26"/>
      <c r="AC82" s="2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</row>
    <row r="83" spans="1:248">
      <c r="A83" s="59"/>
      <c r="B83" s="59"/>
      <c r="C83" s="59"/>
      <c r="D83" s="59"/>
      <c r="E83" s="59"/>
      <c r="F83" s="826"/>
      <c r="G83" s="59"/>
      <c r="H83" s="825"/>
      <c r="I83" s="825"/>
      <c r="J83" s="59"/>
      <c r="K83" s="59"/>
      <c r="L83" s="4"/>
      <c r="M83" s="4"/>
      <c r="N83" s="4"/>
      <c r="O83" s="4"/>
      <c r="P83" s="4"/>
      <c r="Q83" s="4"/>
      <c r="R83" s="4"/>
      <c r="S83" s="4"/>
      <c r="T83" s="4"/>
      <c r="U83" s="25"/>
      <c r="V83" s="39"/>
      <c r="W83" s="26"/>
      <c r="X83" s="25"/>
      <c r="Y83" s="4"/>
      <c r="Z83" s="4"/>
      <c r="AA83" s="25"/>
      <c r="AB83" s="26"/>
      <c r="AC83" s="2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</row>
    <row r="84" spans="1:248">
      <c r="A84" s="59"/>
      <c r="B84" s="59"/>
      <c r="C84" s="59"/>
      <c r="D84" s="59"/>
      <c r="E84" s="59"/>
      <c r="F84" s="826"/>
      <c r="G84" s="59"/>
      <c r="H84" s="825"/>
      <c r="I84" s="825"/>
      <c r="J84" s="59"/>
      <c r="K84" s="59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</row>
    <row r="85" spans="1:248">
      <c r="A85" s="59"/>
      <c r="B85" s="59"/>
      <c r="C85" s="818"/>
      <c r="D85" s="59"/>
      <c r="E85" s="59"/>
      <c r="F85" s="826"/>
      <c r="G85" s="59"/>
      <c r="H85" s="825"/>
      <c r="I85" s="825"/>
      <c r="J85" s="59"/>
      <c r="K85" s="59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</row>
    <row r="86" spans="1:248">
      <c r="A86" s="59"/>
      <c r="B86" s="59"/>
      <c r="C86" s="818"/>
      <c r="D86" s="59"/>
      <c r="E86" s="59"/>
      <c r="F86" s="826"/>
      <c r="G86" s="59"/>
      <c r="H86" s="825"/>
      <c r="I86" s="825"/>
      <c r="J86" s="59"/>
      <c r="K86" s="59"/>
      <c r="L86" s="4"/>
      <c r="M86" s="4"/>
      <c r="N86" s="4"/>
      <c r="O86" s="4"/>
      <c r="P86" s="4"/>
      <c r="Q86" s="4"/>
      <c r="R86" s="4"/>
      <c r="S86" s="4"/>
      <c r="T86" s="4"/>
      <c r="U86" s="25"/>
      <c r="V86" s="39"/>
      <c r="W86" s="26"/>
      <c r="X86" s="25"/>
      <c r="Y86" s="4"/>
      <c r="Z86" s="4"/>
      <c r="AA86" s="25"/>
      <c r="AB86" s="26"/>
      <c r="AC86" s="2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</row>
    <row r="87" spans="1:248">
      <c r="A87" s="59"/>
      <c r="B87" s="59"/>
      <c r="C87" s="818"/>
      <c r="D87" s="59"/>
      <c r="E87" s="59"/>
      <c r="F87" s="826"/>
      <c r="G87" s="59"/>
      <c r="H87" s="825"/>
      <c r="I87" s="825"/>
      <c r="J87" s="59"/>
      <c r="K87" s="59"/>
      <c r="L87" s="4"/>
      <c r="M87" s="4"/>
      <c r="N87" s="4"/>
      <c r="O87" s="4"/>
      <c r="P87" s="4"/>
      <c r="Q87" s="4"/>
      <c r="R87" s="4"/>
      <c r="S87" s="4"/>
      <c r="T87" s="4"/>
      <c r="U87" s="25"/>
      <c r="V87" s="39"/>
      <c r="W87" s="26"/>
      <c r="X87" s="25"/>
      <c r="Y87" s="4"/>
      <c r="Z87" s="4"/>
      <c r="AA87" s="25"/>
      <c r="AB87" s="26"/>
      <c r="AC87" s="2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</row>
    <row r="88" spans="1:248">
      <c r="A88" s="59"/>
      <c r="B88" s="59"/>
      <c r="C88" s="818"/>
      <c r="D88" s="59"/>
      <c r="E88" s="59"/>
      <c r="F88" s="826"/>
      <c r="G88" s="59"/>
      <c r="H88" s="825"/>
      <c r="I88" s="825"/>
      <c r="J88" s="59"/>
      <c r="K88" s="59"/>
      <c r="L88" s="4"/>
      <c r="M88" s="4"/>
      <c r="N88" s="4"/>
      <c r="O88" s="4"/>
      <c r="P88" s="4"/>
      <c r="Q88" s="4"/>
      <c r="R88" s="4"/>
      <c r="S88" s="4"/>
      <c r="T88" s="4"/>
      <c r="U88" s="25"/>
      <c r="V88" s="39"/>
      <c r="W88" s="26"/>
      <c r="X88" s="25"/>
      <c r="Y88" s="4"/>
      <c r="Z88" s="4"/>
      <c r="AA88" s="25"/>
      <c r="AB88" s="26"/>
      <c r="AC88" s="2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</row>
    <row r="89" spans="1:248">
      <c r="A89" s="59"/>
      <c r="B89" s="59"/>
      <c r="C89" s="818"/>
      <c r="D89" s="59"/>
      <c r="E89" s="59"/>
      <c r="F89" s="826"/>
      <c r="G89" s="59"/>
      <c r="H89" s="825"/>
      <c r="I89" s="825"/>
      <c r="J89" s="59"/>
      <c r="K89" s="59"/>
      <c r="L89" s="4"/>
      <c r="M89" s="4"/>
      <c r="N89" s="4"/>
      <c r="O89" s="4"/>
      <c r="P89" s="4"/>
      <c r="Q89" s="4"/>
      <c r="R89" s="4"/>
      <c r="S89" s="4"/>
      <c r="T89" s="4"/>
      <c r="U89" s="25"/>
      <c r="V89" s="39"/>
      <c r="W89" s="26"/>
      <c r="X89" s="25"/>
      <c r="Y89" s="4"/>
      <c r="Z89" s="4"/>
      <c r="AA89" s="25"/>
      <c r="AB89" s="26"/>
      <c r="AC89" s="2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</row>
    <row r="90" spans="1:248">
      <c r="A90" s="59"/>
      <c r="B90" s="59"/>
      <c r="C90" s="59"/>
      <c r="D90" s="59"/>
      <c r="E90" s="59"/>
      <c r="F90" s="826"/>
      <c r="G90" s="59"/>
      <c r="H90" s="825"/>
      <c r="I90" s="825"/>
      <c r="J90" s="59"/>
      <c r="K90" s="59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</row>
    <row r="91" spans="1:248">
      <c r="A91" s="59"/>
      <c r="B91" s="59"/>
      <c r="C91" s="59"/>
      <c r="D91" s="59"/>
      <c r="E91" s="59"/>
      <c r="F91" s="826"/>
      <c r="G91" s="59"/>
      <c r="H91" s="825"/>
      <c r="I91" s="825"/>
      <c r="J91" s="59"/>
      <c r="K91" s="59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</row>
    <row r="92" spans="1:248">
      <c r="A92" s="59"/>
      <c r="B92" s="59"/>
      <c r="C92" s="818"/>
      <c r="D92" s="59"/>
      <c r="E92" s="59"/>
      <c r="F92" s="826"/>
      <c r="G92" s="59"/>
      <c r="H92" s="825"/>
      <c r="I92" s="825"/>
      <c r="J92" s="59"/>
      <c r="K92" s="59"/>
      <c r="L92" s="4"/>
      <c r="M92" s="4"/>
      <c r="N92" s="4"/>
      <c r="O92" s="4"/>
      <c r="P92" s="4"/>
      <c r="Q92" s="4"/>
      <c r="R92" s="4"/>
      <c r="S92" s="4"/>
      <c r="T92" s="4"/>
      <c r="U92" s="25"/>
      <c r="V92" s="39"/>
      <c r="W92" s="26"/>
      <c r="X92" s="25"/>
      <c r="Y92" s="4"/>
      <c r="Z92" s="4"/>
      <c r="AA92" s="25"/>
      <c r="AB92" s="26"/>
      <c r="AC92" s="2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</row>
    <row r="93" spans="1:248">
      <c r="A93" s="59"/>
      <c r="B93" s="59"/>
      <c r="C93" s="818"/>
      <c r="D93" s="59"/>
      <c r="E93" s="59"/>
      <c r="F93" s="826"/>
      <c r="G93" s="59"/>
      <c r="H93" s="825"/>
      <c r="I93" s="825"/>
      <c r="J93" s="59"/>
      <c r="K93" s="59"/>
      <c r="L93" s="4"/>
      <c r="M93" s="4"/>
      <c r="N93" s="4"/>
      <c r="O93" s="4"/>
      <c r="P93" s="4"/>
      <c r="Q93" s="4"/>
      <c r="R93" s="4"/>
      <c r="S93" s="4"/>
      <c r="T93" s="4"/>
      <c r="U93" s="25"/>
      <c r="V93" s="39"/>
      <c r="W93" s="26"/>
      <c r="X93" s="25"/>
      <c r="Y93" s="4"/>
      <c r="Z93" s="4"/>
      <c r="AA93" s="25"/>
      <c r="AB93" s="26"/>
      <c r="AC93" s="2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</row>
    <row r="94" spans="1:248">
      <c r="A94" s="59"/>
      <c r="B94" s="59"/>
      <c r="C94" s="818"/>
      <c r="D94" s="59"/>
      <c r="E94" s="59"/>
      <c r="F94" s="826"/>
      <c r="G94" s="59"/>
      <c r="H94" s="825"/>
      <c r="I94" s="825"/>
      <c r="J94" s="59"/>
      <c r="K94" s="59"/>
      <c r="L94" s="4"/>
      <c r="M94" s="4"/>
      <c r="N94" s="4"/>
      <c r="O94" s="4"/>
      <c r="P94" s="4"/>
      <c r="Q94" s="4"/>
      <c r="R94" s="4"/>
      <c r="S94" s="4"/>
      <c r="T94" s="4"/>
      <c r="U94" s="25"/>
      <c r="V94" s="39"/>
      <c r="W94" s="26"/>
      <c r="X94" s="25"/>
      <c r="Y94" s="4"/>
      <c r="Z94" s="4"/>
      <c r="AA94" s="25"/>
      <c r="AB94" s="26"/>
      <c r="AC94" s="2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</row>
    <row r="95" spans="1:248">
      <c r="A95" s="59"/>
      <c r="B95" s="59"/>
      <c r="C95" s="818"/>
      <c r="D95" s="59"/>
      <c r="E95" s="59"/>
      <c r="F95" s="826"/>
      <c r="G95" s="59"/>
      <c r="H95" s="825"/>
      <c r="I95" s="825"/>
      <c r="J95" s="59"/>
      <c r="K95" s="59"/>
      <c r="L95" s="4"/>
      <c r="M95" s="4"/>
      <c r="N95" s="4"/>
      <c r="O95" s="4"/>
      <c r="P95" s="4"/>
      <c r="Q95" s="4"/>
      <c r="R95" s="4"/>
      <c r="S95" s="4"/>
      <c r="T95" s="4"/>
      <c r="U95" s="25"/>
      <c r="V95" s="39"/>
      <c r="W95" s="26"/>
      <c r="X95" s="25"/>
      <c r="Y95" s="4"/>
      <c r="Z95" s="4"/>
      <c r="AA95" s="25"/>
      <c r="AB95" s="26"/>
      <c r="AC95" s="2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</row>
    <row r="96" spans="1:248">
      <c r="A96" s="59"/>
      <c r="B96" s="59"/>
      <c r="C96" s="818"/>
      <c r="D96" s="59"/>
      <c r="E96" s="59"/>
      <c r="F96" s="826"/>
      <c r="G96" s="59"/>
      <c r="H96" s="825"/>
      <c r="I96" s="825"/>
      <c r="J96" s="59"/>
      <c r="K96" s="59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</row>
    <row r="97" spans="1:248">
      <c r="A97" s="59"/>
      <c r="B97" s="59"/>
      <c r="C97" s="59"/>
      <c r="D97" s="59"/>
      <c r="E97" s="59"/>
      <c r="F97" s="826"/>
      <c r="G97" s="59"/>
      <c r="H97" s="825"/>
      <c r="I97" s="825"/>
      <c r="J97" s="59"/>
      <c r="K97" s="59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</row>
    <row r="98" spans="1:248">
      <c r="A98" s="59"/>
      <c r="B98" s="59"/>
      <c r="C98" s="59"/>
      <c r="D98" s="59"/>
      <c r="E98" s="829"/>
      <c r="F98" s="826"/>
      <c r="G98" s="59"/>
      <c r="H98" s="825"/>
      <c r="I98" s="825"/>
      <c r="J98" s="59"/>
      <c r="K98" s="59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</row>
    <row r="99" spans="1:248">
      <c r="A99" s="59"/>
      <c r="B99" s="59"/>
      <c r="C99" s="818"/>
      <c r="D99" s="59"/>
      <c r="E99" s="59"/>
      <c r="F99" s="826"/>
      <c r="G99" s="59"/>
      <c r="H99" s="825"/>
      <c r="I99" s="825"/>
      <c r="J99" s="59"/>
      <c r="K99" s="59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</row>
    <row r="100" spans="1:248">
      <c r="A100" s="59"/>
      <c r="B100" s="59"/>
      <c r="C100" s="818"/>
      <c r="D100" s="59"/>
      <c r="E100" s="59"/>
      <c r="F100" s="826"/>
      <c r="G100" s="59"/>
      <c r="H100" s="825"/>
      <c r="I100" s="825"/>
      <c r="J100" s="59"/>
      <c r="K100" s="59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</row>
    <row r="101" spans="1:248">
      <c r="A101" s="59"/>
      <c r="B101" s="59"/>
      <c r="C101" s="818"/>
      <c r="D101" s="59"/>
      <c r="E101" s="59"/>
      <c r="F101" s="826"/>
      <c r="G101" s="59"/>
      <c r="H101" s="825"/>
      <c r="I101" s="825"/>
      <c r="J101" s="59"/>
      <c r="K101" s="59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</row>
    <row r="102" spans="1:248">
      <c r="A102" s="59"/>
      <c r="B102" s="59"/>
      <c r="C102" s="818"/>
      <c r="D102" s="59"/>
      <c r="E102" s="59"/>
      <c r="F102" s="826"/>
      <c r="G102" s="59"/>
      <c r="H102" s="825"/>
      <c r="I102" s="825"/>
      <c r="J102" s="59"/>
      <c r="K102" s="59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</row>
    <row r="103" spans="1:248">
      <c r="A103" s="59"/>
      <c r="B103" s="59"/>
      <c r="C103" s="818"/>
      <c r="D103" s="59"/>
      <c r="E103" s="59"/>
      <c r="F103" s="826"/>
      <c r="G103" s="59"/>
      <c r="H103" s="825"/>
      <c r="I103" s="825"/>
      <c r="J103" s="59"/>
      <c r="K103" s="59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</row>
    <row r="104" spans="1:248">
      <c r="A104" s="59"/>
      <c r="B104" s="59"/>
      <c r="C104" s="59"/>
      <c r="D104" s="59"/>
      <c r="E104" s="59"/>
      <c r="F104" s="826"/>
      <c r="G104" s="59"/>
      <c r="H104" s="825"/>
      <c r="I104" s="825"/>
      <c r="J104" s="59"/>
      <c r="K104" s="59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</row>
    <row r="105" spans="1:248">
      <c r="A105" s="59"/>
      <c r="B105" s="59"/>
      <c r="C105" s="59"/>
      <c r="D105" s="59"/>
      <c r="E105" s="829"/>
      <c r="F105" s="826"/>
      <c r="G105" s="59"/>
      <c r="H105" s="825"/>
      <c r="I105" s="825"/>
      <c r="J105" s="59"/>
      <c r="K105" s="59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</row>
    <row r="106" spans="1:248">
      <c r="A106" s="59"/>
      <c r="B106" s="59"/>
      <c r="C106" s="818"/>
      <c r="D106" s="59"/>
      <c r="E106" s="59"/>
      <c r="F106" s="826"/>
      <c r="G106" s="59"/>
      <c r="H106" s="825"/>
      <c r="I106" s="825"/>
      <c r="J106" s="59"/>
      <c r="K106" s="59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</row>
    <row r="107" spans="1:248">
      <c r="A107" s="59"/>
      <c r="B107" s="59"/>
      <c r="C107" s="818"/>
      <c r="D107" s="59"/>
      <c r="E107" s="59"/>
      <c r="F107" s="826"/>
      <c r="G107" s="59"/>
      <c r="H107" s="825"/>
      <c r="I107" s="825"/>
      <c r="J107" s="59"/>
      <c r="K107" s="59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</row>
    <row r="108" spans="1:248">
      <c r="A108" s="59"/>
      <c r="B108" s="59"/>
      <c r="C108" s="818"/>
      <c r="D108" s="59"/>
      <c r="E108" s="59"/>
      <c r="F108" s="826"/>
      <c r="G108" s="59"/>
      <c r="H108" s="825"/>
      <c r="I108" s="825"/>
      <c r="J108" s="59"/>
      <c r="K108" s="59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</row>
    <row r="109" spans="1:248">
      <c r="A109" s="59"/>
      <c r="B109" s="59"/>
      <c r="C109" s="818"/>
      <c r="D109" s="59"/>
      <c r="E109" s="59"/>
      <c r="F109" s="826"/>
      <c r="G109" s="59"/>
      <c r="H109" s="825"/>
      <c r="I109" s="825"/>
      <c r="J109" s="59"/>
      <c r="K109" s="59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</row>
    <row r="110" spans="1:248">
      <c r="A110" s="59"/>
      <c r="B110" s="59"/>
      <c r="C110" s="818"/>
      <c r="D110" s="59"/>
      <c r="E110" s="59"/>
      <c r="F110" s="826"/>
      <c r="G110" s="59"/>
      <c r="H110" s="825"/>
      <c r="I110" s="825"/>
      <c r="J110" s="59"/>
      <c r="K110" s="59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</row>
    <row r="111" spans="1:248">
      <c r="A111" s="59"/>
      <c r="B111" s="59"/>
      <c r="C111" s="59"/>
      <c r="D111" s="59"/>
      <c r="E111" s="59"/>
      <c r="F111" s="59"/>
      <c r="G111" s="59"/>
      <c r="H111" s="825"/>
      <c r="I111" s="825"/>
      <c r="J111" s="59"/>
      <c r="K111" s="59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</row>
    <row r="112" spans="1:248">
      <c r="A112" s="59"/>
      <c r="B112" s="59"/>
      <c r="C112" s="59"/>
      <c r="D112" s="59"/>
      <c r="E112" s="829"/>
      <c r="F112" s="826"/>
      <c r="G112" s="59"/>
      <c r="H112" s="825"/>
      <c r="I112" s="825"/>
      <c r="J112" s="59"/>
      <c r="K112" s="59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</row>
    <row r="113" spans="1:248">
      <c r="A113" s="59"/>
      <c r="B113" s="59"/>
      <c r="C113" s="818"/>
      <c r="D113" s="59"/>
      <c r="E113" s="59"/>
      <c r="F113" s="826"/>
      <c r="G113" s="59"/>
      <c r="H113" s="825"/>
      <c r="I113" s="825"/>
      <c r="J113" s="59"/>
      <c r="K113" s="59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</row>
    <row r="114" spans="1:248">
      <c r="A114" s="59"/>
      <c r="B114" s="59"/>
      <c r="C114" s="818"/>
      <c r="D114" s="59"/>
      <c r="E114" s="59"/>
      <c r="F114" s="826"/>
      <c r="G114" s="59"/>
      <c r="H114" s="825"/>
      <c r="I114" s="825"/>
      <c r="J114" s="59"/>
      <c r="K114" s="59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</row>
    <row r="115" spans="1:248">
      <c r="A115" s="59"/>
      <c r="B115" s="59"/>
      <c r="C115" s="818"/>
      <c r="D115" s="59"/>
      <c r="E115" s="59"/>
      <c r="F115" s="826"/>
      <c r="G115" s="59"/>
      <c r="H115" s="825"/>
      <c r="I115" s="825"/>
      <c r="J115" s="59"/>
      <c r="K115" s="59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</row>
    <row r="116" spans="1:248">
      <c r="A116" s="59"/>
      <c r="B116" s="59"/>
      <c r="C116" s="818"/>
      <c r="D116" s="59"/>
      <c r="E116" s="59"/>
      <c r="F116" s="826"/>
      <c r="G116" s="59"/>
      <c r="H116" s="825"/>
      <c r="I116" s="825"/>
      <c r="J116" s="59"/>
      <c r="K116" s="59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</row>
    <row r="117" spans="1:248">
      <c r="A117" s="59"/>
      <c r="B117" s="59"/>
      <c r="C117" s="818"/>
      <c r="D117" s="59"/>
      <c r="E117" s="59"/>
      <c r="F117" s="826"/>
      <c r="G117" s="59"/>
      <c r="H117" s="825"/>
      <c r="I117" s="825"/>
      <c r="J117" s="59"/>
      <c r="K117" s="59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</row>
    <row r="118" spans="1:248">
      <c r="A118" s="59"/>
      <c r="B118" s="59"/>
      <c r="C118" s="59"/>
      <c r="D118" s="59"/>
      <c r="E118" s="59"/>
      <c r="F118" s="59"/>
      <c r="G118" s="59"/>
      <c r="H118" s="825"/>
      <c r="I118" s="825"/>
      <c r="J118" s="59"/>
      <c r="K118" s="59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</row>
    <row r="119" spans="1:248">
      <c r="A119" s="59"/>
      <c r="B119" s="59"/>
      <c r="C119" s="59"/>
      <c r="D119" s="59"/>
      <c r="E119" s="829"/>
      <c r="F119" s="826"/>
      <c r="G119" s="59"/>
      <c r="H119" s="825"/>
      <c r="I119" s="825"/>
      <c r="J119" s="59"/>
      <c r="K119" s="59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</row>
    <row r="120" spans="1:248">
      <c r="A120" s="59"/>
      <c r="B120" s="59"/>
      <c r="C120" s="818"/>
      <c r="D120" s="59"/>
      <c r="E120" s="59"/>
      <c r="F120" s="826"/>
      <c r="G120" s="59"/>
      <c r="H120" s="825"/>
      <c r="I120" s="825"/>
      <c r="J120" s="59"/>
      <c r="K120" s="59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</row>
    <row r="121" spans="1:248">
      <c r="A121" s="59"/>
      <c r="B121" s="59"/>
      <c r="C121" s="818"/>
      <c r="D121" s="59"/>
      <c r="E121" s="59"/>
      <c r="F121" s="826"/>
      <c r="G121" s="59"/>
      <c r="H121" s="825"/>
      <c r="I121" s="825"/>
      <c r="J121" s="59"/>
      <c r="K121" s="59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</row>
    <row r="122" spans="1:248">
      <c r="A122" s="59"/>
      <c r="B122" s="59"/>
      <c r="C122" s="818"/>
      <c r="D122" s="59"/>
      <c r="E122" s="59"/>
      <c r="F122" s="826"/>
      <c r="G122" s="59"/>
      <c r="H122" s="825"/>
      <c r="I122" s="825"/>
      <c r="J122" s="59"/>
      <c r="K122" s="59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</row>
    <row r="123" spans="1:248">
      <c r="A123" s="59"/>
      <c r="B123" s="59"/>
      <c r="C123" s="818"/>
      <c r="D123" s="59"/>
      <c r="E123" s="59"/>
      <c r="F123" s="826"/>
      <c r="G123" s="59"/>
      <c r="H123" s="825"/>
      <c r="I123" s="825"/>
      <c r="J123" s="59"/>
      <c r="K123" s="59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</row>
    <row r="124" spans="1:248">
      <c r="A124" s="59"/>
      <c r="B124" s="59"/>
      <c r="C124" s="818"/>
      <c r="D124" s="59"/>
      <c r="E124" s="59"/>
      <c r="F124" s="826"/>
      <c r="G124" s="59"/>
      <c r="H124" s="825"/>
      <c r="I124" s="825"/>
      <c r="J124" s="59"/>
      <c r="K124" s="59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</row>
    <row r="125" spans="1:248">
      <c r="A125" s="59"/>
      <c r="B125" s="59"/>
      <c r="C125" s="59"/>
      <c r="D125" s="59"/>
      <c r="E125" s="59"/>
      <c r="F125" s="59"/>
      <c r="G125" s="59"/>
      <c r="H125" s="825"/>
      <c r="I125" s="825"/>
      <c r="J125" s="59"/>
      <c r="K125" s="59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</row>
    <row r="126" spans="1:248">
      <c r="A126" s="59"/>
      <c r="B126" s="59"/>
      <c r="C126" s="59"/>
      <c r="D126" s="59"/>
      <c r="E126" s="829"/>
      <c r="F126" s="826"/>
      <c r="G126" s="59"/>
      <c r="H126" s="825"/>
      <c r="I126" s="825"/>
      <c r="J126" s="59"/>
      <c r="K126" s="59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</row>
    <row r="127" spans="1:248">
      <c r="A127" s="59"/>
      <c r="B127" s="59"/>
      <c r="C127" s="818"/>
      <c r="D127" s="59"/>
      <c r="E127" s="59"/>
      <c r="F127" s="826"/>
      <c r="G127" s="59"/>
      <c r="H127" s="825"/>
      <c r="I127" s="825"/>
      <c r="J127" s="59"/>
      <c r="K127" s="59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</row>
    <row r="128" spans="1:248">
      <c r="A128" s="59"/>
      <c r="B128" s="59"/>
      <c r="C128" s="818"/>
      <c r="D128" s="59"/>
      <c r="E128" s="59"/>
      <c r="F128" s="826"/>
      <c r="G128" s="59"/>
      <c r="H128" s="825"/>
      <c r="I128" s="825"/>
      <c r="J128" s="59"/>
      <c r="K128" s="59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</row>
    <row r="129" spans="1:248">
      <c r="A129" s="59"/>
      <c r="B129" s="59"/>
      <c r="C129" s="818"/>
      <c r="D129" s="59"/>
      <c r="E129" s="59"/>
      <c r="F129" s="826"/>
      <c r="G129" s="59"/>
      <c r="H129" s="825"/>
      <c r="I129" s="825"/>
      <c r="J129" s="59"/>
      <c r="K129" s="59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</row>
    <row r="130" spans="1:248">
      <c r="A130" s="59"/>
      <c r="B130" s="59"/>
      <c r="C130" s="818"/>
      <c r="D130" s="59"/>
      <c r="E130" s="59"/>
      <c r="F130" s="826"/>
      <c r="G130" s="59"/>
      <c r="H130" s="825"/>
      <c r="I130" s="825"/>
      <c r="J130" s="59"/>
      <c r="K130" s="59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</row>
    <row r="131" spans="1:248">
      <c r="A131" s="59"/>
      <c r="B131" s="59"/>
      <c r="C131" s="818"/>
      <c r="D131" s="59"/>
      <c r="E131" s="59"/>
      <c r="F131" s="826"/>
      <c r="G131" s="59"/>
      <c r="H131" s="825"/>
      <c r="I131" s="825"/>
      <c r="J131" s="59"/>
      <c r="K131" s="59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</row>
    <row r="132" spans="1:248">
      <c r="A132" s="59"/>
      <c r="B132" s="59"/>
      <c r="C132" s="59"/>
      <c r="D132" s="59"/>
      <c r="E132" s="59"/>
      <c r="F132" s="59"/>
      <c r="G132" s="59"/>
      <c r="H132" s="825"/>
      <c r="I132" s="825"/>
      <c r="J132" s="59"/>
      <c r="K132" s="59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</row>
    <row r="133" spans="1:248">
      <c r="A133" s="59"/>
      <c r="B133" s="59"/>
      <c r="C133" s="59"/>
      <c r="D133" s="59"/>
      <c r="E133" s="829"/>
      <c r="F133" s="826"/>
      <c r="G133" s="59"/>
      <c r="H133" s="825"/>
      <c r="I133" s="825"/>
      <c r="J133" s="59"/>
      <c r="K133" s="59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</row>
    <row r="134" spans="1:248">
      <c r="A134" s="59"/>
      <c r="B134" s="59"/>
      <c r="C134" s="818"/>
      <c r="D134" s="59"/>
      <c r="E134" s="59"/>
      <c r="F134" s="826"/>
      <c r="G134" s="59"/>
      <c r="H134" s="825"/>
      <c r="I134" s="825"/>
      <c r="J134" s="59"/>
      <c r="K134" s="59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</row>
    <row r="135" spans="1:248">
      <c r="A135" s="59"/>
      <c r="B135" s="59"/>
      <c r="C135" s="818"/>
      <c r="D135" s="59"/>
      <c r="E135" s="59"/>
      <c r="F135" s="826"/>
      <c r="G135" s="59"/>
      <c r="H135" s="825"/>
      <c r="I135" s="825"/>
      <c r="J135" s="59"/>
      <c r="K135" s="59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</row>
    <row r="136" spans="1:248">
      <c r="A136" s="59"/>
      <c r="B136" s="59"/>
      <c r="C136" s="818"/>
      <c r="D136" s="59"/>
      <c r="E136" s="59"/>
      <c r="F136" s="826"/>
      <c r="G136" s="59"/>
      <c r="H136" s="825"/>
      <c r="I136" s="825"/>
      <c r="J136" s="59"/>
      <c r="K136" s="59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</row>
    <row r="137" spans="1:248">
      <c r="A137" s="59"/>
      <c r="B137" s="59"/>
      <c r="C137" s="818"/>
      <c r="D137" s="59"/>
      <c r="E137" s="59"/>
      <c r="F137" s="826"/>
      <c r="G137" s="59"/>
      <c r="H137" s="825"/>
      <c r="I137" s="825"/>
      <c r="J137" s="59"/>
      <c r="K137" s="59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</row>
    <row r="138" spans="1:248">
      <c r="A138" s="59"/>
      <c r="B138" s="59"/>
      <c r="C138" s="818"/>
      <c r="D138" s="59"/>
      <c r="E138" s="59"/>
      <c r="F138" s="826"/>
      <c r="G138" s="59"/>
      <c r="H138" s="825"/>
      <c r="I138" s="825"/>
      <c r="J138" s="59"/>
      <c r="K138" s="59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</row>
    <row r="139" spans="1:248">
      <c r="A139" s="59"/>
      <c r="B139" s="59"/>
      <c r="C139" s="59"/>
      <c r="D139" s="59"/>
      <c r="E139" s="59"/>
      <c r="F139" s="59"/>
      <c r="G139" s="59"/>
      <c r="H139" s="825"/>
      <c r="I139" s="825"/>
      <c r="J139" s="59"/>
      <c r="K139" s="59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</row>
    <row r="140" spans="1:248">
      <c r="A140" s="59"/>
      <c r="B140" s="59"/>
      <c r="C140" s="59"/>
      <c r="D140" s="59"/>
      <c r="E140" s="829"/>
      <c r="F140" s="826"/>
      <c r="G140" s="59"/>
      <c r="H140" s="825"/>
      <c r="I140" s="825"/>
      <c r="J140" s="59"/>
      <c r="K140" s="59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</row>
    <row r="141" spans="1:248">
      <c r="A141" s="59"/>
      <c r="B141" s="59"/>
      <c r="C141" s="818"/>
      <c r="D141" s="59"/>
      <c r="E141" s="59"/>
      <c r="F141" s="826"/>
      <c r="G141" s="59"/>
      <c r="H141" s="825"/>
      <c r="I141" s="825"/>
      <c r="J141" s="59"/>
      <c r="K141" s="59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</row>
    <row r="142" spans="1:248">
      <c r="A142" s="59"/>
      <c r="B142" s="59"/>
      <c r="C142" s="818"/>
      <c r="D142" s="59"/>
      <c r="E142" s="59"/>
      <c r="F142" s="826"/>
      <c r="G142" s="59"/>
      <c r="H142" s="825"/>
      <c r="I142" s="825"/>
      <c r="J142" s="59"/>
      <c r="K142" s="59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</row>
    <row r="143" spans="1:248">
      <c r="A143" s="59"/>
      <c r="B143" s="59"/>
      <c r="C143" s="818"/>
      <c r="D143" s="59"/>
      <c r="E143" s="59"/>
      <c r="F143" s="826"/>
      <c r="G143" s="59"/>
      <c r="H143" s="825"/>
      <c r="I143" s="825"/>
      <c r="J143" s="59"/>
      <c r="K143" s="59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</row>
    <row r="144" spans="1:248">
      <c r="A144" s="59"/>
      <c r="B144" s="59"/>
      <c r="C144" s="818"/>
      <c r="D144" s="59"/>
      <c r="E144" s="59"/>
      <c r="F144" s="826"/>
      <c r="G144" s="59"/>
      <c r="H144" s="825"/>
      <c r="I144" s="825"/>
      <c r="J144" s="59"/>
      <c r="K144" s="59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</row>
    <row r="145" spans="1:248">
      <c r="A145" s="59"/>
      <c r="B145" s="59"/>
      <c r="C145" s="818"/>
      <c r="D145" s="59"/>
      <c r="E145" s="59"/>
      <c r="F145" s="826"/>
      <c r="G145" s="59"/>
      <c r="H145" s="825"/>
      <c r="I145" s="825"/>
      <c r="J145" s="59"/>
      <c r="K145" s="59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</row>
    <row r="146" spans="1:248">
      <c r="A146" s="59"/>
      <c r="B146" s="59"/>
      <c r="C146" s="59"/>
      <c r="D146" s="59"/>
      <c r="E146" s="59"/>
      <c r="F146" s="59"/>
      <c r="G146" s="59"/>
      <c r="H146" s="825"/>
      <c r="I146" s="825"/>
      <c r="J146" s="59"/>
      <c r="K146" s="59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</row>
    <row r="147" spans="1:248">
      <c r="A147" s="59"/>
      <c r="B147" s="59"/>
      <c r="C147" s="59"/>
      <c r="D147" s="59"/>
      <c r="E147" s="829"/>
      <c r="F147" s="826"/>
      <c r="G147" s="59"/>
      <c r="H147" s="825"/>
      <c r="I147" s="825"/>
      <c r="J147" s="59"/>
      <c r="K147" s="59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</row>
    <row r="148" spans="1:248">
      <c r="A148" s="59"/>
      <c r="B148" s="59"/>
      <c r="C148" s="818"/>
      <c r="D148" s="59"/>
      <c r="E148" s="59"/>
      <c r="F148" s="826"/>
      <c r="G148" s="59"/>
      <c r="H148" s="825"/>
      <c r="I148" s="825"/>
      <c r="J148" s="59"/>
      <c r="K148" s="59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</row>
    <row r="149" spans="1:248">
      <c r="A149" s="59"/>
      <c r="B149" s="59"/>
      <c r="C149" s="818"/>
      <c r="D149" s="59"/>
      <c r="E149" s="59"/>
      <c r="F149" s="826"/>
      <c r="G149" s="59"/>
      <c r="H149" s="825"/>
      <c r="I149" s="825"/>
      <c r="J149" s="59"/>
      <c r="K149" s="59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</row>
    <row r="150" spans="1:248">
      <c r="A150" s="59"/>
      <c r="B150" s="59"/>
      <c r="C150" s="818"/>
      <c r="D150" s="59"/>
      <c r="E150" s="59"/>
      <c r="F150" s="826"/>
      <c r="G150" s="59"/>
      <c r="H150" s="825"/>
      <c r="I150" s="825"/>
      <c r="J150" s="59"/>
      <c r="K150" s="59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</row>
    <row r="151" spans="1:248">
      <c r="A151" s="59"/>
      <c r="B151" s="59"/>
      <c r="C151" s="818"/>
      <c r="D151" s="59"/>
      <c r="E151" s="59"/>
      <c r="F151" s="826"/>
      <c r="G151" s="59"/>
      <c r="H151" s="825"/>
      <c r="I151" s="825"/>
      <c r="J151" s="59"/>
      <c r="K151" s="59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</row>
    <row r="152" spans="1:248">
      <c r="A152" s="59"/>
      <c r="B152" s="59"/>
      <c r="C152" s="818"/>
      <c r="D152" s="59"/>
      <c r="E152" s="59"/>
      <c r="F152" s="826"/>
      <c r="G152" s="59"/>
      <c r="H152" s="825"/>
      <c r="I152" s="825"/>
      <c r="J152" s="59"/>
      <c r="K152" s="59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</row>
    <row r="153" spans="1:248">
      <c r="A153" s="59"/>
      <c r="B153" s="59"/>
      <c r="C153" s="59"/>
      <c r="D153" s="59"/>
      <c r="E153" s="59"/>
      <c r="F153" s="59"/>
      <c r="G153" s="59"/>
      <c r="H153" s="825"/>
      <c r="I153" s="825"/>
      <c r="J153" s="59"/>
      <c r="K153" s="59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</row>
    <row r="154" spans="1:248">
      <c r="A154" s="59"/>
      <c r="B154" s="59"/>
      <c r="C154" s="59"/>
      <c r="D154" s="59"/>
      <c r="E154" s="829"/>
      <c r="F154" s="826"/>
      <c r="G154" s="59"/>
      <c r="H154" s="825"/>
      <c r="I154" s="825"/>
      <c r="J154" s="59"/>
      <c r="K154" s="59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</row>
    <row r="155" spans="1:248">
      <c r="A155" s="59"/>
      <c r="B155" s="59"/>
      <c r="C155" s="818"/>
      <c r="D155" s="59"/>
      <c r="E155" s="59"/>
      <c r="F155" s="826"/>
      <c r="G155" s="59"/>
      <c r="H155" s="825"/>
      <c r="I155" s="825"/>
      <c r="J155" s="59"/>
      <c r="K155" s="59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</row>
    <row r="156" spans="1:248">
      <c r="A156" s="59"/>
      <c r="B156" s="59"/>
      <c r="C156" s="818"/>
      <c r="D156" s="59"/>
      <c r="E156" s="59"/>
      <c r="F156" s="826"/>
      <c r="G156" s="59"/>
      <c r="H156" s="825"/>
      <c r="I156" s="825"/>
      <c r="J156" s="59"/>
      <c r="K156" s="59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</row>
    <row r="157" spans="1:248">
      <c r="A157" s="59"/>
      <c r="B157" s="59"/>
      <c r="C157" s="818"/>
      <c r="D157" s="59"/>
      <c r="E157" s="59"/>
      <c r="F157" s="826"/>
      <c r="G157" s="59"/>
      <c r="H157" s="825"/>
      <c r="I157" s="825"/>
      <c r="J157" s="59"/>
      <c r="K157" s="59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</row>
    <row r="158" spans="1:248">
      <c r="A158" s="59"/>
      <c r="B158" s="59"/>
      <c r="C158" s="818"/>
      <c r="D158" s="59"/>
      <c r="E158" s="59"/>
      <c r="F158" s="826"/>
      <c r="G158" s="59"/>
      <c r="H158" s="825"/>
      <c r="I158" s="825"/>
      <c r="J158" s="59"/>
      <c r="K158" s="59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</row>
    <row r="159" spans="1:248">
      <c r="A159" s="59"/>
      <c r="B159" s="59"/>
      <c r="C159" s="818"/>
      <c r="D159" s="59"/>
      <c r="E159" s="59"/>
      <c r="F159" s="826"/>
      <c r="G159" s="59"/>
      <c r="H159" s="825"/>
      <c r="I159" s="825"/>
      <c r="J159" s="59"/>
      <c r="K159" s="59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</row>
    <row r="160" spans="1:248">
      <c r="A160" s="59"/>
      <c r="B160" s="59"/>
      <c r="C160" s="59"/>
      <c r="D160" s="59"/>
      <c r="E160" s="59"/>
      <c r="F160" s="59"/>
      <c r="G160" s="59"/>
      <c r="H160" s="825"/>
      <c r="I160" s="825"/>
      <c r="J160" s="59"/>
      <c r="K160" s="5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</row>
    <row r="161" spans="1:248">
      <c r="A161" s="816"/>
      <c r="B161" s="59"/>
      <c r="C161" s="59"/>
      <c r="D161" s="816"/>
      <c r="E161" s="829"/>
      <c r="F161" s="826"/>
      <c r="G161" s="816"/>
      <c r="H161" s="825"/>
      <c r="I161" s="816"/>
      <c r="J161" s="823"/>
      <c r="K161" s="816"/>
    </row>
    <row r="162" spans="1:248">
      <c r="A162" s="816"/>
      <c r="B162" s="59"/>
      <c r="C162" s="818"/>
      <c r="D162" s="816"/>
      <c r="E162" s="59"/>
      <c r="F162" s="826"/>
      <c r="G162" s="816"/>
      <c r="H162" s="825"/>
      <c r="I162" s="816"/>
      <c r="J162" s="61"/>
      <c r="K162" s="816"/>
    </row>
    <row r="163" spans="1:248">
      <c r="A163" s="816"/>
      <c r="B163" s="59"/>
      <c r="C163" s="818"/>
      <c r="D163" s="816"/>
      <c r="E163" s="59"/>
      <c r="F163" s="826"/>
      <c r="G163" s="816"/>
      <c r="H163" s="825"/>
      <c r="I163" s="816"/>
      <c r="J163" s="61"/>
      <c r="K163" s="816"/>
    </row>
    <row r="164" spans="1:248">
      <c r="A164" s="816"/>
      <c r="B164" s="59"/>
      <c r="C164" s="818"/>
      <c r="D164" s="816"/>
      <c r="E164" s="59"/>
      <c r="F164" s="826"/>
      <c r="G164" s="816"/>
      <c r="H164" s="825"/>
      <c r="I164" s="816"/>
      <c r="J164" s="61"/>
      <c r="K164" s="816"/>
    </row>
    <row r="165" spans="1:248">
      <c r="A165" s="816"/>
      <c r="B165" s="59"/>
      <c r="C165" s="818"/>
      <c r="D165" s="816"/>
      <c r="E165" s="59"/>
      <c r="F165" s="826"/>
      <c r="G165" s="816"/>
      <c r="H165" s="825"/>
      <c r="I165" s="816"/>
      <c r="J165" s="61"/>
      <c r="K165" s="816"/>
    </row>
    <row r="166" spans="1:248">
      <c r="A166" s="816"/>
      <c r="B166" s="59"/>
      <c r="C166" s="818"/>
      <c r="D166" s="816"/>
      <c r="E166" s="59"/>
      <c r="F166" s="826"/>
      <c r="G166" s="816"/>
      <c r="H166" s="825"/>
      <c r="I166" s="816"/>
      <c r="J166" s="61"/>
      <c r="K166" s="816"/>
    </row>
    <row r="167" spans="1:248">
      <c r="A167" s="816"/>
      <c r="B167" s="816"/>
      <c r="C167" s="816"/>
      <c r="D167" s="816"/>
      <c r="E167" s="59"/>
      <c r="F167" s="59"/>
      <c r="G167" s="816"/>
      <c r="H167" s="816"/>
      <c r="I167" s="816"/>
      <c r="J167" s="816"/>
      <c r="K167" s="816"/>
    </row>
    <row r="168" spans="1:248">
      <c r="A168" s="816"/>
      <c r="B168" s="59"/>
      <c r="C168" s="59"/>
      <c r="D168" s="829"/>
      <c r="E168" s="829"/>
      <c r="F168" s="816"/>
      <c r="G168" s="816"/>
      <c r="H168" s="825"/>
      <c r="I168" s="816"/>
      <c r="J168" s="823"/>
      <c r="K168" s="816"/>
    </row>
    <row r="169" spans="1:248">
      <c r="A169" s="816"/>
      <c r="B169" s="59"/>
      <c r="C169" s="818"/>
      <c r="D169" s="816"/>
      <c r="E169" s="59"/>
      <c r="F169" s="826"/>
      <c r="G169" s="816"/>
      <c r="H169" s="825"/>
      <c r="I169" s="816"/>
      <c r="J169" s="61"/>
      <c r="K169" s="816"/>
    </row>
    <row r="170" spans="1:248">
      <c r="A170" s="816"/>
      <c r="B170" s="59"/>
      <c r="C170" s="818"/>
      <c r="D170" s="816"/>
      <c r="E170" s="59"/>
      <c r="F170" s="826"/>
      <c r="G170" s="816"/>
      <c r="H170" s="816"/>
      <c r="I170" s="816"/>
      <c r="J170" s="61"/>
      <c r="K170" s="816"/>
    </row>
    <row r="171" spans="1:248">
      <c r="A171" s="816"/>
      <c r="B171" s="59"/>
      <c r="C171" s="818"/>
      <c r="D171" s="816"/>
      <c r="E171" s="59"/>
      <c r="F171" s="826"/>
      <c r="G171" s="816"/>
      <c r="H171" s="816"/>
      <c r="I171" s="816"/>
      <c r="J171" s="61"/>
      <c r="K171" s="816"/>
    </row>
    <row r="172" spans="1:248">
      <c r="A172" s="816"/>
      <c r="B172" s="59"/>
      <c r="C172" s="818"/>
      <c r="D172" s="816"/>
      <c r="E172" s="59"/>
      <c r="F172" s="826"/>
      <c r="G172" s="816"/>
      <c r="H172" s="816"/>
      <c r="I172" s="816"/>
      <c r="J172" s="61"/>
      <c r="K172" s="816"/>
    </row>
    <row r="173" spans="1:248">
      <c r="A173" s="816"/>
      <c r="B173" s="59"/>
      <c r="C173" s="818"/>
      <c r="D173" s="816"/>
      <c r="E173" s="59"/>
      <c r="F173" s="826"/>
      <c r="G173" s="816"/>
      <c r="H173" s="816"/>
      <c r="I173" s="816"/>
      <c r="J173" s="61"/>
      <c r="K173" s="816"/>
    </row>
    <row r="174" spans="1:248">
      <c r="A174" s="59"/>
      <c r="B174" s="59"/>
      <c r="C174" s="59"/>
      <c r="D174" s="59"/>
      <c r="E174" s="59"/>
      <c r="F174" s="826"/>
      <c r="G174" s="59"/>
      <c r="H174" s="825"/>
      <c r="I174" s="825"/>
      <c r="J174" s="59"/>
      <c r="K174" s="5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</row>
    <row r="175" spans="1:248">
      <c r="A175" s="59"/>
      <c r="B175" s="59"/>
      <c r="C175" s="59"/>
      <c r="D175" s="59"/>
      <c r="E175" s="829"/>
      <c r="F175" s="826"/>
      <c r="G175" s="59"/>
      <c r="H175" s="825"/>
      <c r="I175" s="825"/>
      <c r="J175" s="823"/>
      <c r="K175" s="5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</row>
    <row r="176" spans="1:248">
      <c r="A176" s="59"/>
      <c r="B176" s="59"/>
      <c r="C176" s="818"/>
      <c r="D176" s="59"/>
      <c r="E176" s="59"/>
      <c r="F176" s="826"/>
      <c r="G176" s="59"/>
      <c r="H176" s="825"/>
      <c r="I176" s="825"/>
      <c r="J176" s="61"/>
      <c r="K176" s="5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</row>
    <row r="177" spans="1:248">
      <c r="A177" s="59"/>
      <c r="B177" s="59"/>
      <c r="C177" s="818"/>
      <c r="D177" s="59"/>
      <c r="E177" s="59"/>
      <c r="F177" s="826"/>
      <c r="G177" s="59"/>
      <c r="H177" s="825"/>
      <c r="I177" s="825"/>
      <c r="J177" s="61"/>
      <c r="K177" s="5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</row>
    <row r="178" spans="1:248">
      <c r="A178" s="59"/>
      <c r="B178" s="59"/>
      <c r="C178" s="818"/>
      <c r="D178" s="59"/>
      <c r="E178" s="59"/>
      <c r="F178" s="826"/>
      <c r="G178" s="59"/>
      <c r="H178" s="825"/>
      <c r="I178" s="825"/>
      <c r="J178" s="61"/>
      <c r="K178" s="5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</row>
    <row r="179" spans="1:248">
      <c r="A179" s="59"/>
      <c r="B179" s="59"/>
      <c r="C179" s="818"/>
      <c r="D179" s="59"/>
      <c r="E179" s="59"/>
      <c r="F179" s="826"/>
      <c r="G179" s="59"/>
      <c r="H179" s="825"/>
      <c r="I179" s="825"/>
      <c r="J179" s="61"/>
      <c r="K179" s="5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</row>
    <row r="180" spans="1:248">
      <c r="A180" s="59"/>
      <c r="B180" s="59"/>
      <c r="C180" s="818"/>
      <c r="D180" s="59"/>
      <c r="E180" s="59"/>
      <c r="F180" s="826"/>
      <c r="G180" s="59"/>
      <c r="H180" s="825"/>
      <c r="I180" s="825"/>
      <c r="J180" s="61"/>
      <c r="K180" s="5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</row>
    <row r="181" spans="1:248">
      <c r="A181" s="59"/>
      <c r="B181" s="59"/>
      <c r="C181" s="59"/>
      <c r="D181" s="59"/>
      <c r="E181" s="59"/>
      <c r="F181" s="59"/>
      <c r="G181" s="59"/>
      <c r="H181" s="825"/>
      <c r="I181" s="825"/>
      <c r="J181" s="59"/>
      <c r="K181" s="5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</row>
    <row r="182" spans="1:248">
      <c r="A182" s="59"/>
      <c r="B182" s="59"/>
      <c r="C182" s="59"/>
      <c r="D182" s="59"/>
      <c r="E182" s="829"/>
      <c r="F182" s="59"/>
      <c r="G182" s="59"/>
      <c r="H182" s="825"/>
      <c r="I182" s="825"/>
      <c r="J182" s="823"/>
      <c r="K182" s="5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</row>
    <row r="183" spans="1:248">
      <c r="A183" s="59"/>
      <c r="B183" s="59"/>
      <c r="C183" s="818"/>
      <c r="D183" s="59"/>
      <c r="E183" s="59"/>
      <c r="F183" s="822"/>
      <c r="G183" s="59"/>
      <c r="H183" s="825"/>
      <c r="I183" s="825"/>
      <c r="J183" s="61"/>
      <c r="K183" s="5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</row>
    <row r="184" spans="1:248">
      <c r="A184" s="59"/>
      <c r="B184" s="59"/>
      <c r="C184" s="818"/>
      <c r="D184" s="59"/>
      <c r="E184" s="59"/>
      <c r="F184" s="822"/>
      <c r="G184" s="59"/>
      <c r="H184" s="825"/>
      <c r="I184" s="825"/>
      <c r="J184" s="61"/>
      <c r="K184" s="5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</row>
    <row r="185" spans="1:248">
      <c r="A185" s="59"/>
      <c r="B185" s="59"/>
      <c r="C185" s="818"/>
      <c r="D185" s="59"/>
      <c r="E185" s="59"/>
      <c r="F185" s="822"/>
      <c r="G185" s="59"/>
      <c r="H185" s="825"/>
      <c r="I185" s="825"/>
      <c r="J185" s="61"/>
      <c r="K185" s="5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</row>
    <row r="186" spans="1:248">
      <c r="A186" s="59"/>
      <c r="B186" s="59"/>
      <c r="C186" s="818"/>
      <c r="D186" s="59"/>
      <c r="E186" s="59"/>
      <c r="F186" s="822"/>
      <c r="G186" s="59"/>
      <c r="H186" s="825"/>
      <c r="I186" s="825"/>
      <c r="J186" s="61"/>
      <c r="K186" s="5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</row>
    <row r="187" spans="1:248">
      <c r="A187" s="59"/>
      <c r="B187" s="59"/>
      <c r="C187" s="818"/>
      <c r="D187" s="59"/>
      <c r="E187" s="59"/>
      <c r="F187" s="822"/>
      <c r="G187" s="59"/>
      <c r="H187" s="825"/>
      <c r="I187" s="825"/>
      <c r="J187" s="61"/>
      <c r="K187" s="5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</row>
    <row r="188" spans="1:248">
      <c r="A188" s="59"/>
      <c r="B188" s="59"/>
      <c r="C188" s="59"/>
      <c r="D188" s="59"/>
      <c r="E188" s="59"/>
      <c r="F188" s="59"/>
      <c r="G188" s="59"/>
      <c r="H188" s="825"/>
      <c r="I188" s="825"/>
      <c r="J188" s="59"/>
      <c r="K188" s="5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</row>
    <row r="189" spans="1:248">
      <c r="A189" s="59"/>
      <c r="B189" s="59"/>
      <c r="C189" s="59"/>
      <c r="D189" s="59"/>
      <c r="E189" s="830"/>
      <c r="F189" s="59"/>
      <c r="G189" s="59"/>
      <c r="H189" s="825"/>
      <c r="I189" s="825"/>
      <c r="J189" s="823"/>
      <c r="K189" s="5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</row>
    <row r="190" spans="1:248">
      <c r="A190" s="59"/>
      <c r="B190" s="59"/>
      <c r="C190" s="818"/>
      <c r="D190" s="59"/>
      <c r="E190" s="59"/>
      <c r="F190" s="822"/>
      <c r="G190" s="59"/>
      <c r="H190" s="825"/>
      <c r="I190" s="825"/>
      <c r="J190" s="61"/>
      <c r="K190" s="5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</row>
    <row r="191" spans="1:248">
      <c r="A191" s="59"/>
      <c r="B191" s="59"/>
      <c r="C191" s="818"/>
      <c r="D191" s="59"/>
      <c r="E191" s="59"/>
      <c r="F191" s="822"/>
      <c r="G191" s="59"/>
      <c r="H191" s="816"/>
      <c r="I191" s="825"/>
      <c r="J191" s="61"/>
      <c r="K191" s="5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</row>
    <row r="192" spans="1:248">
      <c r="A192" s="59"/>
      <c r="B192" s="59"/>
      <c r="C192" s="818"/>
      <c r="D192" s="59"/>
      <c r="E192" s="59"/>
      <c r="F192" s="822"/>
      <c r="G192" s="59"/>
      <c r="H192" s="816"/>
      <c r="I192" s="825"/>
      <c r="J192" s="61"/>
      <c r="K192" s="5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</row>
    <row r="193" spans="1:248">
      <c r="A193" s="59"/>
      <c r="B193" s="59"/>
      <c r="C193" s="818"/>
      <c r="D193" s="59"/>
      <c r="E193" s="59"/>
      <c r="F193" s="822"/>
      <c r="G193" s="59"/>
      <c r="H193" s="816"/>
      <c r="I193" s="825"/>
      <c r="J193" s="61"/>
      <c r="K193" s="5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</row>
    <row r="194" spans="1:248">
      <c r="A194" s="59"/>
      <c r="B194" s="59"/>
      <c r="C194" s="818"/>
      <c r="D194" s="59"/>
      <c r="E194" s="59"/>
      <c r="F194" s="822"/>
      <c r="G194" s="59"/>
      <c r="H194" s="816"/>
      <c r="I194" s="825"/>
      <c r="J194" s="61"/>
      <c r="K194" s="5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</row>
    <row r="195" spans="1:248">
      <c r="A195" s="59"/>
      <c r="B195" s="59"/>
      <c r="C195" s="818"/>
      <c r="D195" s="59"/>
      <c r="E195" s="59"/>
      <c r="F195" s="59"/>
      <c r="G195" s="59"/>
      <c r="H195" s="825"/>
      <c r="I195" s="825"/>
      <c r="J195" s="61"/>
      <c r="K195" s="5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</row>
    <row r="196" spans="1:248">
      <c r="A196" s="59"/>
      <c r="B196" s="59"/>
      <c r="C196" s="59"/>
      <c r="D196" s="59"/>
      <c r="E196" s="830"/>
      <c r="F196" s="59"/>
      <c r="G196" s="59"/>
      <c r="H196" s="825"/>
      <c r="I196" s="825"/>
      <c r="J196" s="823"/>
      <c r="K196" s="5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</row>
    <row r="197" spans="1:248">
      <c r="A197" s="59"/>
      <c r="B197" s="59"/>
      <c r="C197" s="818"/>
      <c r="D197" s="59"/>
      <c r="E197" s="59"/>
      <c r="F197" s="59"/>
      <c r="G197" s="59"/>
      <c r="H197" s="825"/>
      <c r="I197" s="825"/>
      <c r="J197" s="61"/>
      <c r="K197" s="5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</row>
    <row r="198" spans="1:248">
      <c r="A198" s="59"/>
      <c r="B198" s="59"/>
      <c r="C198" s="818"/>
      <c r="D198" s="59"/>
      <c r="E198" s="59"/>
      <c r="F198" s="59"/>
      <c r="G198" s="59"/>
      <c r="H198" s="825"/>
      <c r="I198" s="825"/>
      <c r="J198" s="61"/>
      <c r="K198" s="5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</row>
    <row r="199" spans="1:248">
      <c r="A199" s="59"/>
      <c r="B199" s="59"/>
      <c r="C199" s="818"/>
      <c r="D199" s="59"/>
      <c r="E199" s="59"/>
      <c r="F199" s="59"/>
      <c r="G199" s="59"/>
      <c r="H199" s="825"/>
      <c r="I199" s="825"/>
      <c r="J199" s="61"/>
      <c r="K199" s="5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</row>
    <row r="200" spans="1:248">
      <c r="A200" s="59"/>
      <c r="B200" s="59"/>
      <c r="C200" s="818"/>
      <c r="D200" s="59"/>
      <c r="E200" s="59"/>
      <c r="F200" s="59"/>
      <c r="G200" s="59"/>
      <c r="H200" s="825"/>
      <c r="I200" s="825"/>
      <c r="J200" s="61"/>
      <c r="K200" s="5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</row>
    <row r="201" spans="1:248">
      <c r="A201" s="59"/>
      <c r="B201" s="59"/>
      <c r="C201" s="818"/>
      <c r="D201" s="59"/>
      <c r="E201" s="59"/>
      <c r="F201" s="59"/>
      <c r="G201" s="59"/>
      <c r="H201" s="825"/>
      <c r="I201" s="825"/>
      <c r="J201" s="61"/>
      <c r="K201" s="5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</row>
    <row r="202" spans="1:248">
      <c r="A202" s="59"/>
      <c r="B202" s="59"/>
      <c r="C202" s="818"/>
      <c r="D202" s="59"/>
      <c r="E202" s="59"/>
      <c r="F202" s="59"/>
      <c r="G202" s="59"/>
      <c r="H202" s="825"/>
      <c r="I202" s="825"/>
      <c r="J202" s="61"/>
      <c r="K202" s="5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</row>
    <row r="203" spans="1:248">
      <c r="A203" s="59"/>
      <c r="B203" s="59"/>
      <c r="C203" s="59"/>
      <c r="D203" s="59"/>
      <c r="E203" s="59"/>
      <c r="F203" s="59"/>
      <c r="G203" s="59"/>
      <c r="H203" s="825"/>
      <c r="I203" s="825"/>
      <c r="J203" s="823"/>
      <c r="K203" s="5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</row>
    <row r="204" spans="1:248">
      <c r="A204" s="59"/>
      <c r="B204" s="59"/>
      <c r="C204" s="818"/>
      <c r="D204" s="59"/>
      <c r="E204" s="59"/>
      <c r="F204" s="59"/>
      <c r="G204" s="59"/>
      <c r="H204" s="825"/>
      <c r="I204" s="825"/>
      <c r="J204" s="61"/>
      <c r="K204" s="5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</row>
    <row r="205" spans="1:248">
      <c r="A205" s="59"/>
      <c r="B205" s="59"/>
      <c r="C205" s="818"/>
      <c r="D205" s="59"/>
      <c r="E205" s="59"/>
      <c r="F205" s="59"/>
      <c r="G205" s="59"/>
      <c r="H205" s="825"/>
      <c r="I205" s="825"/>
      <c r="J205" s="61"/>
      <c r="K205" s="5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</row>
    <row r="206" spans="1:248">
      <c r="A206" s="59"/>
      <c r="B206" s="59"/>
      <c r="C206" s="818"/>
      <c r="D206" s="59"/>
      <c r="E206" s="59"/>
      <c r="F206" s="59"/>
      <c r="G206" s="59"/>
      <c r="H206" s="825"/>
      <c r="I206" s="825"/>
      <c r="J206" s="61"/>
      <c r="K206" s="5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</row>
    <row r="207" spans="1:248">
      <c r="A207" s="59"/>
      <c r="B207" s="59"/>
      <c r="C207" s="818"/>
      <c r="D207" s="59"/>
      <c r="E207" s="59"/>
      <c r="F207" s="59"/>
      <c r="G207" s="59"/>
      <c r="H207" s="825"/>
      <c r="I207" s="825"/>
      <c r="J207" s="61"/>
      <c r="K207" s="5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</row>
    <row r="208" spans="1:248">
      <c r="A208" s="59"/>
      <c r="B208" s="59"/>
      <c r="C208" s="818"/>
      <c r="D208" s="59"/>
      <c r="E208" s="59"/>
      <c r="F208" s="59"/>
      <c r="G208" s="59"/>
      <c r="H208" s="825"/>
      <c r="I208" s="825"/>
      <c r="J208" s="61"/>
      <c r="K208" s="5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</row>
    <row r="209" spans="1:248">
      <c r="A209" s="59"/>
      <c r="B209" s="59"/>
      <c r="C209" s="59"/>
      <c r="D209" s="59"/>
      <c r="E209" s="59"/>
      <c r="F209" s="59"/>
      <c r="G209" s="59"/>
      <c r="H209" s="825"/>
      <c r="I209" s="825"/>
      <c r="J209" s="59"/>
      <c r="K209" s="5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</row>
    <row r="210" spans="1:248">
      <c r="A210" s="59"/>
      <c r="B210" s="59"/>
      <c r="C210" s="59"/>
      <c r="D210" s="59"/>
      <c r="E210" s="59"/>
      <c r="F210" s="59"/>
      <c r="G210" s="59"/>
      <c r="H210" s="825"/>
      <c r="I210" s="825"/>
      <c r="J210" s="823"/>
      <c r="K210" s="5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</row>
    <row r="211" spans="1:248">
      <c r="A211" s="59"/>
      <c r="B211" s="59"/>
      <c r="C211" s="818"/>
      <c r="D211" s="59"/>
      <c r="E211" s="59"/>
      <c r="F211" s="59"/>
      <c r="G211" s="59"/>
      <c r="H211" s="825"/>
      <c r="I211" s="825"/>
      <c r="J211" s="61"/>
      <c r="K211" s="5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</row>
    <row r="212" spans="1:248">
      <c r="A212" s="59"/>
      <c r="B212" s="59"/>
      <c r="C212" s="818"/>
      <c r="D212" s="59"/>
      <c r="E212" s="59"/>
      <c r="F212" s="59"/>
      <c r="G212" s="59"/>
      <c r="H212" s="825"/>
      <c r="I212" s="825"/>
      <c r="J212" s="61"/>
      <c r="K212" s="5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</row>
    <row r="213" spans="1:248">
      <c r="A213" s="59"/>
      <c r="B213" s="59"/>
      <c r="C213" s="818"/>
      <c r="D213" s="59"/>
      <c r="E213" s="59"/>
      <c r="F213" s="59"/>
      <c r="G213" s="59"/>
      <c r="H213" s="825"/>
      <c r="I213" s="825"/>
      <c r="J213" s="61"/>
      <c r="K213" s="5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</row>
    <row r="214" spans="1:248">
      <c r="A214" s="59"/>
      <c r="B214" s="59"/>
      <c r="C214" s="818"/>
      <c r="D214" s="59"/>
      <c r="E214" s="59"/>
      <c r="F214" s="59"/>
      <c r="G214" s="59"/>
      <c r="H214" s="825"/>
      <c r="I214" s="825"/>
      <c r="J214" s="61"/>
      <c r="K214" s="5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</row>
    <row r="215" spans="1:248">
      <c r="A215" s="59"/>
      <c r="B215" s="59"/>
      <c r="C215" s="818"/>
      <c r="D215" s="59"/>
      <c r="E215" s="59"/>
      <c r="F215" s="59"/>
      <c r="G215" s="59"/>
      <c r="H215" s="825"/>
      <c r="I215" s="825"/>
      <c r="J215" s="61"/>
      <c r="K215" s="5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</row>
    <row r="216" spans="1:248">
      <c r="A216" s="59"/>
      <c r="B216" s="59"/>
      <c r="C216" s="59"/>
      <c r="D216" s="59"/>
      <c r="E216" s="59"/>
      <c r="F216" s="59"/>
      <c r="G216" s="59"/>
      <c r="H216" s="825"/>
      <c r="I216" s="825"/>
      <c r="J216" s="59"/>
      <c r="K216" s="5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</row>
    <row r="217" spans="1:248">
      <c r="A217" s="59"/>
      <c r="B217" s="59"/>
      <c r="C217" s="59"/>
      <c r="D217" s="59"/>
      <c r="E217" s="59"/>
      <c r="F217" s="59"/>
      <c r="G217" s="59"/>
      <c r="H217" s="825"/>
      <c r="I217" s="825"/>
      <c r="J217" s="823"/>
      <c r="K217" s="5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</row>
    <row r="218" spans="1:248">
      <c r="A218" s="59"/>
      <c r="B218" s="59"/>
      <c r="C218" s="818"/>
      <c r="D218" s="59"/>
      <c r="E218" s="59"/>
      <c r="F218" s="59"/>
      <c r="G218" s="59"/>
      <c r="H218" s="825"/>
      <c r="I218" s="825"/>
      <c r="J218" s="61"/>
      <c r="K218" s="5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</row>
    <row r="219" spans="1:248">
      <c r="A219" s="59"/>
      <c r="B219" s="59"/>
      <c r="C219" s="818"/>
      <c r="D219" s="59"/>
      <c r="E219" s="59"/>
      <c r="F219" s="59"/>
      <c r="G219" s="59"/>
      <c r="H219" s="825"/>
      <c r="I219" s="825"/>
      <c r="J219" s="61"/>
      <c r="K219" s="5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</row>
    <row r="220" spans="1:248">
      <c r="A220" s="59"/>
      <c r="B220" s="59"/>
      <c r="C220" s="818"/>
      <c r="D220" s="59"/>
      <c r="E220" s="59"/>
      <c r="F220" s="59"/>
      <c r="G220" s="59"/>
      <c r="H220" s="825"/>
      <c r="I220" s="825"/>
      <c r="J220" s="61"/>
      <c r="K220" s="5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</row>
    <row r="221" spans="1:248">
      <c r="A221" s="59"/>
      <c r="B221" s="59"/>
      <c r="C221" s="818"/>
      <c r="D221" s="59"/>
      <c r="E221" s="59"/>
      <c r="F221" s="59"/>
      <c r="G221" s="59"/>
      <c r="H221" s="825"/>
      <c r="I221" s="825"/>
      <c r="J221" s="61"/>
      <c r="K221" s="5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</row>
    <row r="222" spans="1:248">
      <c r="A222" s="59"/>
      <c r="B222" s="59"/>
      <c r="C222" s="818"/>
      <c r="D222" s="59"/>
      <c r="E222" s="59"/>
      <c r="F222" s="59"/>
      <c r="G222" s="59"/>
      <c r="H222" s="825"/>
      <c r="I222" s="825"/>
      <c r="J222" s="61"/>
      <c r="K222" s="5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</row>
    <row r="223" spans="1:248">
      <c r="A223" s="59"/>
      <c r="B223" s="59"/>
      <c r="C223" s="59"/>
      <c r="D223" s="59"/>
      <c r="E223" s="59"/>
      <c r="F223" s="59"/>
      <c r="G223" s="59"/>
      <c r="H223" s="825"/>
      <c r="I223" s="825"/>
      <c r="J223" s="59"/>
      <c r="K223" s="5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</row>
    <row r="224" spans="1:248">
      <c r="A224" s="59"/>
      <c r="B224" s="59"/>
      <c r="C224" s="59"/>
      <c r="D224" s="59"/>
      <c r="E224" s="59"/>
      <c r="F224" s="59"/>
      <c r="G224" s="59"/>
      <c r="H224" s="825"/>
      <c r="I224" s="825"/>
      <c r="J224" s="59"/>
      <c r="K224" s="5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</row>
    <row r="225" spans="1:248">
      <c r="A225" s="59"/>
      <c r="B225" s="59"/>
      <c r="C225" s="59"/>
      <c r="D225" s="59"/>
      <c r="E225" s="59"/>
      <c r="F225" s="59"/>
      <c r="G225" s="59"/>
      <c r="H225" s="825"/>
      <c r="I225" s="825"/>
      <c r="J225" s="823"/>
      <c r="K225" s="5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</row>
    <row r="226" spans="1:248">
      <c r="A226" s="59"/>
      <c r="B226" s="59"/>
      <c r="C226" s="818"/>
      <c r="D226" s="59"/>
      <c r="E226" s="59"/>
      <c r="F226" s="59"/>
      <c r="G226" s="59"/>
      <c r="H226" s="825"/>
      <c r="I226" s="825"/>
      <c r="J226" s="61"/>
      <c r="K226" s="5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</row>
    <row r="227" spans="1:248">
      <c r="A227" s="59"/>
      <c r="B227" s="59"/>
      <c r="C227" s="818"/>
      <c r="D227" s="59"/>
      <c r="E227" s="59"/>
      <c r="F227" s="59"/>
      <c r="G227" s="59"/>
      <c r="H227" s="825"/>
      <c r="I227" s="825"/>
      <c r="J227" s="61"/>
      <c r="K227" s="5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</row>
    <row r="228" spans="1:248">
      <c r="A228" s="59"/>
      <c r="B228" s="59"/>
      <c r="C228" s="818"/>
      <c r="D228" s="59"/>
      <c r="E228" s="59"/>
      <c r="F228" s="59"/>
      <c r="G228" s="59"/>
      <c r="H228" s="825"/>
      <c r="I228" s="825"/>
      <c r="J228" s="61"/>
      <c r="K228" s="5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</row>
    <row r="229" spans="1:248">
      <c r="A229" s="59"/>
      <c r="B229" s="59"/>
      <c r="C229" s="818"/>
      <c r="D229" s="59"/>
      <c r="E229" s="59"/>
      <c r="F229" s="59"/>
      <c r="G229" s="59"/>
      <c r="H229" s="825"/>
      <c r="I229" s="825"/>
      <c r="J229" s="61"/>
      <c r="K229" s="5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</row>
    <row r="230" spans="1:248">
      <c r="A230" s="59"/>
      <c r="B230" s="59"/>
      <c r="C230" s="818"/>
      <c r="D230" s="59"/>
      <c r="E230" s="59"/>
      <c r="F230" s="59"/>
      <c r="G230" s="59"/>
      <c r="H230" s="825"/>
      <c r="I230" s="825"/>
      <c r="J230" s="61"/>
      <c r="K230" s="5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</row>
    <row r="231" spans="1:248">
      <c r="A231" s="59"/>
      <c r="B231" s="59"/>
      <c r="C231" s="59"/>
      <c r="D231" s="59"/>
      <c r="E231" s="59"/>
      <c r="F231" s="59"/>
      <c r="G231" s="59"/>
      <c r="H231" s="825"/>
      <c r="I231" s="825"/>
      <c r="J231" s="59"/>
      <c r="K231" s="5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</row>
    <row r="232" spans="1:248">
      <c r="A232" s="59"/>
      <c r="B232" s="59"/>
      <c r="C232" s="59"/>
      <c r="D232" s="59"/>
      <c r="E232" s="59"/>
      <c r="F232" s="59"/>
      <c r="G232" s="59"/>
      <c r="H232" s="825"/>
      <c r="I232" s="825"/>
      <c r="J232" s="823"/>
      <c r="K232" s="5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</row>
    <row r="233" spans="1:248">
      <c r="A233" s="59"/>
      <c r="B233" s="59"/>
      <c r="C233" s="818"/>
      <c r="D233" s="59"/>
      <c r="E233" s="59"/>
      <c r="F233" s="59"/>
      <c r="G233" s="59"/>
      <c r="H233" s="825"/>
      <c r="I233" s="825"/>
      <c r="J233" s="61"/>
      <c r="K233" s="5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</row>
    <row r="234" spans="1:248">
      <c r="A234" s="59"/>
      <c r="B234" s="59"/>
      <c r="C234" s="818"/>
      <c r="D234" s="59"/>
      <c r="E234" s="59"/>
      <c r="F234" s="59"/>
      <c r="G234" s="59"/>
      <c r="H234" s="825"/>
      <c r="I234" s="825"/>
      <c r="J234" s="61"/>
      <c r="K234" s="5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</row>
    <row r="235" spans="1:248">
      <c r="A235" s="59"/>
      <c r="B235" s="59"/>
      <c r="C235" s="818"/>
      <c r="D235" s="59"/>
      <c r="E235" s="59"/>
      <c r="F235" s="59"/>
      <c r="G235" s="59"/>
      <c r="H235" s="825"/>
      <c r="I235" s="825"/>
      <c r="J235" s="61"/>
      <c r="K235" s="5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</row>
    <row r="236" spans="1:248">
      <c r="A236" s="59"/>
      <c r="B236" s="59"/>
      <c r="C236" s="818"/>
      <c r="D236" s="59"/>
      <c r="E236" s="59"/>
      <c r="F236" s="59"/>
      <c r="G236" s="59"/>
      <c r="H236" s="825"/>
      <c r="I236" s="825"/>
      <c r="J236" s="61"/>
      <c r="K236" s="5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</row>
    <row r="237" spans="1:248">
      <c r="A237" s="59"/>
      <c r="B237" s="59"/>
      <c r="C237" s="818"/>
      <c r="D237" s="59"/>
      <c r="E237" s="59"/>
      <c r="F237" s="59"/>
      <c r="G237" s="59"/>
      <c r="H237" s="825"/>
      <c r="I237" s="825"/>
      <c r="J237" s="61"/>
      <c r="K237" s="5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</row>
    <row r="238" spans="1:248">
      <c r="A238" s="59"/>
      <c r="B238" s="59"/>
      <c r="C238" s="59"/>
      <c r="D238" s="59"/>
      <c r="E238" s="59"/>
      <c r="F238" s="59"/>
      <c r="G238" s="59"/>
      <c r="H238" s="825"/>
      <c r="I238" s="825"/>
      <c r="J238" s="59"/>
      <c r="K238" s="5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</row>
    <row r="239" spans="1:248">
      <c r="A239" s="59"/>
      <c r="B239" s="59"/>
      <c r="C239" s="59"/>
      <c r="D239" s="59"/>
      <c r="E239" s="59"/>
      <c r="F239" s="59"/>
      <c r="G239" s="59"/>
      <c r="H239" s="825"/>
      <c r="I239" s="825"/>
      <c r="J239" s="823"/>
      <c r="K239" s="5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</row>
    <row r="240" spans="1:248">
      <c r="A240" s="59"/>
      <c r="B240" s="59"/>
      <c r="C240" s="818"/>
      <c r="D240" s="59"/>
      <c r="E240" s="59"/>
      <c r="F240" s="59"/>
      <c r="G240" s="59"/>
      <c r="H240" s="825"/>
      <c r="I240" s="825"/>
      <c r="J240" s="61"/>
      <c r="K240" s="5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</row>
    <row r="241" spans="1:248">
      <c r="A241" s="59"/>
      <c r="B241" s="59"/>
      <c r="C241" s="818"/>
      <c r="D241" s="59"/>
      <c r="E241" s="59"/>
      <c r="F241" s="59"/>
      <c r="G241" s="59"/>
      <c r="H241" s="825"/>
      <c r="I241" s="825"/>
      <c r="J241" s="61"/>
      <c r="K241" s="5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</row>
    <row r="242" spans="1:248">
      <c r="A242" s="59"/>
      <c r="B242" s="59"/>
      <c r="C242" s="818"/>
      <c r="D242" s="59"/>
      <c r="E242" s="59"/>
      <c r="F242" s="59"/>
      <c r="G242" s="59"/>
      <c r="H242" s="825"/>
      <c r="I242" s="825"/>
      <c r="J242" s="61"/>
      <c r="K242" s="5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</row>
    <row r="243" spans="1:248">
      <c r="A243" s="59"/>
      <c r="B243" s="59"/>
      <c r="C243" s="818"/>
      <c r="D243" s="59"/>
      <c r="E243" s="59"/>
      <c r="F243" s="59"/>
      <c r="G243" s="59"/>
      <c r="H243" s="825"/>
      <c r="I243" s="825"/>
      <c r="J243" s="61"/>
      <c r="K243" s="5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</row>
    <row r="244" spans="1:248">
      <c r="A244" s="59"/>
      <c r="B244" s="59"/>
      <c r="C244" s="818"/>
      <c r="D244" s="59"/>
      <c r="E244" s="59"/>
      <c r="F244" s="59"/>
      <c r="G244" s="59"/>
      <c r="H244" s="825"/>
      <c r="I244" s="825"/>
      <c r="J244" s="61"/>
      <c r="K244" s="5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</row>
    <row r="245" spans="1:248">
      <c r="A245" s="59"/>
      <c r="B245" s="59"/>
      <c r="C245" s="59"/>
      <c r="D245" s="59"/>
      <c r="E245" s="59"/>
      <c r="F245" s="59"/>
      <c r="G245" s="59"/>
      <c r="H245" s="825"/>
      <c r="I245" s="825"/>
      <c r="J245" s="59"/>
      <c r="K245" s="5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</row>
    <row r="246" spans="1:248">
      <c r="A246" s="59"/>
      <c r="B246" s="59"/>
      <c r="C246" s="59"/>
      <c r="D246" s="59"/>
      <c r="E246" s="59"/>
      <c r="F246" s="59"/>
      <c r="G246" s="59"/>
      <c r="H246" s="825"/>
      <c r="I246" s="825"/>
      <c r="J246" s="823"/>
      <c r="K246" s="5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</row>
    <row r="247" spans="1:248">
      <c r="A247" s="59"/>
      <c r="B247" s="59"/>
      <c r="C247" s="818"/>
      <c r="D247" s="59"/>
      <c r="E247" s="59"/>
      <c r="F247" s="59"/>
      <c r="G247" s="59"/>
      <c r="H247" s="825"/>
      <c r="I247" s="825"/>
      <c r="J247" s="61"/>
      <c r="K247" s="5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</row>
    <row r="248" spans="1:248">
      <c r="A248" s="59"/>
      <c r="B248" s="59"/>
      <c r="C248" s="818"/>
      <c r="D248" s="59"/>
      <c r="E248" s="59"/>
      <c r="F248" s="59"/>
      <c r="G248" s="59"/>
      <c r="H248" s="825"/>
      <c r="I248" s="825"/>
      <c r="J248" s="61"/>
      <c r="K248" s="5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</row>
    <row r="249" spans="1:248">
      <c r="A249" s="59"/>
      <c r="B249" s="59"/>
      <c r="C249" s="818"/>
      <c r="D249" s="59"/>
      <c r="E249" s="59"/>
      <c r="F249" s="59"/>
      <c r="G249" s="59"/>
      <c r="H249" s="825"/>
      <c r="I249" s="825"/>
      <c r="J249" s="61"/>
      <c r="K249" s="5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</row>
    <row r="250" spans="1:248">
      <c r="A250" s="59"/>
      <c r="B250" s="59"/>
      <c r="C250" s="818"/>
      <c r="D250" s="59"/>
      <c r="E250" s="59"/>
      <c r="F250" s="59"/>
      <c r="G250" s="59"/>
      <c r="H250" s="825"/>
      <c r="I250" s="825"/>
      <c r="J250" s="61"/>
      <c r="K250" s="5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</row>
    <row r="251" spans="1:248">
      <c r="A251" s="59"/>
      <c r="B251" s="59"/>
      <c r="C251" s="818"/>
      <c r="D251" s="59"/>
      <c r="E251" s="59"/>
      <c r="F251" s="59"/>
      <c r="G251" s="59"/>
      <c r="H251" s="825"/>
      <c r="I251" s="825"/>
      <c r="J251" s="61"/>
      <c r="K251" s="5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</row>
    <row r="252" spans="1:248">
      <c r="A252" s="59"/>
      <c r="B252" s="59"/>
      <c r="C252" s="59"/>
      <c r="D252" s="59"/>
      <c r="E252" s="59"/>
      <c r="F252" s="59"/>
      <c r="G252" s="59"/>
      <c r="H252" s="825"/>
      <c r="I252" s="825"/>
      <c r="J252" s="59"/>
      <c r="K252" s="5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</row>
    <row r="253" spans="1:248">
      <c r="A253" s="59"/>
      <c r="B253" s="59"/>
      <c r="C253" s="59"/>
      <c r="D253" s="59"/>
      <c r="E253" s="59"/>
      <c r="F253" s="59"/>
      <c r="G253" s="59"/>
      <c r="H253" s="825"/>
      <c r="I253" s="825"/>
      <c r="J253" s="823"/>
      <c r="K253" s="5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</row>
    <row r="254" spans="1:248">
      <c r="A254" s="59"/>
      <c r="B254" s="59"/>
      <c r="C254" s="818"/>
      <c r="D254" s="59"/>
      <c r="E254" s="59"/>
      <c r="F254" s="59"/>
      <c r="G254" s="59"/>
      <c r="H254" s="825"/>
      <c r="I254" s="825"/>
      <c r="J254" s="61"/>
      <c r="K254" s="5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</row>
    <row r="255" spans="1:248">
      <c r="A255" s="59"/>
      <c r="B255" s="59"/>
      <c r="C255" s="818"/>
      <c r="D255" s="59"/>
      <c r="E255" s="59"/>
      <c r="F255" s="59"/>
      <c r="G255" s="59"/>
      <c r="H255" s="825"/>
      <c r="I255" s="825"/>
      <c r="J255" s="61"/>
      <c r="K255" s="5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</row>
    <row r="256" spans="1:248">
      <c r="A256" s="59"/>
      <c r="B256" s="59"/>
      <c r="C256" s="818"/>
      <c r="D256" s="59"/>
      <c r="E256" s="59"/>
      <c r="F256" s="59"/>
      <c r="G256" s="59"/>
      <c r="H256" s="825"/>
      <c r="I256" s="825"/>
      <c r="J256" s="61"/>
      <c r="K256" s="5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</row>
    <row r="257" spans="1:248">
      <c r="A257" s="59"/>
      <c r="B257" s="59"/>
      <c r="C257" s="818"/>
      <c r="D257" s="59"/>
      <c r="E257" s="59"/>
      <c r="F257" s="59"/>
      <c r="G257" s="59"/>
      <c r="H257" s="825"/>
      <c r="I257" s="825"/>
      <c r="J257" s="61"/>
      <c r="K257" s="5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</row>
    <row r="258" spans="1:248">
      <c r="A258" s="59"/>
      <c r="B258" s="59"/>
      <c r="C258" s="818"/>
      <c r="D258" s="59"/>
      <c r="E258" s="59"/>
      <c r="F258" s="59"/>
      <c r="G258" s="59"/>
      <c r="H258" s="825"/>
      <c r="I258" s="825"/>
      <c r="J258" s="61"/>
      <c r="K258" s="5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</row>
    <row r="259" spans="1:248">
      <c r="A259" s="59"/>
      <c r="B259" s="59"/>
      <c r="C259" s="59"/>
      <c r="D259" s="59"/>
      <c r="E259" s="59"/>
      <c r="F259" s="59"/>
      <c r="G259" s="59"/>
      <c r="H259" s="825"/>
      <c r="I259" s="825"/>
      <c r="J259" s="59"/>
      <c r="K259" s="5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</row>
    <row r="260" spans="1:248">
      <c r="A260" s="59"/>
      <c r="B260" s="59"/>
      <c r="C260" s="59"/>
      <c r="D260" s="59"/>
      <c r="E260" s="59"/>
      <c r="F260" s="59"/>
      <c r="G260" s="59"/>
      <c r="H260" s="825"/>
      <c r="I260" s="825"/>
      <c r="J260" s="59"/>
      <c r="K260" s="5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</row>
    <row r="261" spans="1:248">
      <c r="A261" s="59"/>
      <c r="B261" s="59"/>
      <c r="C261" s="59"/>
      <c r="D261" s="59"/>
      <c r="E261" s="59"/>
      <c r="F261" s="59"/>
      <c r="G261" s="59"/>
      <c r="H261" s="825"/>
      <c r="I261" s="825"/>
      <c r="J261" s="823"/>
      <c r="K261" s="5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</row>
    <row r="262" spans="1:248">
      <c r="A262" s="59"/>
      <c r="B262" s="59"/>
      <c r="C262" s="818"/>
      <c r="D262" s="59"/>
      <c r="E262" s="59"/>
      <c r="F262" s="59"/>
      <c r="G262" s="59"/>
      <c r="H262" s="825"/>
      <c r="I262" s="825"/>
      <c r="J262" s="61"/>
      <c r="K262" s="5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</row>
    <row r="263" spans="1:248">
      <c r="A263" s="59"/>
      <c r="B263" s="59"/>
      <c r="C263" s="818"/>
      <c r="D263" s="59"/>
      <c r="E263" s="59"/>
      <c r="F263" s="59"/>
      <c r="G263" s="59"/>
      <c r="H263" s="825"/>
      <c r="I263" s="825"/>
      <c r="J263" s="61"/>
      <c r="K263" s="5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</row>
    <row r="264" spans="1:248">
      <c r="A264" s="59"/>
      <c r="B264" s="59"/>
      <c r="C264" s="818"/>
      <c r="D264" s="59"/>
      <c r="E264" s="59"/>
      <c r="F264" s="59"/>
      <c r="G264" s="59"/>
      <c r="H264" s="825"/>
      <c r="I264" s="825"/>
      <c r="J264" s="61"/>
      <c r="K264" s="5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</row>
    <row r="265" spans="1:248">
      <c r="A265" s="59"/>
      <c r="B265" s="59"/>
      <c r="C265" s="818"/>
      <c r="D265" s="59"/>
      <c r="E265" s="59"/>
      <c r="F265" s="59"/>
      <c r="G265" s="59"/>
      <c r="H265" s="825"/>
      <c r="I265" s="825"/>
      <c r="J265" s="61"/>
      <c r="K265" s="5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</row>
    <row r="266" spans="1:248">
      <c r="A266" s="59"/>
      <c r="B266" s="59"/>
      <c r="C266" s="818"/>
      <c r="D266" s="59"/>
      <c r="E266" s="59"/>
      <c r="F266" s="59"/>
      <c r="G266" s="59"/>
      <c r="H266" s="825"/>
      <c r="I266" s="825"/>
      <c r="J266" s="61"/>
      <c r="K266" s="5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</row>
    <row r="267" spans="1:248">
      <c r="A267" s="59"/>
      <c r="B267" s="59"/>
      <c r="C267" s="59"/>
      <c r="D267" s="59"/>
      <c r="E267" s="59"/>
      <c r="F267" s="59"/>
      <c r="G267" s="59"/>
      <c r="H267" s="825"/>
      <c r="I267" s="825"/>
      <c r="J267" s="59"/>
      <c r="K267" s="5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</row>
    <row r="268" spans="1:248">
      <c r="A268" s="59"/>
      <c r="B268" s="59"/>
      <c r="C268" s="59"/>
      <c r="D268" s="59"/>
      <c r="E268" s="59"/>
      <c r="F268" s="59"/>
      <c r="G268" s="59"/>
      <c r="H268" s="825"/>
      <c r="I268" s="825"/>
      <c r="J268" s="59"/>
      <c r="K268" s="5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</row>
    <row r="269" spans="1:248">
      <c r="A269" s="59"/>
      <c r="B269" s="59"/>
      <c r="C269" s="59"/>
      <c r="D269" s="59"/>
      <c r="E269" s="59"/>
      <c r="F269" s="59"/>
      <c r="G269" s="59"/>
      <c r="H269" s="825"/>
      <c r="I269" s="825"/>
      <c r="J269" s="59"/>
      <c r="K269" s="5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</row>
    <row r="270" spans="1:248">
      <c r="A270" s="59"/>
      <c r="B270" s="59"/>
      <c r="C270" s="59"/>
      <c r="D270" s="59"/>
      <c r="E270" s="59"/>
      <c r="F270" s="59"/>
      <c r="G270" s="59"/>
      <c r="H270" s="825"/>
      <c r="I270" s="825"/>
      <c r="J270" s="59"/>
      <c r="K270" s="5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</row>
    <row r="271" spans="1:248">
      <c r="A271" s="59"/>
      <c r="B271" s="59"/>
      <c r="C271" s="59"/>
      <c r="D271" s="59"/>
      <c r="E271" s="59"/>
      <c r="F271" s="59"/>
      <c r="G271" s="59"/>
      <c r="H271" s="825"/>
      <c r="I271" s="825"/>
      <c r="J271" s="59"/>
      <c r="K271" s="5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</row>
    <row r="272" spans="1:248">
      <c r="A272" s="59"/>
      <c r="B272" s="59"/>
      <c r="C272" s="59"/>
      <c r="D272" s="59"/>
      <c r="E272" s="59"/>
      <c r="F272" s="59"/>
      <c r="G272" s="59"/>
      <c r="H272" s="825"/>
      <c r="I272" s="825"/>
      <c r="J272" s="59"/>
      <c r="K272" s="5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</row>
    <row r="273" spans="1:248">
      <c r="A273" s="59"/>
      <c r="B273" s="59"/>
      <c r="C273" s="59"/>
      <c r="D273" s="59"/>
      <c r="E273" s="59"/>
      <c r="F273" s="59"/>
      <c r="G273" s="59"/>
      <c r="H273" s="825"/>
      <c r="I273" s="59"/>
      <c r="J273" s="59"/>
      <c r="K273" s="5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</row>
    <row r="274" spans="1:248">
      <c r="A274" s="59"/>
      <c r="B274" s="59"/>
      <c r="C274" s="59"/>
      <c r="D274" s="59"/>
      <c r="E274" s="59"/>
      <c r="F274" s="59"/>
      <c r="G274" s="59"/>
      <c r="H274" s="825"/>
      <c r="I274" s="59"/>
      <c r="J274" s="59"/>
      <c r="K274" s="5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</row>
    <row r="275" spans="1:248">
      <c r="A275" s="59"/>
      <c r="B275" s="59"/>
      <c r="C275" s="59"/>
      <c r="D275" s="59"/>
      <c r="E275" s="59"/>
      <c r="F275" s="59"/>
      <c r="G275" s="59"/>
      <c r="H275" s="825"/>
      <c r="I275" s="59"/>
      <c r="J275" s="59"/>
      <c r="K275" s="5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</row>
    <row r="276" spans="1:248">
      <c r="A276" s="59"/>
      <c r="B276" s="59"/>
      <c r="C276" s="59"/>
      <c r="D276" s="59"/>
      <c r="E276" s="59"/>
      <c r="F276" s="59"/>
      <c r="G276" s="59"/>
      <c r="H276" s="825"/>
      <c r="I276" s="59"/>
      <c r="J276" s="59"/>
      <c r="K276" s="5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</row>
    <row r="277" spans="1:248">
      <c r="A277" s="59"/>
      <c r="B277" s="59"/>
      <c r="C277" s="59"/>
      <c r="D277" s="59"/>
      <c r="E277" s="59"/>
      <c r="F277" s="59"/>
      <c r="G277" s="59"/>
      <c r="H277" s="825"/>
      <c r="I277" s="59"/>
      <c r="J277" s="59"/>
      <c r="K277" s="5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</row>
    <row r="278" spans="1:248">
      <c r="A278" s="59"/>
      <c r="B278" s="59"/>
      <c r="C278" s="59"/>
      <c r="D278" s="59"/>
      <c r="E278" s="59"/>
      <c r="F278" s="59"/>
      <c r="G278" s="59"/>
      <c r="H278" s="825"/>
      <c r="I278" s="59"/>
      <c r="J278" s="59"/>
      <c r="K278" s="5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</row>
    <row r="279" spans="1:248">
      <c r="A279" s="59"/>
      <c r="B279" s="59"/>
      <c r="C279" s="59"/>
      <c r="D279" s="59"/>
      <c r="E279" s="59"/>
      <c r="F279" s="59"/>
      <c r="G279" s="59"/>
      <c r="H279" s="825"/>
      <c r="I279" s="59"/>
      <c r="J279" s="59"/>
      <c r="K279" s="5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</row>
    <row r="280" spans="1:248">
      <c r="A280" s="59"/>
      <c r="B280" s="59"/>
      <c r="C280" s="59"/>
      <c r="D280" s="59"/>
      <c r="E280" s="59"/>
      <c r="F280" s="59"/>
      <c r="G280" s="59"/>
      <c r="H280" s="825"/>
      <c r="I280" s="59"/>
      <c r="J280" s="59"/>
      <c r="K280" s="5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</row>
    <row r="281" spans="1:248">
      <c r="A281" s="59"/>
      <c r="B281" s="59"/>
      <c r="C281" s="59"/>
      <c r="D281" s="59"/>
      <c r="E281" s="59"/>
      <c r="F281" s="59"/>
      <c r="G281" s="59"/>
      <c r="H281" s="825"/>
      <c r="I281" s="59"/>
      <c r="J281" s="59"/>
      <c r="K281" s="5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</row>
    <row r="282" spans="1:248">
      <c r="A282" s="59"/>
      <c r="B282" s="59"/>
      <c r="C282" s="59"/>
      <c r="D282" s="59"/>
      <c r="E282" s="59"/>
      <c r="F282" s="59"/>
      <c r="G282" s="59"/>
      <c r="H282" s="825"/>
      <c r="I282" s="59"/>
      <c r="J282" s="59"/>
      <c r="K282" s="5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</row>
    <row r="283" spans="1:248">
      <c r="A283" s="59"/>
      <c r="B283" s="59"/>
      <c r="C283" s="59"/>
      <c r="D283" s="59"/>
      <c r="E283" s="59"/>
      <c r="F283" s="59"/>
      <c r="G283" s="59"/>
      <c r="H283" s="825"/>
      <c r="I283" s="59"/>
      <c r="J283" s="59"/>
      <c r="K283" s="5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</row>
    <row r="284" spans="1:248">
      <c r="A284" s="59"/>
      <c r="B284" s="59"/>
      <c r="C284" s="59"/>
      <c r="D284" s="59"/>
      <c r="E284" s="59"/>
      <c r="F284" s="59"/>
      <c r="G284" s="59"/>
      <c r="H284" s="825"/>
      <c r="I284" s="59"/>
      <c r="J284" s="59"/>
      <c r="K284" s="5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</row>
    <row r="285" spans="1:248">
      <c r="A285" s="59"/>
      <c r="B285" s="59"/>
      <c r="C285" s="59"/>
      <c r="D285" s="59"/>
      <c r="E285" s="59"/>
      <c r="F285" s="59"/>
      <c r="G285" s="59"/>
      <c r="H285" s="825"/>
      <c r="I285" s="59"/>
      <c r="J285" s="59"/>
      <c r="K285" s="5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</row>
    <row r="286" spans="1:248">
      <c r="A286" s="59"/>
      <c r="B286" s="59"/>
      <c r="C286" s="59"/>
      <c r="D286" s="59"/>
      <c r="E286" s="59"/>
      <c r="F286" s="59"/>
      <c r="G286" s="59"/>
      <c r="H286" s="825"/>
      <c r="I286" s="59"/>
      <c r="J286" s="59"/>
      <c r="K286" s="5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</row>
    <row r="287" spans="1:248">
      <c r="A287" s="59"/>
      <c r="B287" s="59"/>
      <c r="C287" s="59"/>
      <c r="D287" s="59"/>
      <c r="E287" s="59"/>
      <c r="F287" s="59"/>
      <c r="G287" s="59"/>
      <c r="H287" s="825"/>
      <c r="I287" s="59"/>
      <c r="J287" s="59"/>
      <c r="K287" s="5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</row>
    <row r="288" spans="1:248">
      <c r="A288" s="59"/>
      <c r="B288" s="59"/>
      <c r="C288" s="59"/>
      <c r="D288" s="59"/>
      <c r="E288" s="59"/>
      <c r="F288" s="59"/>
      <c r="G288" s="59"/>
      <c r="H288" s="825"/>
      <c r="I288" s="59"/>
      <c r="J288" s="59"/>
      <c r="K288" s="5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</row>
    <row r="289" spans="1:248">
      <c r="A289" s="59"/>
      <c r="B289" s="59"/>
      <c r="C289" s="59"/>
      <c r="D289" s="59"/>
      <c r="E289" s="59"/>
      <c r="F289" s="59"/>
      <c r="G289" s="59"/>
      <c r="H289" s="825"/>
      <c r="I289" s="59"/>
      <c r="J289" s="59"/>
      <c r="K289" s="5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</row>
    <row r="290" spans="1:248">
      <c r="A290" s="59"/>
      <c r="B290" s="59"/>
      <c r="C290" s="59"/>
      <c r="D290" s="59"/>
      <c r="E290" s="59"/>
      <c r="F290" s="59"/>
      <c r="G290" s="59"/>
      <c r="H290" s="825"/>
      <c r="I290" s="59"/>
      <c r="J290" s="59"/>
      <c r="K290" s="5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</row>
    <row r="291" spans="1:248">
      <c r="A291" s="59"/>
      <c r="B291" s="59"/>
      <c r="C291" s="59"/>
      <c r="D291" s="59"/>
      <c r="E291" s="59"/>
      <c r="F291" s="59"/>
      <c r="G291" s="59"/>
      <c r="H291" s="825"/>
      <c r="I291" s="59"/>
      <c r="J291" s="59"/>
      <c r="K291" s="5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</row>
    <row r="292" spans="1:248">
      <c r="A292" s="59"/>
      <c r="B292" s="59"/>
      <c r="C292" s="59"/>
      <c r="D292" s="59"/>
      <c r="E292" s="59"/>
      <c r="F292" s="59"/>
      <c r="G292" s="59"/>
      <c r="H292" s="825"/>
      <c r="I292" s="59"/>
      <c r="J292" s="59"/>
      <c r="K292" s="5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</row>
    <row r="293" spans="1:248">
      <c r="A293" s="59"/>
      <c r="B293" s="59"/>
      <c r="C293" s="59"/>
      <c r="D293" s="59"/>
      <c r="E293" s="59"/>
      <c r="F293" s="59"/>
      <c r="G293" s="59"/>
      <c r="H293" s="825"/>
      <c r="I293" s="59"/>
      <c r="J293" s="59"/>
      <c r="K293" s="5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</row>
    <row r="294" spans="1:248">
      <c r="A294" s="59"/>
      <c r="B294" s="59"/>
      <c r="C294" s="59"/>
      <c r="D294" s="59"/>
      <c r="E294" s="59"/>
      <c r="F294" s="59"/>
      <c r="G294" s="59"/>
      <c r="H294" s="825"/>
      <c r="I294" s="59"/>
      <c r="J294" s="59"/>
      <c r="K294" s="5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</row>
    <row r="295" spans="1:248">
      <c r="A295" s="59"/>
      <c r="B295" s="59"/>
      <c r="C295" s="59"/>
      <c r="D295" s="59"/>
      <c r="E295" s="59"/>
      <c r="F295" s="59"/>
      <c r="G295" s="59"/>
      <c r="H295" s="825"/>
      <c r="I295" s="59"/>
      <c r="J295" s="59"/>
      <c r="K295" s="5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</row>
    <row r="296" spans="1:248">
      <c r="A296" s="4"/>
      <c r="B296" s="4"/>
      <c r="C296" s="4"/>
      <c r="D296" s="4"/>
      <c r="E296" s="4"/>
      <c r="F296" s="4"/>
      <c r="G296" s="4"/>
      <c r="H296" s="60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</row>
    <row r="297" spans="1:248">
      <c r="A297" s="4"/>
      <c r="B297" s="4"/>
      <c r="C297" s="4"/>
      <c r="D297" s="4"/>
      <c r="E297" s="4"/>
      <c r="F297" s="4"/>
      <c r="G297" s="4"/>
      <c r="H297" s="60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</row>
    <row r="298" spans="1:248">
      <c r="A298" s="4"/>
      <c r="B298" s="4"/>
      <c r="C298" s="4"/>
      <c r="D298" s="4"/>
      <c r="E298" s="4"/>
      <c r="F298" s="4"/>
      <c r="G298" s="4"/>
      <c r="H298" s="60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</row>
    <row r="299" spans="1:248">
      <c r="A299" s="4"/>
      <c r="B299" s="4"/>
      <c r="C299" s="4"/>
      <c r="D299" s="4"/>
      <c r="E299" s="4"/>
      <c r="F299" s="4"/>
      <c r="G299" s="4"/>
      <c r="H299" s="60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</row>
    <row r="300" spans="1:248">
      <c r="A300" s="4"/>
      <c r="B300" s="4"/>
      <c r="C300" s="4"/>
      <c r="D300" s="4"/>
      <c r="E300" s="4"/>
      <c r="F300" s="4"/>
      <c r="G300" s="4"/>
      <c r="H300" s="60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</row>
    <row r="301" spans="1:248">
      <c r="A301" s="4"/>
      <c r="B301" s="4"/>
      <c r="C301" s="4"/>
      <c r="D301" s="4"/>
      <c r="E301" s="4"/>
      <c r="F301" s="4"/>
      <c r="G301" s="4"/>
      <c r="H301" s="60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</row>
    <row r="302" spans="1:248">
      <c r="A302" s="4"/>
      <c r="B302" s="4"/>
      <c r="C302" s="4"/>
      <c r="D302" s="4"/>
      <c r="E302" s="4"/>
      <c r="F302" s="4"/>
      <c r="G302" s="4"/>
      <c r="H302" s="60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</row>
    <row r="303" spans="1:248">
      <c r="A303" s="4"/>
      <c r="B303" s="4"/>
      <c r="C303" s="4"/>
      <c r="D303" s="4"/>
      <c r="E303" s="4"/>
      <c r="F303" s="4"/>
      <c r="G303" s="4"/>
      <c r="H303" s="60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</row>
    <row r="304" spans="1:248">
      <c r="A304" s="4"/>
      <c r="B304" s="4"/>
      <c r="C304" s="4"/>
      <c r="D304" s="4"/>
      <c r="E304" s="4"/>
      <c r="F304" s="4"/>
      <c r="G304" s="4"/>
      <c r="H304" s="60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</row>
    <row r="305" spans="1:248">
      <c r="A305" s="4"/>
      <c r="B305" s="4"/>
      <c r="C305" s="4"/>
      <c r="D305" s="4"/>
      <c r="E305" s="4"/>
      <c r="F305" s="4"/>
      <c r="G305" s="4"/>
      <c r="H305" s="60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</row>
    <row r="306" spans="1:248">
      <c r="A306" s="4"/>
      <c r="B306" s="4"/>
      <c r="C306" s="4"/>
      <c r="D306" s="4"/>
      <c r="E306" s="4"/>
      <c r="F306" s="4"/>
      <c r="G306" s="4"/>
      <c r="H306" s="60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</row>
    <row r="307" spans="1:248">
      <c r="A307" s="4"/>
      <c r="B307" s="4"/>
      <c r="C307" s="4"/>
      <c r="D307" s="4"/>
      <c r="E307" s="4"/>
      <c r="F307" s="4"/>
      <c r="G307" s="4"/>
      <c r="H307" s="60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</row>
    <row r="308" spans="1:248">
      <c r="A308" s="4"/>
      <c r="B308" s="4"/>
      <c r="C308" s="4"/>
      <c r="D308" s="4"/>
      <c r="E308" s="4"/>
      <c r="F308" s="4"/>
      <c r="G308" s="4"/>
      <c r="H308" s="60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</row>
    <row r="309" spans="1:248">
      <c r="A309" s="4"/>
      <c r="B309" s="4"/>
      <c r="C309" s="4"/>
      <c r="D309" s="4"/>
      <c r="E309" s="4"/>
      <c r="F309" s="4"/>
      <c r="G309" s="4"/>
      <c r="H309" s="60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</row>
    <row r="310" spans="1:248">
      <c r="A310" s="4"/>
      <c r="B310" s="4"/>
      <c r="C310" s="4"/>
      <c r="D310" s="4"/>
      <c r="E310" s="4"/>
      <c r="F310" s="4"/>
      <c r="G310" s="4"/>
      <c r="H310" s="60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</row>
    <row r="311" spans="1:248">
      <c r="A311" s="4"/>
      <c r="B311" s="4"/>
      <c r="C311" s="4"/>
      <c r="D311" s="4"/>
      <c r="E311" s="4"/>
      <c r="F311" s="4"/>
      <c r="G311" s="4"/>
      <c r="H311" s="60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</row>
    <row r="312" spans="1:248">
      <c r="A312" s="4"/>
      <c r="B312" s="4"/>
      <c r="C312" s="4"/>
      <c r="D312" s="4"/>
      <c r="E312" s="4"/>
      <c r="F312" s="4"/>
      <c r="G312" s="4"/>
      <c r="H312" s="60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</row>
    <row r="313" spans="1:248">
      <c r="A313" s="4"/>
      <c r="B313" s="4"/>
      <c r="C313" s="4"/>
      <c r="D313" s="4"/>
      <c r="E313" s="4"/>
      <c r="F313" s="4"/>
      <c r="G313" s="4"/>
      <c r="H313" s="60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</row>
    <row r="314" spans="1:248">
      <c r="A314" s="4"/>
      <c r="B314" s="4"/>
      <c r="C314" s="4"/>
      <c r="D314" s="4"/>
      <c r="E314" s="4"/>
      <c r="F314" s="4"/>
      <c r="G314" s="4"/>
      <c r="H314" s="60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</row>
    <row r="315" spans="1:248">
      <c r="A315" s="4"/>
      <c r="B315" s="4"/>
      <c r="C315" s="4"/>
      <c r="D315" s="4"/>
      <c r="E315" s="4"/>
      <c r="F315" s="4"/>
      <c r="G315" s="4"/>
      <c r="H315" s="60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</row>
    <row r="316" spans="1:248">
      <c r="A316" s="4"/>
      <c r="B316" s="4"/>
      <c r="C316" s="4"/>
      <c r="D316" s="4"/>
      <c r="E316" s="4"/>
      <c r="F316" s="4"/>
      <c r="G316" s="4"/>
      <c r="H316" s="60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</row>
    <row r="317" spans="1:248">
      <c r="A317" s="4"/>
      <c r="B317" s="4"/>
      <c r="C317" s="4"/>
      <c r="D317" s="4"/>
      <c r="E317" s="4"/>
      <c r="F317" s="4"/>
      <c r="G317" s="4"/>
      <c r="H317" s="60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</row>
    <row r="318" spans="1:248">
      <c r="A318" s="4"/>
      <c r="B318" s="4"/>
      <c r="C318" s="4"/>
      <c r="D318" s="4"/>
      <c r="E318" s="4"/>
      <c r="F318" s="4"/>
      <c r="G318" s="4"/>
      <c r="H318" s="60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</row>
    <row r="319" spans="1:248">
      <c r="A319" s="4"/>
      <c r="B319" s="4"/>
      <c r="C319" s="4"/>
      <c r="D319" s="4"/>
      <c r="E319" s="4"/>
      <c r="F319" s="4"/>
      <c r="G319" s="4"/>
      <c r="H319" s="60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</row>
    <row r="320" spans="1:248">
      <c r="A320" s="4"/>
      <c r="B320" s="4"/>
      <c r="C320" s="4"/>
      <c r="D320" s="4"/>
      <c r="E320" s="4"/>
      <c r="F320" s="4"/>
      <c r="G320" s="4"/>
      <c r="H320" s="60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</row>
    <row r="321" spans="1:248">
      <c r="A321" s="4"/>
      <c r="B321" s="4"/>
      <c r="C321" s="4"/>
      <c r="D321" s="4"/>
      <c r="E321" s="4"/>
      <c r="F321" s="4"/>
      <c r="G321" s="4"/>
      <c r="H321" s="60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</row>
    <row r="322" spans="1:248">
      <c r="A322" s="4"/>
      <c r="B322" s="4"/>
      <c r="C322" s="4"/>
      <c r="D322" s="4"/>
      <c r="E322" s="4"/>
      <c r="F322" s="4"/>
      <c r="G322" s="4"/>
      <c r="H322" s="60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</row>
    <row r="323" spans="1:248">
      <c r="A323" s="4"/>
      <c r="B323" s="4"/>
      <c r="C323" s="4"/>
      <c r="D323" s="4"/>
      <c r="E323" s="4"/>
      <c r="F323" s="4"/>
      <c r="G323" s="4"/>
      <c r="H323" s="60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</row>
    <row r="324" spans="1:248">
      <c r="A324" s="4"/>
      <c r="B324" s="4"/>
      <c r="C324" s="4"/>
      <c r="D324" s="4"/>
      <c r="E324" s="4"/>
      <c r="F324" s="4"/>
      <c r="G324" s="4"/>
      <c r="H324" s="60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</row>
    <row r="325" spans="1:248">
      <c r="A325" s="4"/>
      <c r="B325" s="4"/>
      <c r="C325" s="4"/>
      <c r="D325" s="4"/>
      <c r="E325" s="4"/>
      <c r="F325" s="4"/>
      <c r="G325" s="4"/>
      <c r="H325" s="60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</row>
    <row r="326" spans="1:248">
      <c r="A326" s="4"/>
      <c r="B326" s="4"/>
      <c r="C326" s="4"/>
      <c r="D326" s="4"/>
      <c r="E326" s="4"/>
      <c r="F326" s="4"/>
      <c r="G326" s="4"/>
      <c r="H326" s="60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</row>
    <row r="327" spans="1:248">
      <c r="A327" s="4"/>
      <c r="B327" s="4"/>
      <c r="C327" s="4"/>
      <c r="D327" s="4"/>
      <c r="E327" s="4"/>
      <c r="F327" s="4"/>
      <c r="G327" s="4"/>
      <c r="H327" s="60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</row>
    <row r="328" spans="1:248">
      <c r="A328" s="4"/>
      <c r="B328" s="4"/>
      <c r="C328" s="4"/>
      <c r="D328" s="4"/>
      <c r="E328" s="4"/>
      <c r="F328" s="4"/>
      <c r="G328" s="4"/>
      <c r="H328" s="60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</row>
    <row r="329" spans="1:248">
      <c r="A329" s="4"/>
      <c r="B329" s="4"/>
      <c r="C329" s="4"/>
      <c r="D329" s="4"/>
      <c r="E329" s="4"/>
      <c r="F329" s="4"/>
      <c r="G329" s="4"/>
      <c r="H329" s="60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</row>
    <row r="330" spans="1:248">
      <c r="A330" s="4"/>
      <c r="B330" s="4"/>
      <c r="C330" s="4"/>
      <c r="D330" s="4"/>
      <c r="E330" s="4"/>
      <c r="F330" s="4"/>
      <c r="G330" s="4"/>
      <c r="H330" s="60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</row>
    <row r="331" spans="1:248">
      <c r="A331" s="4"/>
      <c r="B331" s="4"/>
      <c r="C331" s="4"/>
      <c r="D331" s="4"/>
      <c r="E331" s="4"/>
      <c r="F331" s="4"/>
      <c r="G331" s="4"/>
      <c r="H331" s="60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</row>
    <row r="332" spans="1:248">
      <c r="A332" s="4"/>
      <c r="B332" s="4"/>
      <c r="C332" s="4"/>
      <c r="D332" s="4"/>
      <c r="E332" s="4"/>
      <c r="F332" s="4"/>
      <c r="G332" s="4"/>
      <c r="H332" s="60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</row>
    <row r="333" spans="1:248">
      <c r="A333" s="4"/>
      <c r="B333" s="4"/>
      <c r="C333" s="4"/>
      <c r="D333" s="4"/>
      <c r="E333" s="4"/>
      <c r="F333" s="4"/>
      <c r="G333" s="4"/>
      <c r="H333" s="60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</row>
    <row r="334" spans="1:248">
      <c r="A334" s="4"/>
      <c r="B334" s="4"/>
      <c r="C334" s="4"/>
      <c r="D334" s="4"/>
      <c r="E334" s="4"/>
      <c r="F334" s="4"/>
      <c r="G334" s="4"/>
      <c r="H334" s="60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</row>
    <row r="335" spans="1:248">
      <c r="A335" s="4"/>
      <c r="B335" s="4"/>
      <c r="C335" s="4"/>
      <c r="D335" s="4"/>
      <c r="E335" s="4"/>
      <c r="F335" s="4"/>
      <c r="G335" s="4"/>
      <c r="H335" s="60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</row>
    <row r="336" spans="1:248">
      <c r="A336" s="4"/>
      <c r="B336" s="4"/>
      <c r="C336" s="4"/>
      <c r="D336" s="4"/>
      <c r="E336" s="4"/>
      <c r="F336" s="4"/>
      <c r="G336" s="4"/>
      <c r="H336" s="60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</row>
    <row r="337" spans="1:249">
      <c r="A337" s="4"/>
      <c r="B337" s="4"/>
      <c r="C337" s="4"/>
      <c r="D337" s="4"/>
      <c r="E337" s="4"/>
      <c r="F337" s="4"/>
      <c r="G337" s="4"/>
      <c r="H337" s="60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</row>
    <row r="338" spans="1:249">
      <c r="A338" s="4"/>
      <c r="B338" s="4"/>
      <c r="C338" s="4"/>
      <c r="D338" s="4"/>
      <c r="E338" s="4"/>
      <c r="F338" s="4"/>
      <c r="G338" s="4"/>
      <c r="H338" s="60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</row>
    <row r="339" spans="1:249">
      <c r="A339" s="4"/>
      <c r="B339" s="4"/>
      <c r="C339" s="4"/>
      <c r="D339" s="4"/>
      <c r="E339" s="4"/>
      <c r="F339" s="4"/>
      <c r="G339" s="4"/>
      <c r="H339" s="60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</row>
    <row r="340" spans="1:249">
      <c r="A340" s="4"/>
      <c r="B340" s="4"/>
      <c r="C340" s="4"/>
      <c r="D340" s="4"/>
      <c r="E340" s="4"/>
      <c r="F340" s="4"/>
      <c r="G340" s="4"/>
      <c r="H340" s="60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</row>
    <row r="341" spans="1:249">
      <c r="A341" s="4"/>
      <c r="B341" s="4"/>
      <c r="C341" s="4"/>
      <c r="D341" s="4"/>
      <c r="E341" s="4"/>
      <c r="F341" s="4"/>
      <c r="G341" s="4"/>
      <c r="H341" s="60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</row>
    <row r="342" spans="1:249">
      <c r="A342" s="4"/>
      <c r="B342" s="4"/>
      <c r="C342" s="4"/>
      <c r="D342" s="4"/>
      <c r="E342" s="4"/>
      <c r="F342" s="4"/>
      <c r="G342" s="4"/>
      <c r="H342" s="60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</row>
    <row r="343" spans="1:249">
      <c r="A343" s="4"/>
      <c r="B343" s="4"/>
      <c r="C343" s="4"/>
      <c r="D343" s="4"/>
      <c r="E343" s="4"/>
      <c r="F343" s="4"/>
      <c r="G343" s="4"/>
      <c r="H343" s="60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</row>
    <row r="344" spans="1:249">
      <c r="A344" s="4"/>
      <c r="B344" s="4"/>
      <c r="C344" s="4"/>
      <c r="D344" s="4"/>
      <c r="E344" s="4"/>
      <c r="F344" s="4"/>
      <c r="G344" s="4"/>
      <c r="H344" s="60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</row>
    <row r="345" spans="1:249">
      <c r="A345" s="4"/>
      <c r="B345" s="4"/>
      <c r="C345" s="4"/>
      <c r="D345" s="4"/>
      <c r="E345" s="4"/>
      <c r="F345" s="4"/>
      <c r="G345" s="4"/>
      <c r="H345" s="60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</row>
    <row r="346" spans="1:249">
      <c r="A346" s="4"/>
      <c r="B346" s="4"/>
      <c r="C346" s="4"/>
      <c r="D346" s="4"/>
      <c r="E346" s="4"/>
      <c r="F346" s="4"/>
      <c r="G346" s="4"/>
      <c r="H346" s="60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</row>
    <row r="347" spans="1:249">
      <c r="A347" s="4"/>
      <c r="B347" s="4"/>
      <c r="C347" s="4"/>
      <c r="D347" s="4"/>
      <c r="E347" s="4"/>
      <c r="F347" s="4"/>
      <c r="G347" s="4"/>
      <c r="H347" s="60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</row>
    <row r="348" spans="1:249">
      <c r="A348" s="4"/>
      <c r="B348" s="4"/>
      <c r="C348" s="4"/>
      <c r="D348" s="4"/>
      <c r="E348" s="4"/>
      <c r="F348" s="4"/>
      <c r="G348" s="4"/>
      <c r="H348" s="60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</row>
    <row r="349" spans="1:249">
      <c r="A349" s="4"/>
      <c r="B349" s="4"/>
      <c r="C349" s="4"/>
      <c r="D349" s="4"/>
      <c r="E349" s="4"/>
      <c r="F349" s="4"/>
      <c r="G349" s="4"/>
      <c r="H349" s="60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</row>
    <row r="350" spans="1:249">
      <c r="A350" s="4"/>
      <c r="B350" s="4"/>
      <c r="C350" s="4"/>
      <c r="D350" s="4"/>
      <c r="E350" s="4"/>
      <c r="F350" s="4"/>
      <c r="G350" s="4"/>
      <c r="H350" s="60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</row>
    <row r="351" spans="1:249">
      <c r="A351" s="4"/>
      <c r="B351" s="4"/>
      <c r="C351" s="4"/>
      <c r="D351" s="4"/>
      <c r="E351" s="4"/>
      <c r="F351" s="4"/>
      <c r="G351" s="4"/>
      <c r="H351" s="60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</row>
    <row r="352" spans="1:249">
      <c r="A352" s="4"/>
      <c r="B352" s="4"/>
      <c r="C352" s="4"/>
      <c r="D352" s="4"/>
      <c r="E352" s="4"/>
      <c r="F352" s="4"/>
      <c r="G352" s="4"/>
      <c r="H352" s="60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</row>
    <row r="353" spans="1:249">
      <c r="A353" s="4"/>
      <c r="B353" s="4"/>
      <c r="C353" s="4"/>
      <c r="D353" s="4"/>
      <c r="E353" s="4"/>
      <c r="F353" s="4"/>
      <c r="G353" s="4"/>
      <c r="H353" s="60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</row>
    <row r="354" spans="1:249">
      <c r="A354" s="4"/>
      <c r="B354" s="4"/>
      <c r="C354" s="4"/>
      <c r="D354" s="4"/>
      <c r="E354" s="4"/>
      <c r="F354" s="4"/>
      <c r="G354" s="4"/>
      <c r="H354" s="60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</row>
    <row r="355" spans="1:249">
      <c r="A355" s="4"/>
      <c r="B355" s="4"/>
      <c r="C355" s="4"/>
      <c r="D355" s="4"/>
      <c r="E355" s="4"/>
      <c r="F355" s="4"/>
      <c r="G355" s="4"/>
      <c r="H355" s="60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</row>
    <row r="356" spans="1:249">
      <c r="A356" s="4"/>
      <c r="B356" s="4"/>
      <c r="C356" s="4"/>
      <c r="D356" s="4"/>
      <c r="E356" s="4"/>
      <c r="F356" s="4"/>
      <c r="G356" s="4"/>
      <c r="H356" s="60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</row>
    <row r="357" spans="1:249">
      <c r="A357" s="4"/>
      <c r="B357" s="4"/>
      <c r="C357" s="4"/>
      <c r="D357" s="4"/>
      <c r="E357" s="4"/>
      <c r="F357" s="4"/>
      <c r="G357" s="4"/>
      <c r="H357" s="60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</row>
    <row r="358" spans="1:249">
      <c r="A358" s="4"/>
      <c r="B358" s="4"/>
      <c r="C358" s="4"/>
      <c r="D358" s="4"/>
      <c r="E358" s="4"/>
      <c r="F358" s="4"/>
      <c r="G358" s="4"/>
      <c r="H358" s="60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</row>
    <row r="359" spans="1:249">
      <c r="A359" s="4"/>
      <c r="B359" s="4"/>
      <c r="C359" s="4"/>
      <c r="D359" s="4"/>
      <c r="E359" s="4"/>
      <c r="F359" s="4"/>
      <c r="G359" s="4"/>
      <c r="H359" s="60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</row>
    <row r="360" spans="1:249">
      <c r="A360" s="4"/>
      <c r="B360" s="4"/>
      <c r="C360" s="4"/>
      <c r="D360" s="4"/>
      <c r="E360" s="4"/>
      <c r="F360" s="4"/>
      <c r="G360" s="4"/>
      <c r="H360" s="60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</row>
    <row r="361" spans="1:249">
      <c r="A361" s="4"/>
      <c r="B361" s="4"/>
      <c r="C361" s="4"/>
      <c r="D361" s="4"/>
      <c r="E361" s="4"/>
      <c r="F361" s="4"/>
      <c r="G361" s="4"/>
      <c r="H361" s="60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</row>
    <row r="362" spans="1:249">
      <c r="A362" s="4"/>
      <c r="B362" s="4"/>
      <c r="C362" s="4"/>
      <c r="D362" s="4"/>
      <c r="E362" s="4"/>
      <c r="F362" s="4"/>
      <c r="G362" s="4"/>
      <c r="H362" s="60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</row>
    <row r="363" spans="1:249">
      <c r="A363" s="4"/>
      <c r="B363" s="4"/>
      <c r="C363" s="4"/>
      <c r="D363" s="4"/>
      <c r="E363" s="4"/>
      <c r="F363" s="4"/>
      <c r="G363" s="4"/>
      <c r="H363" s="60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</row>
    <row r="364" spans="1:249">
      <c r="A364" s="4"/>
      <c r="B364" s="4"/>
      <c r="C364" s="4"/>
      <c r="D364" s="4"/>
      <c r="E364" s="4"/>
      <c r="F364" s="4"/>
      <c r="G364" s="4"/>
      <c r="H364" s="60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</row>
    <row r="365" spans="1:249">
      <c r="A365" s="4"/>
      <c r="B365" s="4"/>
      <c r="C365" s="4"/>
      <c r="D365" s="4"/>
      <c r="E365" s="4"/>
      <c r="F365" s="4"/>
      <c r="G365" s="4"/>
      <c r="H365" s="60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</row>
    <row r="366" spans="1:249">
      <c r="A366" s="4"/>
      <c r="B366" s="4"/>
      <c r="C366" s="4"/>
      <c r="D366" s="4"/>
      <c r="E366" s="4"/>
      <c r="F366" s="4"/>
      <c r="G366" s="4"/>
      <c r="H366" s="60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</row>
    <row r="367" spans="1:249">
      <c r="A367" s="4"/>
      <c r="B367" s="4"/>
      <c r="C367" s="4"/>
      <c r="D367" s="4"/>
      <c r="E367" s="4"/>
      <c r="F367" s="4"/>
      <c r="G367" s="4"/>
      <c r="H367" s="60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</row>
    <row r="368" spans="1:249">
      <c r="A368" s="4"/>
      <c r="B368" s="4"/>
      <c r="C368" s="4"/>
      <c r="D368" s="4"/>
      <c r="E368" s="4"/>
      <c r="F368" s="4"/>
      <c r="G368" s="4"/>
      <c r="H368" s="60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</row>
    <row r="369" spans="1:249">
      <c r="A369" s="4"/>
      <c r="B369" s="4"/>
      <c r="C369" s="4"/>
      <c r="D369" s="4"/>
      <c r="E369" s="4"/>
      <c r="F369" s="4"/>
      <c r="G369" s="4"/>
      <c r="H369" s="60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</row>
    <row r="370" spans="1:249">
      <c r="A370" s="4"/>
      <c r="B370" s="4"/>
      <c r="C370" s="4"/>
      <c r="D370" s="4"/>
      <c r="E370" s="4"/>
      <c r="F370" s="4"/>
      <c r="G370" s="4"/>
      <c r="H370" s="60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</row>
    <row r="371" spans="1:249">
      <c r="A371" s="4"/>
      <c r="B371" s="4"/>
      <c r="C371" s="4"/>
      <c r="D371" s="4"/>
      <c r="E371" s="4"/>
      <c r="F371" s="4"/>
      <c r="G371" s="4"/>
      <c r="H371" s="60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</row>
    <row r="372" spans="1:24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</row>
    <row r="373" spans="1:24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</row>
    <row r="374" spans="1:24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</row>
    <row r="375" spans="1:24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</row>
    <row r="376" spans="1:24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</row>
    <row r="377" spans="1:24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</row>
    <row r="378" spans="1:24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</row>
    <row r="379" spans="1:24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</row>
    <row r="380" spans="1:24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</row>
    <row r="381" spans="1:24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</row>
    <row r="382" spans="1:24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</row>
    <row r="383" spans="1:24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</row>
    <row r="384" spans="1:24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</row>
    <row r="385" spans="1:24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</row>
    <row r="386" spans="1:24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</row>
    <row r="387" spans="1:24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</row>
    <row r="388" spans="1:24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</row>
    <row r="389" spans="1:24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</row>
    <row r="390" spans="1:24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</row>
    <row r="391" spans="1:24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</row>
    <row r="392" spans="1:24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</row>
    <row r="393" spans="1:24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</row>
    <row r="394" spans="1:24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</row>
    <row r="395" spans="1:24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</row>
    <row r="396" spans="1:24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</row>
    <row r="397" spans="1:24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</row>
    <row r="398" spans="1:24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</row>
    <row r="399" spans="1:24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</row>
    <row r="400" spans="1:24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</row>
    <row r="401" spans="1:24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</row>
    <row r="402" spans="1:24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</row>
    <row r="403" spans="1:24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</row>
    <row r="404" spans="1:24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</row>
    <row r="405" spans="1:24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</row>
    <row r="406" spans="1:24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</row>
    <row r="407" spans="1:24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</row>
    <row r="408" spans="1:24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</row>
    <row r="409" spans="1:24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</row>
    <row r="410" spans="1:24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</row>
    <row r="411" spans="1:24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</row>
    <row r="412" spans="1:24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</row>
    <row r="413" spans="1:24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</row>
    <row r="414" spans="1:24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</row>
    <row r="415" spans="1:24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</row>
    <row r="416" spans="1:24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</row>
    <row r="417" spans="1:24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</row>
    <row r="418" spans="1:24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</row>
    <row r="419" spans="1:24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</row>
    <row r="420" spans="1:24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</row>
    <row r="421" spans="1:24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</row>
    <row r="422" spans="1:24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</row>
    <row r="423" spans="1:24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</row>
    <row r="424" spans="1:24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</row>
    <row r="425" spans="1:24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</row>
    <row r="426" spans="1:24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</row>
    <row r="427" spans="1:24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</row>
    <row r="428" spans="1:24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</row>
    <row r="429" spans="1:24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</row>
    <row r="430" spans="1:24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</row>
    <row r="431" spans="1:24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</row>
    <row r="432" spans="1:24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</row>
    <row r="433" spans="1:24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</row>
    <row r="434" spans="1:24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</row>
    <row r="435" spans="1:24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</row>
    <row r="436" spans="1:24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</row>
    <row r="437" spans="1:24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</row>
    <row r="438" spans="1:24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</row>
    <row r="439" spans="1:24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</row>
    <row r="440" spans="1:24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</row>
    <row r="441" spans="1:24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</row>
    <row r="442" spans="1:24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</row>
    <row r="443" spans="1:24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</row>
    <row r="444" spans="1:24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</row>
    <row r="445" spans="1:24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</row>
    <row r="446" spans="1:24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</row>
    <row r="447" spans="1:24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</row>
    <row r="448" spans="1:24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</row>
    <row r="449" spans="1:2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</row>
    <row r="450" spans="1:24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</row>
    <row r="451" spans="1:24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</row>
    <row r="452" spans="1:24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</row>
    <row r="453" spans="1:24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</row>
    <row r="454" spans="1:24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</row>
    <row r="455" spans="1:24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</row>
    <row r="456" spans="1:24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</row>
    <row r="457" spans="1:24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</row>
    <row r="458" spans="1:24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</row>
    <row r="459" spans="1:24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</row>
    <row r="460" spans="1:24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</row>
    <row r="461" spans="1:24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</row>
    <row r="462" spans="1:24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</row>
    <row r="463" spans="1:24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</row>
    <row r="464" spans="1:24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</row>
    <row r="465" spans="1:24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</row>
    <row r="466" spans="1:24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</row>
    <row r="467" spans="1:24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</row>
    <row r="468" spans="1:24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</row>
    <row r="469" spans="1:24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</row>
    <row r="470" spans="1:24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</row>
    <row r="471" spans="1:24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</row>
    <row r="472" spans="1:24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</row>
    <row r="473" spans="1:24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</row>
    <row r="474" spans="1:24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</row>
    <row r="475" spans="1:24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</row>
    <row r="476" spans="1:24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</row>
    <row r="477" spans="1:24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</row>
    <row r="478" spans="1:24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</row>
    <row r="479" spans="1:24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</row>
    <row r="480" spans="1:24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</row>
    <row r="481" spans="1:24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</row>
    <row r="482" spans="1:24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</row>
    <row r="483" spans="1:24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</row>
    <row r="484" spans="1:24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</row>
    <row r="485" spans="1:24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</row>
    <row r="486" spans="1:24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</row>
    <row r="487" spans="1:24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</row>
    <row r="488" spans="1:24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</row>
    <row r="489" spans="1:24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</row>
    <row r="490" spans="1:24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</row>
    <row r="491" spans="1:24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</row>
    <row r="492" spans="1:24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</row>
    <row r="493" spans="1:24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</row>
    <row r="494" spans="1:24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</row>
    <row r="495" spans="1:24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</row>
    <row r="496" spans="1:24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</row>
    <row r="497" spans="1:24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</row>
    <row r="498" spans="1:24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</row>
    <row r="499" spans="1:24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</row>
    <row r="500" spans="1:24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</row>
    <row r="501" spans="1:24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</row>
    <row r="502" spans="1:24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</row>
    <row r="503" spans="1:24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</row>
    <row r="504" spans="1:24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</row>
    <row r="505" spans="1:24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</row>
    <row r="506" spans="1:24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</row>
    <row r="507" spans="1:24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</row>
    <row r="508" spans="1:24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</row>
    <row r="509" spans="1:24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</row>
    <row r="510" spans="1:24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</row>
    <row r="511" spans="1:24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</row>
    <row r="512" spans="1:24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</row>
    <row r="513" spans="1:24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</row>
    <row r="514" spans="1:24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</row>
    <row r="515" spans="1:24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</row>
    <row r="516" spans="1:24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</row>
    <row r="517" spans="1:24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</row>
    <row r="518" spans="1:24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</row>
    <row r="519" spans="1:24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</row>
    <row r="520" spans="1:24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</row>
    <row r="521" spans="1:24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</row>
    <row r="522" spans="1:24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</row>
    <row r="523" spans="1:24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</row>
    <row r="524" spans="1:24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</row>
    <row r="525" spans="1:24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</row>
    <row r="526" spans="1:24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</row>
    <row r="527" spans="1:24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</row>
    <row r="528" spans="1:24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</row>
    <row r="529" spans="1:24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</row>
    <row r="530" spans="1:24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</row>
    <row r="531" spans="1:24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</row>
    <row r="532" spans="1:24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</row>
    <row r="533" spans="1:24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</row>
    <row r="534" spans="1:24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</row>
    <row r="535" spans="1:24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</row>
    <row r="536" spans="1:24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</row>
    <row r="537" spans="1:24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</row>
    <row r="538" spans="1:24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</row>
    <row r="539" spans="1:24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</row>
    <row r="540" spans="1:24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</row>
    <row r="541" spans="1:24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</row>
    <row r="542" spans="1:24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</row>
    <row r="543" spans="1:24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</row>
    <row r="544" spans="1:24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</row>
    <row r="545" spans="1:24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</row>
    <row r="546" spans="1:24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</row>
    <row r="547" spans="1:24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</row>
    <row r="548" spans="1:24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</row>
    <row r="549" spans="1:2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</row>
    <row r="550" spans="1:24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</row>
    <row r="551" spans="1:24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</row>
    <row r="552" spans="1:24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</row>
    <row r="553" spans="1:24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</row>
    <row r="554" spans="1:24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</row>
    <row r="555" spans="1:24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</row>
    <row r="556" spans="1:24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</row>
    <row r="557" spans="1:24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</row>
    <row r="558" spans="1:24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</row>
    <row r="559" spans="1:24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</row>
    <row r="560" spans="1:24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</row>
    <row r="561" spans="1:24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</row>
    <row r="562" spans="1:24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</row>
    <row r="563" spans="1:24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</row>
    <row r="564" spans="1:24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</row>
    <row r="565" spans="1:24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</row>
    <row r="566" spans="1:24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</row>
    <row r="567" spans="1:24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</row>
    <row r="568" spans="1:24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</row>
    <row r="569" spans="1:24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</row>
    <row r="570" spans="1:24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</row>
    <row r="571" spans="1:24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</row>
    <row r="572" spans="1:24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</row>
    <row r="573" spans="1:24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</row>
    <row r="574" spans="1:24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</row>
    <row r="575" spans="1:24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</row>
    <row r="576" spans="1:24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</row>
    <row r="577" spans="1:24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</row>
    <row r="578" spans="1:24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</row>
    <row r="579" spans="1:24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</row>
    <row r="580" spans="1:24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</row>
    <row r="581" spans="1:24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</row>
    <row r="582" spans="1:24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</row>
    <row r="583" spans="1:24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</row>
    <row r="584" spans="1:24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</row>
    <row r="585" spans="1:24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</row>
    <row r="586" spans="1:24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</row>
    <row r="587" spans="1:24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</row>
    <row r="588" spans="1:24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</row>
    <row r="589" spans="1:24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</row>
    <row r="590" spans="1:24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</row>
    <row r="591" spans="1:24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</row>
    <row r="592" spans="1:24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</row>
    <row r="593" spans="1:24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</row>
    <row r="594" spans="1:24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</row>
    <row r="595" spans="1:24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</row>
    <row r="596" spans="1:24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</row>
    <row r="597" spans="1:24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</row>
    <row r="598" spans="1:24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</row>
    <row r="599" spans="1:24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</row>
    <row r="600" spans="1:24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</row>
    <row r="601" spans="1:24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</row>
    <row r="602" spans="1:24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</row>
    <row r="603" spans="1:24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</row>
    <row r="604" spans="1:24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</row>
    <row r="605" spans="1:24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</row>
    <row r="606" spans="1:24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</row>
    <row r="607" spans="1:24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</row>
    <row r="608" spans="1:24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</row>
    <row r="609" spans="1:24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</row>
    <row r="610" spans="1:24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</row>
    <row r="611" spans="1:24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</row>
    <row r="612" spans="1:24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</row>
    <row r="613" spans="1:24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</row>
    <row r="614" spans="1:24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</row>
    <row r="615" spans="1:24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</row>
    <row r="616" spans="1:24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</row>
    <row r="617" spans="1:24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</row>
    <row r="618" spans="1:24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</row>
    <row r="619" spans="1:24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</row>
    <row r="620" spans="1:24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</row>
    <row r="621" spans="1:24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</row>
    <row r="622" spans="1:24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</row>
    <row r="623" spans="1:24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</row>
    <row r="624" spans="1:24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</row>
    <row r="625" spans="1:24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</row>
    <row r="626" spans="1:24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</row>
    <row r="627" spans="1:24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</row>
    <row r="628" spans="1:24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</row>
    <row r="629" spans="1:24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</row>
    <row r="630" spans="1:24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</row>
    <row r="631" spans="1:24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</row>
    <row r="632" spans="1:24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</row>
    <row r="633" spans="1:24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</row>
    <row r="634" spans="1:24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</row>
    <row r="635" spans="1:24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</row>
    <row r="636" spans="1:24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</row>
    <row r="637" spans="1:24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</row>
    <row r="638" spans="1:24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</row>
    <row r="639" spans="1:24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</row>
    <row r="640" spans="1:24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</row>
    <row r="641" spans="1:24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</row>
    <row r="642" spans="1:24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</row>
    <row r="643" spans="1:24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</row>
    <row r="644" spans="1:24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</row>
    <row r="645" spans="1:24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</row>
    <row r="646" spans="1:24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</row>
    <row r="647" spans="1:24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</row>
    <row r="648" spans="1:24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</row>
    <row r="649" spans="1:2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</row>
    <row r="650" spans="1:24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</row>
    <row r="651" spans="1:24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</row>
    <row r="652" spans="1:24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</row>
    <row r="653" spans="1:24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</row>
    <row r="654" spans="1:24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</row>
    <row r="655" spans="1:24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</row>
    <row r="656" spans="1:24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</row>
    <row r="657" spans="1:24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</row>
    <row r="658" spans="1:24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</row>
    <row r="659" spans="1:24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</row>
    <row r="660" spans="1:24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</row>
    <row r="661" spans="1:24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</row>
    <row r="662" spans="1:24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</row>
    <row r="663" spans="1:24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</row>
    <row r="664" spans="1:24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</row>
    <row r="665" spans="1:24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</row>
    <row r="666" spans="1:24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</row>
    <row r="667" spans="1:24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</row>
    <row r="668" spans="1:24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</row>
    <row r="669" spans="1:24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</row>
    <row r="670" spans="1:24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</row>
    <row r="671" spans="1:24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</row>
    <row r="672" spans="1:24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</row>
    <row r="673" spans="1:24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</row>
    <row r="674" spans="1:24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</row>
    <row r="675" spans="1:24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</row>
    <row r="676" spans="1:24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</row>
    <row r="677" spans="1:24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</row>
    <row r="678" spans="1:24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</row>
    <row r="679" spans="1:24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</row>
    <row r="680" spans="1:24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</row>
    <row r="681" spans="1:24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</row>
    <row r="682" spans="1:24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</row>
    <row r="683" spans="1:24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</row>
    <row r="684" spans="1:24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</row>
    <row r="685" spans="1:24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</row>
    <row r="686" spans="1:24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</row>
    <row r="687" spans="1:24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</row>
    <row r="688" spans="1:24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</row>
    <row r="689" spans="1:24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</row>
    <row r="690" spans="1:24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</row>
    <row r="691" spans="1:24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</row>
    <row r="692" spans="1:24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</row>
    <row r="693" spans="1:24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</row>
    <row r="694" spans="1:24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</row>
    <row r="695" spans="1:24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</row>
    <row r="696" spans="1:24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</row>
    <row r="697" spans="1:24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</row>
    <row r="698" spans="1:24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</row>
    <row r="699" spans="1:24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</row>
    <row r="700" spans="1:24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</row>
    <row r="701" spans="1:24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</row>
    <row r="702" spans="1:24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</row>
    <row r="703" spans="1:24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</row>
    <row r="704" spans="1:24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</row>
    <row r="705" spans="1:24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</row>
    <row r="706" spans="1:24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</row>
    <row r="707" spans="1:24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</row>
    <row r="708" spans="1:24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</row>
    <row r="709" spans="1:24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</row>
    <row r="710" spans="1:24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</row>
    <row r="711" spans="1:24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</row>
    <row r="712" spans="1:24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</row>
    <row r="713" spans="1:24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</row>
    <row r="714" spans="1:24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</row>
    <row r="715" spans="1:24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</row>
    <row r="716" spans="1:24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</row>
    <row r="717" spans="1:24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</row>
    <row r="718" spans="1:24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</row>
    <row r="719" spans="1:24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</row>
    <row r="720" spans="1:24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</row>
    <row r="721" spans="1:24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</row>
    <row r="722" spans="1:24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</row>
    <row r="723" spans="1:24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</row>
    <row r="724" spans="1:24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</row>
    <row r="725" spans="1:24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</row>
    <row r="726" spans="1:24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</row>
    <row r="727" spans="1:24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</row>
    <row r="728" spans="1:24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</row>
    <row r="729" spans="1:24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</row>
    <row r="730" spans="1:24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</row>
    <row r="731" spans="1:24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</row>
    <row r="732" spans="1:24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</row>
    <row r="733" spans="1:24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</row>
    <row r="734" spans="1:24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</row>
    <row r="735" spans="1:24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</row>
    <row r="736" spans="1:24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</row>
    <row r="737" spans="1:24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</row>
    <row r="738" spans="1:24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</row>
    <row r="739" spans="1:24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</row>
    <row r="740" spans="1:24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</row>
    <row r="741" spans="1:24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</row>
    <row r="742" spans="1:24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</row>
    <row r="743" spans="1:24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</row>
    <row r="744" spans="1:24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</row>
    <row r="745" spans="1:24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</row>
    <row r="746" spans="1:24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</row>
    <row r="747" spans="1:24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</row>
    <row r="748" spans="1:24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</row>
    <row r="749" spans="1:2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</row>
    <row r="750" spans="1:24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</row>
    <row r="751" spans="1:24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</row>
    <row r="752" spans="1:24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</row>
    <row r="753" spans="1:24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</row>
    <row r="754" spans="1:24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</row>
    <row r="755" spans="1:24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</row>
    <row r="756" spans="1:24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</row>
    <row r="757" spans="1:24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</row>
    <row r="758" spans="1:24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</row>
    <row r="759" spans="1:24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</row>
    <row r="760" spans="1:24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</row>
    <row r="761" spans="1:24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</row>
    <row r="762" spans="1:24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</row>
    <row r="763" spans="1:24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</row>
    <row r="764" spans="1:24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</row>
    <row r="765" spans="1:24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</row>
    <row r="766" spans="1:24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</row>
    <row r="767" spans="1:24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</row>
    <row r="768" spans="1:24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</row>
    <row r="769" spans="1:24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</row>
    <row r="770" spans="1:24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</row>
    <row r="771" spans="1:24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</row>
    <row r="772" spans="1:24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</row>
    <row r="773" spans="1:24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</row>
    <row r="774" spans="1:24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</row>
    <row r="775" spans="1:24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</row>
    <row r="776" spans="1:24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</row>
    <row r="777" spans="1:24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</row>
    <row r="778" spans="1:24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</row>
    <row r="779" spans="1:24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</row>
    <row r="780" spans="1:24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</row>
    <row r="781" spans="1:24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</row>
    <row r="782" spans="1:24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</row>
    <row r="783" spans="1:24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</row>
    <row r="784" spans="1:24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</row>
    <row r="785" spans="1:24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</row>
    <row r="786" spans="1:24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</row>
    <row r="787" spans="1:24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</row>
    <row r="788" spans="1:24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</row>
    <row r="789" spans="1:24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</row>
    <row r="790" spans="1:24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</row>
    <row r="791" spans="1:24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</row>
    <row r="792" spans="1:24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</row>
    <row r="793" spans="1:24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</row>
    <row r="794" spans="1:24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</row>
    <row r="795" spans="1:24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</row>
    <row r="796" spans="1:24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</row>
    <row r="797" spans="1:24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</row>
    <row r="798" spans="1:24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</row>
    <row r="799" spans="1:24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</row>
    <row r="800" spans="1:24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</row>
    <row r="801" spans="1:24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</row>
    <row r="802" spans="1:24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</row>
    <row r="803" spans="1:24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</row>
    <row r="804" spans="1:24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</row>
    <row r="805" spans="1:24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</row>
    <row r="806" spans="1:24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</row>
    <row r="807" spans="1:24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</row>
    <row r="808" spans="1:24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</row>
    <row r="809" spans="1:24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</row>
    <row r="810" spans="1:24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</row>
    <row r="811" spans="1:24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</row>
    <row r="812" spans="1:24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</row>
    <row r="813" spans="1:24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</row>
    <row r="814" spans="1:24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</row>
    <row r="815" spans="1:24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</row>
    <row r="816" spans="1:24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</row>
    <row r="817" spans="1:24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</row>
    <row r="818" spans="1:24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</row>
    <row r="819" spans="1:24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</row>
    <row r="820" spans="1:24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</row>
    <row r="821" spans="1:24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</row>
    <row r="822" spans="1:24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</row>
    <row r="823" spans="1:24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</row>
    <row r="824" spans="1:24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</row>
    <row r="825" spans="1:24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</row>
    <row r="826" spans="1:24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</row>
    <row r="827" spans="1:24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</row>
    <row r="828" spans="1:24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</row>
    <row r="829" spans="1:24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</row>
    <row r="830" spans="1:24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</row>
    <row r="831" spans="1:24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</row>
    <row r="832" spans="1:24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</row>
    <row r="833" spans="1:24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</row>
    <row r="834" spans="1:24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</row>
    <row r="835" spans="1:24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</row>
    <row r="836" spans="1:24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</row>
    <row r="837" spans="1:24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</row>
    <row r="838" spans="1:24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</row>
    <row r="839" spans="1:24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</row>
    <row r="840" spans="1:24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</row>
    <row r="841" spans="1:24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</row>
    <row r="842" spans="1:24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</row>
    <row r="843" spans="1:24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</row>
    <row r="844" spans="1:24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</row>
    <row r="845" spans="1:24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</row>
    <row r="846" spans="1:24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</row>
    <row r="847" spans="1:24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</row>
    <row r="848" spans="1:24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</row>
    <row r="849" spans="1:2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</row>
    <row r="850" spans="1:24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</row>
    <row r="851" spans="1:24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</row>
    <row r="852" spans="1:24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</row>
    <row r="853" spans="1:24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</row>
    <row r="854" spans="1:24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</row>
    <row r="855" spans="1:24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</row>
    <row r="856" spans="1:24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</row>
    <row r="857" spans="1:24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</row>
    <row r="858" spans="1:24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</row>
    <row r="859" spans="1:24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</row>
    <row r="860" spans="1:24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</row>
    <row r="861" spans="1:24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</row>
    <row r="862" spans="1:24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</row>
    <row r="863" spans="1:24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</row>
    <row r="864" spans="1:24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</row>
    <row r="865" spans="1:24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</row>
    <row r="866" spans="1:24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</row>
    <row r="867" spans="1:24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</row>
    <row r="868" spans="1:24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</row>
    <row r="869" spans="1:24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</row>
    <row r="870" spans="1:24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</row>
    <row r="871" spans="1:24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</row>
    <row r="872" spans="1:24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</row>
    <row r="873" spans="1:24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</row>
    <row r="874" spans="1:24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</row>
    <row r="875" spans="1:24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</row>
    <row r="876" spans="1:24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</row>
    <row r="877" spans="1:24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</row>
    <row r="878" spans="1:24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</row>
    <row r="879" spans="1:24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</row>
    <row r="880" spans="1:24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</row>
    <row r="881" spans="1:24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</row>
    <row r="882" spans="1:24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</row>
    <row r="883" spans="1:24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</row>
    <row r="884" spans="1:24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</row>
    <row r="885" spans="1:24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</row>
    <row r="886" spans="1:24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</row>
    <row r="887" spans="1:24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</row>
    <row r="888" spans="1:24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</row>
    <row r="889" spans="1:24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</row>
    <row r="890" spans="1:24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</row>
    <row r="891" spans="1:24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</row>
    <row r="892" spans="1:24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</row>
    <row r="893" spans="1:24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</row>
    <row r="894" spans="1:24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</row>
    <row r="895" spans="1:24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</row>
    <row r="896" spans="1:24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</row>
    <row r="897" spans="1:24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</row>
    <row r="898" spans="1:24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</row>
    <row r="899" spans="1:24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</row>
    <row r="900" spans="1:24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</row>
    <row r="901" spans="1:24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</row>
    <row r="902" spans="1:24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</row>
    <row r="903" spans="1:24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</row>
    <row r="904" spans="1:24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</row>
    <row r="905" spans="1:24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</row>
    <row r="906" spans="1:24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</row>
    <row r="907" spans="1:24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</row>
    <row r="908" spans="1:24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</row>
    <row r="909" spans="1:24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</row>
    <row r="910" spans="1:24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</row>
    <row r="911" spans="1:24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</row>
    <row r="912" spans="1:24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</row>
    <row r="913" spans="1:24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</row>
    <row r="914" spans="1:24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</row>
    <row r="915" spans="1:24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</row>
    <row r="916" spans="1:24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</row>
    <row r="917" spans="1:24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</row>
    <row r="918" spans="1:24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</row>
    <row r="919" spans="1:24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</row>
    <row r="920" spans="1:24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</row>
    <row r="921" spans="1:24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</row>
    <row r="922" spans="1:24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</row>
    <row r="923" spans="1:24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</row>
    <row r="924" spans="1:24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</row>
    <row r="925" spans="1:24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</row>
    <row r="926" spans="1:24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</row>
    <row r="927" spans="1:24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</row>
    <row r="928" spans="1:24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</row>
    <row r="929" spans="1:24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</row>
    <row r="930" spans="1:24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</row>
    <row r="931" spans="1:24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</row>
    <row r="932" spans="1:24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</row>
    <row r="933" spans="1:24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</row>
    <row r="934" spans="1:24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</row>
    <row r="935" spans="1:24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</row>
    <row r="936" spans="1:24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</row>
    <row r="937" spans="1:24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</row>
    <row r="938" spans="1:24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</row>
    <row r="939" spans="1:24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</row>
    <row r="940" spans="1:24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</row>
    <row r="941" spans="1:24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</row>
    <row r="942" spans="1:24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</row>
    <row r="943" spans="1:24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</row>
    <row r="944" spans="1:24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</row>
    <row r="945" spans="1:24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</row>
    <row r="946" spans="1:24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</row>
    <row r="947" spans="1:24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</row>
    <row r="948" spans="1:24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</row>
    <row r="949" spans="1:2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</row>
    <row r="950" spans="1:24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</row>
    <row r="951" spans="1:24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</row>
    <row r="952" spans="1:24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</row>
    <row r="953" spans="1:24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</row>
    <row r="954" spans="1:24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</row>
    <row r="955" spans="1:24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</row>
    <row r="956" spans="1:24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</row>
    <row r="957" spans="1:24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</row>
    <row r="958" spans="1:24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</row>
    <row r="959" spans="1:24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</row>
    <row r="960" spans="1:24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</row>
    <row r="961" spans="1:24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</row>
    <row r="962" spans="1:24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</row>
    <row r="963" spans="1:24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</row>
    <row r="964" spans="1:24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</row>
    <row r="965" spans="1:24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</row>
    <row r="966" spans="1:24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</row>
    <row r="967" spans="1:24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</row>
    <row r="968" spans="1:24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</row>
    <row r="969" spans="1:24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</row>
    <row r="970" spans="1:24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</row>
    <row r="971" spans="1:24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</row>
    <row r="972" spans="1:24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</row>
    <row r="973" spans="1:24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</row>
    <row r="974" spans="1:24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</row>
    <row r="975" spans="1:24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</row>
    <row r="976" spans="1:24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</row>
    <row r="977" spans="1:24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</row>
    <row r="978" spans="1:24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</row>
    <row r="979" spans="1:24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</row>
    <row r="980" spans="1:24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</row>
    <row r="981" spans="1:24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</row>
    <row r="982" spans="1:24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</row>
    <row r="983" spans="1:24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</row>
    <row r="984" spans="1:24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</row>
    <row r="985" spans="1:24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</row>
    <row r="986" spans="1:24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</row>
    <row r="987" spans="1:24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</row>
    <row r="988" spans="1:24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</row>
    <row r="989" spans="1:24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</row>
    <row r="990" spans="1:24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</row>
    <row r="991" spans="1:24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</row>
    <row r="992" spans="1:24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</row>
    <row r="993" spans="1:24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</row>
    <row r="994" spans="1:24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</row>
    <row r="995" spans="1:24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</row>
    <row r="996" spans="1:24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</row>
    <row r="997" spans="1:24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</row>
    <row r="998" spans="1:24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</row>
    <row r="999" spans="1:24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</row>
    <row r="1000" spans="1:24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</row>
    <row r="1001" spans="1:249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</row>
    <row r="1002" spans="1:249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</row>
    <row r="1003" spans="1:249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</row>
    <row r="1004" spans="1:249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</row>
    <row r="1005" spans="1:249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</row>
    <row r="1006" spans="1:249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</row>
    <row r="1007" spans="1:249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</row>
    <row r="1008" spans="1:249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</row>
    <row r="1009" spans="1:24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</row>
    <row r="1010" spans="1:249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</row>
    <row r="1011" spans="1:249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</row>
    <row r="1012" spans="1:249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</row>
    <row r="1013" spans="1:249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</row>
    <row r="1014" spans="1:249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</row>
    <row r="1015" spans="1:249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</row>
    <row r="1016" spans="1:249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</row>
    <row r="1017" spans="1:249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</row>
    <row r="1018" spans="1:249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</row>
    <row r="1019" spans="1:249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</row>
    <row r="1020" spans="1:249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</row>
    <row r="1021" spans="1:249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</row>
    <row r="1022" spans="1:249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</row>
    <row r="1023" spans="1:249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</row>
    <row r="1024" spans="1:249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</row>
    <row r="1025" spans="1:249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</row>
    <row r="1026" spans="1:249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</row>
    <row r="1027" spans="1:249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</row>
    <row r="1028" spans="1:249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</row>
    <row r="1029" spans="1:249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</row>
    <row r="1030" spans="1:249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</row>
    <row r="1031" spans="1:249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</row>
    <row r="1032" spans="1:249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</row>
    <row r="1033" spans="1:249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</row>
    <row r="1034" spans="1:249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</row>
    <row r="1035" spans="1:249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</row>
    <row r="1036" spans="1:249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</row>
    <row r="1037" spans="1:249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</row>
    <row r="1038" spans="1:249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</row>
    <row r="1039" spans="1:249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</row>
    <row r="1040" spans="1:249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</row>
    <row r="1041" spans="1:249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</row>
    <row r="1042" spans="1:249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</row>
    <row r="1043" spans="1:249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</row>
    <row r="1044" spans="1:249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</row>
    <row r="1045" spans="1:249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</row>
    <row r="1046" spans="1:249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</row>
    <row r="1047" spans="1:249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</row>
    <row r="1048" spans="1:249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</row>
    <row r="1049" spans="1:249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</row>
    <row r="1050" spans="1:249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</row>
    <row r="1051" spans="1:249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</row>
    <row r="1052" spans="1:249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</row>
    <row r="1053" spans="1:249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</row>
    <row r="1054" spans="1:249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</row>
    <row r="1055" spans="1:249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</row>
    <row r="1056" spans="1:249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</row>
    <row r="1057" spans="1:249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</row>
    <row r="1058" spans="1:249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</row>
    <row r="1059" spans="1:249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</row>
    <row r="1060" spans="1:249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</row>
    <row r="1061" spans="1:249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</row>
    <row r="1062" spans="1:249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</row>
    <row r="1063" spans="1:249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</row>
    <row r="1064" spans="1:249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</row>
    <row r="1065" spans="1:249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</row>
    <row r="1066" spans="1:249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</row>
    <row r="1067" spans="1:249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</row>
    <row r="1068" spans="1:249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</row>
    <row r="1069" spans="1:249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</row>
    <row r="1070" spans="1:249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</row>
    <row r="1071" spans="1:249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</row>
    <row r="1072" spans="1:249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</row>
    <row r="1073" spans="1:249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</row>
    <row r="1074" spans="1:249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</row>
    <row r="1075" spans="1:249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</row>
    <row r="1076" spans="1:249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</row>
    <row r="1077" spans="1:249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</row>
    <row r="1078" spans="1:249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</row>
    <row r="1079" spans="1:249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</row>
    <row r="1080" spans="1:249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</row>
    <row r="1081" spans="1:249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</row>
    <row r="1082" spans="1:249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</row>
    <row r="1083" spans="1:249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</row>
    <row r="1084" spans="1:249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</row>
    <row r="1085" spans="1:249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</row>
    <row r="1086" spans="1:249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</row>
    <row r="1087" spans="1:249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</row>
    <row r="1088" spans="1:249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</row>
    <row r="1089" spans="1:249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</row>
    <row r="1090" spans="1:249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</row>
    <row r="1091" spans="1:249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</row>
    <row r="1092" spans="1:249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</row>
    <row r="1093" spans="1:249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</row>
    <row r="1094" spans="1:249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</row>
    <row r="1095" spans="1:249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</row>
    <row r="1096" spans="1:249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</row>
    <row r="1097" spans="1:249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</row>
    <row r="1098" spans="1:249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/>
      <c r="IK1098" s="4"/>
      <c r="IL1098" s="4"/>
      <c r="IM1098" s="4"/>
      <c r="IN1098" s="4"/>
      <c r="IO1098" s="4"/>
    </row>
    <row r="1099" spans="1:249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</row>
    <row r="1100" spans="1:249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</row>
    <row r="1101" spans="1:249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</row>
    <row r="1102" spans="1:249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  <c r="IE1102" s="4"/>
      <c r="IF1102" s="4"/>
      <c r="IG1102" s="4"/>
      <c r="IH1102" s="4"/>
      <c r="II1102" s="4"/>
      <c r="IJ1102" s="4"/>
      <c r="IK1102" s="4"/>
      <c r="IL1102" s="4"/>
      <c r="IM1102" s="4"/>
      <c r="IN1102" s="4"/>
      <c r="IO1102" s="4"/>
    </row>
    <row r="1103" spans="1:249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</row>
    <row r="1104" spans="1:249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</row>
    <row r="1105" spans="1:249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</row>
    <row r="1106" spans="1:249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</row>
    <row r="1107" spans="1:249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</row>
    <row r="1108" spans="1:249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  <c r="IE1108" s="4"/>
      <c r="IF1108" s="4"/>
      <c r="IG1108" s="4"/>
      <c r="IH1108" s="4"/>
      <c r="II1108" s="4"/>
      <c r="IJ1108" s="4"/>
      <c r="IK1108" s="4"/>
      <c r="IL1108" s="4"/>
      <c r="IM1108" s="4"/>
      <c r="IN1108" s="4"/>
      <c r="IO1108" s="4"/>
    </row>
    <row r="1109" spans="1:249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</row>
    <row r="1110" spans="1:249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</row>
    <row r="1111" spans="1:249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</row>
    <row r="1112" spans="1:249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  <c r="IE1112" s="4"/>
      <c r="IF1112" s="4"/>
      <c r="IG1112" s="4"/>
      <c r="IH1112" s="4"/>
      <c r="II1112" s="4"/>
      <c r="IJ1112" s="4"/>
      <c r="IK1112" s="4"/>
      <c r="IL1112" s="4"/>
      <c r="IM1112" s="4"/>
      <c r="IN1112" s="4"/>
      <c r="IO1112" s="4"/>
    </row>
    <row r="1113" spans="1:249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</row>
    <row r="1114" spans="1:249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</row>
    <row r="1115" spans="1:249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</row>
    <row r="1116" spans="1:249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  <c r="II1116" s="4"/>
      <c r="IJ1116" s="4"/>
      <c r="IK1116" s="4"/>
      <c r="IL1116" s="4"/>
      <c r="IM1116" s="4"/>
      <c r="IN1116" s="4"/>
      <c r="IO1116" s="4"/>
    </row>
    <row r="1117" spans="1:249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</row>
    <row r="1118" spans="1:249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  <c r="IE1118" s="4"/>
      <c r="IF1118" s="4"/>
      <c r="IG1118" s="4"/>
      <c r="IH1118" s="4"/>
      <c r="II1118" s="4"/>
      <c r="IJ1118" s="4"/>
      <c r="IK1118" s="4"/>
      <c r="IL1118" s="4"/>
      <c r="IM1118" s="4"/>
      <c r="IN1118" s="4"/>
      <c r="IO1118" s="4"/>
    </row>
    <row r="1119" spans="1:249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</row>
    <row r="1120" spans="1:249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  <c r="IE1120" s="4"/>
      <c r="IF1120" s="4"/>
      <c r="IG1120" s="4"/>
      <c r="IH1120" s="4"/>
      <c r="II1120" s="4"/>
      <c r="IJ1120" s="4"/>
      <c r="IK1120" s="4"/>
      <c r="IL1120" s="4"/>
      <c r="IM1120" s="4"/>
      <c r="IN1120" s="4"/>
      <c r="IO1120" s="4"/>
    </row>
    <row r="1121" spans="1:249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</row>
    <row r="1122" spans="1:249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  <c r="IE1122" s="4"/>
      <c r="IF1122" s="4"/>
      <c r="IG1122" s="4"/>
      <c r="IH1122" s="4"/>
      <c r="II1122" s="4"/>
      <c r="IJ1122" s="4"/>
      <c r="IK1122" s="4"/>
      <c r="IL1122" s="4"/>
      <c r="IM1122" s="4"/>
      <c r="IN1122" s="4"/>
      <c r="IO1122" s="4"/>
    </row>
    <row r="1123" spans="1:249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</row>
    <row r="1124" spans="1:249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  <c r="II1124" s="4"/>
      <c r="IJ1124" s="4"/>
      <c r="IK1124" s="4"/>
      <c r="IL1124" s="4"/>
      <c r="IM1124" s="4"/>
      <c r="IN1124" s="4"/>
      <c r="IO1124" s="4"/>
    </row>
    <row r="1125" spans="1:249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</row>
    <row r="1126" spans="1:249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  <c r="IE1126" s="4"/>
      <c r="IF1126" s="4"/>
      <c r="IG1126" s="4"/>
      <c r="IH1126" s="4"/>
      <c r="II1126" s="4"/>
      <c r="IJ1126" s="4"/>
      <c r="IK1126" s="4"/>
      <c r="IL1126" s="4"/>
      <c r="IM1126" s="4"/>
      <c r="IN1126" s="4"/>
      <c r="IO1126" s="4"/>
    </row>
    <row r="1127" spans="1:249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</row>
    <row r="1128" spans="1:249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  <c r="IE1128" s="4"/>
      <c r="IF1128" s="4"/>
      <c r="IG1128" s="4"/>
      <c r="IH1128" s="4"/>
      <c r="II1128" s="4"/>
      <c r="IJ1128" s="4"/>
      <c r="IK1128" s="4"/>
      <c r="IL1128" s="4"/>
      <c r="IM1128" s="4"/>
      <c r="IN1128" s="4"/>
      <c r="IO1128" s="4"/>
    </row>
    <row r="1129" spans="1:249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</row>
    <row r="1130" spans="1:249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  <c r="IE1130" s="4"/>
      <c r="IF1130" s="4"/>
      <c r="IG1130" s="4"/>
      <c r="IH1130" s="4"/>
      <c r="II1130" s="4"/>
      <c r="IJ1130" s="4"/>
      <c r="IK1130" s="4"/>
      <c r="IL1130" s="4"/>
      <c r="IM1130" s="4"/>
      <c r="IN1130" s="4"/>
      <c r="IO1130" s="4"/>
    </row>
    <row r="1131" spans="1:249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</row>
    <row r="1132" spans="1:249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</row>
    <row r="1133" spans="1:249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  <c r="II1133" s="4"/>
      <c r="IJ1133" s="4"/>
      <c r="IK1133" s="4"/>
      <c r="IL1133" s="4"/>
      <c r="IM1133" s="4"/>
      <c r="IN1133" s="4"/>
      <c r="IO1133" s="4"/>
    </row>
    <row r="1134" spans="1:249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</row>
    <row r="1135" spans="1:249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</row>
    <row r="1136" spans="1:249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</row>
    <row r="1137" spans="1:249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</row>
    <row r="1138" spans="1:249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  <c r="IE1138" s="4"/>
      <c r="IF1138" s="4"/>
      <c r="IG1138" s="4"/>
      <c r="IH1138" s="4"/>
      <c r="II1138" s="4"/>
      <c r="IJ1138" s="4"/>
      <c r="IK1138" s="4"/>
      <c r="IL1138" s="4"/>
      <c r="IM1138" s="4"/>
      <c r="IN1138" s="4"/>
      <c r="IO1138" s="4"/>
    </row>
    <row r="1139" spans="1:249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</row>
    <row r="1140" spans="1:249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  <c r="IE1140" s="4"/>
      <c r="IF1140" s="4"/>
      <c r="IG1140" s="4"/>
      <c r="IH1140" s="4"/>
      <c r="II1140" s="4"/>
      <c r="IJ1140" s="4"/>
      <c r="IK1140" s="4"/>
      <c r="IL1140" s="4"/>
      <c r="IM1140" s="4"/>
      <c r="IN1140" s="4"/>
      <c r="IO1140" s="4"/>
    </row>
    <row r="1141" spans="1:249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</row>
    <row r="1142" spans="1:249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  <c r="IE1142" s="4"/>
      <c r="IF1142" s="4"/>
      <c r="IG1142" s="4"/>
      <c r="IH1142" s="4"/>
      <c r="II1142" s="4"/>
      <c r="IJ1142" s="4"/>
      <c r="IK1142" s="4"/>
      <c r="IL1142" s="4"/>
      <c r="IM1142" s="4"/>
      <c r="IN1142" s="4"/>
      <c r="IO1142" s="4"/>
    </row>
    <row r="1143" spans="1:249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</row>
    <row r="1144" spans="1:249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</row>
    <row r="1145" spans="1:249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</row>
    <row r="1146" spans="1:249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</row>
    <row r="1147" spans="1:249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</row>
    <row r="1148" spans="1:249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</row>
    <row r="1149" spans="1:249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</row>
    <row r="1150" spans="1:249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  <c r="IE1150" s="4"/>
      <c r="IF1150" s="4"/>
      <c r="IG1150" s="4"/>
      <c r="IH1150" s="4"/>
      <c r="II1150" s="4"/>
      <c r="IJ1150" s="4"/>
      <c r="IK1150" s="4"/>
      <c r="IL1150" s="4"/>
      <c r="IM1150" s="4"/>
      <c r="IN1150" s="4"/>
      <c r="IO1150" s="4"/>
    </row>
    <row r="1151" spans="1:249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</row>
    <row r="1152" spans="1:249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  <c r="IE1152" s="4"/>
      <c r="IF1152" s="4"/>
      <c r="IG1152" s="4"/>
      <c r="IH1152" s="4"/>
      <c r="II1152" s="4"/>
      <c r="IJ1152" s="4"/>
      <c r="IK1152" s="4"/>
      <c r="IL1152" s="4"/>
      <c r="IM1152" s="4"/>
      <c r="IN1152" s="4"/>
      <c r="IO1152" s="4"/>
    </row>
    <row r="1153" spans="1:249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</row>
    <row r="1154" spans="1:249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  <c r="IE1154" s="4"/>
      <c r="IF1154" s="4"/>
      <c r="IG1154" s="4"/>
      <c r="IH1154" s="4"/>
      <c r="II1154" s="4"/>
      <c r="IJ1154" s="4"/>
      <c r="IK1154" s="4"/>
      <c r="IL1154" s="4"/>
      <c r="IM1154" s="4"/>
      <c r="IN1154" s="4"/>
      <c r="IO1154" s="4"/>
    </row>
    <row r="1155" spans="1:249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</row>
    <row r="1156" spans="1:249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</row>
    <row r="1157" spans="1:249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</row>
    <row r="1158" spans="1:249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</row>
    <row r="1159" spans="1:249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</row>
    <row r="1160" spans="1:249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</row>
    <row r="1161" spans="1:249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  <c r="IE1161" s="4"/>
      <c r="IF1161" s="4"/>
      <c r="IG1161" s="4"/>
      <c r="IH1161" s="4"/>
      <c r="II1161" s="4"/>
      <c r="IJ1161" s="4"/>
      <c r="IK1161" s="4"/>
      <c r="IL1161" s="4"/>
      <c r="IM1161" s="4"/>
      <c r="IN1161" s="4"/>
      <c r="IO1161" s="4"/>
    </row>
    <row r="1162" spans="1:249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</row>
    <row r="1163" spans="1:249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</row>
    <row r="1164" spans="1:249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</row>
    <row r="1165" spans="1:249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</row>
    <row r="1166" spans="1:249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</row>
    <row r="1167" spans="1:249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  <c r="IE1167" s="4"/>
      <c r="IF1167" s="4"/>
      <c r="IG1167" s="4"/>
      <c r="IH1167" s="4"/>
      <c r="II1167" s="4"/>
      <c r="IJ1167" s="4"/>
      <c r="IK1167" s="4"/>
      <c r="IL1167" s="4"/>
      <c r="IM1167" s="4"/>
      <c r="IN1167" s="4"/>
      <c r="IO1167" s="4"/>
    </row>
    <row r="1168" spans="1:249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</row>
    <row r="1169" spans="1:249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"/>
    </row>
    <row r="1170" spans="1:249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</row>
    <row r="1171" spans="1:249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"/>
    </row>
    <row r="1172" spans="1:249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</row>
    <row r="1173" spans="1:249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</row>
    <row r="1174" spans="1:249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  <c r="II1174" s="4"/>
      <c r="IJ1174" s="4"/>
      <c r="IK1174" s="4"/>
      <c r="IL1174" s="4"/>
      <c r="IM1174" s="4"/>
      <c r="IN1174" s="4"/>
      <c r="IO1174" s="4"/>
    </row>
    <row r="1175" spans="1:249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</row>
    <row r="1176" spans="1:249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  <c r="IE1176" s="4"/>
      <c r="IF1176" s="4"/>
      <c r="IG1176" s="4"/>
      <c r="IH1176" s="4"/>
      <c r="II1176" s="4"/>
      <c r="IJ1176" s="4"/>
      <c r="IK1176" s="4"/>
      <c r="IL1176" s="4"/>
      <c r="IM1176" s="4"/>
      <c r="IN1176" s="4"/>
      <c r="IO1176" s="4"/>
    </row>
    <row r="1177" spans="1:249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</row>
    <row r="1178" spans="1:249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</row>
    <row r="1179" spans="1:249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  <c r="IE1179" s="4"/>
      <c r="IF1179" s="4"/>
      <c r="IG1179" s="4"/>
      <c r="IH1179" s="4"/>
      <c r="II1179" s="4"/>
      <c r="IJ1179" s="4"/>
      <c r="IK1179" s="4"/>
      <c r="IL1179" s="4"/>
      <c r="IM1179" s="4"/>
      <c r="IN1179" s="4"/>
      <c r="IO1179" s="4"/>
    </row>
    <row r="1180" spans="1:249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</row>
    <row r="1181" spans="1:249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</row>
    <row r="1182" spans="1:249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</row>
    <row r="1183" spans="1:249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</row>
    <row r="1184" spans="1:249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</row>
    <row r="1185" spans="1:249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  <c r="II1185" s="4"/>
      <c r="IJ1185" s="4"/>
      <c r="IK1185" s="4"/>
      <c r="IL1185" s="4"/>
      <c r="IM1185" s="4"/>
      <c r="IN1185" s="4"/>
      <c r="IO1185" s="4"/>
    </row>
    <row r="1186" spans="1:249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</row>
    <row r="1187" spans="1:249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  <c r="IE1187" s="4"/>
      <c r="IF1187" s="4"/>
      <c r="IG1187" s="4"/>
      <c r="IH1187" s="4"/>
      <c r="II1187" s="4"/>
      <c r="IJ1187" s="4"/>
      <c r="IK1187" s="4"/>
      <c r="IL1187" s="4"/>
      <c r="IM1187" s="4"/>
      <c r="IN1187" s="4"/>
      <c r="IO1187" s="4"/>
    </row>
    <row r="1188" spans="1:249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</row>
    <row r="1189" spans="1:249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  <c r="IE1189" s="4"/>
      <c r="IF1189" s="4"/>
      <c r="IG1189" s="4"/>
      <c r="IH1189" s="4"/>
      <c r="II1189" s="4"/>
      <c r="IJ1189" s="4"/>
      <c r="IK1189" s="4"/>
      <c r="IL1189" s="4"/>
      <c r="IM1189" s="4"/>
      <c r="IN1189" s="4"/>
      <c r="IO1189" s="4"/>
    </row>
    <row r="1190" spans="1:249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</row>
    <row r="1191" spans="1:249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  <c r="IE1191" s="4"/>
      <c r="IF1191" s="4"/>
      <c r="IG1191" s="4"/>
      <c r="IH1191" s="4"/>
      <c r="II1191" s="4"/>
      <c r="IJ1191" s="4"/>
      <c r="IK1191" s="4"/>
      <c r="IL1191" s="4"/>
      <c r="IM1191" s="4"/>
      <c r="IN1191" s="4"/>
      <c r="IO1191" s="4"/>
    </row>
    <row r="1192" spans="1:249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</row>
    <row r="1193" spans="1:249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  <c r="II1193" s="4"/>
      <c r="IJ1193" s="4"/>
      <c r="IK1193" s="4"/>
      <c r="IL1193" s="4"/>
      <c r="IM1193" s="4"/>
      <c r="IN1193" s="4"/>
      <c r="IO1193" s="4"/>
    </row>
    <row r="1194" spans="1:249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</row>
    <row r="1195" spans="1:249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  <c r="IE1195" s="4"/>
      <c r="IF1195" s="4"/>
      <c r="IG1195" s="4"/>
      <c r="IH1195" s="4"/>
      <c r="II1195" s="4"/>
      <c r="IJ1195" s="4"/>
      <c r="IK1195" s="4"/>
      <c r="IL1195" s="4"/>
      <c r="IM1195" s="4"/>
      <c r="IN1195" s="4"/>
      <c r="IO1195" s="4"/>
    </row>
    <row r="1196" spans="1:249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</row>
    <row r="1197" spans="1:249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</row>
    <row r="1198" spans="1:249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</row>
    <row r="1199" spans="1:249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  <c r="IE1199" s="4"/>
      <c r="IF1199" s="4"/>
      <c r="IG1199" s="4"/>
      <c r="IH1199" s="4"/>
      <c r="II1199" s="4"/>
      <c r="IJ1199" s="4"/>
      <c r="IK1199" s="4"/>
      <c r="IL1199" s="4"/>
      <c r="IM1199" s="4"/>
      <c r="IN1199" s="4"/>
      <c r="IO1199" s="4"/>
    </row>
    <row r="1200" spans="1:249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</row>
    <row r="1201" spans="1:249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  <c r="IE1201" s="4"/>
      <c r="IF1201" s="4"/>
      <c r="IG1201" s="4"/>
      <c r="IH1201" s="4"/>
      <c r="II1201" s="4"/>
      <c r="IJ1201" s="4"/>
      <c r="IK1201" s="4"/>
      <c r="IL1201" s="4"/>
      <c r="IM1201" s="4"/>
      <c r="IN1201" s="4"/>
      <c r="IO1201" s="4"/>
    </row>
    <row r="1202" spans="1:249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</row>
    <row r="1203" spans="1:249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  <c r="IE1203" s="4"/>
      <c r="IF1203" s="4"/>
      <c r="IG1203" s="4"/>
      <c r="IH1203" s="4"/>
      <c r="II1203" s="4"/>
      <c r="IJ1203" s="4"/>
      <c r="IK1203" s="4"/>
      <c r="IL1203" s="4"/>
      <c r="IM1203" s="4"/>
      <c r="IN1203" s="4"/>
      <c r="IO1203" s="4"/>
    </row>
    <row r="1204" spans="1:249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</row>
    <row r="1205" spans="1:249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  <c r="IE1205" s="4"/>
      <c r="IF1205" s="4"/>
      <c r="IG1205" s="4"/>
      <c r="IH1205" s="4"/>
      <c r="II1205" s="4"/>
      <c r="IJ1205" s="4"/>
      <c r="IK1205" s="4"/>
      <c r="IL1205" s="4"/>
      <c r="IM1205" s="4"/>
      <c r="IN1205" s="4"/>
      <c r="IO1205" s="4"/>
    </row>
    <row r="1206" spans="1:249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</row>
    <row r="1207" spans="1:249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  <c r="IE1207" s="4"/>
      <c r="IF1207" s="4"/>
      <c r="IG1207" s="4"/>
      <c r="IH1207" s="4"/>
      <c r="II1207" s="4"/>
      <c r="IJ1207" s="4"/>
      <c r="IK1207" s="4"/>
      <c r="IL1207" s="4"/>
      <c r="IM1207" s="4"/>
      <c r="IN1207" s="4"/>
      <c r="IO1207" s="4"/>
    </row>
    <row r="1208" spans="1:249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</row>
    <row r="1209" spans="1:249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  <c r="IE1209" s="4"/>
      <c r="IF1209" s="4"/>
      <c r="IG1209" s="4"/>
      <c r="IH1209" s="4"/>
      <c r="II1209" s="4"/>
      <c r="IJ1209" s="4"/>
      <c r="IK1209" s="4"/>
      <c r="IL1209" s="4"/>
      <c r="IM1209" s="4"/>
      <c r="IN1209" s="4"/>
      <c r="IO1209" s="4"/>
    </row>
    <row r="1210" spans="1:249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</row>
    <row r="1211" spans="1:249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  <c r="IE1211" s="4"/>
      <c r="IF1211" s="4"/>
      <c r="IG1211" s="4"/>
      <c r="IH1211" s="4"/>
      <c r="II1211" s="4"/>
      <c r="IJ1211" s="4"/>
      <c r="IK1211" s="4"/>
      <c r="IL1211" s="4"/>
      <c r="IM1211" s="4"/>
      <c r="IN1211" s="4"/>
      <c r="IO1211" s="4"/>
    </row>
    <row r="1212" spans="1:249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</row>
    <row r="1213" spans="1:249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</row>
    <row r="1214" spans="1:249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  <c r="IE1214" s="4"/>
      <c r="IF1214" s="4"/>
      <c r="IG1214" s="4"/>
      <c r="IH1214" s="4"/>
      <c r="II1214" s="4"/>
      <c r="IJ1214" s="4"/>
      <c r="IK1214" s="4"/>
      <c r="IL1214" s="4"/>
      <c r="IM1214" s="4"/>
      <c r="IN1214" s="4"/>
      <c r="IO1214" s="4"/>
    </row>
    <row r="1215" spans="1:249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</row>
    <row r="1216" spans="1:249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  <c r="IE1216" s="4"/>
      <c r="IF1216" s="4"/>
      <c r="IG1216" s="4"/>
      <c r="IH1216" s="4"/>
      <c r="II1216" s="4"/>
      <c r="IJ1216" s="4"/>
      <c r="IK1216" s="4"/>
      <c r="IL1216" s="4"/>
      <c r="IM1216" s="4"/>
      <c r="IN1216" s="4"/>
      <c r="IO1216" s="4"/>
    </row>
    <row r="1217" spans="1:249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</row>
    <row r="1218" spans="1:249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  <c r="IE1218" s="4"/>
      <c r="IF1218" s="4"/>
      <c r="IG1218" s="4"/>
      <c r="IH1218" s="4"/>
      <c r="II1218" s="4"/>
      <c r="IJ1218" s="4"/>
      <c r="IK1218" s="4"/>
      <c r="IL1218" s="4"/>
      <c r="IM1218" s="4"/>
      <c r="IN1218" s="4"/>
      <c r="IO1218" s="4"/>
    </row>
    <row r="1219" spans="1:249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</row>
    <row r="1220" spans="1:249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  <c r="IE1220" s="4"/>
      <c r="IF1220" s="4"/>
      <c r="IG1220" s="4"/>
      <c r="IH1220" s="4"/>
      <c r="II1220" s="4"/>
      <c r="IJ1220" s="4"/>
      <c r="IK1220" s="4"/>
      <c r="IL1220" s="4"/>
      <c r="IM1220" s="4"/>
      <c r="IN1220" s="4"/>
      <c r="IO1220" s="4"/>
    </row>
    <row r="1221" spans="1:249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</row>
    <row r="1222" spans="1:249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  <c r="IE1222" s="4"/>
      <c r="IF1222" s="4"/>
      <c r="IG1222" s="4"/>
      <c r="IH1222" s="4"/>
      <c r="II1222" s="4"/>
      <c r="IJ1222" s="4"/>
      <c r="IK1222" s="4"/>
      <c r="IL1222" s="4"/>
      <c r="IM1222" s="4"/>
      <c r="IN1222" s="4"/>
      <c r="IO1222" s="4"/>
    </row>
    <row r="1223" spans="1:249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</row>
    <row r="1224" spans="1:249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  <c r="IE1224" s="4"/>
      <c r="IF1224" s="4"/>
      <c r="IG1224" s="4"/>
      <c r="IH1224" s="4"/>
      <c r="II1224" s="4"/>
      <c r="IJ1224" s="4"/>
      <c r="IK1224" s="4"/>
      <c r="IL1224" s="4"/>
      <c r="IM1224" s="4"/>
      <c r="IN1224" s="4"/>
      <c r="IO1224" s="4"/>
    </row>
    <row r="1225" spans="1:249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</row>
    <row r="1226" spans="1:249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</row>
    <row r="1227" spans="1:249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  <c r="IE1227" s="4"/>
      <c r="IF1227" s="4"/>
      <c r="IG1227" s="4"/>
      <c r="IH1227" s="4"/>
      <c r="II1227" s="4"/>
      <c r="IJ1227" s="4"/>
      <c r="IK1227" s="4"/>
      <c r="IL1227" s="4"/>
      <c r="IM1227" s="4"/>
      <c r="IN1227" s="4"/>
      <c r="IO1227" s="4"/>
    </row>
    <row r="1228" spans="1:249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</row>
    <row r="1229" spans="1:249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  <c r="IE1229" s="4"/>
      <c r="IF1229" s="4"/>
      <c r="IG1229" s="4"/>
      <c r="IH1229" s="4"/>
      <c r="II1229" s="4"/>
      <c r="IJ1229" s="4"/>
      <c r="IK1229" s="4"/>
      <c r="IL1229" s="4"/>
      <c r="IM1229" s="4"/>
      <c r="IN1229" s="4"/>
      <c r="IO1229" s="4"/>
    </row>
    <row r="1230" spans="1:249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</row>
    <row r="1231" spans="1:249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  <c r="IE1231" s="4"/>
      <c r="IF1231" s="4"/>
      <c r="IG1231" s="4"/>
      <c r="IH1231" s="4"/>
      <c r="II1231" s="4"/>
      <c r="IJ1231" s="4"/>
      <c r="IK1231" s="4"/>
      <c r="IL1231" s="4"/>
      <c r="IM1231" s="4"/>
      <c r="IN1231" s="4"/>
      <c r="IO1231" s="4"/>
    </row>
    <row r="1232" spans="1:249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</row>
    <row r="1233" spans="1:249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  <c r="IE1233" s="4"/>
      <c r="IF1233" s="4"/>
      <c r="IG1233" s="4"/>
      <c r="IH1233" s="4"/>
      <c r="II1233" s="4"/>
      <c r="IJ1233" s="4"/>
      <c r="IK1233" s="4"/>
      <c r="IL1233" s="4"/>
      <c r="IM1233" s="4"/>
      <c r="IN1233" s="4"/>
      <c r="IO1233" s="4"/>
    </row>
    <row r="1234" spans="1:249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</row>
    <row r="1235" spans="1:249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  <c r="IE1235" s="4"/>
      <c r="IF1235" s="4"/>
      <c r="IG1235" s="4"/>
      <c r="IH1235" s="4"/>
      <c r="II1235" s="4"/>
      <c r="IJ1235" s="4"/>
      <c r="IK1235" s="4"/>
      <c r="IL1235" s="4"/>
      <c r="IM1235" s="4"/>
      <c r="IN1235" s="4"/>
      <c r="IO1235" s="4"/>
    </row>
    <row r="1236" spans="1:249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</row>
    <row r="1237" spans="1:249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  <c r="IE1237" s="4"/>
      <c r="IF1237" s="4"/>
      <c r="IG1237" s="4"/>
      <c r="IH1237" s="4"/>
      <c r="II1237" s="4"/>
      <c r="IJ1237" s="4"/>
      <c r="IK1237" s="4"/>
      <c r="IL1237" s="4"/>
      <c r="IM1237" s="4"/>
      <c r="IN1237" s="4"/>
      <c r="IO1237" s="4"/>
    </row>
    <row r="1238" spans="1:249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</row>
    <row r="1239" spans="1:249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  <c r="IE1239" s="4"/>
      <c r="IF1239" s="4"/>
      <c r="IG1239" s="4"/>
      <c r="IH1239" s="4"/>
      <c r="II1239" s="4"/>
      <c r="IJ1239" s="4"/>
      <c r="IK1239" s="4"/>
      <c r="IL1239" s="4"/>
      <c r="IM1239" s="4"/>
      <c r="IN1239" s="4"/>
      <c r="IO1239" s="4"/>
    </row>
    <row r="1240" spans="1:249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</row>
    <row r="1241" spans="1:249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  <c r="IE1241" s="4"/>
      <c r="IF1241" s="4"/>
      <c r="IG1241" s="4"/>
      <c r="IH1241" s="4"/>
      <c r="II1241" s="4"/>
      <c r="IJ1241" s="4"/>
      <c r="IK1241" s="4"/>
      <c r="IL1241" s="4"/>
      <c r="IM1241" s="4"/>
      <c r="IN1241" s="4"/>
      <c r="IO1241" s="4"/>
    </row>
    <row r="1242" spans="1:249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</row>
    <row r="1243" spans="1:249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  <c r="IE1243" s="4"/>
      <c r="IF1243" s="4"/>
      <c r="IG1243" s="4"/>
      <c r="IH1243" s="4"/>
      <c r="II1243" s="4"/>
      <c r="IJ1243" s="4"/>
      <c r="IK1243" s="4"/>
      <c r="IL1243" s="4"/>
      <c r="IM1243" s="4"/>
      <c r="IN1243" s="4"/>
      <c r="IO1243" s="4"/>
    </row>
    <row r="1244" spans="1:249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</row>
    <row r="1245" spans="1:249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  <c r="IE1245" s="4"/>
      <c r="IF1245" s="4"/>
      <c r="IG1245" s="4"/>
      <c r="IH1245" s="4"/>
      <c r="II1245" s="4"/>
      <c r="IJ1245" s="4"/>
      <c r="IK1245" s="4"/>
      <c r="IL1245" s="4"/>
      <c r="IM1245" s="4"/>
      <c r="IN1245" s="4"/>
      <c r="IO1245" s="4"/>
    </row>
    <row r="1246" spans="1:249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</row>
    <row r="1247" spans="1:249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  <c r="IE1247" s="4"/>
      <c r="IF1247" s="4"/>
      <c r="IG1247" s="4"/>
      <c r="IH1247" s="4"/>
      <c r="II1247" s="4"/>
      <c r="IJ1247" s="4"/>
      <c r="IK1247" s="4"/>
      <c r="IL1247" s="4"/>
      <c r="IM1247" s="4"/>
      <c r="IN1247" s="4"/>
      <c r="IO1247" s="4"/>
    </row>
    <row r="1248" spans="1:249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</row>
    <row r="1249" spans="1:249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  <c r="IE1249" s="4"/>
      <c r="IF1249" s="4"/>
      <c r="IG1249" s="4"/>
      <c r="IH1249" s="4"/>
      <c r="II1249" s="4"/>
      <c r="IJ1249" s="4"/>
      <c r="IK1249" s="4"/>
      <c r="IL1249" s="4"/>
      <c r="IM1249" s="4"/>
      <c r="IN1249" s="4"/>
      <c r="IO1249" s="4"/>
    </row>
    <row r="1250" spans="1:249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</row>
    <row r="1251" spans="1:249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  <c r="IG1251" s="4"/>
      <c r="IH1251" s="4"/>
      <c r="II1251" s="4"/>
      <c r="IJ1251" s="4"/>
      <c r="IK1251" s="4"/>
      <c r="IL1251" s="4"/>
      <c r="IM1251" s="4"/>
      <c r="IN1251" s="4"/>
      <c r="IO1251" s="4"/>
    </row>
    <row r="1252" spans="1:249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</row>
    <row r="1253" spans="1:249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  <c r="IE1253" s="4"/>
      <c r="IF1253" s="4"/>
      <c r="IG1253" s="4"/>
      <c r="IH1253" s="4"/>
      <c r="II1253" s="4"/>
      <c r="IJ1253" s="4"/>
      <c r="IK1253" s="4"/>
      <c r="IL1253" s="4"/>
      <c r="IM1253" s="4"/>
      <c r="IN1253" s="4"/>
      <c r="IO1253" s="4"/>
    </row>
    <row r="1254" spans="1:249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</row>
    <row r="1255" spans="1:249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  <c r="IG1255" s="4"/>
      <c r="IH1255" s="4"/>
      <c r="II1255" s="4"/>
      <c r="IJ1255" s="4"/>
      <c r="IK1255" s="4"/>
      <c r="IL1255" s="4"/>
      <c r="IM1255" s="4"/>
      <c r="IN1255" s="4"/>
      <c r="IO1255" s="4"/>
    </row>
    <row r="1256" spans="1:249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</row>
    <row r="1257" spans="1:249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  <c r="IG1257" s="4"/>
      <c r="IH1257" s="4"/>
      <c r="II1257" s="4"/>
      <c r="IJ1257" s="4"/>
      <c r="IK1257" s="4"/>
      <c r="IL1257" s="4"/>
      <c r="IM1257" s="4"/>
      <c r="IN1257" s="4"/>
      <c r="IO1257" s="4"/>
    </row>
    <row r="1258" spans="1:249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</row>
    <row r="1259" spans="1:249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  <c r="IE1259" s="4"/>
      <c r="IF1259" s="4"/>
      <c r="IG1259" s="4"/>
      <c r="IH1259" s="4"/>
      <c r="II1259" s="4"/>
      <c r="IJ1259" s="4"/>
      <c r="IK1259" s="4"/>
      <c r="IL1259" s="4"/>
      <c r="IM1259" s="4"/>
      <c r="IN1259" s="4"/>
      <c r="IO1259" s="4"/>
    </row>
    <row r="1260" spans="1:249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</row>
    <row r="1261" spans="1:249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</row>
    <row r="1262" spans="1:249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</row>
    <row r="1263" spans="1:249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  <c r="IE1263" s="4"/>
      <c r="IF1263" s="4"/>
      <c r="IG1263" s="4"/>
      <c r="IH1263" s="4"/>
      <c r="II1263" s="4"/>
      <c r="IJ1263" s="4"/>
      <c r="IK1263" s="4"/>
      <c r="IL1263" s="4"/>
      <c r="IM1263" s="4"/>
      <c r="IN1263" s="4"/>
      <c r="IO1263" s="4"/>
    </row>
    <row r="1264" spans="1:249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</row>
    <row r="1265" spans="1:249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  <c r="IE1265" s="4"/>
      <c r="IF1265" s="4"/>
      <c r="IG1265" s="4"/>
      <c r="IH1265" s="4"/>
      <c r="II1265" s="4"/>
      <c r="IJ1265" s="4"/>
      <c r="IK1265" s="4"/>
      <c r="IL1265" s="4"/>
      <c r="IM1265" s="4"/>
      <c r="IN1265" s="4"/>
      <c r="IO1265" s="4"/>
    </row>
    <row r="1266" spans="1:249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</row>
    <row r="1267" spans="1:249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  <c r="IE1267" s="4"/>
      <c r="IF1267" s="4"/>
      <c r="IG1267" s="4"/>
      <c r="IH1267" s="4"/>
      <c r="II1267" s="4"/>
      <c r="IJ1267" s="4"/>
      <c r="IK1267" s="4"/>
      <c r="IL1267" s="4"/>
      <c r="IM1267" s="4"/>
      <c r="IN1267" s="4"/>
      <c r="IO1267" s="4"/>
    </row>
    <row r="1268" spans="1:249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</row>
    <row r="1269" spans="1:249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  <c r="IE1269" s="4"/>
      <c r="IF1269" s="4"/>
      <c r="IG1269" s="4"/>
      <c r="IH1269" s="4"/>
      <c r="II1269" s="4"/>
      <c r="IJ1269" s="4"/>
      <c r="IK1269" s="4"/>
      <c r="IL1269" s="4"/>
      <c r="IM1269" s="4"/>
      <c r="IN1269" s="4"/>
      <c r="IO1269" s="4"/>
    </row>
    <row r="1270" spans="1:249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</row>
    <row r="1271" spans="1:249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</row>
    <row r="1272" spans="1:249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</row>
    <row r="1273" spans="1:249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  <c r="IE1273" s="4"/>
      <c r="IF1273" s="4"/>
      <c r="IG1273" s="4"/>
      <c r="IH1273" s="4"/>
      <c r="II1273" s="4"/>
      <c r="IJ1273" s="4"/>
      <c r="IK1273" s="4"/>
      <c r="IL1273" s="4"/>
      <c r="IM1273" s="4"/>
      <c r="IN1273" s="4"/>
      <c r="IO1273" s="4"/>
    </row>
    <row r="1274" spans="1:249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</row>
    <row r="1275" spans="1:249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  <c r="IE1275" s="4"/>
      <c r="IF1275" s="4"/>
      <c r="IG1275" s="4"/>
      <c r="IH1275" s="4"/>
      <c r="II1275" s="4"/>
      <c r="IJ1275" s="4"/>
      <c r="IK1275" s="4"/>
      <c r="IL1275" s="4"/>
      <c r="IM1275" s="4"/>
      <c r="IN1275" s="4"/>
      <c r="IO1275" s="4"/>
    </row>
    <row r="1276" spans="1:249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</row>
    <row r="1277" spans="1:249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  <c r="IE1277" s="4"/>
      <c r="IF1277" s="4"/>
      <c r="IG1277" s="4"/>
      <c r="IH1277" s="4"/>
      <c r="II1277" s="4"/>
      <c r="IJ1277" s="4"/>
      <c r="IK1277" s="4"/>
      <c r="IL1277" s="4"/>
      <c r="IM1277" s="4"/>
      <c r="IN1277" s="4"/>
      <c r="IO1277" s="4"/>
    </row>
    <row r="1278" spans="1:249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</row>
    <row r="1279" spans="1:249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  <c r="IE1279" s="4"/>
      <c r="IF1279" s="4"/>
      <c r="IG1279" s="4"/>
      <c r="IH1279" s="4"/>
      <c r="II1279" s="4"/>
      <c r="IJ1279" s="4"/>
      <c r="IK1279" s="4"/>
      <c r="IL1279" s="4"/>
      <c r="IM1279" s="4"/>
      <c r="IN1279" s="4"/>
      <c r="IO1279" s="4"/>
    </row>
    <row r="1280" spans="1:249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</row>
    <row r="1281" spans="1:249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</row>
    <row r="1282" spans="1:249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</row>
    <row r="1283" spans="1:249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</row>
    <row r="1284" spans="1:249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</row>
    <row r="1285" spans="1:249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</row>
    <row r="1286" spans="1:249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</row>
    <row r="1287" spans="1:249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</row>
    <row r="1288" spans="1:249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</row>
    <row r="1289" spans="1:249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</row>
    <row r="1290" spans="1:249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  <c r="IE1290" s="4"/>
      <c r="IF1290" s="4"/>
      <c r="IG1290" s="4"/>
      <c r="IH1290" s="4"/>
      <c r="II1290" s="4"/>
      <c r="IJ1290" s="4"/>
      <c r="IK1290" s="4"/>
      <c r="IL1290" s="4"/>
      <c r="IM1290" s="4"/>
      <c r="IN1290" s="4"/>
      <c r="IO1290" s="4"/>
    </row>
    <row r="1291" spans="1:249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</row>
    <row r="1292" spans="1:249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</row>
    <row r="1293" spans="1:249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</row>
    <row r="1294" spans="1:249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</row>
    <row r="1295" spans="1:249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</row>
    <row r="1296" spans="1:249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</row>
    <row r="1297" spans="1:249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</row>
    <row r="1298" spans="1:249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  <c r="IE1298" s="4"/>
      <c r="IF1298" s="4"/>
      <c r="IG1298" s="4"/>
      <c r="IH1298" s="4"/>
      <c r="II1298" s="4"/>
      <c r="IJ1298" s="4"/>
      <c r="IK1298" s="4"/>
      <c r="IL1298" s="4"/>
      <c r="IM1298" s="4"/>
      <c r="IN1298" s="4"/>
      <c r="IO1298" s="4"/>
    </row>
    <row r="1299" spans="1:249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</row>
    <row r="1300" spans="1:249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  <c r="IE1300" s="4"/>
      <c r="IF1300" s="4"/>
      <c r="IG1300" s="4"/>
      <c r="IH1300" s="4"/>
      <c r="II1300" s="4"/>
      <c r="IJ1300" s="4"/>
      <c r="IK1300" s="4"/>
      <c r="IL1300" s="4"/>
      <c r="IM1300" s="4"/>
      <c r="IN1300" s="4"/>
      <c r="IO1300" s="4"/>
    </row>
    <row r="1301" spans="1:249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</row>
    <row r="1302" spans="1:249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  <c r="IE1302" s="4"/>
      <c r="IF1302" s="4"/>
      <c r="IG1302" s="4"/>
      <c r="IH1302" s="4"/>
      <c r="II1302" s="4"/>
      <c r="IJ1302" s="4"/>
      <c r="IK1302" s="4"/>
      <c r="IL1302" s="4"/>
      <c r="IM1302" s="4"/>
      <c r="IN1302" s="4"/>
      <c r="IO1302" s="4"/>
    </row>
    <row r="1303" spans="1:249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</row>
    <row r="1304" spans="1:249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  <c r="IE1304" s="4"/>
      <c r="IF1304" s="4"/>
      <c r="IG1304" s="4"/>
      <c r="IH1304" s="4"/>
      <c r="II1304" s="4"/>
      <c r="IJ1304" s="4"/>
      <c r="IK1304" s="4"/>
      <c r="IL1304" s="4"/>
      <c r="IM1304" s="4"/>
      <c r="IN1304" s="4"/>
      <c r="IO1304" s="4"/>
    </row>
    <row r="1305" spans="1:249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</row>
    <row r="1306" spans="1:249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</row>
    <row r="1307" spans="1:249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</row>
    <row r="1308" spans="1:249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  <c r="IE1308" s="4"/>
      <c r="IF1308" s="4"/>
      <c r="IG1308" s="4"/>
      <c r="IH1308" s="4"/>
      <c r="II1308" s="4"/>
      <c r="IJ1308" s="4"/>
      <c r="IK1308" s="4"/>
      <c r="IL1308" s="4"/>
      <c r="IM1308" s="4"/>
      <c r="IN1308" s="4"/>
      <c r="IO1308" s="4"/>
    </row>
    <row r="1309" spans="1:249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  <c r="IE1309" s="4"/>
      <c r="IF1309" s="4"/>
      <c r="IG1309" s="4"/>
      <c r="IH1309" s="4"/>
      <c r="II1309" s="4"/>
      <c r="IJ1309" s="4"/>
      <c r="IK1309" s="4"/>
      <c r="IL1309" s="4"/>
      <c r="IM1309" s="4"/>
      <c r="IN1309" s="4"/>
      <c r="IO1309" s="4"/>
    </row>
    <row r="1310" spans="1:249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  <c r="IE1310" s="4"/>
      <c r="IF1310" s="4"/>
      <c r="IG1310" s="4"/>
      <c r="IH1310" s="4"/>
      <c r="II1310" s="4"/>
      <c r="IJ1310" s="4"/>
      <c r="IK1310" s="4"/>
      <c r="IL1310" s="4"/>
      <c r="IM1310" s="4"/>
      <c r="IN1310" s="4"/>
      <c r="IO1310" s="4"/>
    </row>
    <row r="1311" spans="1:249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  <c r="IE1311" s="4"/>
      <c r="IF1311" s="4"/>
      <c r="IG1311" s="4"/>
      <c r="IH1311" s="4"/>
      <c r="II1311" s="4"/>
      <c r="IJ1311" s="4"/>
      <c r="IK1311" s="4"/>
      <c r="IL1311" s="4"/>
      <c r="IM1311" s="4"/>
      <c r="IN1311" s="4"/>
      <c r="IO1311" s="4"/>
    </row>
    <row r="1312" spans="1:249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  <c r="IE1312" s="4"/>
      <c r="IF1312" s="4"/>
      <c r="IG1312" s="4"/>
      <c r="IH1312" s="4"/>
      <c r="II1312" s="4"/>
      <c r="IJ1312" s="4"/>
      <c r="IK1312" s="4"/>
      <c r="IL1312" s="4"/>
      <c r="IM1312" s="4"/>
      <c r="IN1312" s="4"/>
      <c r="IO1312" s="4"/>
    </row>
    <row r="1313" spans="1:249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  <c r="IE1313" s="4"/>
      <c r="IF1313" s="4"/>
      <c r="IG1313" s="4"/>
      <c r="IH1313" s="4"/>
      <c r="II1313" s="4"/>
      <c r="IJ1313" s="4"/>
      <c r="IK1313" s="4"/>
      <c r="IL1313" s="4"/>
      <c r="IM1313" s="4"/>
      <c r="IN1313" s="4"/>
      <c r="IO1313" s="4"/>
    </row>
    <row r="1314" spans="1:249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  <c r="IE1314" s="4"/>
      <c r="IF1314" s="4"/>
      <c r="IG1314" s="4"/>
      <c r="IH1314" s="4"/>
      <c r="II1314" s="4"/>
      <c r="IJ1314" s="4"/>
      <c r="IK1314" s="4"/>
      <c r="IL1314" s="4"/>
      <c r="IM1314" s="4"/>
      <c r="IN1314" s="4"/>
      <c r="IO1314" s="4"/>
    </row>
    <row r="1315" spans="1:249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  <c r="IE1315" s="4"/>
      <c r="IF1315" s="4"/>
      <c r="IG1315" s="4"/>
      <c r="IH1315" s="4"/>
      <c r="II1315" s="4"/>
      <c r="IJ1315" s="4"/>
      <c r="IK1315" s="4"/>
      <c r="IL1315" s="4"/>
      <c r="IM1315" s="4"/>
      <c r="IN1315" s="4"/>
      <c r="IO1315" s="4"/>
    </row>
    <row r="1316" spans="1:249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  <c r="IE1316" s="4"/>
      <c r="IF1316" s="4"/>
      <c r="IG1316" s="4"/>
      <c r="IH1316" s="4"/>
      <c r="II1316" s="4"/>
      <c r="IJ1316" s="4"/>
      <c r="IK1316" s="4"/>
      <c r="IL1316" s="4"/>
      <c r="IM1316" s="4"/>
      <c r="IN1316" s="4"/>
      <c r="IO1316" s="4"/>
    </row>
    <row r="1317" spans="1:249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  <c r="IE1317" s="4"/>
      <c r="IF1317" s="4"/>
      <c r="IG1317" s="4"/>
      <c r="IH1317" s="4"/>
      <c r="II1317" s="4"/>
      <c r="IJ1317" s="4"/>
      <c r="IK1317" s="4"/>
      <c r="IL1317" s="4"/>
      <c r="IM1317" s="4"/>
      <c r="IN1317" s="4"/>
      <c r="IO1317" s="4"/>
    </row>
    <row r="1318" spans="1:249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  <c r="IE1318" s="4"/>
      <c r="IF1318" s="4"/>
      <c r="IG1318" s="4"/>
      <c r="IH1318" s="4"/>
      <c r="II1318" s="4"/>
      <c r="IJ1318" s="4"/>
      <c r="IK1318" s="4"/>
      <c r="IL1318" s="4"/>
      <c r="IM1318" s="4"/>
      <c r="IN1318" s="4"/>
      <c r="IO1318" s="4"/>
    </row>
    <row r="1319" spans="1:249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  <c r="IE1319" s="4"/>
      <c r="IF1319" s="4"/>
      <c r="IG1319" s="4"/>
      <c r="IH1319" s="4"/>
      <c r="II1319" s="4"/>
      <c r="IJ1319" s="4"/>
      <c r="IK1319" s="4"/>
      <c r="IL1319" s="4"/>
      <c r="IM1319" s="4"/>
      <c r="IN1319" s="4"/>
      <c r="IO1319" s="4"/>
    </row>
    <row r="1320" spans="1:249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  <c r="IE1320" s="4"/>
      <c r="IF1320" s="4"/>
      <c r="IG1320" s="4"/>
      <c r="IH1320" s="4"/>
      <c r="II1320" s="4"/>
      <c r="IJ1320" s="4"/>
      <c r="IK1320" s="4"/>
      <c r="IL1320" s="4"/>
      <c r="IM1320" s="4"/>
      <c r="IN1320" s="4"/>
      <c r="IO1320" s="4"/>
    </row>
    <row r="1321" spans="1:249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  <c r="IE1321" s="4"/>
      <c r="IF1321" s="4"/>
      <c r="IG1321" s="4"/>
      <c r="IH1321" s="4"/>
      <c r="II1321" s="4"/>
      <c r="IJ1321" s="4"/>
      <c r="IK1321" s="4"/>
      <c r="IL1321" s="4"/>
      <c r="IM1321" s="4"/>
      <c r="IN1321" s="4"/>
      <c r="IO1321" s="4"/>
    </row>
    <row r="1322" spans="1:249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  <c r="IE1322" s="4"/>
      <c r="IF1322" s="4"/>
      <c r="IG1322" s="4"/>
      <c r="IH1322" s="4"/>
      <c r="II1322" s="4"/>
      <c r="IJ1322" s="4"/>
      <c r="IK1322" s="4"/>
      <c r="IL1322" s="4"/>
      <c r="IM1322" s="4"/>
      <c r="IN1322" s="4"/>
      <c r="IO1322" s="4"/>
    </row>
    <row r="1323" spans="1:249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  <c r="IE1323" s="4"/>
      <c r="IF1323" s="4"/>
      <c r="IG1323" s="4"/>
      <c r="IH1323" s="4"/>
      <c r="II1323" s="4"/>
      <c r="IJ1323" s="4"/>
      <c r="IK1323" s="4"/>
      <c r="IL1323" s="4"/>
      <c r="IM1323" s="4"/>
      <c r="IN1323" s="4"/>
      <c r="IO1323" s="4"/>
    </row>
    <row r="1324" spans="1:249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  <c r="IE1324" s="4"/>
      <c r="IF1324" s="4"/>
      <c r="IG1324" s="4"/>
      <c r="IH1324" s="4"/>
      <c r="II1324" s="4"/>
      <c r="IJ1324" s="4"/>
      <c r="IK1324" s="4"/>
      <c r="IL1324" s="4"/>
      <c r="IM1324" s="4"/>
      <c r="IN1324" s="4"/>
      <c r="IO1324" s="4"/>
    </row>
    <row r="1325" spans="1:249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  <c r="IE1325" s="4"/>
      <c r="IF1325" s="4"/>
      <c r="IG1325" s="4"/>
      <c r="IH1325" s="4"/>
      <c r="II1325" s="4"/>
      <c r="IJ1325" s="4"/>
      <c r="IK1325" s="4"/>
      <c r="IL1325" s="4"/>
      <c r="IM1325" s="4"/>
      <c r="IN1325" s="4"/>
      <c r="IO1325" s="4"/>
    </row>
    <row r="1326" spans="1:249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  <c r="IE1326" s="4"/>
      <c r="IF1326" s="4"/>
      <c r="IG1326" s="4"/>
      <c r="IH1326" s="4"/>
      <c r="II1326" s="4"/>
      <c r="IJ1326" s="4"/>
      <c r="IK1326" s="4"/>
      <c r="IL1326" s="4"/>
      <c r="IM1326" s="4"/>
      <c r="IN1326" s="4"/>
      <c r="IO1326" s="4"/>
    </row>
    <row r="1327" spans="1:249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  <c r="IE1327" s="4"/>
      <c r="IF1327" s="4"/>
      <c r="IG1327" s="4"/>
      <c r="IH1327" s="4"/>
      <c r="II1327" s="4"/>
      <c r="IJ1327" s="4"/>
      <c r="IK1327" s="4"/>
      <c r="IL1327" s="4"/>
      <c r="IM1327" s="4"/>
      <c r="IN1327" s="4"/>
      <c r="IO1327" s="4"/>
    </row>
    <row r="1328" spans="1:249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  <c r="IE1328" s="4"/>
      <c r="IF1328" s="4"/>
      <c r="IG1328" s="4"/>
      <c r="IH1328" s="4"/>
      <c r="II1328" s="4"/>
      <c r="IJ1328" s="4"/>
      <c r="IK1328" s="4"/>
      <c r="IL1328" s="4"/>
      <c r="IM1328" s="4"/>
      <c r="IN1328" s="4"/>
      <c r="IO1328" s="4"/>
    </row>
    <row r="1329" spans="1:249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  <c r="IE1329" s="4"/>
      <c r="IF1329" s="4"/>
      <c r="IG1329" s="4"/>
      <c r="IH1329" s="4"/>
      <c r="II1329" s="4"/>
      <c r="IJ1329" s="4"/>
      <c r="IK1329" s="4"/>
      <c r="IL1329" s="4"/>
      <c r="IM1329" s="4"/>
      <c r="IN1329" s="4"/>
      <c r="IO1329" s="4"/>
    </row>
    <row r="1330" spans="1:249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  <c r="IE1330" s="4"/>
      <c r="IF1330" s="4"/>
      <c r="IG1330" s="4"/>
      <c r="IH1330" s="4"/>
      <c r="II1330" s="4"/>
      <c r="IJ1330" s="4"/>
      <c r="IK1330" s="4"/>
      <c r="IL1330" s="4"/>
      <c r="IM1330" s="4"/>
      <c r="IN1330" s="4"/>
      <c r="IO1330" s="4"/>
    </row>
    <row r="1331" spans="1:249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  <c r="IE1331" s="4"/>
      <c r="IF1331" s="4"/>
      <c r="IG1331" s="4"/>
      <c r="IH1331" s="4"/>
      <c r="II1331" s="4"/>
      <c r="IJ1331" s="4"/>
      <c r="IK1331" s="4"/>
      <c r="IL1331" s="4"/>
      <c r="IM1331" s="4"/>
      <c r="IN1331" s="4"/>
      <c r="IO1331" s="4"/>
    </row>
    <row r="1332" spans="1:249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  <c r="IE1332" s="4"/>
      <c r="IF1332" s="4"/>
      <c r="IG1332" s="4"/>
      <c r="IH1332" s="4"/>
      <c r="II1332" s="4"/>
      <c r="IJ1332" s="4"/>
      <c r="IK1332" s="4"/>
      <c r="IL1332" s="4"/>
      <c r="IM1332" s="4"/>
      <c r="IN1332" s="4"/>
      <c r="IO1332" s="4"/>
    </row>
    <row r="1333" spans="1:249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  <c r="IE1333" s="4"/>
      <c r="IF1333" s="4"/>
      <c r="IG1333" s="4"/>
      <c r="IH1333" s="4"/>
      <c r="II1333" s="4"/>
      <c r="IJ1333" s="4"/>
      <c r="IK1333" s="4"/>
      <c r="IL1333" s="4"/>
      <c r="IM1333" s="4"/>
      <c r="IN1333" s="4"/>
      <c r="IO1333" s="4"/>
    </row>
    <row r="1334" spans="1:249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  <c r="IE1334" s="4"/>
      <c r="IF1334" s="4"/>
      <c r="IG1334" s="4"/>
      <c r="IH1334" s="4"/>
      <c r="II1334" s="4"/>
      <c r="IJ1334" s="4"/>
      <c r="IK1334" s="4"/>
      <c r="IL1334" s="4"/>
      <c r="IM1334" s="4"/>
      <c r="IN1334" s="4"/>
      <c r="IO1334" s="4"/>
    </row>
    <row r="1335" spans="1:249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  <c r="IE1335" s="4"/>
      <c r="IF1335" s="4"/>
      <c r="IG1335" s="4"/>
      <c r="IH1335" s="4"/>
      <c r="II1335" s="4"/>
      <c r="IJ1335" s="4"/>
      <c r="IK1335" s="4"/>
      <c r="IL1335" s="4"/>
      <c r="IM1335" s="4"/>
      <c r="IN1335" s="4"/>
      <c r="IO1335" s="4"/>
    </row>
    <row r="1336" spans="1:249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  <c r="IE1336" s="4"/>
      <c r="IF1336" s="4"/>
      <c r="IG1336" s="4"/>
      <c r="IH1336" s="4"/>
      <c r="II1336" s="4"/>
      <c r="IJ1336" s="4"/>
      <c r="IK1336" s="4"/>
      <c r="IL1336" s="4"/>
      <c r="IM1336" s="4"/>
      <c r="IN1336" s="4"/>
      <c r="IO1336" s="4"/>
    </row>
    <row r="1337" spans="1:249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  <c r="IE1337" s="4"/>
      <c r="IF1337" s="4"/>
      <c r="IG1337" s="4"/>
      <c r="IH1337" s="4"/>
      <c r="II1337" s="4"/>
      <c r="IJ1337" s="4"/>
      <c r="IK1337" s="4"/>
      <c r="IL1337" s="4"/>
      <c r="IM1337" s="4"/>
      <c r="IN1337" s="4"/>
      <c r="IO1337" s="4"/>
    </row>
    <row r="1338" spans="1:249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  <c r="IE1338" s="4"/>
      <c r="IF1338" s="4"/>
      <c r="IG1338" s="4"/>
      <c r="IH1338" s="4"/>
      <c r="II1338" s="4"/>
      <c r="IJ1338" s="4"/>
      <c r="IK1338" s="4"/>
      <c r="IL1338" s="4"/>
      <c r="IM1338" s="4"/>
      <c r="IN1338" s="4"/>
      <c r="IO1338" s="4"/>
    </row>
    <row r="1339" spans="1:249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  <c r="IE1339" s="4"/>
      <c r="IF1339" s="4"/>
      <c r="IG1339" s="4"/>
      <c r="IH1339" s="4"/>
      <c r="II1339" s="4"/>
      <c r="IJ1339" s="4"/>
      <c r="IK1339" s="4"/>
      <c r="IL1339" s="4"/>
      <c r="IM1339" s="4"/>
      <c r="IN1339" s="4"/>
      <c r="IO1339" s="4"/>
    </row>
    <row r="1340" spans="1:249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  <c r="IE1340" s="4"/>
      <c r="IF1340" s="4"/>
      <c r="IG1340" s="4"/>
      <c r="IH1340" s="4"/>
      <c r="II1340" s="4"/>
      <c r="IJ1340" s="4"/>
      <c r="IK1340" s="4"/>
      <c r="IL1340" s="4"/>
      <c r="IM1340" s="4"/>
      <c r="IN1340" s="4"/>
      <c r="IO1340" s="4"/>
    </row>
    <row r="1341" spans="1:249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  <c r="IE1341" s="4"/>
      <c r="IF1341" s="4"/>
      <c r="IG1341" s="4"/>
      <c r="IH1341" s="4"/>
      <c r="II1341" s="4"/>
      <c r="IJ1341" s="4"/>
      <c r="IK1341" s="4"/>
      <c r="IL1341" s="4"/>
      <c r="IM1341" s="4"/>
      <c r="IN1341" s="4"/>
      <c r="IO1341" s="4"/>
    </row>
    <row r="1342" spans="1:249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  <c r="IE1342" s="4"/>
      <c r="IF1342" s="4"/>
      <c r="IG1342" s="4"/>
      <c r="IH1342" s="4"/>
      <c r="II1342" s="4"/>
      <c r="IJ1342" s="4"/>
      <c r="IK1342" s="4"/>
      <c r="IL1342" s="4"/>
      <c r="IM1342" s="4"/>
      <c r="IN1342" s="4"/>
      <c r="IO1342" s="4"/>
    </row>
    <row r="1343" spans="1:249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  <c r="IE1343" s="4"/>
      <c r="IF1343" s="4"/>
      <c r="IG1343" s="4"/>
      <c r="IH1343" s="4"/>
      <c r="II1343" s="4"/>
      <c r="IJ1343" s="4"/>
      <c r="IK1343" s="4"/>
      <c r="IL1343" s="4"/>
      <c r="IM1343" s="4"/>
      <c r="IN1343" s="4"/>
      <c r="IO1343" s="4"/>
    </row>
    <row r="1344" spans="1:249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  <c r="IE1344" s="4"/>
      <c r="IF1344" s="4"/>
      <c r="IG1344" s="4"/>
      <c r="IH1344" s="4"/>
      <c r="II1344" s="4"/>
      <c r="IJ1344" s="4"/>
      <c r="IK1344" s="4"/>
      <c r="IL1344" s="4"/>
      <c r="IM1344" s="4"/>
      <c r="IN1344" s="4"/>
      <c r="IO1344" s="4"/>
    </row>
    <row r="1345" spans="1:249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  <c r="IE1345" s="4"/>
      <c r="IF1345" s="4"/>
      <c r="IG1345" s="4"/>
      <c r="IH1345" s="4"/>
      <c r="II1345" s="4"/>
      <c r="IJ1345" s="4"/>
      <c r="IK1345" s="4"/>
      <c r="IL1345" s="4"/>
      <c r="IM1345" s="4"/>
      <c r="IN1345" s="4"/>
      <c r="IO1345" s="4"/>
    </row>
    <row r="1346" spans="1:249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  <c r="IE1346" s="4"/>
      <c r="IF1346" s="4"/>
      <c r="IG1346" s="4"/>
      <c r="IH1346" s="4"/>
      <c r="II1346" s="4"/>
      <c r="IJ1346" s="4"/>
      <c r="IK1346" s="4"/>
      <c r="IL1346" s="4"/>
      <c r="IM1346" s="4"/>
      <c r="IN1346" s="4"/>
      <c r="IO1346" s="4"/>
    </row>
    <row r="1347" spans="1:249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  <c r="IE1347" s="4"/>
      <c r="IF1347" s="4"/>
      <c r="IG1347" s="4"/>
      <c r="IH1347" s="4"/>
      <c r="II1347" s="4"/>
      <c r="IJ1347" s="4"/>
      <c r="IK1347" s="4"/>
      <c r="IL1347" s="4"/>
      <c r="IM1347" s="4"/>
      <c r="IN1347" s="4"/>
      <c r="IO1347" s="4"/>
    </row>
    <row r="1348" spans="1:249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  <c r="IE1348" s="4"/>
      <c r="IF1348" s="4"/>
      <c r="IG1348" s="4"/>
      <c r="IH1348" s="4"/>
      <c r="II1348" s="4"/>
      <c r="IJ1348" s="4"/>
      <c r="IK1348" s="4"/>
      <c r="IL1348" s="4"/>
      <c r="IM1348" s="4"/>
      <c r="IN1348" s="4"/>
      <c r="IO1348" s="4"/>
    </row>
    <row r="1349" spans="1:249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  <c r="IE1349" s="4"/>
      <c r="IF1349" s="4"/>
      <c r="IG1349" s="4"/>
      <c r="IH1349" s="4"/>
      <c r="II1349" s="4"/>
      <c r="IJ1349" s="4"/>
      <c r="IK1349" s="4"/>
      <c r="IL1349" s="4"/>
      <c r="IM1349" s="4"/>
      <c r="IN1349" s="4"/>
      <c r="IO1349" s="4"/>
    </row>
    <row r="1350" spans="1:249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  <c r="IE1350" s="4"/>
      <c r="IF1350" s="4"/>
      <c r="IG1350" s="4"/>
      <c r="IH1350" s="4"/>
      <c r="II1350" s="4"/>
      <c r="IJ1350" s="4"/>
      <c r="IK1350" s="4"/>
      <c r="IL1350" s="4"/>
      <c r="IM1350" s="4"/>
      <c r="IN1350" s="4"/>
      <c r="IO1350" s="4"/>
    </row>
    <row r="1351" spans="1:249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  <c r="IE1351" s="4"/>
      <c r="IF1351" s="4"/>
      <c r="IG1351" s="4"/>
      <c r="IH1351" s="4"/>
      <c r="II1351" s="4"/>
      <c r="IJ1351" s="4"/>
      <c r="IK1351" s="4"/>
      <c r="IL1351" s="4"/>
      <c r="IM1351" s="4"/>
      <c r="IN1351" s="4"/>
      <c r="IO1351" s="4"/>
    </row>
    <row r="1352" spans="1:249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  <c r="IE1352" s="4"/>
      <c r="IF1352" s="4"/>
      <c r="IG1352" s="4"/>
      <c r="IH1352" s="4"/>
      <c r="II1352" s="4"/>
      <c r="IJ1352" s="4"/>
      <c r="IK1352" s="4"/>
      <c r="IL1352" s="4"/>
      <c r="IM1352" s="4"/>
      <c r="IN1352" s="4"/>
      <c r="IO1352" s="4"/>
    </row>
    <row r="1353" spans="1:249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  <c r="IE1353" s="4"/>
      <c r="IF1353" s="4"/>
      <c r="IG1353" s="4"/>
      <c r="IH1353" s="4"/>
      <c r="II1353" s="4"/>
      <c r="IJ1353" s="4"/>
      <c r="IK1353" s="4"/>
      <c r="IL1353" s="4"/>
      <c r="IM1353" s="4"/>
      <c r="IN1353" s="4"/>
      <c r="IO1353" s="4"/>
    </row>
    <row r="1354" spans="1:249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  <c r="IE1354" s="4"/>
      <c r="IF1354" s="4"/>
      <c r="IG1354" s="4"/>
      <c r="IH1354" s="4"/>
      <c r="II1354" s="4"/>
      <c r="IJ1354" s="4"/>
      <c r="IK1354" s="4"/>
      <c r="IL1354" s="4"/>
      <c r="IM1354" s="4"/>
      <c r="IN1354" s="4"/>
      <c r="IO1354" s="4"/>
    </row>
    <row r="1355" spans="1:249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  <c r="IE1355" s="4"/>
      <c r="IF1355" s="4"/>
      <c r="IG1355" s="4"/>
      <c r="IH1355" s="4"/>
      <c r="II1355" s="4"/>
      <c r="IJ1355" s="4"/>
      <c r="IK1355" s="4"/>
      <c r="IL1355" s="4"/>
      <c r="IM1355" s="4"/>
      <c r="IN1355" s="4"/>
      <c r="IO1355" s="4"/>
    </row>
    <row r="1356" spans="1:249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  <c r="IE1356" s="4"/>
      <c r="IF1356" s="4"/>
      <c r="IG1356" s="4"/>
      <c r="IH1356" s="4"/>
      <c r="II1356" s="4"/>
      <c r="IJ1356" s="4"/>
      <c r="IK1356" s="4"/>
      <c r="IL1356" s="4"/>
      <c r="IM1356" s="4"/>
      <c r="IN1356" s="4"/>
      <c r="IO1356" s="4"/>
    </row>
    <row r="1357" spans="1:249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  <c r="IE1357" s="4"/>
      <c r="IF1357" s="4"/>
      <c r="IG1357" s="4"/>
      <c r="IH1357" s="4"/>
      <c r="II1357" s="4"/>
      <c r="IJ1357" s="4"/>
      <c r="IK1357" s="4"/>
      <c r="IL1357" s="4"/>
      <c r="IM1357" s="4"/>
      <c r="IN1357" s="4"/>
      <c r="IO1357" s="4"/>
    </row>
    <row r="1358" spans="1:249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  <c r="IE1358" s="4"/>
      <c r="IF1358" s="4"/>
      <c r="IG1358" s="4"/>
      <c r="IH1358" s="4"/>
      <c r="II1358" s="4"/>
      <c r="IJ1358" s="4"/>
      <c r="IK1358" s="4"/>
      <c r="IL1358" s="4"/>
      <c r="IM1358" s="4"/>
      <c r="IN1358" s="4"/>
      <c r="IO1358" s="4"/>
    </row>
    <row r="1359" spans="1:249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  <c r="IE1359" s="4"/>
      <c r="IF1359" s="4"/>
      <c r="IG1359" s="4"/>
      <c r="IH1359" s="4"/>
      <c r="II1359" s="4"/>
      <c r="IJ1359" s="4"/>
      <c r="IK1359" s="4"/>
      <c r="IL1359" s="4"/>
      <c r="IM1359" s="4"/>
      <c r="IN1359" s="4"/>
      <c r="IO1359" s="4"/>
    </row>
    <row r="1360" spans="1:249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  <c r="IE1360" s="4"/>
      <c r="IF1360" s="4"/>
      <c r="IG1360" s="4"/>
      <c r="IH1360" s="4"/>
      <c r="II1360" s="4"/>
      <c r="IJ1360" s="4"/>
      <c r="IK1360" s="4"/>
      <c r="IL1360" s="4"/>
      <c r="IM1360" s="4"/>
      <c r="IN1360" s="4"/>
      <c r="IO1360" s="4"/>
    </row>
    <row r="1361" spans="1:249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  <c r="IE1361" s="4"/>
      <c r="IF1361" s="4"/>
      <c r="IG1361" s="4"/>
      <c r="IH1361" s="4"/>
      <c r="II1361" s="4"/>
      <c r="IJ1361" s="4"/>
      <c r="IK1361" s="4"/>
      <c r="IL1361" s="4"/>
      <c r="IM1361" s="4"/>
      <c r="IN1361" s="4"/>
      <c r="IO1361" s="4"/>
    </row>
    <row r="1362" spans="1:249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  <c r="IE1362" s="4"/>
      <c r="IF1362" s="4"/>
      <c r="IG1362" s="4"/>
      <c r="IH1362" s="4"/>
      <c r="II1362" s="4"/>
      <c r="IJ1362" s="4"/>
      <c r="IK1362" s="4"/>
      <c r="IL1362" s="4"/>
      <c r="IM1362" s="4"/>
      <c r="IN1362" s="4"/>
      <c r="IO1362" s="4"/>
    </row>
    <row r="1363" spans="1:249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  <c r="IE1363" s="4"/>
      <c r="IF1363" s="4"/>
      <c r="IG1363" s="4"/>
      <c r="IH1363" s="4"/>
      <c r="II1363" s="4"/>
      <c r="IJ1363" s="4"/>
      <c r="IK1363" s="4"/>
      <c r="IL1363" s="4"/>
      <c r="IM1363" s="4"/>
      <c r="IN1363" s="4"/>
      <c r="IO1363" s="4"/>
    </row>
    <row r="1364" spans="1:249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  <c r="IG1364" s="4"/>
      <c r="IH1364" s="4"/>
      <c r="II1364" s="4"/>
      <c r="IJ1364" s="4"/>
      <c r="IK1364" s="4"/>
      <c r="IL1364" s="4"/>
      <c r="IM1364" s="4"/>
      <c r="IN1364" s="4"/>
      <c r="IO1364" s="4"/>
    </row>
    <row r="1365" spans="1:249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  <c r="IG1365" s="4"/>
      <c r="IH1365" s="4"/>
      <c r="II1365" s="4"/>
      <c r="IJ1365" s="4"/>
      <c r="IK1365" s="4"/>
      <c r="IL1365" s="4"/>
      <c r="IM1365" s="4"/>
      <c r="IN1365" s="4"/>
      <c r="IO1365" s="4"/>
    </row>
    <row r="1366" spans="1:249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  <c r="IE1366" s="4"/>
      <c r="IF1366" s="4"/>
      <c r="IG1366" s="4"/>
      <c r="IH1366" s="4"/>
      <c r="II1366" s="4"/>
      <c r="IJ1366" s="4"/>
      <c r="IK1366" s="4"/>
      <c r="IL1366" s="4"/>
      <c r="IM1366" s="4"/>
      <c r="IN1366" s="4"/>
      <c r="IO1366" s="4"/>
    </row>
    <row r="1367" spans="1:249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  <c r="IE1367" s="4"/>
      <c r="IF1367" s="4"/>
      <c r="IG1367" s="4"/>
      <c r="IH1367" s="4"/>
      <c r="II1367" s="4"/>
      <c r="IJ1367" s="4"/>
      <c r="IK1367" s="4"/>
      <c r="IL1367" s="4"/>
      <c r="IM1367" s="4"/>
      <c r="IN1367" s="4"/>
      <c r="IO1367" s="4"/>
    </row>
    <row r="1368" spans="1:249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  <c r="IE1368" s="4"/>
      <c r="IF1368" s="4"/>
      <c r="IG1368" s="4"/>
      <c r="IH1368" s="4"/>
      <c r="II1368" s="4"/>
      <c r="IJ1368" s="4"/>
      <c r="IK1368" s="4"/>
      <c r="IL1368" s="4"/>
      <c r="IM1368" s="4"/>
      <c r="IN1368" s="4"/>
      <c r="IO1368" s="4"/>
    </row>
    <row r="1369" spans="1:249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  <c r="IE1369" s="4"/>
      <c r="IF1369" s="4"/>
      <c r="IG1369" s="4"/>
      <c r="IH1369" s="4"/>
      <c r="II1369" s="4"/>
      <c r="IJ1369" s="4"/>
      <c r="IK1369" s="4"/>
      <c r="IL1369" s="4"/>
      <c r="IM1369" s="4"/>
      <c r="IN1369" s="4"/>
      <c r="IO1369" s="4"/>
    </row>
    <row r="1370" spans="1:249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  <c r="IE1370" s="4"/>
      <c r="IF1370" s="4"/>
      <c r="IG1370" s="4"/>
      <c r="IH1370" s="4"/>
      <c r="II1370" s="4"/>
      <c r="IJ1370" s="4"/>
      <c r="IK1370" s="4"/>
      <c r="IL1370" s="4"/>
      <c r="IM1370" s="4"/>
      <c r="IN1370" s="4"/>
      <c r="IO1370" s="4"/>
    </row>
    <row r="1371" spans="1:249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  <c r="IE1371" s="4"/>
      <c r="IF1371" s="4"/>
      <c r="IG1371" s="4"/>
      <c r="IH1371" s="4"/>
      <c r="II1371" s="4"/>
      <c r="IJ1371" s="4"/>
      <c r="IK1371" s="4"/>
      <c r="IL1371" s="4"/>
      <c r="IM1371" s="4"/>
      <c r="IN1371" s="4"/>
      <c r="IO1371" s="4"/>
    </row>
    <row r="1372" spans="1:249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  <c r="IE1372" s="4"/>
      <c r="IF1372" s="4"/>
      <c r="IG1372" s="4"/>
      <c r="IH1372" s="4"/>
      <c r="II1372" s="4"/>
      <c r="IJ1372" s="4"/>
      <c r="IK1372" s="4"/>
      <c r="IL1372" s="4"/>
      <c r="IM1372" s="4"/>
      <c r="IN1372" s="4"/>
      <c r="IO1372" s="4"/>
    </row>
    <row r="1373" spans="1:249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  <c r="IE1373" s="4"/>
      <c r="IF1373" s="4"/>
      <c r="IG1373" s="4"/>
      <c r="IH1373" s="4"/>
      <c r="II1373" s="4"/>
      <c r="IJ1373" s="4"/>
      <c r="IK1373" s="4"/>
      <c r="IL1373" s="4"/>
      <c r="IM1373" s="4"/>
      <c r="IN1373" s="4"/>
      <c r="IO1373" s="4"/>
    </row>
    <row r="1374" spans="1:249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  <c r="IE1374" s="4"/>
      <c r="IF1374" s="4"/>
      <c r="IG1374" s="4"/>
      <c r="IH1374" s="4"/>
      <c r="II1374" s="4"/>
      <c r="IJ1374" s="4"/>
      <c r="IK1374" s="4"/>
      <c r="IL1374" s="4"/>
      <c r="IM1374" s="4"/>
      <c r="IN1374" s="4"/>
      <c r="IO1374" s="4"/>
    </row>
    <row r="1375" spans="1:249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  <c r="IE1375" s="4"/>
      <c r="IF1375" s="4"/>
      <c r="IG1375" s="4"/>
      <c r="IH1375" s="4"/>
      <c r="II1375" s="4"/>
      <c r="IJ1375" s="4"/>
      <c r="IK1375" s="4"/>
      <c r="IL1375" s="4"/>
      <c r="IM1375" s="4"/>
      <c r="IN1375" s="4"/>
      <c r="IO1375" s="4"/>
    </row>
    <row r="1376" spans="1:249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  <c r="IE1376" s="4"/>
      <c r="IF1376" s="4"/>
      <c r="IG1376" s="4"/>
      <c r="IH1376" s="4"/>
      <c r="II1376" s="4"/>
      <c r="IJ1376" s="4"/>
      <c r="IK1376" s="4"/>
      <c r="IL1376" s="4"/>
      <c r="IM1376" s="4"/>
      <c r="IN1376" s="4"/>
      <c r="IO1376" s="4"/>
    </row>
    <row r="1377" spans="1:249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  <c r="IE1377" s="4"/>
      <c r="IF1377" s="4"/>
      <c r="IG1377" s="4"/>
      <c r="IH1377" s="4"/>
      <c r="II1377" s="4"/>
      <c r="IJ1377" s="4"/>
      <c r="IK1377" s="4"/>
      <c r="IL1377" s="4"/>
      <c r="IM1377" s="4"/>
      <c r="IN1377" s="4"/>
      <c r="IO1377" s="4"/>
    </row>
    <row r="1378" spans="1:249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  <c r="IE1378" s="4"/>
      <c r="IF1378" s="4"/>
      <c r="IG1378" s="4"/>
      <c r="IH1378" s="4"/>
      <c r="II1378" s="4"/>
      <c r="IJ1378" s="4"/>
      <c r="IK1378" s="4"/>
      <c r="IL1378" s="4"/>
      <c r="IM1378" s="4"/>
      <c r="IN1378" s="4"/>
      <c r="IO1378" s="4"/>
    </row>
    <row r="1379" spans="1:249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  <c r="IE1379" s="4"/>
      <c r="IF1379" s="4"/>
      <c r="IG1379" s="4"/>
      <c r="IH1379" s="4"/>
      <c r="II1379" s="4"/>
      <c r="IJ1379" s="4"/>
      <c r="IK1379" s="4"/>
      <c r="IL1379" s="4"/>
      <c r="IM1379" s="4"/>
      <c r="IN1379" s="4"/>
      <c r="IO1379" s="4"/>
    </row>
    <row r="1380" spans="1:249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  <c r="IE1380" s="4"/>
      <c r="IF1380" s="4"/>
      <c r="IG1380" s="4"/>
      <c r="IH1380" s="4"/>
      <c r="II1380" s="4"/>
      <c r="IJ1380" s="4"/>
      <c r="IK1380" s="4"/>
      <c r="IL1380" s="4"/>
      <c r="IM1380" s="4"/>
      <c r="IN1380" s="4"/>
      <c r="IO1380" s="4"/>
    </row>
    <row r="1381" spans="1:249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  <c r="IE1381" s="4"/>
      <c r="IF1381" s="4"/>
      <c r="IG1381" s="4"/>
      <c r="IH1381" s="4"/>
      <c r="II1381" s="4"/>
      <c r="IJ1381" s="4"/>
      <c r="IK1381" s="4"/>
      <c r="IL1381" s="4"/>
      <c r="IM1381" s="4"/>
      <c r="IN1381" s="4"/>
      <c r="IO1381" s="4"/>
    </row>
    <row r="1382" spans="1:249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  <c r="IE1382" s="4"/>
      <c r="IF1382" s="4"/>
      <c r="IG1382" s="4"/>
      <c r="IH1382" s="4"/>
      <c r="II1382" s="4"/>
      <c r="IJ1382" s="4"/>
      <c r="IK1382" s="4"/>
      <c r="IL1382" s="4"/>
      <c r="IM1382" s="4"/>
      <c r="IN1382" s="4"/>
      <c r="IO1382" s="4"/>
    </row>
    <row r="1383" spans="1:249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  <c r="IE1383" s="4"/>
      <c r="IF1383" s="4"/>
      <c r="IG1383" s="4"/>
      <c r="IH1383" s="4"/>
      <c r="II1383" s="4"/>
      <c r="IJ1383" s="4"/>
      <c r="IK1383" s="4"/>
      <c r="IL1383" s="4"/>
      <c r="IM1383" s="4"/>
      <c r="IN1383" s="4"/>
      <c r="IO1383" s="4"/>
    </row>
    <row r="1384" spans="1:249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  <c r="IE1384" s="4"/>
      <c r="IF1384" s="4"/>
      <c r="IG1384" s="4"/>
      <c r="IH1384" s="4"/>
      <c r="II1384" s="4"/>
      <c r="IJ1384" s="4"/>
      <c r="IK1384" s="4"/>
      <c r="IL1384" s="4"/>
      <c r="IM1384" s="4"/>
      <c r="IN1384" s="4"/>
      <c r="IO1384" s="4"/>
    </row>
    <row r="1385" spans="1:249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  <c r="IE1385" s="4"/>
      <c r="IF1385" s="4"/>
      <c r="IG1385" s="4"/>
      <c r="IH1385" s="4"/>
      <c r="II1385" s="4"/>
      <c r="IJ1385" s="4"/>
      <c r="IK1385" s="4"/>
      <c r="IL1385" s="4"/>
      <c r="IM1385" s="4"/>
      <c r="IN1385" s="4"/>
      <c r="IO1385" s="4"/>
    </row>
    <row r="1386" spans="1:249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  <c r="IE1386" s="4"/>
      <c r="IF1386" s="4"/>
      <c r="IG1386" s="4"/>
      <c r="IH1386" s="4"/>
      <c r="II1386" s="4"/>
      <c r="IJ1386" s="4"/>
      <c r="IK1386" s="4"/>
      <c r="IL1386" s="4"/>
      <c r="IM1386" s="4"/>
      <c r="IN1386" s="4"/>
      <c r="IO1386" s="4"/>
    </row>
    <row r="1387" spans="1:249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  <c r="IE1387" s="4"/>
      <c r="IF1387" s="4"/>
      <c r="IG1387" s="4"/>
      <c r="IH1387" s="4"/>
      <c r="II1387" s="4"/>
      <c r="IJ1387" s="4"/>
      <c r="IK1387" s="4"/>
      <c r="IL1387" s="4"/>
      <c r="IM1387" s="4"/>
      <c r="IN1387" s="4"/>
      <c r="IO1387" s="4"/>
    </row>
    <row r="1388" spans="1:249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  <c r="IE1388" s="4"/>
      <c r="IF1388" s="4"/>
      <c r="IG1388" s="4"/>
      <c r="IH1388" s="4"/>
      <c r="II1388" s="4"/>
      <c r="IJ1388" s="4"/>
      <c r="IK1388" s="4"/>
      <c r="IL1388" s="4"/>
      <c r="IM1388" s="4"/>
      <c r="IN1388" s="4"/>
      <c r="IO1388" s="4"/>
    </row>
    <row r="1389" spans="1:249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  <c r="IE1389" s="4"/>
      <c r="IF1389" s="4"/>
      <c r="IG1389" s="4"/>
      <c r="IH1389" s="4"/>
      <c r="II1389" s="4"/>
      <c r="IJ1389" s="4"/>
      <c r="IK1389" s="4"/>
      <c r="IL1389" s="4"/>
      <c r="IM1389" s="4"/>
      <c r="IN1389" s="4"/>
      <c r="IO1389" s="4"/>
    </row>
    <row r="1390" spans="1:249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  <c r="IE1390" s="4"/>
      <c r="IF1390" s="4"/>
      <c r="IG1390" s="4"/>
      <c r="IH1390" s="4"/>
      <c r="II1390" s="4"/>
      <c r="IJ1390" s="4"/>
      <c r="IK1390" s="4"/>
      <c r="IL1390" s="4"/>
      <c r="IM1390" s="4"/>
      <c r="IN1390" s="4"/>
      <c r="IO1390" s="4"/>
    </row>
    <row r="1391" spans="1:249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  <c r="IE1391" s="4"/>
      <c r="IF1391" s="4"/>
      <c r="IG1391" s="4"/>
      <c r="IH1391" s="4"/>
      <c r="II1391" s="4"/>
      <c r="IJ1391" s="4"/>
      <c r="IK1391" s="4"/>
      <c r="IL1391" s="4"/>
      <c r="IM1391" s="4"/>
      <c r="IN1391" s="4"/>
      <c r="IO1391" s="4"/>
    </row>
    <row r="1392" spans="1:249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  <c r="IE1392" s="4"/>
      <c r="IF1392" s="4"/>
      <c r="IG1392" s="4"/>
      <c r="IH1392" s="4"/>
      <c r="II1392" s="4"/>
      <c r="IJ1392" s="4"/>
      <c r="IK1392" s="4"/>
      <c r="IL1392" s="4"/>
      <c r="IM1392" s="4"/>
      <c r="IN1392" s="4"/>
      <c r="IO1392" s="4"/>
    </row>
    <row r="1393" spans="1:249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  <c r="IE1393" s="4"/>
      <c r="IF1393" s="4"/>
      <c r="IG1393" s="4"/>
      <c r="IH1393" s="4"/>
      <c r="II1393" s="4"/>
      <c r="IJ1393" s="4"/>
      <c r="IK1393" s="4"/>
      <c r="IL1393" s="4"/>
      <c r="IM1393" s="4"/>
      <c r="IN1393" s="4"/>
      <c r="IO1393" s="4"/>
    </row>
    <row r="1394" spans="1:249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  <c r="IE1394" s="4"/>
      <c r="IF1394" s="4"/>
      <c r="IG1394" s="4"/>
      <c r="IH1394" s="4"/>
      <c r="II1394" s="4"/>
      <c r="IJ1394" s="4"/>
      <c r="IK1394" s="4"/>
      <c r="IL1394" s="4"/>
      <c r="IM1394" s="4"/>
      <c r="IN1394" s="4"/>
      <c r="IO1394" s="4"/>
    </row>
    <row r="1395" spans="1:249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  <c r="IE1395" s="4"/>
      <c r="IF1395" s="4"/>
      <c r="IG1395" s="4"/>
      <c r="IH1395" s="4"/>
      <c r="II1395" s="4"/>
      <c r="IJ1395" s="4"/>
      <c r="IK1395" s="4"/>
      <c r="IL1395" s="4"/>
      <c r="IM1395" s="4"/>
      <c r="IN1395" s="4"/>
      <c r="IO1395" s="4"/>
    </row>
    <row r="1396" spans="1:249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  <c r="IE1396" s="4"/>
      <c r="IF1396" s="4"/>
      <c r="IG1396" s="4"/>
      <c r="IH1396" s="4"/>
      <c r="II1396" s="4"/>
      <c r="IJ1396" s="4"/>
      <c r="IK1396" s="4"/>
      <c r="IL1396" s="4"/>
      <c r="IM1396" s="4"/>
      <c r="IN1396" s="4"/>
      <c r="IO1396" s="4"/>
    </row>
    <row r="1397" spans="1:249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  <c r="IE1397" s="4"/>
      <c r="IF1397" s="4"/>
      <c r="IG1397" s="4"/>
      <c r="IH1397" s="4"/>
      <c r="II1397" s="4"/>
      <c r="IJ1397" s="4"/>
      <c r="IK1397" s="4"/>
      <c r="IL1397" s="4"/>
      <c r="IM1397" s="4"/>
      <c r="IN1397" s="4"/>
      <c r="IO1397" s="4"/>
    </row>
    <row r="1398" spans="1:249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  <c r="IE1398" s="4"/>
      <c r="IF1398" s="4"/>
      <c r="IG1398" s="4"/>
      <c r="IH1398" s="4"/>
      <c r="II1398" s="4"/>
      <c r="IJ1398" s="4"/>
      <c r="IK1398" s="4"/>
      <c r="IL1398" s="4"/>
      <c r="IM1398" s="4"/>
      <c r="IN1398" s="4"/>
      <c r="IO1398" s="4"/>
    </row>
    <row r="1399" spans="1:249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  <c r="IE1399" s="4"/>
      <c r="IF1399" s="4"/>
      <c r="IG1399" s="4"/>
      <c r="IH1399" s="4"/>
      <c r="II1399" s="4"/>
      <c r="IJ1399" s="4"/>
      <c r="IK1399" s="4"/>
      <c r="IL1399" s="4"/>
      <c r="IM1399" s="4"/>
      <c r="IN1399" s="4"/>
      <c r="IO1399" s="4"/>
    </row>
    <row r="1400" spans="1:249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  <c r="IE1400" s="4"/>
      <c r="IF1400" s="4"/>
      <c r="IG1400" s="4"/>
      <c r="IH1400" s="4"/>
      <c r="II1400" s="4"/>
      <c r="IJ1400" s="4"/>
      <c r="IK1400" s="4"/>
      <c r="IL1400" s="4"/>
      <c r="IM1400" s="4"/>
      <c r="IN1400" s="4"/>
      <c r="IO1400" s="4"/>
    </row>
    <row r="1401" spans="1:249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  <c r="IE1401" s="4"/>
      <c r="IF1401" s="4"/>
      <c r="IG1401" s="4"/>
      <c r="IH1401" s="4"/>
      <c r="II1401" s="4"/>
      <c r="IJ1401" s="4"/>
      <c r="IK1401" s="4"/>
      <c r="IL1401" s="4"/>
      <c r="IM1401" s="4"/>
      <c r="IN1401" s="4"/>
      <c r="IO1401" s="4"/>
    </row>
    <row r="1402" spans="1:249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  <c r="IE1402" s="4"/>
      <c r="IF1402" s="4"/>
      <c r="IG1402" s="4"/>
      <c r="IH1402" s="4"/>
      <c r="II1402" s="4"/>
      <c r="IJ1402" s="4"/>
      <c r="IK1402" s="4"/>
      <c r="IL1402" s="4"/>
      <c r="IM1402" s="4"/>
      <c r="IN1402" s="4"/>
      <c r="IO1402" s="4"/>
    </row>
    <row r="1403" spans="1:249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  <c r="IE1403" s="4"/>
      <c r="IF1403" s="4"/>
      <c r="IG1403" s="4"/>
      <c r="IH1403" s="4"/>
      <c r="II1403" s="4"/>
      <c r="IJ1403" s="4"/>
      <c r="IK1403" s="4"/>
      <c r="IL1403" s="4"/>
      <c r="IM1403" s="4"/>
      <c r="IN1403" s="4"/>
      <c r="IO1403" s="4"/>
    </row>
    <row r="1404" spans="1:249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  <c r="IE1404" s="4"/>
      <c r="IF1404" s="4"/>
      <c r="IG1404" s="4"/>
      <c r="IH1404" s="4"/>
      <c r="II1404" s="4"/>
      <c r="IJ1404" s="4"/>
      <c r="IK1404" s="4"/>
      <c r="IL1404" s="4"/>
      <c r="IM1404" s="4"/>
      <c r="IN1404" s="4"/>
      <c r="IO1404" s="4"/>
    </row>
    <row r="1405" spans="1:249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  <c r="IE1405" s="4"/>
      <c r="IF1405" s="4"/>
      <c r="IG1405" s="4"/>
      <c r="IH1405" s="4"/>
      <c r="II1405" s="4"/>
      <c r="IJ1405" s="4"/>
      <c r="IK1405" s="4"/>
      <c r="IL1405" s="4"/>
      <c r="IM1405" s="4"/>
      <c r="IN1405" s="4"/>
      <c r="IO1405" s="4"/>
    </row>
    <row r="1406" spans="1:249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  <c r="IE1406" s="4"/>
      <c r="IF1406" s="4"/>
      <c r="IG1406" s="4"/>
      <c r="IH1406" s="4"/>
      <c r="II1406" s="4"/>
      <c r="IJ1406" s="4"/>
      <c r="IK1406" s="4"/>
      <c r="IL1406" s="4"/>
      <c r="IM1406" s="4"/>
      <c r="IN1406" s="4"/>
      <c r="IO1406" s="4"/>
    </row>
    <row r="1407" spans="1:249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  <c r="IE1407" s="4"/>
      <c r="IF1407" s="4"/>
      <c r="IG1407" s="4"/>
      <c r="IH1407" s="4"/>
      <c r="II1407" s="4"/>
      <c r="IJ1407" s="4"/>
      <c r="IK1407" s="4"/>
      <c r="IL1407" s="4"/>
      <c r="IM1407" s="4"/>
      <c r="IN1407" s="4"/>
      <c r="IO1407" s="4"/>
    </row>
    <row r="1408" spans="1:249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  <c r="IE1408" s="4"/>
      <c r="IF1408" s="4"/>
      <c r="IG1408" s="4"/>
      <c r="IH1408" s="4"/>
      <c r="II1408" s="4"/>
      <c r="IJ1408" s="4"/>
      <c r="IK1408" s="4"/>
      <c r="IL1408" s="4"/>
      <c r="IM1408" s="4"/>
      <c r="IN1408" s="4"/>
      <c r="IO1408" s="4"/>
    </row>
    <row r="1409" spans="1:249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  <c r="IE1409" s="4"/>
      <c r="IF1409" s="4"/>
      <c r="IG1409" s="4"/>
      <c r="IH1409" s="4"/>
      <c r="II1409" s="4"/>
      <c r="IJ1409" s="4"/>
      <c r="IK1409" s="4"/>
      <c r="IL1409" s="4"/>
      <c r="IM1409" s="4"/>
      <c r="IN1409" s="4"/>
      <c r="IO1409" s="4"/>
    </row>
    <row r="1410" spans="1:249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  <c r="IE1410" s="4"/>
      <c r="IF1410" s="4"/>
      <c r="IG1410" s="4"/>
      <c r="IH1410" s="4"/>
      <c r="II1410" s="4"/>
      <c r="IJ1410" s="4"/>
      <c r="IK1410" s="4"/>
      <c r="IL1410" s="4"/>
      <c r="IM1410" s="4"/>
      <c r="IN1410" s="4"/>
      <c r="IO1410" s="4"/>
    </row>
    <row r="1411" spans="1:249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  <c r="IE1411" s="4"/>
      <c r="IF1411" s="4"/>
      <c r="IG1411" s="4"/>
      <c r="IH1411" s="4"/>
      <c r="II1411" s="4"/>
      <c r="IJ1411" s="4"/>
      <c r="IK1411" s="4"/>
      <c r="IL1411" s="4"/>
      <c r="IM1411" s="4"/>
      <c r="IN1411" s="4"/>
      <c r="IO1411" s="4"/>
    </row>
    <row r="1412" spans="1:249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  <c r="IE1412" s="4"/>
      <c r="IF1412" s="4"/>
      <c r="IG1412" s="4"/>
      <c r="IH1412" s="4"/>
      <c r="II1412" s="4"/>
      <c r="IJ1412" s="4"/>
      <c r="IK1412" s="4"/>
      <c r="IL1412" s="4"/>
      <c r="IM1412" s="4"/>
      <c r="IN1412" s="4"/>
      <c r="IO1412" s="4"/>
    </row>
    <row r="1413" spans="1:249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  <c r="IE1413" s="4"/>
      <c r="IF1413" s="4"/>
      <c r="IG1413" s="4"/>
      <c r="IH1413" s="4"/>
      <c r="II1413" s="4"/>
      <c r="IJ1413" s="4"/>
      <c r="IK1413" s="4"/>
      <c r="IL1413" s="4"/>
      <c r="IM1413" s="4"/>
      <c r="IN1413" s="4"/>
      <c r="IO1413" s="4"/>
    </row>
    <row r="1414" spans="1:249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  <c r="IE1414" s="4"/>
      <c r="IF1414" s="4"/>
      <c r="IG1414" s="4"/>
      <c r="IH1414" s="4"/>
      <c r="II1414" s="4"/>
      <c r="IJ1414" s="4"/>
      <c r="IK1414" s="4"/>
      <c r="IL1414" s="4"/>
      <c r="IM1414" s="4"/>
      <c r="IN1414" s="4"/>
      <c r="IO1414" s="4"/>
    </row>
    <row r="1415" spans="1:249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  <c r="IE1415" s="4"/>
      <c r="IF1415" s="4"/>
      <c r="IG1415" s="4"/>
      <c r="IH1415" s="4"/>
      <c r="II1415" s="4"/>
      <c r="IJ1415" s="4"/>
      <c r="IK1415" s="4"/>
      <c r="IL1415" s="4"/>
      <c r="IM1415" s="4"/>
      <c r="IN1415" s="4"/>
      <c r="IO1415" s="4"/>
    </row>
    <row r="1416" spans="1:249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  <c r="IE1416" s="4"/>
      <c r="IF1416" s="4"/>
      <c r="IG1416" s="4"/>
      <c r="IH1416" s="4"/>
      <c r="II1416" s="4"/>
      <c r="IJ1416" s="4"/>
      <c r="IK1416" s="4"/>
      <c r="IL1416" s="4"/>
      <c r="IM1416" s="4"/>
      <c r="IN1416" s="4"/>
      <c r="IO1416" s="4"/>
    </row>
    <row r="1417" spans="1:249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  <c r="IE1417" s="4"/>
      <c r="IF1417" s="4"/>
      <c r="IG1417" s="4"/>
      <c r="IH1417" s="4"/>
      <c r="II1417" s="4"/>
      <c r="IJ1417" s="4"/>
      <c r="IK1417" s="4"/>
      <c r="IL1417" s="4"/>
      <c r="IM1417" s="4"/>
      <c r="IN1417" s="4"/>
      <c r="IO1417" s="4"/>
    </row>
    <row r="1418" spans="1:249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  <c r="IE1418" s="4"/>
      <c r="IF1418" s="4"/>
      <c r="IG1418" s="4"/>
      <c r="IH1418" s="4"/>
      <c r="II1418" s="4"/>
      <c r="IJ1418" s="4"/>
      <c r="IK1418" s="4"/>
      <c r="IL1418" s="4"/>
      <c r="IM1418" s="4"/>
      <c r="IN1418" s="4"/>
      <c r="IO1418" s="4"/>
    </row>
    <row r="1419" spans="1:249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  <c r="IE1419" s="4"/>
      <c r="IF1419" s="4"/>
      <c r="IG1419" s="4"/>
      <c r="IH1419" s="4"/>
      <c r="II1419" s="4"/>
      <c r="IJ1419" s="4"/>
      <c r="IK1419" s="4"/>
      <c r="IL1419" s="4"/>
      <c r="IM1419" s="4"/>
      <c r="IN1419" s="4"/>
      <c r="IO1419" s="4"/>
    </row>
    <row r="1420" spans="1:249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  <c r="IE1420" s="4"/>
      <c r="IF1420" s="4"/>
      <c r="IG1420" s="4"/>
      <c r="IH1420" s="4"/>
      <c r="II1420" s="4"/>
      <c r="IJ1420" s="4"/>
      <c r="IK1420" s="4"/>
      <c r="IL1420" s="4"/>
      <c r="IM1420" s="4"/>
      <c r="IN1420" s="4"/>
      <c r="IO1420" s="4"/>
    </row>
    <row r="1421" spans="1:249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  <c r="IE1421" s="4"/>
      <c r="IF1421" s="4"/>
      <c r="IG1421" s="4"/>
      <c r="IH1421" s="4"/>
      <c r="II1421" s="4"/>
      <c r="IJ1421" s="4"/>
      <c r="IK1421" s="4"/>
      <c r="IL1421" s="4"/>
      <c r="IM1421" s="4"/>
      <c r="IN1421" s="4"/>
      <c r="IO1421" s="4"/>
    </row>
    <row r="1422" spans="1:249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  <c r="IE1422" s="4"/>
      <c r="IF1422" s="4"/>
      <c r="IG1422" s="4"/>
      <c r="IH1422" s="4"/>
      <c r="II1422" s="4"/>
      <c r="IJ1422" s="4"/>
      <c r="IK1422" s="4"/>
      <c r="IL1422" s="4"/>
      <c r="IM1422" s="4"/>
      <c r="IN1422" s="4"/>
      <c r="IO1422" s="4"/>
    </row>
    <row r="1423" spans="1:249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  <c r="IE1423" s="4"/>
      <c r="IF1423" s="4"/>
      <c r="IG1423" s="4"/>
      <c r="IH1423" s="4"/>
      <c r="II1423" s="4"/>
      <c r="IJ1423" s="4"/>
      <c r="IK1423" s="4"/>
      <c r="IL1423" s="4"/>
      <c r="IM1423" s="4"/>
      <c r="IN1423" s="4"/>
      <c r="IO1423" s="4"/>
    </row>
    <row r="1424" spans="1:249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  <c r="IE1424" s="4"/>
      <c r="IF1424" s="4"/>
      <c r="IG1424" s="4"/>
      <c r="IH1424" s="4"/>
      <c r="II1424" s="4"/>
      <c r="IJ1424" s="4"/>
      <c r="IK1424" s="4"/>
      <c r="IL1424" s="4"/>
      <c r="IM1424" s="4"/>
      <c r="IN1424" s="4"/>
      <c r="IO1424" s="4"/>
    </row>
    <row r="1425" spans="1:249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  <c r="IE1425" s="4"/>
      <c r="IF1425" s="4"/>
      <c r="IG1425" s="4"/>
      <c r="IH1425" s="4"/>
      <c r="II1425" s="4"/>
      <c r="IJ1425" s="4"/>
      <c r="IK1425" s="4"/>
      <c r="IL1425" s="4"/>
      <c r="IM1425" s="4"/>
      <c r="IN1425" s="4"/>
      <c r="IO1425" s="4"/>
    </row>
    <row r="1426" spans="1:249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  <c r="IE1426" s="4"/>
      <c r="IF1426" s="4"/>
      <c r="IG1426" s="4"/>
      <c r="IH1426" s="4"/>
      <c r="II1426" s="4"/>
      <c r="IJ1426" s="4"/>
      <c r="IK1426" s="4"/>
      <c r="IL1426" s="4"/>
      <c r="IM1426" s="4"/>
      <c r="IN1426" s="4"/>
      <c r="IO1426" s="4"/>
    </row>
    <row r="1427" spans="1:249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  <c r="IE1427" s="4"/>
      <c r="IF1427" s="4"/>
      <c r="IG1427" s="4"/>
      <c r="IH1427" s="4"/>
      <c r="II1427" s="4"/>
      <c r="IJ1427" s="4"/>
      <c r="IK1427" s="4"/>
      <c r="IL1427" s="4"/>
      <c r="IM1427" s="4"/>
      <c r="IN1427" s="4"/>
      <c r="IO1427" s="4"/>
    </row>
    <row r="1428" spans="1:249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  <c r="IE1428" s="4"/>
      <c r="IF1428" s="4"/>
      <c r="IG1428" s="4"/>
      <c r="IH1428" s="4"/>
      <c r="II1428" s="4"/>
      <c r="IJ1428" s="4"/>
      <c r="IK1428" s="4"/>
      <c r="IL1428" s="4"/>
      <c r="IM1428" s="4"/>
      <c r="IN1428" s="4"/>
      <c r="IO1428" s="4"/>
    </row>
    <row r="1429" spans="1:249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  <c r="IE1429" s="4"/>
      <c r="IF1429" s="4"/>
      <c r="IG1429" s="4"/>
      <c r="IH1429" s="4"/>
      <c r="II1429" s="4"/>
      <c r="IJ1429" s="4"/>
      <c r="IK1429" s="4"/>
      <c r="IL1429" s="4"/>
      <c r="IM1429" s="4"/>
      <c r="IN1429" s="4"/>
      <c r="IO1429" s="4"/>
    </row>
    <row r="1430" spans="1:249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  <c r="IE1430" s="4"/>
      <c r="IF1430" s="4"/>
      <c r="IG1430" s="4"/>
      <c r="IH1430" s="4"/>
      <c r="II1430" s="4"/>
      <c r="IJ1430" s="4"/>
      <c r="IK1430" s="4"/>
      <c r="IL1430" s="4"/>
      <c r="IM1430" s="4"/>
      <c r="IN1430" s="4"/>
      <c r="IO1430" s="4"/>
    </row>
    <row r="1431" spans="1:249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  <c r="IE1431" s="4"/>
      <c r="IF1431" s="4"/>
      <c r="IG1431" s="4"/>
      <c r="IH1431" s="4"/>
      <c r="II1431" s="4"/>
      <c r="IJ1431" s="4"/>
      <c r="IK1431" s="4"/>
      <c r="IL1431" s="4"/>
      <c r="IM1431" s="4"/>
      <c r="IN1431" s="4"/>
      <c r="IO1431" s="4"/>
    </row>
    <row r="1432" spans="1:249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  <c r="IE1432" s="4"/>
      <c r="IF1432" s="4"/>
      <c r="IG1432" s="4"/>
      <c r="IH1432" s="4"/>
      <c r="II1432" s="4"/>
      <c r="IJ1432" s="4"/>
      <c r="IK1432" s="4"/>
      <c r="IL1432" s="4"/>
      <c r="IM1432" s="4"/>
      <c r="IN1432" s="4"/>
      <c r="IO1432" s="4"/>
    </row>
    <row r="1433" spans="1:249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  <c r="IE1433" s="4"/>
      <c r="IF1433" s="4"/>
      <c r="IG1433" s="4"/>
      <c r="IH1433" s="4"/>
      <c r="II1433" s="4"/>
      <c r="IJ1433" s="4"/>
      <c r="IK1433" s="4"/>
      <c r="IL1433" s="4"/>
      <c r="IM1433" s="4"/>
      <c r="IN1433" s="4"/>
      <c r="IO1433" s="4"/>
    </row>
    <row r="1434" spans="1:249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  <c r="IE1434" s="4"/>
      <c r="IF1434" s="4"/>
      <c r="IG1434" s="4"/>
      <c r="IH1434" s="4"/>
      <c r="II1434" s="4"/>
      <c r="IJ1434" s="4"/>
      <c r="IK1434" s="4"/>
      <c r="IL1434" s="4"/>
      <c r="IM1434" s="4"/>
      <c r="IN1434" s="4"/>
      <c r="IO1434" s="4"/>
    </row>
    <row r="1435" spans="1:249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  <c r="IE1435" s="4"/>
      <c r="IF1435" s="4"/>
      <c r="IG1435" s="4"/>
      <c r="IH1435" s="4"/>
      <c r="II1435" s="4"/>
      <c r="IJ1435" s="4"/>
      <c r="IK1435" s="4"/>
      <c r="IL1435" s="4"/>
      <c r="IM1435" s="4"/>
      <c r="IN1435" s="4"/>
      <c r="IO1435" s="4"/>
    </row>
    <row r="1436" spans="1:249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  <c r="IE1436" s="4"/>
      <c r="IF1436" s="4"/>
      <c r="IG1436" s="4"/>
      <c r="IH1436" s="4"/>
      <c r="II1436" s="4"/>
      <c r="IJ1436" s="4"/>
      <c r="IK1436" s="4"/>
      <c r="IL1436" s="4"/>
      <c r="IM1436" s="4"/>
      <c r="IN1436" s="4"/>
      <c r="IO1436" s="4"/>
    </row>
    <row r="1437" spans="1:249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  <c r="IE1437" s="4"/>
      <c r="IF1437" s="4"/>
      <c r="IG1437" s="4"/>
      <c r="IH1437" s="4"/>
      <c r="II1437" s="4"/>
      <c r="IJ1437" s="4"/>
      <c r="IK1437" s="4"/>
      <c r="IL1437" s="4"/>
      <c r="IM1437" s="4"/>
      <c r="IN1437" s="4"/>
      <c r="IO1437" s="4"/>
    </row>
    <row r="1438" spans="1:249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  <c r="IE1438" s="4"/>
      <c r="IF1438" s="4"/>
      <c r="IG1438" s="4"/>
      <c r="IH1438" s="4"/>
      <c r="II1438" s="4"/>
      <c r="IJ1438" s="4"/>
      <c r="IK1438" s="4"/>
      <c r="IL1438" s="4"/>
      <c r="IM1438" s="4"/>
      <c r="IN1438" s="4"/>
      <c r="IO1438" s="4"/>
    </row>
    <row r="1439" spans="1:249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  <c r="IE1439" s="4"/>
      <c r="IF1439" s="4"/>
      <c r="IG1439" s="4"/>
      <c r="IH1439" s="4"/>
      <c r="II1439" s="4"/>
      <c r="IJ1439" s="4"/>
      <c r="IK1439" s="4"/>
      <c r="IL1439" s="4"/>
      <c r="IM1439" s="4"/>
      <c r="IN1439" s="4"/>
      <c r="IO1439" s="4"/>
    </row>
    <row r="1440" spans="1:249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  <c r="IE1440" s="4"/>
      <c r="IF1440" s="4"/>
      <c r="IG1440" s="4"/>
      <c r="IH1440" s="4"/>
      <c r="II1440" s="4"/>
      <c r="IJ1440" s="4"/>
      <c r="IK1440" s="4"/>
      <c r="IL1440" s="4"/>
      <c r="IM1440" s="4"/>
      <c r="IN1440" s="4"/>
      <c r="IO1440" s="4"/>
    </row>
    <row r="1441" spans="1:249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  <c r="IE1441" s="4"/>
      <c r="IF1441" s="4"/>
      <c r="IG1441" s="4"/>
      <c r="IH1441" s="4"/>
      <c r="II1441" s="4"/>
      <c r="IJ1441" s="4"/>
      <c r="IK1441" s="4"/>
      <c r="IL1441" s="4"/>
      <c r="IM1441" s="4"/>
      <c r="IN1441" s="4"/>
      <c r="IO1441" s="4"/>
    </row>
    <row r="1442" spans="1:249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  <c r="IE1442" s="4"/>
      <c r="IF1442" s="4"/>
      <c r="IG1442" s="4"/>
      <c r="IH1442" s="4"/>
      <c r="II1442" s="4"/>
      <c r="IJ1442" s="4"/>
      <c r="IK1442" s="4"/>
      <c r="IL1442" s="4"/>
      <c r="IM1442" s="4"/>
      <c r="IN1442" s="4"/>
      <c r="IO1442" s="4"/>
    </row>
    <row r="1443" spans="1:249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  <c r="IE1443" s="4"/>
      <c r="IF1443" s="4"/>
      <c r="IG1443" s="4"/>
      <c r="IH1443" s="4"/>
      <c r="II1443" s="4"/>
      <c r="IJ1443" s="4"/>
      <c r="IK1443" s="4"/>
      <c r="IL1443" s="4"/>
      <c r="IM1443" s="4"/>
      <c r="IN1443" s="4"/>
      <c r="IO1443" s="4"/>
    </row>
    <row r="1444" spans="1:249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  <c r="IE1444" s="4"/>
      <c r="IF1444" s="4"/>
      <c r="IG1444" s="4"/>
      <c r="IH1444" s="4"/>
      <c r="II1444" s="4"/>
      <c r="IJ1444" s="4"/>
      <c r="IK1444" s="4"/>
      <c r="IL1444" s="4"/>
      <c r="IM1444" s="4"/>
      <c r="IN1444" s="4"/>
      <c r="IO1444" s="4"/>
    </row>
    <row r="1445" spans="1:249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  <c r="IE1445" s="4"/>
      <c r="IF1445" s="4"/>
      <c r="IG1445" s="4"/>
      <c r="IH1445" s="4"/>
      <c r="II1445" s="4"/>
      <c r="IJ1445" s="4"/>
      <c r="IK1445" s="4"/>
      <c r="IL1445" s="4"/>
      <c r="IM1445" s="4"/>
      <c r="IN1445" s="4"/>
      <c r="IO1445" s="4"/>
    </row>
    <row r="1446" spans="1:249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  <c r="IE1446" s="4"/>
      <c r="IF1446" s="4"/>
      <c r="IG1446" s="4"/>
      <c r="IH1446" s="4"/>
      <c r="II1446" s="4"/>
      <c r="IJ1446" s="4"/>
      <c r="IK1446" s="4"/>
      <c r="IL1446" s="4"/>
      <c r="IM1446" s="4"/>
      <c r="IN1446" s="4"/>
      <c r="IO1446" s="4"/>
    </row>
    <row r="1447" spans="1:249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  <c r="IE1447" s="4"/>
      <c r="IF1447" s="4"/>
      <c r="IG1447" s="4"/>
      <c r="IH1447" s="4"/>
      <c r="II1447" s="4"/>
      <c r="IJ1447" s="4"/>
      <c r="IK1447" s="4"/>
      <c r="IL1447" s="4"/>
      <c r="IM1447" s="4"/>
      <c r="IN1447" s="4"/>
      <c r="IO1447" s="4"/>
    </row>
    <row r="1448" spans="1:249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  <c r="IE1448" s="4"/>
      <c r="IF1448" s="4"/>
      <c r="IG1448" s="4"/>
      <c r="IH1448" s="4"/>
      <c r="II1448" s="4"/>
      <c r="IJ1448" s="4"/>
      <c r="IK1448" s="4"/>
      <c r="IL1448" s="4"/>
      <c r="IM1448" s="4"/>
      <c r="IN1448" s="4"/>
      <c r="IO1448" s="4"/>
    </row>
    <row r="1449" spans="1:249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  <c r="IE1449" s="4"/>
      <c r="IF1449" s="4"/>
      <c r="IG1449" s="4"/>
      <c r="IH1449" s="4"/>
      <c r="II1449" s="4"/>
      <c r="IJ1449" s="4"/>
      <c r="IK1449" s="4"/>
      <c r="IL1449" s="4"/>
      <c r="IM1449" s="4"/>
      <c r="IN1449" s="4"/>
      <c r="IO1449" s="4"/>
    </row>
    <row r="1450" spans="1:249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  <c r="IE1450" s="4"/>
      <c r="IF1450" s="4"/>
      <c r="IG1450" s="4"/>
      <c r="IH1450" s="4"/>
      <c r="II1450" s="4"/>
      <c r="IJ1450" s="4"/>
      <c r="IK1450" s="4"/>
      <c r="IL1450" s="4"/>
      <c r="IM1450" s="4"/>
      <c r="IN1450" s="4"/>
      <c r="IO1450" s="4"/>
    </row>
    <row r="1451" spans="1:249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  <c r="IE1451" s="4"/>
      <c r="IF1451" s="4"/>
      <c r="IG1451" s="4"/>
      <c r="IH1451" s="4"/>
      <c r="II1451" s="4"/>
      <c r="IJ1451" s="4"/>
      <c r="IK1451" s="4"/>
      <c r="IL1451" s="4"/>
      <c r="IM1451" s="4"/>
      <c r="IN1451" s="4"/>
      <c r="IO1451" s="4"/>
    </row>
    <row r="1452" spans="1:249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  <c r="IE1452" s="4"/>
      <c r="IF1452" s="4"/>
      <c r="IG1452" s="4"/>
      <c r="IH1452" s="4"/>
      <c r="II1452" s="4"/>
      <c r="IJ1452" s="4"/>
      <c r="IK1452" s="4"/>
      <c r="IL1452" s="4"/>
      <c r="IM1452" s="4"/>
      <c r="IN1452" s="4"/>
      <c r="IO1452" s="4"/>
    </row>
    <row r="1453" spans="1:249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  <c r="IE1453" s="4"/>
      <c r="IF1453" s="4"/>
      <c r="IG1453" s="4"/>
      <c r="IH1453" s="4"/>
      <c r="II1453" s="4"/>
      <c r="IJ1453" s="4"/>
      <c r="IK1453" s="4"/>
      <c r="IL1453" s="4"/>
      <c r="IM1453" s="4"/>
      <c r="IN1453" s="4"/>
      <c r="IO1453" s="4"/>
    </row>
    <row r="1454" spans="1:249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  <c r="IG1454" s="4"/>
      <c r="IH1454" s="4"/>
      <c r="II1454" s="4"/>
      <c r="IJ1454" s="4"/>
      <c r="IK1454" s="4"/>
      <c r="IL1454" s="4"/>
      <c r="IM1454" s="4"/>
      <c r="IN1454" s="4"/>
      <c r="IO1454" s="4"/>
    </row>
    <row r="1455" spans="1:249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  <c r="IG1455" s="4"/>
      <c r="IH1455" s="4"/>
      <c r="II1455" s="4"/>
      <c r="IJ1455" s="4"/>
      <c r="IK1455" s="4"/>
      <c r="IL1455" s="4"/>
      <c r="IM1455" s="4"/>
      <c r="IN1455" s="4"/>
      <c r="IO1455" s="4"/>
    </row>
    <row r="1456" spans="1:249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  <c r="IG1456" s="4"/>
      <c r="IH1456" s="4"/>
      <c r="II1456" s="4"/>
      <c r="IJ1456" s="4"/>
      <c r="IK1456" s="4"/>
      <c r="IL1456" s="4"/>
      <c r="IM1456" s="4"/>
      <c r="IN1456" s="4"/>
      <c r="IO1456" s="4"/>
    </row>
    <row r="1457" spans="1:249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  <c r="IG1457" s="4"/>
      <c r="IH1457" s="4"/>
      <c r="II1457" s="4"/>
      <c r="IJ1457" s="4"/>
      <c r="IK1457" s="4"/>
      <c r="IL1457" s="4"/>
      <c r="IM1457" s="4"/>
      <c r="IN1457" s="4"/>
      <c r="IO1457" s="4"/>
    </row>
    <row r="1458" spans="1:249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  <c r="IE1458" s="4"/>
      <c r="IF1458" s="4"/>
      <c r="IG1458" s="4"/>
      <c r="IH1458" s="4"/>
      <c r="II1458" s="4"/>
      <c r="IJ1458" s="4"/>
      <c r="IK1458" s="4"/>
      <c r="IL1458" s="4"/>
      <c r="IM1458" s="4"/>
      <c r="IN1458" s="4"/>
      <c r="IO1458" s="4"/>
    </row>
    <row r="1459" spans="1:249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  <c r="IE1459" s="4"/>
      <c r="IF1459" s="4"/>
      <c r="IG1459" s="4"/>
      <c r="IH1459" s="4"/>
      <c r="II1459" s="4"/>
      <c r="IJ1459" s="4"/>
      <c r="IK1459" s="4"/>
      <c r="IL1459" s="4"/>
      <c r="IM1459" s="4"/>
      <c r="IN1459" s="4"/>
      <c r="IO1459" s="4"/>
    </row>
    <row r="1460" spans="1:249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  <c r="IE1460" s="4"/>
      <c r="IF1460" s="4"/>
      <c r="IG1460" s="4"/>
      <c r="IH1460" s="4"/>
      <c r="II1460" s="4"/>
      <c r="IJ1460" s="4"/>
      <c r="IK1460" s="4"/>
      <c r="IL1460" s="4"/>
      <c r="IM1460" s="4"/>
      <c r="IN1460" s="4"/>
      <c r="IO1460" s="4"/>
    </row>
    <row r="1461" spans="1:249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  <c r="IE1461" s="4"/>
      <c r="IF1461" s="4"/>
      <c r="IG1461" s="4"/>
      <c r="IH1461" s="4"/>
      <c r="II1461" s="4"/>
      <c r="IJ1461" s="4"/>
      <c r="IK1461" s="4"/>
      <c r="IL1461" s="4"/>
      <c r="IM1461" s="4"/>
      <c r="IN1461" s="4"/>
      <c r="IO1461" s="4"/>
    </row>
    <row r="1462" spans="1:249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  <c r="IE1462" s="4"/>
      <c r="IF1462" s="4"/>
      <c r="IG1462" s="4"/>
      <c r="IH1462" s="4"/>
      <c r="II1462" s="4"/>
      <c r="IJ1462" s="4"/>
      <c r="IK1462" s="4"/>
      <c r="IL1462" s="4"/>
      <c r="IM1462" s="4"/>
      <c r="IN1462" s="4"/>
      <c r="IO1462" s="4"/>
    </row>
    <row r="1463" spans="1:249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  <c r="IE1463" s="4"/>
      <c r="IF1463" s="4"/>
      <c r="IG1463" s="4"/>
      <c r="IH1463" s="4"/>
      <c r="II1463" s="4"/>
      <c r="IJ1463" s="4"/>
      <c r="IK1463" s="4"/>
      <c r="IL1463" s="4"/>
      <c r="IM1463" s="4"/>
      <c r="IN1463" s="4"/>
      <c r="IO1463" s="4"/>
    </row>
    <row r="1464" spans="1:249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  <c r="IE1464" s="4"/>
      <c r="IF1464" s="4"/>
      <c r="IG1464" s="4"/>
      <c r="IH1464" s="4"/>
      <c r="II1464" s="4"/>
      <c r="IJ1464" s="4"/>
      <c r="IK1464" s="4"/>
      <c r="IL1464" s="4"/>
      <c r="IM1464" s="4"/>
      <c r="IN1464" s="4"/>
      <c r="IO1464" s="4"/>
    </row>
    <row r="1465" spans="1:249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  <c r="IE1465" s="4"/>
      <c r="IF1465" s="4"/>
      <c r="IG1465" s="4"/>
      <c r="IH1465" s="4"/>
      <c r="II1465" s="4"/>
      <c r="IJ1465" s="4"/>
      <c r="IK1465" s="4"/>
      <c r="IL1465" s="4"/>
      <c r="IM1465" s="4"/>
      <c r="IN1465" s="4"/>
      <c r="IO1465" s="4"/>
    </row>
    <row r="1466" spans="1:249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  <c r="IE1466" s="4"/>
      <c r="IF1466" s="4"/>
      <c r="IG1466" s="4"/>
      <c r="IH1466" s="4"/>
      <c r="II1466" s="4"/>
      <c r="IJ1466" s="4"/>
      <c r="IK1466" s="4"/>
      <c r="IL1466" s="4"/>
      <c r="IM1466" s="4"/>
      <c r="IN1466" s="4"/>
      <c r="IO1466" s="4"/>
    </row>
    <row r="1467" spans="1:249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  <c r="IE1467" s="4"/>
      <c r="IF1467" s="4"/>
      <c r="IG1467" s="4"/>
      <c r="IH1467" s="4"/>
      <c r="II1467" s="4"/>
      <c r="IJ1467" s="4"/>
      <c r="IK1467" s="4"/>
      <c r="IL1467" s="4"/>
      <c r="IM1467" s="4"/>
      <c r="IN1467" s="4"/>
      <c r="IO1467" s="4"/>
    </row>
    <row r="1468" spans="1:249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  <c r="IE1468" s="4"/>
      <c r="IF1468" s="4"/>
      <c r="IG1468" s="4"/>
      <c r="IH1468" s="4"/>
      <c r="II1468" s="4"/>
      <c r="IJ1468" s="4"/>
      <c r="IK1468" s="4"/>
      <c r="IL1468" s="4"/>
      <c r="IM1468" s="4"/>
      <c r="IN1468" s="4"/>
      <c r="IO1468" s="4"/>
    </row>
    <row r="1469" spans="1:249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  <c r="IE1469" s="4"/>
      <c r="IF1469" s="4"/>
      <c r="IG1469" s="4"/>
      <c r="IH1469" s="4"/>
      <c r="II1469" s="4"/>
      <c r="IJ1469" s="4"/>
      <c r="IK1469" s="4"/>
      <c r="IL1469" s="4"/>
      <c r="IM1469" s="4"/>
      <c r="IN1469" s="4"/>
      <c r="IO1469" s="4"/>
    </row>
    <row r="1470" spans="1:249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  <c r="IE1470" s="4"/>
      <c r="IF1470" s="4"/>
      <c r="IG1470" s="4"/>
      <c r="IH1470" s="4"/>
      <c r="II1470" s="4"/>
      <c r="IJ1470" s="4"/>
      <c r="IK1470" s="4"/>
      <c r="IL1470" s="4"/>
      <c r="IM1470" s="4"/>
      <c r="IN1470" s="4"/>
      <c r="IO1470" s="4"/>
    </row>
    <row r="1471" spans="1:249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  <c r="IE1471" s="4"/>
      <c r="IF1471" s="4"/>
      <c r="IG1471" s="4"/>
      <c r="IH1471" s="4"/>
      <c r="II1471" s="4"/>
      <c r="IJ1471" s="4"/>
      <c r="IK1471" s="4"/>
      <c r="IL1471" s="4"/>
      <c r="IM1471" s="4"/>
      <c r="IN1471" s="4"/>
      <c r="IO1471" s="4"/>
    </row>
    <row r="1472" spans="1:249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  <c r="IE1472" s="4"/>
      <c r="IF1472" s="4"/>
      <c r="IG1472" s="4"/>
      <c r="IH1472" s="4"/>
      <c r="II1472" s="4"/>
      <c r="IJ1472" s="4"/>
      <c r="IK1472" s="4"/>
      <c r="IL1472" s="4"/>
      <c r="IM1472" s="4"/>
      <c r="IN1472" s="4"/>
      <c r="IO1472" s="4"/>
    </row>
    <row r="1473" spans="1:249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  <c r="IE1473" s="4"/>
      <c r="IF1473" s="4"/>
      <c r="IG1473" s="4"/>
      <c r="IH1473" s="4"/>
      <c r="II1473" s="4"/>
      <c r="IJ1473" s="4"/>
      <c r="IK1473" s="4"/>
      <c r="IL1473" s="4"/>
      <c r="IM1473" s="4"/>
      <c r="IN1473" s="4"/>
      <c r="IO1473" s="4"/>
    </row>
    <row r="1474" spans="1:249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  <c r="IE1474" s="4"/>
      <c r="IF1474" s="4"/>
      <c r="IG1474" s="4"/>
      <c r="IH1474" s="4"/>
      <c r="II1474" s="4"/>
      <c r="IJ1474" s="4"/>
      <c r="IK1474" s="4"/>
      <c r="IL1474" s="4"/>
      <c r="IM1474" s="4"/>
      <c r="IN1474" s="4"/>
      <c r="IO1474" s="4"/>
    </row>
    <row r="1475" spans="1:249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  <c r="IE1475" s="4"/>
      <c r="IF1475" s="4"/>
      <c r="IG1475" s="4"/>
      <c r="IH1475" s="4"/>
      <c r="II1475" s="4"/>
      <c r="IJ1475" s="4"/>
      <c r="IK1475" s="4"/>
      <c r="IL1475" s="4"/>
      <c r="IM1475" s="4"/>
      <c r="IN1475" s="4"/>
      <c r="IO1475" s="4"/>
    </row>
    <row r="1476" spans="1:249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  <c r="IE1476" s="4"/>
      <c r="IF1476" s="4"/>
      <c r="IG1476" s="4"/>
      <c r="IH1476" s="4"/>
      <c r="II1476" s="4"/>
      <c r="IJ1476" s="4"/>
      <c r="IK1476" s="4"/>
      <c r="IL1476" s="4"/>
      <c r="IM1476" s="4"/>
      <c r="IN1476" s="4"/>
      <c r="IO1476" s="4"/>
    </row>
  </sheetData>
  <mergeCells count="3">
    <mergeCell ref="A1:J1"/>
    <mergeCell ref="A3:J3"/>
    <mergeCell ref="A5:J5"/>
  </mergeCells>
  <printOptions gridLines="1" gridLinesSet="0"/>
  <pageMargins left="0.9" right="0.7" top="0.7" bottom="0.5" header="0" footer="0.25"/>
  <pageSetup scale="94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9"/>
  <sheetViews>
    <sheetView topLeftCell="A13" zoomScaleNormal="100" workbookViewId="0">
      <selection activeCell="J36" sqref="J36"/>
    </sheetView>
  </sheetViews>
  <sheetFormatPr defaultColWidth="8" defaultRowHeight="15.75"/>
  <cols>
    <col min="1" max="1" width="25.21875" style="128" customWidth="1"/>
    <col min="2" max="2" width="8.33203125" style="128" customWidth="1"/>
    <col min="3" max="3" width="2" style="129" customWidth="1"/>
    <col min="4" max="4" width="7.77734375" style="130" customWidth="1"/>
    <col min="5" max="5" width="2" style="131" customWidth="1"/>
    <col min="6" max="6" width="7.77734375" style="128" customWidth="1"/>
    <col min="7" max="7" width="2" style="129" customWidth="1"/>
    <col min="8" max="8" width="8.33203125" style="128" customWidth="1"/>
    <col min="9" max="9" width="2" style="129" customWidth="1"/>
    <col min="10" max="10" width="7.77734375" style="128" customWidth="1"/>
    <col min="11" max="11" width="2" style="129" customWidth="1"/>
    <col min="12" max="12" width="8.33203125" style="128" customWidth="1"/>
    <col min="13" max="13" width="2" style="129" customWidth="1"/>
    <col min="14" max="14" width="8.33203125" style="128" customWidth="1"/>
    <col min="15" max="15" width="2" style="128" customWidth="1"/>
    <col min="16" max="16" width="8.33203125" style="128" customWidth="1"/>
    <col min="17" max="17" width="2" style="129" customWidth="1"/>
    <col min="18" max="18" width="8" style="126"/>
    <col min="19" max="19" width="2" style="126" customWidth="1"/>
    <col min="20" max="20" width="8" style="126"/>
    <col min="21" max="21" width="2" style="126" customWidth="1"/>
    <col min="22" max="22" width="8" style="126"/>
    <col min="23" max="23" width="2" style="126" customWidth="1"/>
    <col min="24" max="24" width="8" style="126"/>
    <col min="25" max="25" width="2" style="126" customWidth="1"/>
    <col min="26" max="16384" width="8" style="126"/>
  </cols>
  <sheetData>
    <row r="1" spans="1:26">
      <c r="A1" s="936" t="str">
        <f>+'Schedule 1 Results of Operation'!B1</f>
        <v>WASTE CONTROL, INC.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6"/>
      <c r="V1" s="936"/>
      <c r="W1" s="936"/>
      <c r="X1" s="936"/>
    </row>
    <row r="2" spans="1:26" ht="13.5" customHeight="1">
      <c r="A2" s="127"/>
      <c r="S2" s="132"/>
      <c r="T2" s="133"/>
    </row>
    <row r="3" spans="1:26">
      <c r="A3" s="936" t="s">
        <v>206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  <c r="V3" s="936"/>
      <c r="W3" s="936"/>
      <c r="X3" s="936"/>
    </row>
    <row r="4" spans="1:26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134"/>
      <c r="S4" s="132"/>
      <c r="T4" s="133"/>
    </row>
    <row r="5" spans="1:26">
      <c r="A5" s="936" t="str">
        <f>+'Schedule 1 Results of Operation'!B5</f>
        <v>For the Twelve Months Ended June 30, 2013 Historical and  May 31, 2015 Forecasted</v>
      </c>
      <c r="B5" s="936"/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</row>
    <row r="6" spans="1:26">
      <c r="A6" s="936" t="str">
        <f>+'Schedule 1 Results of Operation'!B6</f>
        <v>(See Independent Accountants’ Compilation Report)</v>
      </c>
      <c r="B6" s="936"/>
      <c r="C6" s="936"/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6"/>
      <c r="O6" s="936"/>
      <c r="P6" s="936"/>
      <c r="Q6" s="936"/>
      <c r="R6" s="936"/>
      <c r="S6" s="936"/>
      <c r="T6" s="936"/>
      <c r="U6" s="936"/>
      <c r="V6" s="936"/>
      <c r="W6" s="936"/>
      <c r="X6" s="936"/>
    </row>
    <row r="7" spans="1:26">
      <c r="A7" s="812"/>
      <c r="B7" s="812"/>
      <c r="C7" s="134"/>
      <c r="D7" s="812"/>
      <c r="E7" s="134"/>
      <c r="F7" s="812"/>
      <c r="G7" s="134"/>
      <c r="H7" s="812"/>
      <c r="I7" s="134"/>
      <c r="J7" s="812"/>
      <c r="K7" s="134"/>
      <c r="L7" s="812"/>
      <c r="M7" s="134"/>
      <c r="N7" s="812"/>
      <c r="O7" s="812"/>
      <c r="P7" s="812"/>
      <c r="Q7" s="134"/>
      <c r="R7" s="135"/>
      <c r="S7" s="136"/>
      <c r="T7" s="135"/>
      <c r="U7" s="136"/>
      <c r="V7" s="137"/>
      <c r="W7" s="136"/>
      <c r="X7" s="137"/>
    </row>
    <row r="8" spans="1:26" ht="12.95" customHeight="1">
      <c r="A8" s="138"/>
      <c r="B8" s="139" t="s">
        <v>190</v>
      </c>
      <c r="C8" s="140"/>
      <c r="D8" s="139" t="s">
        <v>109</v>
      </c>
      <c r="E8" s="140"/>
      <c r="F8" s="139" t="s">
        <v>132</v>
      </c>
      <c r="G8" s="140"/>
      <c r="H8" s="139" t="s">
        <v>185</v>
      </c>
      <c r="I8" s="140"/>
      <c r="J8" s="139" t="s">
        <v>169</v>
      </c>
      <c r="K8" s="140"/>
      <c r="L8" s="139" t="s">
        <v>139</v>
      </c>
      <c r="M8" s="140"/>
      <c r="N8" s="139" t="s">
        <v>114</v>
      </c>
      <c r="O8" s="139"/>
      <c r="P8" s="141"/>
      <c r="Q8" s="142"/>
      <c r="R8" s="143" t="s">
        <v>73</v>
      </c>
      <c r="S8" s="144"/>
      <c r="T8" s="143" t="s">
        <v>125</v>
      </c>
      <c r="U8" s="144"/>
      <c r="V8" s="145" t="s">
        <v>141</v>
      </c>
      <c r="W8" s="144"/>
      <c r="X8" s="145" t="s">
        <v>207</v>
      </c>
    </row>
    <row r="9" spans="1:26" ht="12.95" customHeight="1">
      <c r="A9" s="138"/>
      <c r="B9" s="139" t="s">
        <v>208</v>
      </c>
      <c r="C9" s="140"/>
      <c r="D9" s="146"/>
      <c r="E9" s="147"/>
      <c r="F9" s="139" t="s">
        <v>94</v>
      </c>
      <c r="G9" s="140"/>
      <c r="H9" s="139" t="s">
        <v>209</v>
      </c>
      <c r="I9" s="140"/>
      <c r="J9" s="139" t="s">
        <v>94</v>
      </c>
      <c r="K9" s="142"/>
      <c r="L9" s="139" t="s">
        <v>209</v>
      </c>
      <c r="M9" s="140"/>
      <c r="N9" s="139" t="s">
        <v>209</v>
      </c>
      <c r="O9" s="139"/>
      <c r="P9" s="139" t="s">
        <v>719</v>
      </c>
      <c r="Q9" s="140"/>
      <c r="R9" s="148" t="s">
        <v>211</v>
      </c>
      <c r="S9" s="149"/>
      <c r="T9" s="150"/>
      <c r="U9" s="151"/>
      <c r="V9" s="148" t="s">
        <v>94</v>
      </c>
      <c r="W9" s="149"/>
      <c r="X9" s="148" t="s">
        <v>719</v>
      </c>
      <c r="Z9" s="148" t="s">
        <v>210</v>
      </c>
    </row>
    <row r="10" spans="1:26" ht="12.95" customHeight="1">
      <c r="A10" s="138"/>
      <c r="B10" s="139" t="s">
        <v>212</v>
      </c>
      <c r="C10" s="140"/>
      <c r="D10" s="152" t="s">
        <v>213</v>
      </c>
      <c r="E10" s="153"/>
      <c r="F10" s="139" t="s">
        <v>85</v>
      </c>
      <c r="G10" s="140"/>
      <c r="H10" s="139" t="s">
        <v>184</v>
      </c>
      <c r="I10" s="140"/>
      <c r="J10" s="139" t="s">
        <v>214</v>
      </c>
      <c r="K10" s="140"/>
      <c r="L10" s="139" t="s">
        <v>215</v>
      </c>
      <c r="M10" s="140"/>
      <c r="N10" s="139" t="s">
        <v>216</v>
      </c>
      <c r="O10" s="139"/>
      <c r="P10" s="139" t="s">
        <v>95</v>
      </c>
      <c r="Q10" s="140"/>
      <c r="R10" s="148" t="s">
        <v>92</v>
      </c>
      <c r="S10" s="149"/>
      <c r="T10" s="148" t="s">
        <v>94</v>
      </c>
      <c r="U10" s="149"/>
      <c r="V10" s="148" t="s">
        <v>217</v>
      </c>
      <c r="W10" s="149"/>
      <c r="X10" s="148" t="s">
        <v>94</v>
      </c>
      <c r="Z10" s="148" t="s">
        <v>96</v>
      </c>
    </row>
    <row r="11" spans="1:26" ht="12.95" customHeight="1">
      <c r="A11" s="138"/>
      <c r="B11" s="154" t="s">
        <v>108</v>
      </c>
      <c r="C11" s="140"/>
      <c r="D11" s="155" t="s">
        <v>119</v>
      </c>
      <c r="E11" s="153"/>
      <c r="F11" s="154" t="s">
        <v>218</v>
      </c>
      <c r="G11" s="140"/>
      <c r="H11" s="154" t="s">
        <v>219</v>
      </c>
      <c r="I11" s="140"/>
      <c r="J11" s="154" t="s">
        <v>220</v>
      </c>
      <c r="K11" s="140"/>
      <c r="L11" s="154" t="s">
        <v>34</v>
      </c>
      <c r="M11" s="140"/>
      <c r="N11" s="154" t="s">
        <v>221</v>
      </c>
      <c r="O11" s="154"/>
      <c r="P11" s="154" t="s">
        <v>222</v>
      </c>
      <c r="Q11" s="140"/>
      <c r="R11" s="156" t="s">
        <v>93</v>
      </c>
      <c r="S11" s="157"/>
      <c r="T11" s="156" t="s">
        <v>223</v>
      </c>
      <c r="U11" s="149"/>
      <c r="V11" s="156" t="s">
        <v>224</v>
      </c>
      <c r="W11" s="149"/>
      <c r="X11" s="156" t="s">
        <v>222</v>
      </c>
      <c r="Z11" s="156" t="s">
        <v>222</v>
      </c>
    </row>
    <row r="12" spans="1:26" ht="15" customHeight="1">
      <c r="A12" s="158" t="str">
        <f>+'Schedule 1 Results of Operation'!B11</f>
        <v>REVENUES</v>
      </c>
      <c r="B12" s="138"/>
      <c r="C12" s="159"/>
      <c r="D12" s="160"/>
      <c r="E12" s="161"/>
      <c r="F12" s="138"/>
      <c r="G12" s="159"/>
      <c r="H12" s="138"/>
      <c r="I12" s="159"/>
      <c r="J12" s="138"/>
      <c r="K12" s="159"/>
      <c r="L12" s="138"/>
      <c r="M12" s="159"/>
      <c r="N12" s="138"/>
      <c r="O12" s="138"/>
      <c r="P12" s="138"/>
      <c r="Q12" s="159"/>
      <c r="R12" s="138"/>
      <c r="S12" s="159"/>
      <c r="T12" s="138"/>
      <c r="U12" s="159"/>
      <c r="V12" s="138"/>
      <c r="W12" s="159"/>
      <c r="X12" s="138"/>
    </row>
    <row r="13" spans="1:26" ht="15" customHeight="1">
      <c r="A13" s="162" t="s">
        <v>107</v>
      </c>
      <c r="B13" s="163">
        <v>0</v>
      </c>
      <c r="C13" s="164"/>
      <c r="D13" s="163">
        <f>'Schedule 1 Results of Operation'!I12</f>
        <v>-5618.63</v>
      </c>
      <c r="E13" s="164"/>
      <c r="F13" s="163">
        <v>0</v>
      </c>
      <c r="G13" s="164"/>
      <c r="H13" s="163">
        <v>0</v>
      </c>
      <c r="I13" s="164"/>
      <c r="J13" s="163">
        <v>0</v>
      </c>
      <c r="K13" s="164"/>
      <c r="L13" s="163">
        <v>0</v>
      </c>
      <c r="M13" s="164"/>
      <c r="N13" s="163">
        <v>0</v>
      </c>
      <c r="O13" s="165"/>
      <c r="P13" s="163">
        <f>SUM(B13:O13)</f>
        <v>-5618.63</v>
      </c>
      <c r="Q13" s="166"/>
      <c r="R13" s="163">
        <f>+'Schedule 1 Results of Operation'!D12</f>
        <v>0</v>
      </c>
      <c r="S13" s="166"/>
      <c r="T13" s="165">
        <v>0</v>
      </c>
      <c r="U13" s="166"/>
      <c r="V13" s="163">
        <v>0</v>
      </c>
      <c r="W13" s="166"/>
      <c r="X13" s="163">
        <f t="shared" ref="X13:X20" si="0">SUM(R13:V13)</f>
        <v>0</v>
      </c>
      <c r="Z13" s="163">
        <f>P13+X13</f>
        <v>-5618.63</v>
      </c>
    </row>
    <row r="14" spans="1:26" ht="15" customHeight="1">
      <c r="A14" s="162" t="s">
        <v>110</v>
      </c>
      <c r="B14" s="165">
        <v>0</v>
      </c>
      <c r="C14" s="164"/>
      <c r="D14" s="167">
        <f>'Schedule 1 Results of Operation'!I13</f>
        <v>-1137.4100000000001</v>
      </c>
      <c r="E14" s="164"/>
      <c r="F14" s="165">
        <v>0</v>
      </c>
      <c r="G14" s="164"/>
      <c r="H14" s="165">
        <v>0</v>
      </c>
      <c r="I14" s="164"/>
      <c r="J14" s="165">
        <v>0</v>
      </c>
      <c r="K14" s="164"/>
      <c r="L14" s="165">
        <v>0</v>
      </c>
      <c r="M14" s="164"/>
      <c r="N14" s="165">
        <v>0</v>
      </c>
      <c r="O14" s="165"/>
      <c r="P14" s="167">
        <f t="shared" ref="P14:P20" si="1">SUM(B14:O14)</f>
        <v>-1137.4100000000001</v>
      </c>
      <c r="Q14" s="164"/>
      <c r="R14" s="165">
        <f>+'Schedule 1 Results of Operation'!D13</f>
        <v>0</v>
      </c>
      <c r="S14" s="164"/>
      <c r="T14" s="165">
        <v>0</v>
      </c>
      <c r="U14" s="164"/>
      <c r="V14" s="165">
        <v>0</v>
      </c>
      <c r="W14" s="164"/>
      <c r="X14" s="165">
        <f t="shared" si="0"/>
        <v>0</v>
      </c>
      <c r="Z14" s="165">
        <f t="shared" ref="Z14:Z77" si="2">P14+X14</f>
        <v>-1137.4100000000001</v>
      </c>
    </row>
    <row r="15" spans="1:26" ht="15" customHeight="1">
      <c r="A15" s="162" t="s">
        <v>111</v>
      </c>
      <c r="B15" s="165">
        <v>0</v>
      </c>
      <c r="C15" s="164"/>
      <c r="D15" s="167">
        <f>'Schedule 1 Results of Operation'!I14</f>
        <v>-2986.7</v>
      </c>
      <c r="E15" s="164"/>
      <c r="F15" s="165">
        <v>0</v>
      </c>
      <c r="G15" s="164"/>
      <c r="H15" s="165">
        <v>0</v>
      </c>
      <c r="I15" s="164"/>
      <c r="J15" s="165">
        <v>0</v>
      </c>
      <c r="K15" s="164"/>
      <c r="L15" s="165">
        <v>0</v>
      </c>
      <c r="M15" s="164"/>
      <c r="N15" s="165">
        <v>0</v>
      </c>
      <c r="O15" s="165"/>
      <c r="P15" s="167">
        <f t="shared" si="1"/>
        <v>-2986.7</v>
      </c>
      <c r="Q15" s="164"/>
      <c r="R15" s="165">
        <f>+'Schedule 1 Results of Operation'!D14</f>
        <v>154084.71</v>
      </c>
      <c r="S15" s="164"/>
      <c r="T15" s="165">
        <v>0</v>
      </c>
      <c r="U15" s="164"/>
      <c r="V15" s="165">
        <f>-'[8]Sch 4 - 12months'!Q40*'[8]WP-8 - Cust Counts (x per wk)'!B137</f>
        <v>0</v>
      </c>
      <c r="W15" s="164"/>
      <c r="X15" s="165">
        <f t="shared" si="0"/>
        <v>154084.71</v>
      </c>
      <c r="Z15" s="165">
        <f t="shared" si="2"/>
        <v>151098.00999999998</v>
      </c>
    </row>
    <row r="16" spans="1:26" ht="15" customHeight="1">
      <c r="A16" s="162" t="s">
        <v>112</v>
      </c>
      <c r="B16" s="168">
        <v>0</v>
      </c>
      <c r="C16" s="164"/>
      <c r="D16" s="167"/>
      <c r="E16" s="164"/>
      <c r="F16" s="168">
        <v>0</v>
      </c>
      <c r="G16" s="164"/>
      <c r="H16" s="168">
        <v>0</v>
      </c>
      <c r="I16" s="164"/>
      <c r="J16" s="168">
        <v>0</v>
      </c>
      <c r="K16" s="164"/>
      <c r="L16" s="168">
        <v>0</v>
      </c>
      <c r="M16" s="164"/>
      <c r="N16" s="168">
        <f>'Schedule 1 Results of Operation'!I15</f>
        <v>-41446.961539503391</v>
      </c>
      <c r="O16" s="165"/>
      <c r="P16" s="167">
        <f t="shared" si="1"/>
        <v>-41446.961539503391</v>
      </c>
      <c r="Q16" s="164"/>
      <c r="R16" s="165">
        <f>+'Schedule 1 Results of Operation'!D15</f>
        <v>4122.8884604966152</v>
      </c>
      <c r="S16" s="164"/>
      <c r="T16" s="165">
        <v>0</v>
      </c>
      <c r="U16" s="164"/>
      <c r="V16" s="165">
        <v>0</v>
      </c>
      <c r="W16" s="164"/>
      <c r="X16" s="165">
        <f t="shared" si="0"/>
        <v>4122.8884604966152</v>
      </c>
      <c r="Z16" s="165">
        <f t="shared" si="2"/>
        <v>-37324.073079006776</v>
      </c>
    </row>
    <row r="17" spans="1:26" ht="15" customHeight="1">
      <c r="A17" s="162" t="s">
        <v>115</v>
      </c>
      <c r="B17" s="168">
        <v>0</v>
      </c>
      <c r="C17" s="164"/>
      <c r="D17" s="167">
        <f>'Schedule 1 Results of Operation'!I16</f>
        <v>0</v>
      </c>
      <c r="E17" s="164"/>
      <c r="F17" s="168">
        <v>0</v>
      </c>
      <c r="G17" s="164"/>
      <c r="H17" s="168">
        <v>0</v>
      </c>
      <c r="I17" s="164"/>
      <c r="J17" s="168">
        <v>0</v>
      </c>
      <c r="K17" s="164"/>
      <c r="L17" s="168">
        <v>0</v>
      </c>
      <c r="M17" s="164"/>
      <c r="N17" s="168">
        <v>0</v>
      </c>
      <c r="O17" s="165"/>
      <c r="P17" s="167">
        <f t="shared" si="1"/>
        <v>0</v>
      </c>
      <c r="Q17" s="164"/>
      <c r="R17" s="165">
        <f>+'Schedule 1 Results of Operation'!D16</f>
        <v>0</v>
      </c>
      <c r="S17" s="164"/>
      <c r="T17" s="165">
        <v>0</v>
      </c>
      <c r="U17" s="164"/>
      <c r="V17" s="165">
        <v>0</v>
      </c>
      <c r="W17" s="164"/>
      <c r="X17" s="165">
        <f t="shared" si="0"/>
        <v>0</v>
      </c>
      <c r="Z17" s="165">
        <f t="shared" si="2"/>
        <v>0</v>
      </c>
    </row>
    <row r="18" spans="1:26" ht="15" customHeight="1">
      <c r="A18" s="162" t="s">
        <v>116</v>
      </c>
      <c r="B18" s="165">
        <v>0</v>
      </c>
      <c r="C18" s="164"/>
      <c r="D18" s="167">
        <f>'Schedule 1 Results of Operation'!I17</f>
        <v>0</v>
      </c>
      <c r="E18" s="164"/>
      <c r="F18" s="165">
        <v>0</v>
      </c>
      <c r="G18" s="164"/>
      <c r="H18" s="165">
        <v>0</v>
      </c>
      <c r="I18" s="164"/>
      <c r="J18" s="165">
        <v>0</v>
      </c>
      <c r="K18" s="164"/>
      <c r="L18" s="165">
        <v>0</v>
      </c>
      <c r="M18" s="164"/>
      <c r="N18" s="165">
        <v>0</v>
      </c>
      <c r="O18" s="168"/>
      <c r="P18" s="167">
        <f t="shared" si="1"/>
        <v>0</v>
      </c>
      <c r="Q18" s="164"/>
      <c r="R18" s="165">
        <f>+'Schedule 1 Results of Operation'!D17</f>
        <v>0</v>
      </c>
      <c r="S18" s="169"/>
      <c r="T18" s="165">
        <v>0</v>
      </c>
      <c r="U18" s="164"/>
      <c r="V18" s="168">
        <f>-V15</f>
        <v>0</v>
      </c>
      <c r="W18" s="169"/>
      <c r="X18" s="165">
        <f t="shared" si="0"/>
        <v>0</v>
      </c>
      <c r="Z18" s="165">
        <f t="shared" si="2"/>
        <v>0</v>
      </c>
    </row>
    <row r="19" spans="1:26" ht="15" customHeight="1">
      <c r="A19" s="162" t="s">
        <v>118</v>
      </c>
      <c r="B19" s="165">
        <v>0</v>
      </c>
      <c r="C19" s="164"/>
      <c r="D19" s="167">
        <f>'Schedule 1 Results of Operation'!I18</f>
        <v>0</v>
      </c>
      <c r="E19" s="164"/>
      <c r="F19" s="165">
        <v>0</v>
      </c>
      <c r="G19" s="164"/>
      <c r="H19" s="165">
        <v>0</v>
      </c>
      <c r="I19" s="164"/>
      <c r="J19" s="165">
        <v>0</v>
      </c>
      <c r="K19" s="164"/>
      <c r="L19" s="165">
        <v>0</v>
      </c>
      <c r="M19" s="164"/>
      <c r="N19" s="165">
        <v>0</v>
      </c>
      <c r="O19" s="168"/>
      <c r="P19" s="167">
        <f t="shared" si="1"/>
        <v>0</v>
      </c>
      <c r="Q19" s="164"/>
      <c r="R19" s="165">
        <f>+'Schedule 1 Results of Operation'!D18</f>
        <v>222136.40999999997</v>
      </c>
      <c r="S19" s="169"/>
      <c r="T19" s="165">
        <v>0</v>
      </c>
      <c r="U19" s="164"/>
      <c r="V19" s="168">
        <v>0</v>
      </c>
      <c r="W19" s="169"/>
      <c r="X19" s="165">
        <f t="shared" si="0"/>
        <v>222136.40999999997</v>
      </c>
      <c r="Z19" s="165">
        <f t="shared" si="2"/>
        <v>222136.40999999997</v>
      </c>
    </row>
    <row r="20" spans="1:26" ht="15" customHeight="1">
      <c r="A20" s="162" t="s">
        <v>119</v>
      </c>
      <c r="B20" s="170">
        <v>0</v>
      </c>
      <c r="C20" s="164"/>
      <c r="D20" s="167">
        <f>'Schedule 1 Results of Operation'!I19</f>
        <v>9742.74</v>
      </c>
      <c r="E20" s="164"/>
      <c r="F20" s="170">
        <v>0</v>
      </c>
      <c r="G20" s="164"/>
      <c r="H20" s="170">
        <v>0</v>
      </c>
      <c r="I20" s="164"/>
      <c r="J20" s="170">
        <v>0</v>
      </c>
      <c r="K20" s="164"/>
      <c r="L20" s="170">
        <v>0</v>
      </c>
      <c r="M20" s="164"/>
      <c r="N20" s="170">
        <v>0</v>
      </c>
      <c r="O20" s="164"/>
      <c r="P20" s="167">
        <f t="shared" si="1"/>
        <v>9742.74</v>
      </c>
      <c r="Q20" s="164"/>
      <c r="R20" s="165">
        <f>+'Schedule 1 Results of Operation'!D19</f>
        <v>0</v>
      </c>
      <c r="S20" s="169"/>
      <c r="T20" s="165">
        <v>0</v>
      </c>
      <c r="U20" s="164"/>
      <c r="V20" s="170">
        <v>0</v>
      </c>
      <c r="W20" s="164"/>
      <c r="X20" s="171">
        <f t="shared" si="0"/>
        <v>0</v>
      </c>
      <c r="Z20" s="171">
        <f t="shared" si="2"/>
        <v>9742.74</v>
      </c>
    </row>
    <row r="21" spans="1:26" ht="15" customHeight="1">
      <c r="A21" s="138"/>
      <c r="B21" s="170">
        <f>SUM(B13:B20)</f>
        <v>0</v>
      </c>
      <c r="C21" s="164"/>
      <c r="D21" s="172">
        <f>SUM(D13:D20)</f>
        <v>0</v>
      </c>
      <c r="E21" s="164"/>
      <c r="F21" s="170">
        <f>SUM(F13:F20)</f>
        <v>0</v>
      </c>
      <c r="G21" s="164"/>
      <c r="H21" s="170">
        <f>SUM(H13:H20)</f>
        <v>0</v>
      </c>
      <c r="I21" s="164"/>
      <c r="J21" s="170">
        <f>SUM(J13:J20)</f>
        <v>0</v>
      </c>
      <c r="K21" s="164"/>
      <c r="L21" s="170">
        <f>SUM(L13:L20)</f>
        <v>0</v>
      </c>
      <c r="M21" s="164"/>
      <c r="N21" s="170">
        <f>SUM(N13:N20)</f>
        <v>-41446.961539503391</v>
      </c>
      <c r="O21" s="164"/>
      <c r="P21" s="172">
        <f>SUM(P13:P20)</f>
        <v>-41446.961539503391</v>
      </c>
      <c r="Q21" s="164"/>
      <c r="R21" s="173">
        <f>SUM(R13:R20)</f>
        <v>380344.00846049655</v>
      </c>
      <c r="S21" s="164"/>
      <c r="T21" s="173">
        <f>SUM(T13:T20)</f>
        <v>0</v>
      </c>
      <c r="U21" s="164"/>
      <c r="V21" s="170">
        <f>SUM(V13:V20)</f>
        <v>0</v>
      </c>
      <c r="W21" s="164"/>
      <c r="X21" s="170">
        <f>SUM(X13:X20)</f>
        <v>380344.00846049655</v>
      </c>
      <c r="Z21" s="170">
        <f t="shared" si="2"/>
        <v>338897.04692099313</v>
      </c>
    </row>
    <row r="22" spans="1:26" ht="15" customHeight="1">
      <c r="A22" s="138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5"/>
      <c r="S22" s="164"/>
      <c r="T22" s="164"/>
      <c r="U22" s="164"/>
      <c r="V22" s="164"/>
      <c r="W22" s="164"/>
      <c r="X22" s="164"/>
      <c r="Z22" s="164"/>
    </row>
    <row r="23" spans="1:26" ht="15" customHeight="1">
      <c r="A23" s="174" t="str">
        <f>+'Schedule 1 Results of Operation'!B23</f>
        <v>OPERATING EXPENSES</v>
      </c>
      <c r="B23" s="165"/>
      <c r="C23" s="164"/>
      <c r="D23" s="165"/>
      <c r="E23" s="164"/>
      <c r="F23" s="165"/>
      <c r="G23" s="164"/>
      <c r="H23" s="165"/>
      <c r="I23" s="164"/>
      <c r="J23" s="165"/>
      <c r="K23" s="164"/>
      <c r="L23" s="165"/>
      <c r="M23" s="164"/>
      <c r="N23" s="165"/>
      <c r="O23" s="165"/>
      <c r="P23" s="165"/>
      <c r="Q23" s="164"/>
      <c r="R23" s="165"/>
      <c r="S23" s="164"/>
      <c r="T23" s="165"/>
      <c r="U23" s="164"/>
      <c r="V23" s="165"/>
      <c r="W23" s="164"/>
      <c r="X23" s="165"/>
      <c r="Z23" s="165"/>
    </row>
    <row r="24" spans="1:26" ht="15" customHeight="1">
      <c r="A24" s="162" t="s">
        <v>123</v>
      </c>
      <c r="B24" s="165">
        <v>0</v>
      </c>
      <c r="C24" s="164"/>
      <c r="D24" s="165">
        <v>0</v>
      </c>
      <c r="E24" s="164"/>
      <c r="F24" s="165">
        <v>0</v>
      </c>
      <c r="G24" s="164"/>
      <c r="H24" s="165">
        <v>0</v>
      </c>
      <c r="I24" s="164"/>
      <c r="J24" s="165">
        <v>0</v>
      </c>
      <c r="K24" s="164"/>
      <c r="L24" s="165">
        <v>0</v>
      </c>
      <c r="M24" s="164"/>
      <c r="N24" s="165">
        <v>0</v>
      </c>
      <c r="O24" s="165"/>
      <c r="P24" s="165">
        <f t="shared" ref="P24:P87" si="3">SUM(B24:O24)</f>
        <v>0</v>
      </c>
      <c r="Q24" s="164"/>
      <c r="R24" s="165">
        <f>'Schedule 1 Results of Operation'!D24</f>
        <v>30920.036763489188</v>
      </c>
      <c r="S24" s="164"/>
      <c r="T24" s="165">
        <f>'Schedule 1 Results of Operation'!H24</f>
        <v>-100385.92333812951</v>
      </c>
      <c r="U24" s="164"/>
      <c r="V24" s="165">
        <v>0</v>
      </c>
      <c r="W24" s="164"/>
      <c r="X24" s="165">
        <f t="shared" ref="X24:X87" si="4">SUM(R24:V24)</f>
        <v>-69465.886574640317</v>
      </c>
      <c r="Z24" s="165">
        <f t="shared" si="2"/>
        <v>-69465.886574640317</v>
      </c>
    </row>
    <row r="25" spans="1:26" ht="15" customHeight="1">
      <c r="A25" s="162" t="s">
        <v>127</v>
      </c>
      <c r="B25" s="165">
        <v>0</v>
      </c>
      <c r="C25" s="164"/>
      <c r="D25" s="165">
        <v>0</v>
      </c>
      <c r="E25" s="164"/>
      <c r="F25" s="165">
        <v>0</v>
      </c>
      <c r="G25" s="164"/>
      <c r="H25" s="165">
        <v>0</v>
      </c>
      <c r="I25" s="164"/>
      <c r="J25" s="165">
        <v>0</v>
      </c>
      <c r="K25" s="164"/>
      <c r="L25" s="165">
        <v>0</v>
      </c>
      <c r="M25" s="164"/>
      <c r="N25" s="165">
        <v>0</v>
      </c>
      <c r="O25" s="165"/>
      <c r="P25" s="165">
        <f t="shared" si="3"/>
        <v>0</v>
      </c>
      <c r="Q25" s="164"/>
      <c r="R25" s="165">
        <f>'Schedule 1 Results of Operation'!D25</f>
        <v>0</v>
      </c>
      <c r="S25" s="164"/>
      <c r="T25" s="165">
        <f>'Schedule 1 Results of Operation'!H25</f>
        <v>98309.51</v>
      </c>
      <c r="U25" s="164"/>
      <c r="V25" s="165">
        <v>0</v>
      </c>
      <c r="W25" s="164"/>
      <c r="X25" s="165">
        <f t="shared" si="4"/>
        <v>98309.51</v>
      </c>
      <c r="Z25" s="165">
        <f t="shared" si="2"/>
        <v>98309.51</v>
      </c>
    </row>
    <row r="26" spans="1:26" ht="15" customHeight="1">
      <c r="A26" s="162" t="s">
        <v>128</v>
      </c>
      <c r="B26" s="165">
        <v>0</v>
      </c>
      <c r="C26" s="164"/>
      <c r="D26" s="165">
        <v>0</v>
      </c>
      <c r="E26" s="164"/>
      <c r="F26" s="165">
        <v>0</v>
      </c>
      <c r="G26" s="164"/>
      <c r="H26" s="165">
        <v>0</v>
      </c>
      <c r="I26" s="164"/>
      <c r="J26" s="165">
        <v>0</v>
      </c>
      <c r="K26" s="164"/>
      <c r="L26" s="165">
        <v>0</v>
      </c>
      <c r="M26" s="164"/>
      <c r="N26" s="165">
        <v>0</v>
      </c>
      <c r="O26" s="165"/>
      <c r="P26" s="165">
        <f t="shared" si="3"/>
        <v>0</v>
      </c>
      <c r="Q26" s="164"/>
      <c r="R26" s="165">
        <f>'Schedule 1 Results of Operation'!D26</f>
        <v>20377.281168165471</v>
      </c>
      <c r="S26" s="164"/>
      <c r="T26" s="165">
        <f>'Schedule 1 Results of Operation'!H26</f>
        <v>19281.911009892094</v>
      </c>
      <c r="U26" s="164"/>
      <c r="V26" s="165">
        <v>0</v>
      </c>
      <c r="W26" s="164"/>
      <c r="X26" s="165">
        <f t="shared" si="4"/>
        <v>39659.192178057565</v>
      </c>
      <c r="Z26" s="165">
        <f t="shared" si="2"/>
        <v>39659.192178057565</v>
      </c>
    </row>
    <row r="27" spans="1:26" ht="15" customHeight="1">
      <c r="A27" s="162" t="s">
        <v>129</v>
      </c>
      <c r="B27" s="165">
        <v>0</v>
      </c>
      <c r="C27" s="164"/>
      <c r="D27" s="165">
        <v>0</v>
      </c>
      <c r="E27" s="164"/>
      <c r="F27" s="165">
        <v>0</v>
      </c>
      <c r="G27" s="164"/>
      <c r="H27" s="165">
        <v>0</v>
      </c>
      <c r="I27" s="164"/>
      <c r="J27" s="165">
        <v>0</v>
      </c>
      <c r="K27" s="164"/>
      <c r="L27" s="165">
        <v>0</v>
      </c>
      <c r="M27" s="164"/>
      <c r="N27" s="165">
        <v>0</v>
      </c>
      <c r="O27" s="165"/>
      <c r="P27" s="165">
        <f t="shared" si="3"/>
        <v>0</v>
      </c>
      <c r="Q27" s="164"/>
      <c r="R27" s="165">
        <f>'Schedule 1 Results of Operation'!D27</f>
        <v>0</v>
      </c>
      <c r="S27" s="164"/>
      <c r="T27" s="165">
        <f>'Schedule 1 Results of Operation'!H27</f>
        <v>71235.517532374084</v>
      </c>
      <c r="U27" s="164"/>
      <c r="V27" s="165">
        <v>0</v>
      </c>
      <c r="W27" s="164"/>
      <c r="X27" s="165">
        <f t="shared" si="4"/>
        <v>71235.517532374084</v>
      </c>
      <c r="Z27" s="165">
        <f t="shared" si="2"/>
        <v>71235.517532374084</v>
      </c>
    </row>
    <row r="28" spans="1:26" ht="15" customHeight="1">
      <c r="A28" s="162" t="s">
        <v>130</v>
      </c>
      <c r="B28" s="165">
        <v>0</v>
      </c>
      <c r="C28" s="164"/>
      <c r="D28" s="165">
        <v>0</v>
      </c>
      <c r="E28" s="164"/>
      <c r="F28" s="165">
        <v>0</v>
      </c>
      <c r="G28" s="164"/>
      <c r="H28" s="165">
        <v>0</v>
      </c>
      <c r="I28" s="164"/>
      <c r="J28" s="165">
        <v>0</v>
      </c>
      <c r="K28" s="164"/>
      <c r="L28" s="165">
        <v>0</v>
      </c>
      <c r="M28" s="164"/>
      <c r="N28" s="165">
        <v>0</v>
      </c>
      <c r="O28" s="165"/>
      <c r="P28" s="165">
        <f t="shared" si="3"/>
        <v>0</v>
      </c>
      <c r="Q28" s="164"/>
      <c r="R28" s="165">
        <f>'Schedule 1 Results of Operation'!D28</f>
        <v>2539.4588478555306</v>
      </c>
      <c r="S28" s="164"/>
      <c r="T28" s="165">
        <f>'Schedule 1 Results of Operation'!H28</f>
        <v>-11850.350153498872</v>
      </c>
      <c r="U28" s="164"/>
      <c r="V28" s="165">
        <v>0</v>
      </c>
      <c r="W28" s="164"/>
      <c r="X28" s="165">
        <f t="shared" si="4"/>
        <v>-9310.8913056433412</v>
      </c>
      <c r="Z28" s="165">
        <f t="shared" si="2"/>
        <v>-9310.8913056433412</v>
      </c>
    </row>
    <row r="29" spans="1:26" ht="15" customHeight="1">
      <c r="A29" s="162" t="s">
        <v>131</v>
      </c>
      <c r="B29" s="165">
        <v>0</v>
      </c>
      <c r="C29" s="164"/>
      <c r="D29" s="165">
        <v>0</v>
      </c>
      <c r="E29" s="164"/>
      <c r="F29" s="165">
        <f>'Schedule 1 Results of Operation'!I29</f>
        <v>234782.48466226229</v>
      </c>
      <c r="G29" s="164"/>
      <c r="H29" s="165">
        <v>0</v>
      </c>
      <c r="I29" s="164"/>
      <c r="J29" s="165">
        <v>0</v>
      </c>
      <c r="K29" s="164"/>
      <c r="L29" s="165">
        <v>0</v>
      </c>
      <c r="M29" s="164"/>
      <c r="N29" s="165">
        <v>0</v>
      </c>
      <c r="O29" s="165"/>
      <c r="P29" s="165">
        <f t="shared" si="3"/>
        <v>234782.48466226229</v>
      </c>
      <c r="Q29" s="164"/>
      <c r="R29" s="165">
        <f>'Schedule 1 Results of Operation'!D29</f>
        <v>0</v>
      </c>
      <c r="S29" s="164"/>
      <c r="T29" s="165">
        <v>0</v>
      </c>
      <c r="U29" s="164"/>
      <c r="V29" s="165">
        <v>0</v>
      </c>
      <c r="W29" s="164"/>
      <c r="X29" s="165">
        <f t="shared" si="4"/>
        <v>0</v>
      </c>
      <c r="Z29" s="165">
        <f t="shared" si="2"/>
        <v>234782.48466226229</v>
      </c>
    </row>
    <row r="30" spans="1:26" ht="15" customHeight="1">
      <c r="A30" s="162" t="s">
        <v>133</v>
      </c>
      <c r="B30" s="168">
        <v>0</v>
      </c>
      <c r="C30" s="164"/>
      <c r="D30" s="168">
        <v>0</v>
      </c>
      <c r="E30" s="164"/>
      <c r="F30" s="168">
        <v>0</v>
      </c>
      <c r="G30" s="164"/>
      <c r="H30" s="168">
        <v>0</v>
      </c>
      <c r="I30" s="164"/>
      <c r="J30" s="168">
        <v>0</v>
      </c>
      <c r="K30" s="164"/>
      <c r="L30" s="168">
        <v>0</v>
      </c>
      <c r="M30" s="164"/>
      <c r="N30" s="165">
        <v>0</v>
      </c>
      <c r="O30" s="165"/>
      <c r="P30" s="165">
        <f t="shared" si="3"/>
        <v>0</v>
      </c>
      <c r="Q30" s="164"/>
      <c r="R30" s="165">
        <f>'Schedule 1 Results of Operation'!D30</f>
        <v>106.05005146726876</v>
      </c>
      <c r="S30" s="164"/>
      <c r="T30" s="165">
        <v>0</v>
      </c>
      <c r="U30" s="164"/>
      <c r="V30" s="165">
        <v>0</v>
      </c>
      <c r="W30" s="164"/>
      <c r="X30" s="165">
        <f t="shared" si="4"/>
        <v>106.05005146726876</v>
      </c>
      <c r="Z30" s="165">
        <f t="shared" si="2"/>
        <v>106.05005146726876</v>
      </c>
    </row>
    <row r="31" spans="1:26" ht="15" customHeight="1">
      <c r="A31" s="162" t="s">
        <v>134</v>
      </c>
      <c r="B31" s="165">
        <v>0</v>
      </c>
      <c r="C31" s="164"/>
      <c r="D31" s="165">
        <v>0</v>
      </c>
      <c r="E31" s="164"/>
      <c r="F31" s="165">
        <v>0</v>
      </c>
      <c r="G31" s="164"/>
      <c r="H31" s="165">
        <v>0</v>
      </c>
      <c r="I31" s="164"/>
      <c r="J31" s="165">
        <v>0</v>
      </c>
      <c r="K31" s="164"/>
      <c r="L31" s="165">
        <v>0</v>
      </c>
      <c r="M31" s="164"/>
      <c r="N31" s="165">
        <v>0</v>
      </c>
      <c r="O31" s="165"/>
      <c r="P31" s="165">
        <f t="shared" si="3"/>
        <v>0</v>
      </c>
      <c r="Q31" s="164"/>
      <c r="R31" s="165">
        <f>'Schedule 1 Results of Operation'!D31</f>
        <v>10921.4180926259</v>
      </c>
      <c r="S31" s="164"/>
      <c r="T31" s="165">
        <v>0</v>
      </c>
      <c r="U31" s="164"/>
      <c r="V31" s="165">
        <v>0</v>
      </c>
      <c r="W31" s="164"/>
      <c r="X31" s="165">
        <f t="shared" si="4"/>
        <v>10921.4180926259</v>
      </c>
      <c r="Z31" s="165">
        <f t="shared" si="2"/>
        <v>10921.4180926259</v>
      </c>
    </row>
    <row r="32" spans="1:26" ht="15" customHeight="1">
      <c r="A32" s="162" t="s">
        <v>225</v>
      </c>
      <c r="B32" s="165">
        <v>0</v>
      </c>
      <c r="C32" s="164"/>
      <c r="D32" s="165">
        <v>0</v>
      </c>
      <c r="E32" s="164"/>
      <c r="F32" s="165">
        <v>0</v>
      </c>
      <c r="G32" s="164"/>
      <c r="H32" s="165">
        <v>0</v>
      </c>
      <c r="I32" s="164"/>
      <c r="J32" s="165">
        <v>0</v>
      </c>
      <c r="K32" s="164"/>
      <c r="L32" s="165">
        <v>0</v>
      </c>
      <c r="M32" s="164"/>
      <c r="N32" s="165">
        <v>0</v>
      </c>
      <c r="O32" s="165"/>
      <c r="P32" s="165">
        <f t="shared" si="3"/>
        <v>0</v>
      </c>
      <c r="Q32" s="164"/>
      <c r="R32" s="165">
        <f>'Schedule 1 Results of Operation'!D32</f>
        <v>822.65240451467253</v>
      </c>
      <c r="S32" s="164"/>
      <c r="T32" s="165">
        <v>0</v>
      </c>
      <c r="U32" s="164"/>
      <c r="V32" s="165">
        <v>0</v>
      </c>
      <c r="W32" s="164"/>
      <c r="X32" s="165">
        <f t="shared" si="4"/>
        <v>822.65240451467253</v>
      </c>
      <c r="Z32" s="165">
        <f t="shared" si="2"/>
        <v>822.65240451467253</v>
      </c>
    </row>
    <row r="33" spans="1:26" ht="15" customHeight="1">
      <c r="A33" s="162" t="s">
        <v>136</v>
      </c>
      <c r="B33" s="165">
        <v>0</v>
      </c>
      <c r="C33" s="164"/>
      <c r="D33" s="165">
        <v>0</v>
      </c>
      <c r="E33" s="164"/>
      <c r="F33" s="165">
        <v>0</v>
      </c>
      <c r="G33" s="164"/>
      <c r="H33" s="165">
        <v>0</v>
      </c>
      <c r="I33" s="164"/>
      <c r="J33" s="165">
        <v>0</v>
      </c>
      <c r="K33" s="164"/>
      <c r="L33" s="165">
        <v>0</v>
      </c>
      <c r="M33" s="164"/>
      <c r="N33" s="165">
        <v>0</v>
      </c>
      <c r="O33" s="168"/>
      <c r="P33" s="165">
        <f t="shared" si="3"/>
        <v>0</v>
      </c>
      <c r="Q33" s="164"/>
      <c r="R33" s="165">
        <f>'Schedule 1 Results of Operation'!D33</f>
        <v>3279.4964028776994</v>
      </c>
      <c r="S33" s="164"/>
      <c r="T33" s="165">
        <v>0</v>
      </c>
      <c r="U33" s="164"/>
      <c r="V33" s="165">
        <v>0</v>
      </c>
      <c r="W33" s="164"/>
      <c r="X33" s="165">
        <f t="shared" si="4"/>
        <v>3279.4964028776994</v>
      </c>
      <c r="Z33" s="165">
        <f t="shared" si="2"/>
        <v>3279.4964028776994</v>
      </c>
    </row>
    <row r="34" spans="1:26" ht="15" customHeight="1">
      <c r="A34" s="162" t="s">
        <v>137</v>
      </c>
      <c r="B34" s="165">
        <v>0</v>
      </c>
      <c r="C34" s="164"/>
      <c r="D34" s="165">
        <v>0</v>
      </c>
      <c r="E34" s="164"/>
      <c r="F34" s="165">
        <v>0</v>
      </c>
      <c r="G34" s="164"/>
      <c r="H34" s="165">
        <v>0</v>
      </c>
      <c r="I34" s="164"/>
      <c r="J34" s="165">
        <v>0</v>
      </c>
      <c r="K34" s="164"/>
      <c r="L34" s="165">
        <v>0</v>
      </c>
      <c r="M34" s="164"/>
      <c r="N34" s="165">
        <v>0</v>
      </c>
      <c r="O34" s="168"/>
      <c r="P34" s="165">
        <f t="shared" si="3"/>
        <v>0</v>
      </c>
      <c r="Q34" s="164"/>
      <c r="R34" s="165">
        <f>'Schedule 1 Results of Operation'!D34</f>
        <v>0</v>
      </c>
      <c r="S34" s="164"/>
      <c r="T34" s="165"/>
      <c r="U34" s="164"/>
      <c r="V34" s="165"/>
      <c r="W34" s="164"/>
      <c r="X34" s="165">
        <f t="shared" si="4"/>
        <v>0</v>
      </c>
      <c r="Z34" s="165">
        <f t="shared" si="2"/>
        <v>0</v>
      </c>
    </row>
    <row r="35" spans="1:26" ht="15" customHeight="1">
      <c r="A35" s="162" t="s">
        <v>138</v>
      </c>
      <c r="B35" s="165">
        <v>0</v>
      </c>
      <c r="C35" s="164"/>
      <c r="D35" s="165">
        <v>0</v>
      </c>
      <c r="E35" s="164"/>
      <c r="F35" s="165">
        <v>0</v>
      </c>
      <c r="G35" s="164"/>
      <c r="H35" s="165">
        <v>0</v>
      </c>
      <c r="I35" s="164"/>
      <c r="J35" s="165">
        <v>0</v>
      </c>
      <c r="K35" s="164"/>
      <c r="L35" s="165">
        <f>'Schedule 1 Results of Operation'!I35</f>
        <v>-8768.1497050359903</v>
      </c>
      <c r="M35" s="175"/>
      <c r="N35" s="165"/>
      <c r="O35" s="165"/>
      <c r="P35" s="165">
        <f t="shared" si="3"/>
        <v>-8768.1497050359903</v>
      </c>
      <c r="Q35" s="164"/>
      <c r="R35" s="165">
        <f>'Schedule 1 Results of Operation'!D35</f>
        <v>8265.276523381297</v>
      </c>
      <c r="S35" s="164"/>
      <c r="T35" s="165">
        <v>0</v>
      </c>
      <c r="U35" s="164"/>
      <c r="V35" s="165">
        <v>0</v>
      </c>
      <c r="W35" s="164"/>
      <c r="X35" s="165">
        <f t="shared" si="4"/>
        <v>8265.276523381297</v>
      </c>
      <c r="Z35" s="165">
        <f t="shared" si="2"/>
        <v>-502.87318165469333</v>
      </c>
    </row>
    <row r="36" spans="1:26" ht="15" customHeight="1">
      <c r="A36" s="162" t="s">
        <v>80</v>
      </c>
      <c r="B36" s="165">
        <v>0</v>
      </c>
      <c r="C36" s="164"/>
      <c r="D36" s="165">
        <v>0</v>
      </c>
      <c r="E36" s="164"/>
      <c r="F36" s="165">
        <v>0</v>
      </c>
      <c r="G36" s="164"/>
      <c r="H36" s="165">
        <v>0</v>
      </c>
      <c r="I36" s="164"/>
      <c r="J36" s="165">
        <v>0</v>
      </c>
      <c r="K36" s="164"/>
      <c r="L36" s="165">
        <v>0</v>
      </c>
      <c r="M36" s="164"/>
      <c r="N36" s="165">
        <v>0</v>
      </c>
      <c r="O36" s="165"/>
      <c r="P36" s="165">
        <f t="shared" si="3"/>
        <v>0</v>
      </c>
      <c r="Q36" s="164"/>
      <c r="R36" s="165">
        <f>'Schedule 1 Results of Operation'!D36</f>
        <v>28378.341419964039</v>
      </c>
      <c r="S36" s="164"/>
      <c r="T36" s="165">
        <v>0</v>
      </c>
      <c r="U36" s="164"/>
      <c r="V36" s="165">
        <v>0</v>
      </c>
      <c r="W36" s="164"/>
      <c r="X36" s="165">
        <f t="shared" si="4"/>
        <v>28378.341419964039</v>
      </c>
      <c r="Z36" s="165">
        <f t="shared" si="2"/>
        <v>28378.341419964039</v>
      </c>
    </row>
    <row r="37" spans="1:26" ht="15" customHeight="1">
      <c r="A37" s="162" t="s">
        <v>115</v>
      </c>
      <c r="B37" s="165">
        <v>0</v>
      </c>
      <c r="C37" s="164"/>
      <c r="D37" s="165">
        <v>0</v>
      </c>
      <c r="E37" s="164"/>
      <c r="F37" s="165">
        <v>0</v>
      </c>
      <c r="G37" s="164"/>
      <c r="H37" s="165">
        <v>0</v>
      </c>
      <c r="I37" s="164"/>
      <c r="J37" s="165">
        <v>0</v>
      </c>
      <c r="K37" s="164"/>
      <c r="L37" s="165">
        <v>0</v>
      </c>
      <c r="M37" s="164"/>
      <c r="N37" s="165">
        <v>0</v>
      </c>
      <c r="O37" s="168"/>
      <c r="P37" s="165">
        <f t="shared" si="3"/>
        <v>0</v>
      </c>
      <c r="Q37" s="164"/>
      <c r="R37" s="165">
        <f>'Schedule 1 Results of Operation'!D37</f>
        <v>154084.71</v>
      </c>
      <c r="S37" s="164"/>
      <c r="T37" s="165">
        <v>0</v>
      </c>
      <c r="U37" s="164"/>
      <c r="V37" s="165">
        <v>0</v>
      </c>
      <c r="W37" s="164"/>
      <c r="X37" s="165">
        <f t="shared" si="4"/>
        <v>154084.71</v>
      </c>
      <c r="Z37" s="165">
        <f t="shared" si="2"/>
        <v>154084.71</v>
      </c>
    </row>
    <row r="38" spans="1:26" ht="15" customHeight="1">
      <c r="A38" s="162" t="s">
        <v>140</v>
      </c>
      <c r="B38" s="165">
        <v>0</v>
      </c>
      <c r="C38" s="164"/>
      <c r="D38" s="165">
        <v>0</v>
      </c>
      <c r="E38" s="164"/>
      <c r="F38" s="165">
        <v>0</v>
      </c>
      <c r="G38" s="164"/>
      <c r="H38" s="165">
        <v>0</v>
      </c>
      <c r="I38" s="164"/>
      <c r="J38" s="165">
        <v>0</v>
      </c>
      <c r="K38" s="164"/>
      <c r="L38" s="165">
        <v>0</v>
      </c>
      <c r="M38" s="164"/>
      <c r="N38" s="165">
        <v>0</v>
      </c>
      <c r="O38" s="165"/>
      <c r="P38" s="165">
        <f t="shared" si="3"/>
        <v>0</v>
      </c>
      <c r="Q38" s="164"/>
      <c r="R38" s="165">
        <f>'Schedule 1 Results of Operation'!D38</f>
        <v>34951.554699999993</v>
      </c>
      <c r="S38" s="164"/>
      <c r="T38" s="165">
        <v>0</v>
      </c>
      <c r="U38" s="164"/>
      <c r="V38" s="165">
        <f>'Schedule 1 Results of Operation'!H38</f>
        <v>59972.869999999995</v>
      </c>
      <c r="W38" s="164"/>
      <c r="X38" s="165">
        <f t="shared" si="4"/>
        <v>94924.424699999989</v>
      </c>
      <c r="Z38" s="165">
        <f t="shared" si="2"/>
        <v>94924.424699999989</v>
      </c>
    </row>
    <row r="39" spans="1:26" ht="15" customHeight="1">
      <c r="A39" s="162" t="s">
        <v>142</v>
      </c>
      <c r="B39" s="168">
        <v>0</v>
      </c>
      <c r="C39" s="164"/>
      <c r="D39" s="168">
        <v>0</v>
      </c>
      <c r="E39" s="164"/>
      <c r="F39" s="168">
        <v>0</v>
      </c>
      <c r="G39" s="164"/>
      <c r="H39" s="168">
        <v>0</v>
      </c>
      <c r="I39" s="164"/>
      <c r="J39" s="168">
        <v>0</v>
      </c>
      <c r="K39" s="164"/>
      <c r="L39" s="168">
        <v>0</v>
      </c>
      <c r="M39" s="164"/>
      <c r="N39" s="165">
        <v>0</v>
      </c>
      <c r="O39" s="165"/>
      <c r="P39" s="165">
        <f t="shared" si="3"/>
        <v>0</v>
      </c>
      <c r="Q39" s="164"/>
      <c r="R39" s="165">
        <f>'Schedule 1 Results of Operation'!D39</f>
        <v>0</v>
      </c>
      <c r="S39" s="175"/>
      <c r="T39" s="165">
        <v>0</v>
      </c>
      <c r="U39" s="164"/>
      <c r="V39" s="165">
        <f>'Schedule 1 Results of Operation'!H39</f>
        <v>-59972.869999999995</v>
      </c>
      <c r="W39" s="164"/>
      <c r="X39" s="165">
        <f t="shared" si="4"/>
        <v>-59972.869999999995</v>
      </c>
      <c r="Z39" s="165">
        <f t="shared" si="2"/>
        <v>-59972.869999999995</v>
      </c>
    </row>
    <row r="40" spans="1:26" ht="15" customHeight="1">
      <c r="A40" s="162" t="s">
        <v>143</v>
      </c>
      <c r="B40" s="168">
        <v>0</v>
      </c>
      <c r="C40" s="164"/>
      <c r="D40" s="168">
        <v>0</v>
      </c>
      <c r="E40" s="164"/>
      <c r="F40" s="168">
        <v>0</v>
      </c>
      <c r="G40" s="164"/>
      <c r="H40" s="168">
        <v>0</v>
      </c>
      <c r="I40" s="164"/>
      <c r="J40" s="168">
        <v>0</v>
      </c>
      <c r="K40" s="164"/>
      <c r="L40" s="168">
        <v>0</v>
      </c>
      <c r="M40" s="164"/>
      <c r="N40" s="165">
        <v>0</v>
      </c>
      <c r="O40" s="165"/>
      <c r="P40" s="165">
        <f t="shared" si="3"/>
        <v>0</v>
      </c>
      <c r="Q40" s="164"/>
      <c r="R40" s="165">
        <f>'Schedule 1 Results of Operation'!D40</f>
        <v>0</v>
      </c>
      <c r="S40" s="164"/>
      <c r="T40" s="165">
        <v>0</v>
      </c>
      <c r="U40" s="164"/>
      <c r="V40" s="165">
        <f>'Schedule 1 Results of Operation'!H40</f>
        <v>-24814.340000000004</v>
      </c>
      <c r="W40" s="164"/>
      <c r="X40" s="165">
        <f t="shared" si="4"/>
        <v>-24814.340000000004</v>
      </c>
      <c r="Z40" s="165">
        <f t="shared" si="2"/>
        <v>-24814.340000000004</v>
      </c>
    </row>
    <row r="41" spans="1:26" ht="15" customHeight="1">
      <c r="A41" s="162" t="s">
        <v>144</v>
      </c>
      <c r="B41" s="165">
        <v>0</v>
      </c>
      <c r="C41" s="164"/>
      <c r="D41" s="165">
        <v>0</v>
      </c>
      <c r="E41" s="164"/>
      <c r="F41" s="165">
        <v>0</v>
      </c>
      <c r="G41" s="164"/>
      <c r="H41" s="165">
        <v>0</v>
      </c>
      <c r="I41" s="164"/>
      <c r="J41" s="165">
        <v>0</v>
      </c>
      <c r="K41" s="164"/>
      <c r="L41" s="165">
        <v>0</v>
      </c>
      <c r="M41" s="164"/>
      <c r="N41" s="165">
        <v>0</v>
      </c>
      <c r="O41" s="165"/>
      <c r="P41" s="165">
        <f t="shared" si="3"/>
        <v>0</v>
      </c>
      <c r="Q41" s="164"/>
      <c r="R41" s="165">
        <f>'Schedule 1 Results of Operation'!D41</f>
        <v>0</v>
      </c>
      <c r="S41" s="164"/>
      <c r="T41" s="165">
        <v>0</v>
      </c>
      <c r="U41" s="164"/>
      <c r="V41" s="165">
        <f>'Schedule 1 Results of Operation'!H41</f>
        <v>24814.340000000004</v>
      </c>
      <c r="W41" s="164"/>
      <c r="X41" s="165">
        <f t="shared" si="4"/>
        <v>24814.340000000004</v>
      </c>
      <c r="Z41" s="165">
        <f t="shared" si="2"/>
        <v>24814.340000000004</v>
      </c>
    </row>
    <row r="42" spans="1:26" ht="15" customHeight="1">
      <c r="A42" s="162" t="s">
        <v>145</v>
      </c>
      <c r="B42" s="168">
        <v>0</v>
      </c>
      <c r="C42" s="164"/>
      <c r="D42" s="168">
        <v>0</v>
      </c>
      <c r="E42" s="164"/>
      <c r="F42" s="168">
        <v>0</v>
      </c>
      <c r="G42" s="164"/>
      <c r="H42" s="168">
        <v>0</v>
      </c>
      <c r="I42" s="164"/>
      <c r="J42" s="168">
        <v>0</v>
      </c>
      <c r="K42" s="164"/>
      <c r="L42" s="168">
        <v>0</v>
      </c>
      <c r="M42" s="164"/>
      <c r="N42" s="165">
        <v>0</v>
      </c>
      <c r="O42" s="165"/>
      <c r="P42" s="165">
        <f t="shared" si="3"/>
        <v>0</v>
      </c>
      <c r="Q42" s="164"/>
      <c r="R42" s="165">
        <f>'Schedule 1 Results of Operation'!D42</f>
        <v>1085.6884875846499</v>
      </c>
      <c r="S42" s="164"/>
      <c r="T42" s="165"/>
      <c r="U42" s="164"/>
      <c r="V42" s="165"/>
      <c r="W42" s="164"/>
      <c r="X42" s="165">
        <f t="shared" si="4"/>
        <v>1085.6884875846499</v>
      </c>
      <c r="Z42" s="165">
        <f t="shared" si="2"/>
        <v>1085.6884875846499</v>
      </c>
    </row>
    <row r="43" spans="1:26" ht="15" customHeight="1">
      <c r="A43" s="162" t="s">
        <v>146</v>
      </c>
      <c r="B43" s="165">
        <v>0</v>
      </c>
      <c r="C43" s="164"/>
      <c r="D43" s="165">
        <v>0</v>
      </c>
      <c r="E43" s="164"/>
      <c r="F43" s="165">
        <v>0</v>
      </c>
      <c r="G43" s="164"/>
      <c r="H43" s="165">
        <v>0</v>
      </c>
      <c r="I43" s="164"/>
      <c r="J43" s="165">
        <v>0</v>
      </c>
      <c r="K43" s="164"/>
      <c r="L43" s="165">
        <v>0</v>
      </c>
      <c r="M43" s="164"/>
      <c r="N43" s="165">
        <v>0</v>
      </c>
      <c r="O43" s="165"/>
      <c r="P43" s="165">
        <f t="shared" si="3"/>
        <v>0</v>
      </c>
      <c r="Q43" s="164"/>
      <c r="R43" s="165">
        <f>'Schedule 1 Results of Operation'!D43</f>
        <v>2548.6057733634334</v>
      </c>
      <c r="S43" s="164"/>
      <c r="T43" s="165">
        <v>0</v>
      </c>
      <c r="U43" s="164"/>
      <c r="V43" s="165">
        <v>0</v>
      </c>
      <c r="W43" s="164"/>
      <c r="X43" s="165">
        <f t="shared" si="4"/>
        <v>2548.6057733634334</v>
      </c>
      <c r="Z43" s="165">
        <f t="shared" si="2"/>
        <v>2548.6057733634334</v>
      </c>
    </row>
    <row r="44" spans="1:26" ht="15" customHeight="1">
      <c r="A44" s="162" t="s">
        <v>147</v>
      </c>
      <c r="B44" s="165">
        <v>0</v>
      </c>
      <c r="C44" s="164"/>
      <c r="D44" s="165">
        <v>0</v>
      </c>
      <c r="E44" s="164"/>
      <c r="F44" s="165">
        <v>0</v>
      </c>
      <c r="G44" s="164"/>
      <c r="H44" s="165">
        <v>0</v>
      </c>
      <c r="I44" s="164"/>
      <c r="J44" s="165">
        <v>0</v>
      </c>
      <c r="K44" s="164"/>
      <c r="L44" s="165">
        <v>0</v>
      </c>
      <c r="M44" s="164"/>
      <c r="N44" s="165">
        <v>0</v>
      </c>
      <c r="O44" s="165"/>
      <c r="P44" s="165">
        <f t="shared" si="3"/>
        <v>0</v>
      </c>
      <c r="Q44" s="164"/>
      <c r="R44" s="165">
        <f>'Schedule 1 Results of Operation'!D44</f>
        <v>0</v>
      </c>
      <c r="S44" s="164"/>
      <c r="T44" s="165">
        <v>0</v>
      </c>
      <c r="U44" s="164"/>
      <c r="V44" s="165">
        <v>0</v>
      </c>
      <c r="W44" s="164"/>
      <c r="X44" s="165">
        <f t="shared" si="4"/>
        <v>0</v>
      </c>
      <c r="Z44" s="165">
        <f t="shared" si="2"/>
        <v>0</v>
      </c>
    </row>
    <row r="45" spans="1:26" ht="15" customHeight="1">
      <c r="A45" s="162" t="s">
        <v>148</v>
      </c>
      <c r="B45" s="165">
        <v>0</v>
      </c>
      <c r="C45" s="164"/>
      <c r="D45" s="165">
        <v>0</v>
      </c>
      <c r="E45" s="164"/>
      <c r="F45" s="165">
        <v>0</v>
      </c>
      <c r="G45" s="164"/>
      <c r="H45" s="165">
        <v>0</v>
      </c>
      <c r="I45" s="164"/>
      <c r="J45" s="165">
        <v>0</v>
      </c>
      <c r="K45" s="164"/>
      <c r="L45" s="165">
        <v>0</v>
      </c>
      <c r="M45" s="164"/>
      <c r="N45" s="165">
        <v>0</v>
      </c>
      <c r="O45" s="165"/>
      <c r="P45" s="165">
        <f t="shared" si="3"/>
        <v>0</v>
      </c>
      <c r="Q45" s="164"/>
      <c r="R45" s="165">
        <f>'Schedule 1 Results of Operation'!D45</f>
        <v>18169.907008577895</v>
      </c>
      <c r="S45" s="164"/>
      <c r="T45" s="165">
        <f>'Schedule 1 Results of Operation'!H45</f>
        <v>-67689.786902934517</v>
      </c>
      <c r="U45" s="164"/>
      <c r="V45" s="165">
        <v>0</v>
      </c>
      <c r="W45" s="164"/>
      <c r="X45" s="165">
        <f t="shared" si="4"/>
        <v>-49519.879894356622</v>
      </c>
      <c r="Z45" s="165">
        <f t="shared" si="2"/>
        <v>-49519.879894356622</v>
      </c>
    </row>
    <row r="46" spans="1:26" ht="15" customHeight="1">
      <c r="A46" s="162" t="s">
        <v>149</v>
      </c>
      <c r="B46" s="165">
        <v>0</v>
      </c>
      <c r="C46" s="164"/>
      <c r="D46" s="165">
        <v>0</v>
      </c>
      <c r="E46" s="164"/>
      <c r="F46" s="165">
        <v>0</v>
      </c>
      <c r="G46" s="164"/>
      <c r="H46" s="165">
        <v>0</v>
      </c>
      <c r="I46" s="164"/>
      <c r="J46" s="165">
        <v>0</v>
      </c>
      <c r="K46" s="164"/>
      <c r="L46" s="165">
        <v>0</v>
      </c>
      <c r="M46" s="164"/>
      <c r="N46" s="165">
        <v>0</v>
      </c>
      <c r="O46" s="165"/>
      <c r="P46" s="165">
        <f t="shared" si="3"/>
        <v>0</v>
      </c>
      <c r="Q46" s="164"/>
      <c r="R46" s="165">
        <f>'Schedule 1 Results of Operation'!D46</f>
        <v>16397.482014388486</v>
      </c>
      <c r="S46" s="164"/>
      <c r="T46" s="165">
        <f>+'[8]WP-3 - Labor Analysis'!AB12</f>
        <v>0</v>
      </c>
      <c r="U46" s="164"/>
      <c r="V46" s="165">
        <v>0</v>
      </c>
      <c r="W46" s="164"/>
      <c r="X46" s="165">
        <f t="shared" si="4"/>
        <v>16397.482014388486</v>
      </c>
      <c r="Z46" s="165">
        <f t="shared" si="2"/>
        <v>16397.482014388486</v>
      </c>
    </row>
    <row r="47" spans="1:26" ht="15" customHeight="1">
      <c r="A47" s="162" t="s">
        <v>150</v>
      </c>
      <c r="B47" s="165">
        <v>0</v>
      </c>
      <c r="C47" s="164"/>
      <c r="D47" s="165">
        <v>0</v>
      </c>
      <c r="E47" s="164"/>
      <c r="F47" s="165">
        <v>0</v>
      </c>
      <c r="G47" s="164"/>
      <c r="H47" s="165">
        <v>0</v>
      </c>
      <c r="I47" s="164"/>
      <c r="J47" s="165">
        <v>0</v>
      </c>
      <c r="K47" s="164"/>
      <c r="L47" s="165">
        <f>'Schedule 1 Results of Operation'!I47</f>
        <v>-11798.719999999994</v>
      </c>
      <c r="M47" s="175"/>
      <c r="N47" s="165">
        <v>0</v>
      </c>
      <c r="O47" s="165"/>
      <c r="P47" s="165">
        <f t="shared" si="3"/>
        <v>-11798.719999999994</v>
      </c>
      <c r="Q47" s="164"/>
      <c r="R47" s="165">
        <f>'Schedule 1 Results of Operation'!D47</f>
        <v>0</v>
      </c>
      <c r="S47" s="164"/>
      <c r="T47" s="165">
        <v>0</v>
      </c>
      <c r="U47" s="164"/>
      <c r="V47" s="165">
        <v>0</v>
      </c>
      <c r="W47" s="164"/>
      <c r="X47" s="165">
        <f t="shared" si="4"/>
        <v>0</v>
      </c>
      <c r="Z47" s="165">
        <f t="shared" si="2"/>
        <v>-11798.719999999994</v>
      </c>
    </row>
    <row r="48" spans="1:26" ht="15" customHeight="1">
      <c r="A48" s="162" t="s">
        <v>151</v>
      </c>
      <c r="B48" s="165">
        <v>0</v>
      </c>
      <c r="C48" s="164"/>
      <c r="D48" s="165">
        <v>0</v>
      </c>
      <c r="E48" s="164"/>
      <c r="F48" s="165">
        <v>0</v>
      </c>
      <c r="G48" s="164"/>
      <c r="H48" s="165">
        <v>0</v>
      </c>
      <c r="I48" s="164"/>
      <c r="J48" s="165">
        <v>0</v>
      </c>
      <c r="K48" s="164"/>
      <c r="L48" s="165">
        <f>'Schedule 1 Results of Operation'!I48</f>
        <v>-4963.9939548081265</v>
      </c>
      <c r="M48" s="175"/>
      <c r="N48" s="165">
        <v>0</v>
      </c>
      <c r="O48" s="165"/>
      <c r="P48" s="165">
        <f t="shared" si="3"/>
        <v>-4963.9939548081265</v>
      </c>
      <c r="Q48" s="164"/>
      <c r="R48" s="165">
        <f>'Schedule 1 Results of Operation'!D48</f>
        <v>1710.7899196388262</v>
      </c>
      <c r="S48" s="164"/>
      <c r="T48" s="165">
        <v>0</v>
      </c>
      <c r="U48" s="164"/>
      <c r="V48" s="165">
        <v>0</v>
      </c>
      <c r="W48" s="164"/>
      <c r="X48" s="165">
        <f t="shared" si="4"/>
        <v>1710.7899196388262</v>
      </c>
      <c r="Z48" s="165">
        <f t="shared" si="2"/>
        <v>-3253.2040351693004</v>
      </c>
    </row>
    <row r="49" spans="1:26" ht="15" customHeight="1">
      <c r="A49" s="162" t="s">
        <v>152</v>
      </c>
      <c r="B49" s="165">
        <v>0</v>
      </c>
      <c r="C49" s="164"/>
      <c r="D49" s="165">
        <v>0</v>
      </c>
      <c r="E49" s="164"/>
      <c r="F49" s="165">
        <v>0</v>
      </c>
      <c r="G49" s="164"/>
      <c r="H49" s="165">
        <v>0</v>
      </c>
      <c r="I49" s="164"/>
      <c r="J49" s="165">
        <v>0</v>
      </c>
      <c r="K49" s="164"/>
      <c r="L49" s="165">
        <v>0</v>
      </c>
      <c r="M49" s="164"/>
      <c r="N49" s="165">
        <v>0</v>
      </c>
      <c r="O49" s="165"/>
      <c r="P49" s="165">
        <f t="shared" si="3"/>
        <v>0</v>
      </c>
      <c r="Q49" s="164"/>
      <c r="R49" s="165">
        <f>'Schedule 1 Results of Operation'!D49</f>
        <v>152.41799729119657</v>
      </c>
      <c r="S49" s="164"/>
      <c r="T49" s="165">
        <v>0</v>
      </c>
      <c r="U49" s="164"/>
      <c r="V49" s="165">
        <v>0</v>
      </c>
      <c r="W49" s="164"/>
      <c r="X49" s="165">
        <f t="shared" si="4"/>
        <v>152.41799729119657</v>
      </c>
      <c r="Z49" s="165">
        <f t="shared" si="2"/>
        <v>152.41799729119657</v>
      </c>
    </row>
    <row r="50" spans="1:26" ht="15" customHeight="1">
      <c r="A50" s="162" t="s">
        <v>153</v>
      </c>
      <c r="B50" s="165">
        <v>0</v>
      </c>
      <c r="C50" s="164"/>
      <c r="D50" s="165">
        <v>0</v>
      </c>
      <c r="E50" s="164"/>
      <c r="F50" s="165">
        <v>0</v>
      </c>
      <c r="G50" s="164"/>
      <c r="H50" s="165">
        <v>0</v>
      </c>
      <c r="I50" s="164"/>
      <c r="J50" s="165">
        <v>0</v>
      </c>
      <c r="K50" s="164"/>
      <c r="L50" s="165">
        <v>0</v>
      </c>
      <c r="M50" s="164"/>
      <c r="N50" s="165">
        <v>0</v>
      </c>
      <c r="O50" s="165"/>
      <c r="P50" s="165">
        <f t="shared" si="3"/>
        <v>0</v>
      </c>
      <c r="Q50" s="164"/>
      <c r="R50" s="165">
        <f>'Schedule 1 Results of Operation'!D50</f>
        <v>418.84414266365729</v>
      </c>
      <c r="S50" s="164"/>
      <c r="T50" s="165">
        <v>0</v>
      </c>
      <c r="U50" s="164"/>
      <c r="V50" s="165">
        <v>0</v>
      </c>
      <c r="W50" s="164"/>
      <c r="X50" s="165">
        <f t="shared" si="4"/>
        <v>418.84414266365729</v>
      </c>
      <c r="Z50" s="165">
        <f t="shared" si="2"/>
        <v>418.84414266365729</v>
      </c>
    </row>
    <row r="51" spans="1:26" ht="15" customHeight="1">
      <c r="A51" s="162" t="s">
        <v>134</v>
      </c>
      <c r="B51" s="165">
        <v>0</v>
      </c>
      <c r="C51" s="164"/>
      <c r="D51" s="165">
        <v>0</v>
      </c>
      <c r="E51" s="164"/>
      <c r="F51" s="165">
        <v>0</v>
      </c>
      <c r="G51" s="164"/>
      <c r="H51" s="165">
        <v>0</v>
      </c>
      <c r="I51" s="164"/>
      <c r="J51" s="165">
        <v>0</v>
      </c>
      <c r="K51" s="164"/>
      <c r="L51" s="165">
        <v>0</v>
      </c>
      <c r="M51" s="164"/>
      <c r="N51" s="165">
        <v>0</v>
      </c>
      <c r="O51" s="168"/>
      <c r="P51" s="165">
        <f t="shared" si="3"/>
        <v>0</v>
      </c>
      <c r="Q51" s="164"/>
      <c r="R51" s="165">
        <f>'Schedule 1 Results of Operation'!D51</f>
        <v>292.51386634379378</v>
      </c>
      <c r="S51" s="164"/>
      <c r="T51" s="165">
        <v>0</v>
      </c>
      <c r="U51" s="164"/>
      <c r="V51" s="165">
        <v>0</v>
      </c>
      <c r="W51" s="164"/>
      <c r="X51" s="165">
        <f t="shared" si="4"/>
        <v>292.51386634379378</v>
      </c>
      <c r="Z51" s="165">
        <f t="shared" si="2"/>
        <v>292.51386634379378</v>
      </c>
    </row>
    <row r="52" spans="1:26" ht="15" customHeight="1">
      <c r="A52" s="162" t="s">
        <v>84</v>
      </c>
      <c r="B52" s="165">
        <v>0</v>
      </c>
      <c r="C52" s="164"/>
      <c r="D52" s="165">
        <v>0</v>
      </c>
      <c r="E52" s="164"/>
      <c r="F52" s="165">
        <v>0</v>
      </c>
      <c r="G52" s="164"/>
      <c r="H52" s="165">
        <v>0</v>
      </c>
      <c r="I52" s="164"/>
      <c r="J52" s="165">
        <v>0</v>
      </c>
      <c r="K52" s="164"/>
      <c r="L52" s="165">
        <v>0</v>
      </c>
      <c r="M52" s="164"/>
      <c r="N52" s="165">
        <v>0</v>
      </c>
      <c r="O52" s="165"/>
      <c r="P52" s="165">
        <f t="shared" si="3"/>
        <v>0</v>
      </c>
      <c r="Q52" s="164"/>
      <c r="R52" s="165">
        <f>'Schedule 1 Results of Operation'!D52</f>
        <v>0</v>
      </c>
      <c r="S52" s="164"/>
      <c r="T52" s="165">
        <v>0</v>
      </c>
      <c r="U52" s="164"/>
      <c r="V52" s="165">
        <v>0</v>
      </c>
      <c r="W52" s="164"/>
      <c r="X52" s="165">
        <f t="shared" si="4"/>
        <v>0</v>
      </c>
      <c r="Z52" s="165">
        <f t="shared" si="2"/>
        <v>0</v>
      </c>
    </row>
    <row r="53" spans="1:26" ht="15" customHeight="1">
      <c r="A53" s="162" t="s">
        <v>155</v>
      </c>
      <c r="B53" s="165">
        <v>0</v>
      </c>
      <c r="C53" s="164"/>
      <c r="D53" s="165">
        <v>0</v>
      </c>
      <c r="E53" s="164"/>
      <c r="F53" s="165">
        <v>0</v>
      </c>
      <c r="G53" s="164"/>
      <c r="H53" s="165">
        <v>0</v>
      </c>
      <c r="I53" s="164"/>
      <c r="J53" s="165">
        <v>0</v>
      </c>
      <c r="K53" s="164"/>
      <c r="L53" s="165">
        <v>0</v>
      </c>
      <c r="M53" s="164"/>
      <c r="N53" s="165">
        <v>0</v>
      </c>
      <c r="O53" s="165"/>
      <c r="P53" s="165">
        <f t="shared" si="3"/>
        <v>0</v>
      </c>
      <c r="Q53" s="164"/>
      <c r="R53" s="165">
        <f>'Schedule 1 Results of Operation'!D53</f>
        <v>1597.6041805869081</v>
      </c>
      <c r="S53" s="164"/>
      <c r="T53" s="165">
        <v>0</v>
      </c>
      <c r="U53" s="164"/>
      <c r="V53" s="165">
        <v>0</v>
      </c>
      <c r="W53" s="164"/>
      <c r="X53" s="165">
        <f t="shared" si="4"/>
        <v>1597.6041805869081</v>
      </c>
      <c r="Z53" s="165">
        <f t="shared" si="2"/>
        <v>1597.6041805869081</v>
      </c>
    </row>
    <row r="54" spans="1:26" ht="15" customHeight="1">
      <c r="A54" s="162" t="s">
        <v>156</v>
      </c>
      <c r="B54" s="165">
        <v>0</v>
      </c>
      <c r="C54" s="164"/>
      <c r="D54" s="165">
        <v>0</v>
      </c>
      <c r="E54" s="164"/>
      <c r="F54" s="165">
        <v>0</v>
      </c>
      <c r="G54" s="164"/>
      <c r="H54" s="165">
        <v>0</v>
      </c>
      <c r="I54" s="164"/>
      <c r="J54" s="165">
        <v>0</v>
      </c>
      <c r="K54" s="164"/>
      <c r="L54" s="165">
        <f>'Schedule 1 Results of Operation'!I54</f>
        <v>-2478.4582392776524</v>
      </c>
      <c r="M54" s="175"/>
      <c r="N54" s="165">
        <v>0</v>
      </c>
      <c r="O54" s="165"/>
      <c r="P54" s="165">
        <f t="shared" si="3"/>
        <v>-2478.4582392776524</v>
      </c>
      <c r="Q54" s="164"/>
      <c r="R54" s="165">
        <f>'Schedule 1 Results of Operation'!D54</f>
        <v>612.05055169300249</v>
      </c>
      <c r="S54" s="164"/>
      <c r="T54" s="165">
        <v>0</v>
      </c>
      <c r="U54" s="164"/>
      <c r="V54" s="165">
        <v>0</v>
      </c>
      <c r="W54" s="164"/>
      <c r="X54" s="165">
        <f t="shared" si="4"/>
        <v>612.05055169300249</v>
      </c>
      <c r="Z54" s="165">
        <f t="shared" si="2"/>
        <v>-1866.4076875846499</v>
      </c>
    </row>
    <row r="55" spans="1:26" ht="15" customHeight="1">
      <c r="A55" s="162" t="s">
        <v>157</v>
      </c>
      <c r="B55" s="165">
        <v>0</v>
      </c>
      <c r="C55" s="164"/>
      <c r="D55" s="165">
        <v>0</v>
      </c>
      <c r="E55" s="164"/>
      <c r="F55" s="165">
        <v>0</v>
      </c>
      <c r="G55" s="164"/>
      <c r="H55" s="165">
        <v>0</v>
      </c>
      <c r="I55" s="164"/>
      <c r="J55" s="165">
        <v>0</v>
      </c>
      <c r="K55" s="164"/>
      <c r="L55" s="165">
        <v>0</v>
      </c>
      <c r="M55" s="164"/>
      <c r="N55" s="165">
        <v>0</v>
      </c>
      <c r="O55" s="165"/>
      <c r="P55" s="165">
        <f t="shared" si="3"/>
        <v>0</v>
      </c>
      <c r="Q55" s="164"/>
      <c r="R55" s="165">
        <f>'Schedule 1 Results of Operation'!D55</f>
        <v>1582.107000318254</v>
      </c>
      <c r="S55" s="164"/>
      <c r="T55" s="165">
        <v>0</v>
      </c>
      <c r="U55" s="164"/>
      <c r="V55" s="165">
        <v>0</v>
      </c>
      <c r="W55" s="164"/>
      <c r="X55" s="165">
        <f t="shared" si="4"/>
        <v>1582.107000318254</v>
      </c>
      <c r="Z55" s="165">
        <f t="shared" si="2"/>
        <v>1582.107000318254</v>
      </c>
    </row>
    <row r="56" spans="1:26" ht="15" customHeight="1">
      <c r="A56" s="162" t="s">
        <v>158</v>
      </c>
      <c r="B56" s="165">
        <v>0</v>
      </c>
      <c r="C56" s="164"/>
      <c r="D56" s="165">
        <v>0</v>
      </c>
      <c r="E56" s="164"/>
      <c r="F56" s="165">
        <v>0</v>
      </c>
      <c r="G56" s="164"/>
      <c r="H56" s="165">
        <v>0</v>
      </c>
      <c r="I56" s="164"/>
      <c r="J56" s="165">
        <v>0</v>
      </c>
      <c r="K56" s="164"/>
      <c r="L56" s="165">
        <f>'Schedule 1 Results of Operation'!I56</f>
        <v>-7710.9000000000005</v>
      </c>
      <c r="M56" s="164"/>
      <c r="N56" s="165">
        <v>0</v>
      </c>
      <c r="O56" s="165"/>
      <c r="P56" s="165">
        <f t="shared" si="3"/>
        <v>-7710.9000000000005</v>
      </c>
      <c r="Q56" s="164"/>
      <c r="R56" s="165">
        <f>'Schedule 1 Results of Operation'!D56</f>
        <v>0</v>
      </c>
      <c r="S56" s="164"/>
      <c r="T56" s="165">
        <v>0</v>
      </c>
      <c r="U56" s="164"/>
      <c r="V56" s="165">
        <v>0</v>
      </c>
      <c r="W56" s="164"/>
      <c r="X56" s="165">
        <f t="shared" si="4"/>
        <v>0</v>
      </c>
      <c r="Z56" s="165">
        <f t="shared" si="2"/>
        <v>-7710.9000000000005</v>
      </c>
    </row>
    <row r="57" spans="1:26" ht="15" customHeight="1">
      <c r="A57" s="162" t="s">
        <v>159</v>
      </c>
      <c r="B57" s="165">
        <v>0</v>
      </c>
      <c r="C57" s="164"/>
      <c r="D57" s="165">
        <v>0</v>
      </c>
      <c r="E57" s="164"/>
      <c r="F57" s="165">
        <v>0</v>
      </c>
      <c r="G57" s="164"/>
      <c r="H57" s="165">
        <v>0</v>
      </c>
      <c r="I57" s="164"/>
      <c r="J57" s="165">
        <v>0</v>
      </c>
      <c r="K57" s="164"/>
      <c r="L57" s="165">
        <v>0</v>
      </c>
      <c r="M57" s="164"/>
      <c r="N57" s="165">
        <v>0</v>
      </c>
      <c r="O57" s="165"/>
      <c r="P57" s="165">
        <f t="shared" si="3"/>
        <v>0</v>
      </c>
      <c r="Q57" s="164"/>
      <c r="R57" s="165">
        <f>'Schedule 1 Results of Operation'!D57</f>
        <v>1733.2672902934537</v>
      </c>
      <c r="S57" s="164"/>
      <c r="T57" s="165">
        <v>0</v>
      </c>
      <c r="U57" s="164"/>
      <c r="V57" s="165">
        <v>0</v>
      </c>
      <c r="W57" s="164"/>
      <c r="X57" s="165">
        <f t="shared" si="4"/>
        <v>1733.2672902934537</v>
      </c>
      <c r="Z57" s="165">
        <f t="shared" si="2"/>
        <v>1733.2672902934537</v>
      </c>
    </row>
    <row r="58" spans="1:26" ht="15" customHeight="1">
      <c r="A58" s="162" t="s">
        <v>74</v>
      </c>
      <c r="B58" s="165">
        <v>0</v>
      </c>
      <c r="C58" s="164"/>
      <c r="D58" s="165">
        <v>0</v>
      </c>
      <c r="E58" s="164"/>
      <c r="F58" s="165">
        <v>0</v>
      </c>
      <c r="G58" s="164"/>
      <c r="H58" s="165">
        <v>0</v>
      </c>
      <c r="I58" s="164"/>
      <c r="J58" s="165">
        <v>0</v>
      </c>
      <c r="K58" s="164"/>
      <c r="L58" s="165">
        <f>'Schedule 1 Results of Operation'!I58</f>
        <v>-42553.677917352055</v>
      </c>
      <c r="M58" s="175"/>
      <c r="N58" s="165">
        <v>0</v>
      </c>
      <c r="O58" s="165"/>
      <c r="P58" s="165">
        <f t="shared" si="3"/>
        <v>-42553.677917352055</v>
      </c>
      <c r="Q58" s="164"/>
      <c r="R58" s="165">
        <f>'Schedule 1 Results of Operation'!D58</f>
        <v>5412.434865914227</v>
      </c>
      <c r="S58" s="164"/>
      <c r="T58" s="165">
        <v>0</v>
      </c>
      <c r="U58" s="164"/>
      <c r="V58" s="165">
        <v>0</v>
      </c>
      <c r="W58" s="164"/>
      <c r="X58" s="165">
        <f t="shared" si="4"/>
        <v>5412.434865914227</v>
      </c>
      <c r="Z58" s="165">
        <f t="shared" si="2"/>
        <v>-37141.243051437828</v>
      </c>
    </row>
    <row r="59" spans="1:26" ht="15" customHeight="1">
      <c r="A59" s="162" t="s">
        <v>160</v>
      </c>
      <c r="B59" s="165">
        <v>0</v>
      </c>
      <c r="C59" s="164"/>
      <c r="D59" s="165">
        <v>0</v>
      </c>
      <c r="E59" s="164"/>
      <c r="F59" s="165">
        <v>0</v>
      </c>
      <c r="G59" s="164"/>
      <c r="H59" s="165">
        <v>0</v>
      </c>
      <c r="I59" s="164"/>
      <c r="J59" s="165">
        <v>0</v>
      </c>
      <c r="K59" s="164"/>
      <c r="L59" s="165">
        <v>0</v>
      </c>
      <c r="M59" s="164"/>
      <c r="N59" s="165">
        <v>0</v>
      </c>
      <c r="O59" s="165"/>
      <c r="P59" s="165">
        <f t="shared" si="3"/>
        <v>0</v>
      </c>
      <c r="Q59" s="164"/>
      <c r="R59" s="165">
        <f>'Schedule 1 Results of Operation'!D59</f>
        <v>1735.6024252821662</v>
      </c>
      <c r="S59" s="164"/>
      <c r="T59" s="165">
        <v>0</v>
      </c>
      <c r="U59" s="164"/>
      <c r="V59" s="165">
        <v>0</v>
      </c>
      <c r="W59" s="164"/>
      <c r="X59" s="165">
        <f t="shared" si="4"/>
        <v>1735.6024252821662</v>
      </c>
      <c r="Z59" s="165">
        <f t="shared" si="2"/>
        <v>1735.6024252821662</v>
      </c>
    </row>
    <row r="60" spans="1:26" ht="15" customHeight="1">
      <c r="A60" s="162" t="s">
        <v>161</v>
      </c>
      <c r="B60" s="165">
        <v>0</v>
      </c>
      <c r="C60" s="164"/>
      <c r="D60" s="165">
        <v>0</v>
      </c>
      <c r="E60" s="164"/>
      <c r="F60" s="165">
        <v>0</v>
      </c>
      <c r="G60" s="164"/>
      <c r="H60" s="165">
        <v>0</v>
      </c>
      <c r="I60" s="164"/>
      <c r="J60" s="165">
        <v>0</v>
      </c>
      <c r="K60" s="164"/>
      <c r="L60" s="165">
        <v>0</v>
      </c>
      <c r="M60" s="164"/>
      <c r="N60" s="165">
        <v>0</v>
      </c>
      <c r="O60" s="165"/>
      <c r="P60" s="165">
        <f t="shared" si="3"/>
        <v>0</v>
      </c>
      <c r="Q60" s="164"/>
      <c r="R60" s="165">
        <f>'Schedule 1 Results of Operation'!D60</f>
        <v>0</v>
      </c>
      <c r="S60" s="164"/>
      <c r="T60" s="165">
        <v>0</v>
      </c>
      <c r="U60" s="164"/>
      <c r="V60" s="165">
        <v>0</v>
      </c>
      <c r="W60" s="164"/>
      <c r="X60" s="165">
        <f t="shared" si="4"/>
        <v>0</v>
      </c>
      <c r="Z60" s="165">
        <f t="shared" si="2"/>
        <v>0</v>
      </c>
    </row>
    <row r="61" spans="1:26" ht="15" customHeight="1">
      <c r="A61" s="162" t="s">
        <v>226</v>
      </c>
      <c r="B61" s="165">
        <v>0</v>
      </c>
      <c r="C61" s="164"/>
      <c r="D61" s="165">
        <v>0</v>
      </c>
      <c r="E61" s="164"/>
      <c r="F61" s="165">
        <v>0</v>
      </c>
      <c r="G61" s="164"/>
      <c r="H61" s="165">
        <v>0</v>
      </c>
      <c r="I61" s="164"/>
      <c r="J61" s="165">
        <v>0</v>
      </c>
      <c r="K61" s="164"/>
      <c r="L61" s="165">
        <f>'Schedule 1 Results of Operation'!I61</f>
        <v>-6366.6817155756207</v>
      </c>
      <c r="M61" s="164"/>
      <c r="N61" s="165">
        <v>0</v>
      </c>
      <c r="O61" s="165"/>
      <c r="P61" s="165">
        <f t="shared" si="3"/>
        <v>-6366.6817155756207</v>
      </c>
      <c r="Q61" s="164"/>
      <c r="R61" s="165">
        <f>'Schedule 1 Results of Operation'!D61</f>
        <v>1501.8690744921005</v>
      </c>
      <c r="S61" s="164"/>
      <c r="T61" s="165">
        <v>0</v>
      </c>
      <c r="U61" s="164"/>
      <c r="V61" s="165">
        <v>0</v>
      </c>
      <c r="W61" s="164"/>
      <c r="X61" s="165">
        <f t="shared" si="4"/>
        <v>1501.8690744921005</v>
      </c>
      <c r="Z61" s="165">
        <f t="shared" si="2"/>
        <v>-4864.8126410835202</v>
      </c>
    </row>
    <row r="62" spans="1:26" ht="15" customHeight="1">
      <c r="A62" s="162" t="s">
        <v>163</v>
      </c>
      <c r="B62" s="165">
        <v>0</v>
      </c>
      <c r="C62" s="164"/>
      <c r="D62" s="165">
        <v>0</v>
      </c>
      <c r="E62" s="164"/>
      <c r="F62" s="165">
        <v>0</v>
      </c>
      <c r="G62" s="164"/>
      <c r="H62" s="165">
        <v>0</v>
      </c>
      <c r="I62" s="164"/>
      <c r="J62" s="165">
        <v>0</v>
      </c>
      <c r="K62" s="164"/>
      <c r="L62" s="165">
        <f>'Schedule 1 Results of Operation'!I62</f>
        <v>-3682.0700000000006</v>
      </c>
      <c r="M62" s="164"/>
      <c r="N62" s="165">
        <v>0</v>
      </c>
      <c r="O62" s="165"/>
      <c r="P62" s="165">
        <f t="shared" si="3"/>
        <v>-3682.0700000000006</v>
      </c>
      <c r="Q62" s="164"/>
      <c r="R62" s="165">
        <f>'Schedule 1 Results of Operation'!D62</f>
        <v>0</v>
      </c>
      <c r="S62" s="164"/>
      <c r="T62" s="165">
        <v>0</v>
      </c>
      <c r="U62" s="164"/>
      <c r="V62" s="165">
        <v>0</v>
      </c>
      <c r="W62" s="164"/>
      <c r="X62" s="165">
        <f t="shared" si="4"/>
        <v>0</v>
      </c>
      <c r="Z62" s="165">
        <f t="shared" si="2"/>
        <v>-3682.0700000000006</v>
      </c>
    </row>
    <row r="63" spans="1:26" ht="15" customHeight="1">
      <c r="A63" s="162" t="s">
        <v>164</v>
      </c>
      <c r="B63" s="165">
        <v>0</v>
      </c>
      <c r="C63" s="164"/>
      <c r="D63" s="165">
        <v>0</v>
      </c>
      <c r="E63" s="164"/>
      <c r="F63" s="165">
        <v>0</v>
      </c>
      <c r="G63" s="164"/>
      <c r="H63" s="165">
        <v>0</v>
      </c>
      <c r="I63" s="164"/>
      <c r="J63" s="165">
        <v>0</v>
      </c>
      <c r="K63" s="164"/>
      <c r="L63" s="165">
        <f>'Schedule 1 Results of Operation'!I63</f>
        <v>909.5259593679458</v>
      </c>
      <c r="M63" s="164"/>
      <c r="N63" s="165">
        <v>0</v>
      </c>
      <c r="O63" s="165"/>
      <c r="P63" s="165">
        <f t="shared" si="3"/>
        <v>909.5259593679458</v>
      </c>
      <c r="Q63" s="164"/>
      <c r="R63" s="165">
        <f>'Schedule 1 Results of Operation'!D63</f>
        <v>64.909695711060976</v>
      </c>
      <c r="S63" s="164"/>
      <c r="T63" s="165">
        <v>0</v>
      </c>
      <c r="U63" s="164"/>
      <c r="V63" s="165">
        <v>0</v>
      </c>
      <c r="W63" s="164"/>
      <c r="X63" s="165">
        <f t="shared" si="4"/>
        <v>64.909695711060976</v>
      </c>
      <c r="Z63" s="165">
        <f t="shared" si="2"/>
        <v>974.43565507900678</v>
      </c>
    </row>
    <row r="64" spans="1:26" ht="15" customHeight="1">
      <c r="A64" s="162" t="s">
        <v>165</v>
      </c>
      <c r="B64" s="165">
        <v>0</v>
      </c>
      <c r="C64" s="164"/>
      <c r="D64" s="165">
        <v>0</v>
      </c>
      <c r="E64" s="164"/>
      <c r="F64" s="165">
        <v>0</v>
      </c>
      <c r="G64" s="164"/>
      <c r="H64" s="165">
        <v>0</v>
      </c>
      <c r="I64" s="164"/>
      <c r="J64" s="165">
        <v>0</v>
      </c>
      <c r="K64" s="164"/>
      <c r="L64" s="165">
        <f>'Schedule 1 Results of Operation'!I64</f>
        <v>-4480.779638826185</v>
      </c>
      <c r="M64" s="175"/>
      <c r="N64" s="165">
        <v>0</v>
      </c>
      <c r="O64" s="165"/>
      <c r="P64" s="165">
        <f t="shared" si="3"/>
        <v>-4480.779638826185</v>
      </c>
      <c r="Q64" s="164"/>
      <c r="R64" s="165">
        <f>'Schedule 1 Results of Operation'!D64</f>
        <v>540.13002257336393</v>
      </c>
      <c r="S64" s="164"/>
      <c r="T64" s="165">
        <v>0</v>
      </c>
      <c r="U64" s="164"/>
      <c r="V64" s="165">
        <v>0</v>
      </c>
      <c r="W64" s="164"/>
      <c r="X64" s="165">
        <f t="shared" si="4"/>
        <v>540.13002257336393</v>
      </c>
      <c r="Z64" s="165">
        <f t="shared" si="2"/>
        <v>-3940.649616252821</v>
      </c>
    </row>
    <row r="65" spans="1:26" ht="15" customHeight="1">
      <c r="A65" s="162" t="s">
        <v>166</v>
      </c>
      <c r="B65" s="165">
        <v>0</v>
      </c>
      <c r="C65" s="164"/>
      <c r="D65" s="165">
        <v>0</v>
      </c>
      <c r="E65" s="164"/>
      <c r="F65" s="165">
        <v>0</v>
      </c>
      <c r="G65" s="164"/>
      <c r="H65" s="165">
        <v>0</v>
      </c>
      <c r="I65" s="164"/>
      <c r="J65" s="165">
        <v>0</v>
      </c>
      <c r="K65" s="164"/>
      <c r="L65" s="165">
        <f>'Schedule 1 Results of Operation'!I65</f>
        <v>-118.85704882781037</v>
      </c>
      <c r="M65" s="175"/>
      <c r="N65" s="165">
        <v>0</v>
      </c>
      <c r="O65" s="165"/>
      <c r="P65" s="165">
        <f t="shared" si="3"/>
        <v>-118.85704882781037</v>
      </c>
      <c r="Q65" s="164"/>
      <c r="R65" s="165">
        <f>'Schedule 1 Results of Operation'!D65</f>
        <v>13.433585553047408</v>
      </c>
      <c r="S65" s="164"/>
      <c r="T65" s="165">
        <v>0</v>
      </c>
      <c r="U65" s="164"/>
      <c r="V65" s="165">
        <v>0</v>
      </c>
      <c r="W65" s="164"/>
      <c r="X65" s="165">
        <f t="shared" si="4"/>
        <v>13.433585553047408</v>
      </c>
      <c r="Z65" s="165">
        <f t="shared" si="2"/>
        <v>-105.42346327476297</v>
      </c>
    </row>
    <row r="66" spans="1:26" ht="15" customHeight="1">
      <c r="A66" s="162" t="s">
        <v>167</v>
      </c>
      <c r="B66" s="165">
        <v>0</v>
      </c>
      <c r="C66" s="164"/>
      <c r="D66" s="165">
        <v>0</v>
      </c>
      <c r="E66" s="164"/>
      <c r="F66" s="165">
        <v>0</v>
      </c>
      <c r="G66" s="164"/>
      <c r="H66" s="165">
        <v>0</v>
      </c>
      <c r="I66" s="164"/>
      <c r="J66" s="165">
        <v>0</v>
      </c>
      <c r="K66" s="164"/>
      <c r="L66" s="165">
        <v>0</v>
      </c>
      <c r="M66" s="164"/>
      <c r="N66" s="165">
        <v>0</v>
      </c>
      <c r="O66" s="165"/>
      <c r="P66" s="165">
        <f t="shared" si="3"/>
        <v>0</v>
      </c>
      <c r="Q66" s="164"/>
      <c r="R66" s="165">
        <f>'Schedule 1 Results of Operation'!D66</f>
        <v>179.33311963882625</v>
      </c>
      <c r="S66" s="164"/>
      <c r="T66" s="165">
        <v>0</v>
      </c>
      <c r="U66" s="164"/>
      <c r="V66" s="165">
        <v>0</v>
      </c>
      <c r="W66" s="164"/>
      <c r="X66" s="165">
        <f t="shared" si="4"/>
        <v>179.33311963882625</v>
      </c>
      <c r="Z66" s="165">
        <f t="shared" si="2"/>
        <v>179.33311963882625</v>
      </c>
    </row>
    <row r="67" spans="1:26" ht="15" customHeight="1">
      <c r="A67" s="162" t="s">
        <v>168</v>
      </c>
      <c r="B67" s="165">
        <v>0</v>
      </c>
      <c r="C67" s="164"/>
      <c r="D67" s="165">
        <v>0</v>
      </c>
      <c r="E67" s="164"/>
      <c r="F67" s="165">
        <v>0</v>
      </c>
      <c r="G67" s="164"/>
      <c r="H67" s="165">
        <v>0</v>
      </c>
      <c r="I67" s="164"/>
      <c r="J67" s="165">
        <f>+'[8]WP-4 - Vehicle License'!E31*'[8]WP-8 - Cust Counts (x per wk)'!V112</f>
        <v>-730.75791366906469</v>
      </c>
      <c r="K67" s="164"/>
      <c r="L67" s="165">
        <v>0</v>
      </c>
      <c r="M67" s="164"/>
      <c r="N67" s="165">
        <v>0</v>
      </c>
      <c r="O67" s="165"/>
      <c r="P67" s="165">
        <f t="shared" si="3"/>
        <v>-730.75791366906469</v>
      </c>
      <c r="Q67" s="164"/>
      <c r="R67" s="165">
        <f>'Schedule 1 Results of Operation'!D67</f>
        <v>648.01937949640251</v>
      </c>
      <c r="S67" s="164"/>
      <c r="T67" s="165">
        <v>0</v>
      </c>
      <c r="U67" s="164"/>
      <c r="V67" s="165">
        <v>0</v>
      </c>
      <c r="W67" s="164"/>
      <c r="X67" s="165">
        <f t="shared" si="4"/>
        <v>648.01937949640251</v>
      </c>
      <c r="Z67" s="165">
        <f t="shared" si="2"/>
        <v>-82.738534172662185</v>
      </c>
    </row>
    <row r="68" spans="1:26" ht="15" customHeight="1">
      <c r="A68" s="162" t="s">
        <v>170</v>
      </c>
      <c r="B68" s="165">
        <v>0</v>
      </c>
      <c r="C68" s="164"/>
      <c r="D68" s="165">
        <v>0</v>
      </c>
      <c r="E68" s="164"/>
      <c r="F68" s="165">
        <v>0</v>
      </c>
      <c r="G68" s="164"/>
      <c r="H68" s="165">
        <v>0</v>
      </c>
      <c r="I68" s="164"/>
      <c r="J68" s="165">
        <f>-J67</f>
        <v>730.75791366906469</v>
      </c>
      <c r="K68" s="164"/>
      <c r="L68" s="165">
        <v>0</v>
      </c>
      <c r="M68" s="164"/>
      <c r="N68" s="165">
        <v>0</v>
      </c>
      <c r="O68" s="165"/>
      <c r="P68" s="165">
        <f t="shared" si="3"/>
        <v>730.75791366906469</v>
      </c>
      <c r="Q68" s="164"/>
      <c r="R68" s="165">
        <f>'Schedule 1 Results of Operation'!D68</f>
        <v>0</v>
      </c>
      <c r="S68" s="164"/>
      <c r="T68" s="165">
        <v>0</v>
      </c>
      <c r="U68" s="164"/>
      <c r="V68" s="165">
        <v>0</v>
      </c>
      <c r="W68" s="164"/>
      <c r="X68" s="165">
        <f t="shared" si="4"/>
        <v>0</v>
      </c>
      <c r="Z68" s="165">
        <f t="shared" si="2"/>
        <v>730.75791366906469</v>
      </c>
    </row>
    <row r="69" spans="1:26" ht="15" customHeight="1">
      <c r="A69" s="162" t="s">
        <v>171</v>
      </c>
      <c r="B69" s="165">
        <v>0</v>
      </c>
      <c r="C69" s="164"/>
      <c r="D69" s="165">
        <v>0</v>
      </c>
      <c r="E69" s="164"/>
      <c r="F69" s="165">
        <v>0</v>
      </c>
      <c r="G69" s="164"/>
      <c r="H69" s="165">
        <v>0</v>
      </c>
      <c r="I69" s="164"/>
      <c r="J69" s="165">
        <v>0</v>
      </c>
      <c r="K69" s="164"/>
      <c r="L69" s="165">
        <v>0</v>
      </c>
      <c r="M69" s="164"/>
      <c r="N69" s="165">
        <v>0</v>
      </c>
      <c r="O69" s="165"/>
      <c r="P69" s="165">
        <f t="shared" si="3"/>
        <v>0</v>
      </c>
      <c r="Q69" s="164"/>
      <c r="R69" s="165">
        <f>'Schedule 1 Results of Operation'!D69</f>
        <v>25.1355179856115</v>
      </c>
      <c r="S69" s="164"/>
      <c r="T69" s="165">
        <v>0</v>
      </c>
      <c r="U69" s="164"/>
      <c r="V69" s="165">
        <v>0</v>
      </c>
      <c r="W69" s="164"/>
      <c r="X69" s="165">
        <f t="shared" si="4"/>
        <v>25.1355179856115</v>
      </c>
      <c r="Z69" s="165">
        <f t="shared" si="2"/>
        <v>25.1355179856115</v>
      </c>
    </row>
    <row r="70" spans="1:26" ht="15" customHeight="1">
      <c r="A70" s="162" t="s">
        <v>172</v>
      </c>
      <c r="B70" s="165">
        <v>0</v>
      </c>
      <c r="C70" s="164"/>
      <c r="D70" s="165">
        <v>0</v>
      </c>
      <c r="E70" s="164"/>
      <c r="F70" s="165">
        <v>0</v>
      </c>
      <c r="G70" s="164"/>
      <c r="H70" s="165">
        <v>0</v>
      </c>
      <c r="I70" s="164"/>
      <c r="J70" s="165">
        <v>0</v>
      </c>
      <c r="K70" s="164"/>
      <c r="L70" s="165">
        <f>'Schedule 1 Results of Operation'!I70</f>
        <v>-1045.9548532731376</v>
      </c>
      <c r="M70" s="164"/>
      <c r="N70" s="165">
        <v>0</v>
      </c>
      <c r="O70" s="168"/>
      <c r="P70" s="165">
        <f t="shared" si="3"/>
        <v>-1045.9548532731376</v>
      </c>
      <c r="Q70" s="164"/>
      <c r="R70" s="165">
        <f>'Schedule 1 Results of Operation'!D70</f>
        <v>104.04514672686241</v>
      </c>
      <c r="S70" s="164"/>
      <c r="T70" s="165">
        <v>0</v>
      </c>
      <c r="U70" s="164"/>
      <c r="V70" s="165">
        <v>0</v>
      </c>
      <c r="W70" s="164"/>
      <c r="X70" s="165">
        <f t="shared" si="4"/>
        <v>104.04514672686241</v>
      </c>
      <c r="Z70" s="165">
        <f t="shared" si="2"/>
        <v>-941.90970654627517</v>
      </c>
    </row>
    <row r="71" spans="1:26" ht="15" customHeight="1">
      <c r="A71" s="162" t="s">
        <v>173</v>
      </c>
      <c r="B71" s="165">
        <v>0</v>
      </c>
      <c r="C71" s="164"/>
      <c r="D71" s="165">
        <v>0</v>
      </c>
      <c r="E71" s="164"/>
      <c r="F71" s="165">
        <v>0</v>
      </c>
      <c r="G71" s="164"/>
      <c r="H71" s="165">
        <v>0</v>
      </c>
      <c r="I71" s="164"/>
      <c r="J71" s="165">
        <v>0</v>
      </c>
      <c r="K71" s="164"/>
      <c r="L71" s="165">
        <v>0</v>
      </c>
      <c r="M71" s="164"/>
      <c r="N71" s="165">
        <v>0</v>
      </c>
      <c r="O71" s="168"/>
      <c r="P71" s="165">
        <f t="shared" si="3"/>
        <v>0</v>
      </c>
      <c r="Q71" s="164"/>
      <c r="R71" s="165">
        <f>'Schedule 1 Results of Operation'!D71</f>
        <v>6707.4202032082321</v>
      </c>
      <c r="S71" s="169"/>
      <c r="T71" s="165">
        <v>0</v>
      </c>
      <c r="U71" s="164"/>
      <c r="V71" s="165">
        <v>0</v>
      </c>
      <c r="W71" s="164"/>
      <c r="X71" s="165">
        <f t="shared" si="4"/>
        <v>6707.4202032082321</v>
      </c>
      <c r="Z71" s="165">
        <f t="shared" si="2"/>
        <v>6707.4202032082321</v>
      </c>
    </row>
    <row r="72" spans="1:26" ht="15" customHeight="1">
      <c r="A72" s="162" t="s">
        <v>174</v>
      </c>
      <c r="B72" s="165">
        <v>0</v>
      </c>
      <c r="C72" s="164"/>
      <c r="D72" s="165">
        <v>0</v>
      </c>
      <c r="E72" s="164"/>
      <c r="F72" s="165">
        <v>0</v>
      </c>
      <c r="G72" s="164"/>
      <c r="H72" s="165">
        <v>0</v>
      </c>
      <c r="I72" s="164"/>
      <c r="J72" s="165">
        <v>0</v>
      </c>
      <c r="K72" s="164"/>
      <c r="L72" s="165">
        <f>'Schedule 1 Results of Operation'!I72</f>
        <v>-84000.446465474874</v>
      </c>
      <c r="M72" s="175"/>
      <c r="N72" s="165">
        <v>0</v>
      </c>
      <c r="O72" s="165"/>
      <c r="P72" s="165">
        <f t="shared" si="3"/>
        <v>-84000.446465474874</v>
      </c>
      <c r="Q72" s="164"/>
      <c r="R72" s="165">
        <f>'Schedule 1 Results of Operation'!D72</f>
        <v>12485.417607223484</v>
      </c>
      <c r="S72" s="164"/>
      <c r="T72" s="165">
        <v>0</v>
      </c>
      <c r="U72" s="164"/>
      <c r="V72" s="165">
        <v>0</v>
      </c>
      <c r="W72" s="164"/>
      <c r="X72" s="165">
        <f t="shared" si="4"/>
        <v>12485.417607223484</v>
      </c>
      <c r="Z72" s="165">
        <f t="shared" si="2"/>
        <v>-71515.028858251389</v>
      </c>
    </row>
    <row r="73" spans="1:26" ht="15" customHeight="1">
      <c r="A73" s="162" t="s">
        <v>175</v>
      </c>
      <c r="B73" s="165">
        <v>0</v>
      </c>
      <c r="C73" s="164"/>
      <c r="D73" s="165">
        <v>0</v>
      </c>
      <c r="E73" s="164"/>
      <c r="F73" s="165">
        <v>0</v>
      </c>
      <c r="G73" s="164"/>
      <c r="H73" s="165">
        <v>0</v>
      </c>
      <c r="I73" s="164"/>
      <c r="J73" s="165">
        <v>0</v>
      </c>
      <c r="K73" s="164"/>
      <c r="L73" s="165">
        <f>'Schedule 1 Results of Operation'!I73</f>
        <v>-846.9505733634312</v>
      </c>
      <c r="M73" s="175"/>
      <c r="N73" s="165">
        <v>0</v>
      </c>
      <c r="O73" s="168"/>
      <c r="P73" s="165">
        <f t="shared" si="3"/>
        <v>-846.9505733634312</v>
      </c>
      <c r="Q73" s="164"/>
      <c r="R73" s="165">
        <f>'Schedule 1 Results of Operation'!D73</f>
        <v>468.84643069977483</v>
      </c>
      <c r="S73" s="164"/>
      <c r="T73" s="165">
        <v>0</v>
      </c>
      <c r="U73" s="164"/>
      <c r="V73" s="165">
        <v>0</v>
      </c>
      <c r="W73" s="164"/>
      <c r="X73" s="165">
        <f t="shared" si="4"/>
        <v>468.84643069977483</v>
      </c>
      <c r="Z73" s="165">
        <f t="shared" si="2"/>
        <v>-378.10414266365638</v>
      </c>
    </row>
    <row r="74" spans="1:26" ht="15" customHeight="1">
      <c r="A74" s="162" t="s">
        <v>176</v>
      </c>
      <c r="B74" s="165">
        <v>0</v>
      </c>
      <c r="C74" s="164"/>
      <c r="D74" s="165">
        <v>0</v>
      </c>
      <c r="E74" s="164"/>
      <c r="F74" s="168">
        <f>-'Schedule 1 Results of Operation'!F74</f>
        <v>-32704.007009892084</v>
      </c>
      <c r="G74" s="164"/>
      <c r="H74" s="165">
        <v>0</v>
      </c>
      <c r="I74" s="164"/>
      <c r="J74" s="165">
        <v>0</v>
      </c>
      <c r="K74" s="164"/>
      <c r="L74" s="165">
        <v>0</v>
      </c>
      <c r="M74" s="164"/>
      <c r="N74" s="165">
        <v>0</v>
      </c>
      <c r="O74" s="168"/>
      <c r="P74" s="165">
        <f t="shared" si="3"/>
        <v>-32704.007009892084</v>
      </c>
      <c r="Q74" s="164"/>
      <c r="R74" s="165">
        <f>'Schedule 1 Results of Operation'!D74</f>
        <v>3277.8429901079144</v>
      </c>
      <c r="S74" s="164"/>
      <c r="T74" s="165">
        <v>0</v>
      </c>
      <c r="U74" s="164"/>
      <c r="V74" s="165">
        <v>0</v>
      </c>
      <c r="W74" s="164"/>
      <c r="X74" s="165">
        <f t="shared" si="4"/>
        <v>3277.8429901079144</v>
      </c>
      <c r="Z74" s="165">
        <f t="shared" si="2"/>
        <v>-29426.16401978417</v>
      </c>
    </row>
    <row r="75" spans="1:26" ht="15" customHeight="1">
      <c r="A75" s="162" t="s">
        <v>177</v>
      </c>
      <c r="B75" s="165">
        <v>0</v>
      </c>
      <c r="C75" s="164"/>
      <c r="D75" s="165">
        <v>0</v>
      </c>
      <c r="E75" s="164"/>
      <c r="F75" s="168">
        <f>-'Schedule 1 Results of Operation'!F75</f>
        <v>-61235.608790067716</v>
      </c>
      <c r="G75" s="164"/>
      <c r="H75" s="165">
        <v>0</v>
      </c>
      <c r="I75" s="164"/>
      <c r="J75" s="165">
        <v>0</v>
      </c>
      <c r="K75" s="164"/>
      <c r="L75" s="165">
        <v>0</v>
      </c>
      <c r="M75" s="164"/>
      <c r="N75" s="165">
        <v>0</v>
      </c>
      <c r="O75" s="168"/>
      <c r="P75" s="165">
        <f t="shared" si="3"/>
        <v>-61235.608790067716</v>
      </c>
      <c r="Q75" s="164"/>
      <c r="R75" s="165">
        <f>'Schedule 1 Results of Operation'!D75</f>
        <v>6091.3412099322813</v>
      </c>
      <c r="S75" s="164"/>
      <c r="T75" s="165">
        <v>0</v>
      </c>
      <c r="U75" s="164"/>
      <c r="V75" s="165">
        <v>0</v>
      </c>
      <c r="W75" s="164"/>
      <c r="X75" s="165">
        <f t="shared" si="4"/>
        <v>6091.3412099322813</v>
      </c>
      <c r="Z75" s="165">
        <f t="shared" si="2"/>
        <v>-55144.267580135434</v>
      </c>
    </row>
    <row r="76" spans="1:26" ht="15" customHeight="1">
      <c r="A76" s="162" t="s">
        <v>178</v>
      </c>
      <c r="B76" s="165">
        <v>0</v>
      </c>
      <c r="C76" s="164"/>
      <c r="D76" s="165">
        <v>0</v>
      </c>
      <c r="E76" s="164"/>
      <c r="F76" s="165">
        <v>0</v>
      </c>
      <c r="G76" s="164"/>
      <c r="H76" s="165">
        <v>0</v>
      </c>
      <c r="I76" s="164"/>
      <c r="J76" s="165">
        <v>0</v>
      </c>
      <c r="K76" s="164"/>
      <c r="L76" s="165">
        <f>'Schedule 1 Results of Operation'!I76</f>
        <v>-18461.748923702031</v>
      </c>
      <c r="M76" s="175"/>
      <c r="N76" s="165">
        <v>0</v>
      </c>
      <c r="O76" s="165"/>
      <c r="P76" s="165">
        <f t="shared" si="3"/>
        <v>-18461.748923702031</v>
      </c>
      <c r="Q76" s="164"/>
      <c r="R76" s="165">
        <f>'Schedule 1 Results of Operation'!D76</f>
        <v>2165.9141525959385</v>
      </c>
      <c r="S76" s="164"/>
      <c r="T76" s="165">
        <v>0</v>
      </c>
      <c r="U76" s="164"/>
      <c r="V76" s="165">
        <v>0</v>
      </c>
      <c r="W76" s="164"/>
      <c r="X76" s="165">
        <f t="shared" si="4"/>
        <v>2165.9141525959385</v>
      </c>
      <c r="Z76" s="165">
        <f t="shared" si="2"/>
        <v>-16295.834771106092</v>
      </c>
    </row>
    <row r="77" spans="1:26" ht="15" customHeight="1">
      <c r="A77" s="162" t="s">
        <v>179</v>
      </c>
      <c r="B77" s="165">
        <v>0</v>
      </c>
      <c r="C77" s="164"/>
      <c r="D77" s="165">
        <v>0</v>
      </c>
      <c r="E77" s="164"/>
      <c r="F77" s="165">
        <f>-'Schedule 1 Results of Operation'!F77</f>
        <v>-406.74000902934529</v>
      </c>
      <c r="G77" s="164"/>
      <c r="H77" s="165">
        <v>0</v>
      </c>
      <c r="I77" s="164"/>
      <c r="J77" s="165">
        <v>0</v>
      </c>
      <c r="K77" s="164"/>
      <c r="L77" s="165">
        <v>0</v>
      </c>
      <c r="M77" s="164"/>
      <c r="N77" s="165">
        <v>0</v>
      </c>
      <c r="O77" s="165"/>
      <c r="P77" s="165">
        <f t="shared" si="3"/>
        <v>-406.74000902934529</v>
      </c>
      <c r="Q77" s="164"/>
      <c r="R77" s="165">
        <f>'Schedule 1 Results of Operation'!D77</f>
        <v>40.459990970654644</v>
      </c>
      <c r="S77" s="164"/>
      <c r="T77" s="165">
        <v>0</v>
      </c>
      <c r="U77" s="164"/>
      <c r="V77" s="165">
        <v>0</v>
      </c>
      <c r="W77" s="164"/>
      <c r="X77" s="165">
        <f t="shared" si="4"/>
        <v>40.459990970654644</v>
      </c>
      <c r="Z77" s="165">
        <f t="shared" si="2"/>
        <v>-366.28001805869064</v>
      </c>
    </row>
    <row r="78" spans="1:26" ht="15" customHeight="1">
      <c r="A78" s="162" t="s">
        <v>180</v>
      </c>
      <c r="B78" s="165">
        <v>0</v>
      </c>
      <c r="C78" s="164"/>
      <c r="D78" s="165">
        <v>0</v>
      </c>
      <c r="E78" s="164"/>
      <c r="F78" s="165">
        <v>0</v>
      </c>
      <c r="G78" s="164"/>
      <c r="H78" s="165">
        <v>0</v>
      </c>
      <c r="I78" s="164"/>
      <c r="J78" s="165">
        <v>0</v>
      </c>
      <c r="K78" s="164"/>
      <c r="L78" s="165">
        <v>0</v>
      </c>
      <c r="M78" s="164"/>
      <c r="N78" s="165">
        <v>0</v>
      </c>
      <c r="O78" s="165"/>
      <c r="P78" s="165">
        <f t="shared" si="3"/>
        <v>0</v>
      </c>
      <c r="Q78" s="164"/>
      <c r="R78" s="165">
        <f>'Schedule 1 Results of Operation'!D78</f>
        <v>167.60858871331834</v>
      </c>
      <c r="S78" s="164"/>
      <c r="T78" s="165">
        <v>0</v>
      </c>
      <c r="U78" s="164"/>
      <c r="V78" s="165">
        <v>0</v>
      </c>
      <c r="W78" s="164"/>
      <c r="X78" s="165">
        <f t="shared" si="4"/>
        <v>167.60858871331834</v>
      </c>
      <c r="Z78" s="165">
        <f t="shared" ref="Z78:Z97" si="5">P78+X78</f>
        <v>167.60858871331834</v>
      </c>
    </row>
    <row r="79" spans="1:26" ht="15" customHeight="1">
      <c r="A79" s="162" t="s">
        <v>181</v>
      </c>
      <c r="B79" s="165">
        <v>0</v>
      </c>
      <c r="C79" s="164"/>
      <c r="D79" s="165">
        <v>0</v>
      </c>
      <c r="E79" s="164"/>
      <c r="F79" s="168">
        <f>-'Schedule 1 Results of Operation'!F79</f>
        <v>-99155.110325056434</v>
      </c>
      <c r="G79" s="164"/>
      <c r="H79" s="165">
        <v>0</v>
      </c>
      <c r="I79" s="164"/>
      <c r="J79" s="165">
        <v>0</v>
      </c>
      <c r="K79" s="164"/>
      <c r="L79" s="165">
        <v>0</v>
      </c>
      <c r="M79" s="164"/>
      <c r="N79" s="165">
        <v>0</v>
      </c>
      <c r="O79" s="168"/>
      <c r="P79" s="165">
        <f t="shared" si="3"/>
        <v>-99155.110325056434</v>
      </c>
      <c r="Q79" s="164"/>
      <c r="R79" s="165">
        <f>'Schedule 1 Results of Operation'!D79</f>
        <v>9863.3396749435778</v>
      </c>
      <c r="S79" s="164"/>
      <c r="T79" s="165">
        <v>0</v>
      </c>
      <c r="U79" s="164"/>
      <c r="V79" s="165">
        <v>0</v>
      </c>
      <c r="W79" s="164"/>
      <c r="X79" s="165">
        <f t="shared" si="4"/>
        <v>9863.3396749435778</v>
      </c>
      <c r="Z79" s="165">
        <f t="shared" si="5"/>
        <v>-89291.770650112856</v>
      </c>
    </row>
    <row r="80" spans="1:26" ht="15" customHeight="1">
      <c r="A80" s="162" t="s">
        <v>78</v>
      </c>
      <c r="B80" s="165">
        <v>0</v>
      </c>
      <c r="C80" s="164"/>
      <c r="D80" s="165">
        <v>0</v>
      </c>
      <c r="E80" s="164"/>
      <c r="F80" s="165">
        <v>0</v>
      </c>
      <c r="G80" s="164"/>
      <c r="H80" s="165">
        <v>0</v>
      </c>
      <c r="I80" s="164"/>
      <c r="J80" s="165">
        <v>0</v>
      </c>
      <c r="K80" s="164"/>
      <c r="L80" s="165">
        <f>'Schedule 1 Results of Operation'!I80</f>
        <v>-4869.670431954195</v>
      </c>
      <c r="M80" s="175"/>
      <c r="N80" s="165">
        <v>0</v>
      </c>
      <c r="O80" s="165"/>
      <c r="P80" s="165">
        <f t="shared" si="3"/>
        <v>-4869.670431954195</v>
      </c>
      <c r="Q80" s="164"/>
      <c r="R80" s="165">
        <f>'Schedule 1 Results of Operation'!D80</f>
        <v>1097.3795431151248</v>
      </c>
      <c r="S80" s="164"/>
      <c r="T80" s="165">
        <v>0</v>
      </c>
      <c r="U80" s="164"/>
      <c r="V80" s="165">
        <v>0</v>
      </c>
      <c r="W80" s="164"/>
      <c r="X80" s="165">
        <f t="shared" si="4"/>
        <v>1097.3795431151248</v>
      </c>
      <c r="Z80" s="165">
        <f t="shared" si="5"/>
        <v>-3772.2908888390702</v>
      </c>
    </row>
    <row r="81" spans="1:26" ht="15" customHeight="1">
      <c r="A81" s="162" t="s">
        <v>182</v>
      </c>
      <c r="B81" s="165">
        <v>0</v>
      </c>
      <c r="C81" s="164"/>
      <c r="D81" s="165">
        <v>0</v>
      </c>
      <c r="E81" s="164"/>
      <c r="F81" s="165">
        <v>0</v>
      </c>
      <c r="G81" s="164"/>
      <c r="H81" s="165">
        <v>0</v>
      </c>
      <c r="I81" s="164"/>
      <c r="J81" s="165">
        <v>0</v>
      </c>
      <c r="K81" s="164"/>
      <c r="L81" s="165">
        <v>0</v>
      </c>
      <c r="M81" s="164"/>
      <c r="N81" s="165">
        <v>0</v>
      </c>
      <c r="O81" s="165"/>
      <c r="P81" s="165">
        <f t="shared" si="3"/>
        <v>0</v>
      </c>
      <c r="Q81" s="164"/>
      <c r="R81" s="165">
        <f>'Schedule 1 Results of Operation'!D81</f>
        <v>119.01860045146736</v>
      </c>
      <c r="S81" s="164"/>
      <c r="T81" s="165">
        <v>0</v>
      </c>
      <c r="U81" s="164"/>
      <c r="V81" s="165">
        <v>0</v>
      </c>
      <c r="W81" s="164"/>
      <c r="X81" s="165">
        <f t="shared" si="4"/>
        <v>119.01860045146736</v>
      </c>
      <c r="Z81" s="165">
        <f t="shared" si="5"/>
        <v>119.01860045146736</v>
      </c>
    </row>
    <row r="82" spans="1:26" ht="15" customHeight="1">
      <c r="A82" s="162" t="s">
        <v>183</v>
      </c>
      <c r="B82" s="165">
        <v>0</v>
      </c>
      <c r="C82" s="164"/>
      <c r="D82" s="165">
        <v>0</v>
      </c>
      <c r="E82" s="164"/>
      <c r="F82" s="165">
        <f>-'Schedule 1 Results of Operation'!F82</f>
        <v>-41281.0185282167</v>
      </c>
      <c r="G82" s="164"/>
      <c r="H82" s="165">
        <v>0</v>
      </c>
      <c r="I82" s="164"/>
      <c r="J82" s="165">
        <v>0</v>
      </c>
      <c r="K82" s="164"/>
      <c r="L82" s="165">
        <v>0</v>
      </c>
      <c r="M82" s="164"/>
      <c r="N82" s="165">
        <v>0</v>
      </c>
      <c r="O82" s="165"/>
      <c r="P82" s="165">
        <f t="shared" si="3"/>
        <v>-41281.0185282167</v>
      </c>
      <c r="Q82" s="164"/>
      <c r="R82" s="165">
        <f>'Schedule 1 Results of Operation'!D82</f>
        <v>4106.3814717833011</v>
      </c>
      <c r="S82" s="164"/>
      <c r="T82" s="165">
        <v>0</v>
      </c>
      <c r="U82" s="164"/>
      <c r="V82" s="165">
        <v>0</v>
      </c>
      <c r="W82" s="164"/>
      <c r="X82" s="165">
        <f t="shared" si="4"/>
        <v>4106.3814717833011</v>
      </c>
      <c r="Z82" s="165">
        <f t="shared" si="5"/>
        <v>-37174.637056433399</v>
      </c>
    </row>
    <row r="83" spans="1:26" ht="15" customHeight="1">
      <c r="A83" s="162" t="s">
        <v>184</v>
      </c>
      <c r="B83" s="165">
        <v>0</v>
      </c>
      <c r="C83" s="164"/>
      <c r="D83" s="165">
        <v>0</v>
      </c>
      <c r="E83" s="164"/>
      <c r="F83" s="165">
        <v>0</v>
      </c>
      <c r="G83" s="164"/>
      <c r="H83" s="165">
        <f>-'Schedule 1 Results of Operation'!F83</f>
        <v>-46035.183479909698</v>
      </c>
      <c r="I83" s="164"/>
      <c r="J83" s="165">
        <v>0</v>
      </c>
      <c r="K83" s="164"/>
      <c r="L83" s="165">
        <v>0</v>
      </c>
      <c r="M83" s="164"/>
      <c r="N83" s="165">
        <v>0</v>
      </c>
      <c r="O83" s="165"/>
      <c r="P83" s="165">
        <f t="shared" si="3"/>
        <v>-46035.183479909698</v>
      </c>
      <c r="Q83" s="164"/>
      <c r="R83" s="165">
        <f>'Schedule 1 Results of Operation'!D83</f>
        <v>4579.2965200902981</v>
      </c>
      <c r="S83" s="164"/>
      <c r="T83" s="165">
        <v>0</v>
      </c>
      <c r="U83" s="164"/>
      <c r="V83" s="165">
        <v>0</v>
      </c>
      <c r="W83" s="164"/>
      <c r="X83" s="165">
        <f t="shared" si="4"/>
        <v>4579.2965200902981</v>
      </c>
      <c r="Z83" s="165">
        <f t="shared" si="5"/>
        <v>-41455.8869598194</v>
      </c>
    </row>
    <row r="84" spans="1:26" ht="15" customHeight="1">
      <c r="A84" s="162" t="s">
        <v>186</v>
      </c>
      <c r="B84" s="165">
        <v>0</v>
      </c>
      <c r="C84" s="164"/>
      <c r="D84" s="165">
        <v>0</v>
      </c>
      <c r="E84" s="164"/>
      <c r="F84" s="165">
        <v>0</v>
      </c>
      <c r="G84" s="164"/>
      <c r="H84" s="165">
        <v>0</v>
      </c>
      <c r="I84" s="164"/>
      <c r="J84" s="165">
        <v>0</v>
      </c>
      <c r="K84" s="164"/>
      <c r="L84" s="165">
        <v>0</v>
      </c>
      <c r="M84" s="164"/>
      <c r="N84" s="165">
        <v>0</v>
      </c>
      <c r="O84" s="165"/>
      <c r="P84" s="165">
        <f t="shared" si="3"/>
        <v>0</v>
      </c>
      <c r="Q84" s="164"/>
      <c r="R84" s="165">
        <f>'Schedule 1 Results of Operation'!D84</f>
        <v>45.735532279909705</v>
      </c>
      <c r="S84" s="164"/>
      <c r="T84" s="165">
        <v>0</v>
      </c>
      <c r="U84" s="164"/>
      <c r="V84" s="165">
        <v>0</v>
      </c>
      <c r="W84" s="164"/>
      <c r="X84" s="165">
        <f t="shared" si="4"/>
        <v>45.735532279909705</v>
      </c>
      <c r="Z84" s="165">
        <f t="shared" si="5"/>
        <v>45.735532279909705</v>
      </c>
    </row>
    <row r="85" spans="1:26" ht="15" customHeight="1">
      <c r="A85" s="162" t="s">
        <v>187</v>
      </c>
      <c r="B85" s="165">
        <v>0</v>
      </c>
      <c r="C85" s="164"/>
      <c r="D85" s="165">
        <v>0</v>
      </c>
      <c r="E85" s="164"/>
      <c r="F85" s="165">
        <v>0</v>
      </c>
      <c r="G85" s="164"/>
      <c r="H85" s="165">
        <v>0</v>
      </c>
      <c r="I85" s="164"/>
      <c r="J85" s="165">
        <v>0</v>
      </c>
      <c r="K85" s="164"/>
      <c r="L85" s="165">
        <v>0</v>
      </c>
      <c r="M85" s="164"/>
      <c r="N85" s="165">
        <v>0</v>
      </c>
      <c r="O85" s="165"/>
      <c r="P85" s="165">
        <f t="shared" si="3"/>
        <v>0</v>
      </c>
      <c r="Q85" s="164"/>
      <c r="R85" s="165">
        <f>'Schedule 1 Results of Operation'!D85</f>
        <v>2168.9341760722345</v>
      </c>
      <c r="S85" s="164"/>
      <c r="T85" s="165">
        <v>0</v>
      </c>
      <c r="U85" s="164"/>
      <c r="V85" s="165">
        <v>0</v>
      </c>
      <c r="W85" s="164"/>
      <c r="X85" s="165">
        <f t="shared" si="4"/>
        <v>2168.9341760722345</v>
      </c>
      <c r="Z85" s="165">
        <f t="shared" si="5"/>
        <v>2168.9341760722345</v>
      </c>
    </row>
    <row r="86" spans="1:26" ht="15" customHeight="1">
      <c r="A86" s="162" t="s">
        <v>188</v>
      </c>
      <c r="B86" s="165">
        <v>0</v>
      </c>
      <c r="C86" s="164"/>
      <c r="D86" s="165">
        <v>0</v>
      </c>
      <c r="E86" s="164"/>
      <c r="F86" s="165">
        <v>0</v>
      </c>
      <c r="G86" s="164"/>
      <c r="H86" s="165">
        <v>0</v>
      </c>
      <c r="I86" s="164"/>
      <c r="J86" s="165">
        <v>0</v>
      </c>
      <c r="K86" s="164"/>
      <c r="L86" s="165">
        <v>0</v>
      </c>
      <c r="M86" s="164"/>
      <c r="N86" s="165">
        <v>0</v>
      </c>
      <c r="O86" s="165"/>
      <c r="P86" s="165">
        <f t="shared" si="3"/>
        <v>0</v>
      </c>
      <c r="Q86" s="164"/>
      <c r="R86" s="165">
        <f>'Schedule 1 Results of Operation'!D86</f>
        <v>718.53668803611799</v>
      </c>
      <c r="S86" s="164"/>
      <c r="T86" s="165">
        <v>0</v>
      </c>
      <c r="U86" s="164"/>
      <c r="V86" s="165">
        <v>0</v>
      </c>
      <c r="W86" s="164"/>
      <c r="X86" s="165">
        <f t="shared" si="4"/>
        <v>718.53668803611799</v>
      </c>
      <c r="Z86" s="165">
        <f t="shared" si="5"/>
        <v>718.53668803611799</v>
      </c>
    </row>
    <row r="87" spans="1:26" ht="15" customHeight="1">
      <c r="A87" s="162" t="s">
        <v>189</v>
      </c>
      <c r="B87" s="165">
        <f>'Schedule 1 Results of Operation'!I87</f>
        <v>-248512.41000000003</v>
      </c>
      <c r="C87" s="164"/>
      <c r="D87" s="165">
        <v>0</v>
      </c>
      <c r="E87" s="164"/>
      <c r="F87" s="165">
        <v>0</v>
      </c>
      <c r="G87" s="164"/>
      <c r="H87" s="165">
        <v>0</v>
      </c>
      <c r="I87" s="164"/>
      <c r="J87" s="165">
        <v>0</v>
      </c>
      <c r="K87" s="164"/>
      <c r="L87" s="165">
        <v>0</v>
      </c>
      <c r="M87" s="164"/>
      <c r="N87" s="165">
        <v>0</v>
      </c>
      <c r="O87" s="165"/>
      <c r="P87" s="165">
        <f t="shared" si="3"/>
        <v>-248512.41000000003</v>
      </c>
      <c r="Q87" s="164"/>
      <c r="R87" s="165">
        <f>'Schedule 1 Results of Operation'!D87</f>
        <v>0</v>
      </c>
      <c r="S87" s="164"/>
      <c r="T87" s="165">
        <v>0</v>
      </c>
      <c r="U87" s="164"/>
      <c r="V87" s="165">
        <v>0</v>
      </c>
      <c r="W87" s="164"/>
      <c r="X87" s="165">
        <f t="shared" si="4"/>
        <v>0</v>
      </c>
      <c r="Z87" s="165">
        <f t="shared" si="5"/>
        <v>-248512.41000000003</v>
      </c>
    </row>
    <row r="88" spans="1:26" ht="15" customHeight="1">
      <c r="A88" s="162" t="s">
        <v>191</v>
      </c>
      <c r="B88" s="165">
        <f>'Schedule 1 Results of Operation'!I88</f>
        <v>108611.42480263657</v>
      </c>
      <c r="C88" s="164"/>
      <c r="D88" s="165">
        <v>0</v>
      </c>
      <c r="E88" s="164"/>
      <c r="F88" s="165">
        <v>0</v>
      </c>
      <c r="G88" s="164"/>
      <c r="H88" s="165">
        <v>0</v>
      </c>
      <c r="I88" s="164"/>
      <c r="J88" s="165">
        <v>0</v>
      </c>
      <c r="K88" s="164"/>
      <c r="L88" s="165">
        <v>0</v>
      </c>
      <c r="M88" s="164"/>
      <c r="N88" s="165">
        <v>0</v>
      </c>
      <c r="O88" s="165"/>
      <c r="P88" s="165">
        <f t="shared" ref="P88:P96" si="6">SUM(B88:O88)</f>
        <v>108611.42480263657</v>
      </c>
      <c r="Q88" s="164"/>
      <c r="R88" s="165">
        <f>'Schedule 1 Results of Operation'!D88</f>
        <v>0</v>
      </c>
      <c r="S88" s="164"/>
      <c r="T88" s="165">
        <v>0</v>
      </c>
      <c r="U88" s="164"/>
      <c r="V88" s="165">
        <v>0</v>
      </c>
      <c r="W88" s="164"/>
      <c r="X88" s="165">
        <f t="shared" ref="X88:X96" si="7">SUM(R88:V88)</f>
        <v>0</v>
      </c>
      <c r="Z88" s="165">
        <f t="shared" si="5"/>
        <v>108611.42480263657</v>
      </c>
    </row>
    <row r="89" spans="1:26" ht="15" customHeight="1">
      <c r="A89" s="162" t="s">
        <v>192</v>
      </c>
      <c r="B89" s="165">
        <f>'Schedule 1 Results of Operation'!I89</f>
        <v>18226.792510574265</v>
      </c>
      <c r="C89" s="164"/>
      <c r="D89" s="165">
        <v>0</v>
      </c>
      <c r="E89" s="164"/>
      <c r="F89" s="165">
        <v>0</v>
      </c>
      <c r="G89" s="164"/>
      <c r="H89" s="165">
        <v>0</v>
      </c>
      <c r="I89" s="164"/>
      <c r="J89" s="165">
        <v>0</v>
      </c>
      <c r="K89" s="164"/>
      <c r="L89" s="165">
        <v>0</v>
      </c>
      <c r="M89" s="164"/>
      <c r="N89" s="165">
        <v>0</v>
      </c>
      <c r="O89" s="165"/>
      <c r="P89" s="165">
        <f t="shared" si="6"/>
        <v>18226.792510574265</v>
      </c>
      <c r="Q89" s="164"/>
      <c r="R89" s="165">
        <f>'Schedule 1 Results of Operation'!D89</f>
        <v>0</v>
      </c>
      <c r="S89" s="164"/>
      <c r="T89" s="165">
        <v>0</v>
      </c>
      <c r="U89" s="164"/>
      <c r="V89" s="165">
        <v>0</v>
      </c>
      <c r="W89" s="164"/>
      <c r="X89" s="165">
        <f t="shared" si="7"/>
        <v>0</v>
      </c>
      <c r="Z89" s="165">
        <f t="shared" si="5"/>
        <v>18226.792510574265</v>
      </c>
    </row>
    <row r="90" spans="1:26" ht="15" customHeight="1">
      <c r="A90" s="162" t="s">
        <v>193</v>
      </c>
      <c r="B90" s="165">
        <f>'Schedule 1 Results of Operation'!I90</f>
        <v>318.334085778781</v>
      </c>
      <c r="C90" s="164"/>
      <c r="D90" s="165">
        <v>0</v>
      </c>
      <c r="E90" s="164"/>
      <c r="F90" s="165">
        <v>0</v>
      </c>
      <c r="G90" s="164"/>
      <c r="H90" s="165">
        <v>0</v>
      </c>
      <c r="I90" s="164"/>
      <c r="J90" s="165">
        <v>0</v>
      </c>
      <c r="K90" s="164"/>
      <c r="L90" s="165">
        <v>0</v>
      </c>
      <c r="M90" s="164"/>
      <c r="N90" s="165">
        <v>0</v>
      </c>
      <c r="O90" s="165"/>
      <c r="P90" s="165">
        <f>SUM(B90:O90)</f>
        <v>318.334085778781</v>
      </c>
      <c r="Q90" s="164"/>
      <c r="R90" s="165">
        <f>'Schedule 1 Results of Operation'!D90</f>
        <v>0</v>
      </c>
      <c r="S90" s="164"/>
      <c r="T90" s="165">
        <v>0</v>
      </c>
      <c r="U90" s="164"/>
      <c r="V90" s="165">
        <v>0</v>
      </c>
      <c r="W90" s="164"/>
      <c r="X90" s="165">
        <f t="shared" si="7"/>
        <v>0</v>
      </c>
      <c r="Z90" s="165">
        <f t="shared" si="5"/>
        <v>318.334085778781</v>
      </c>
    </row>
    <row r="91" spans="1:26" ht="15" customHeight="1">
      <c r="A91" s="162" t="s">
        <v>194</v>
      </c>
      <c r="B91" s="165">
        <f>'Schedule 1 Results of Operation'!I91</f>
        <v>1911.7565648457478</v>
      </c>
      <c r="C91" s="169"/>
      <c r="D91" s="165">
        <v>0</v>
      </c>
      <c r="E91" s="164"/>
      <c r="F91" s="165">
        <v>0</v>
      </c>
      <c r="G91" s="164"/>
      <c r="H91" s="165">
        <v>0</v>
      </c>
      <c r="I91" s="164"/>
      <c r="J91" s="165">
        <v>0</v>
      </c>
      <c r="K91" s="164"/>
      <c r="L91" s="165">
        <v>0</v>
      </c>
      <c r="M91" s="164"/>
      <c r="N91" s="165">
        <v>0</v>
      </c>
      <c r="O91" s="168"/>
      <c r="P91" s="165">
        <f t="shared" si="6"/>
        <v>1911.7565648457478</v>
      </c>
      <c r="Q91" s="164"/>
      <c r="R91" s="165">
        <f>'Schedule 1 Results of Operation'!D91</f>
        <v>0</v>
      </c>
      <c r="S91" s="164"/>
      <c r="T91" s="165">
        <v>0</v>
      </c>
      <c r="U91" s="164"/>
      <c r="V91" s="165">
        <v>0</v>
      </c>
      <c r="W91" s="164"/>
      <c r="X91" s="165">
        <f t="shared" si="7"/>
        <v>0</v>
      </c>
      <c r="Z91" s="165">
        <f t="shared" si="5"/>
        <v>1911.7565648457478</v>
      </c>
    </row>
    <row r="92" spans="1:26" ht="15" customHeight="1">
      <c r="A92" s="162" t="s">
        <v>195</v>
      </c>
      <c r="B92" s="165">
        <f>'Schedule 1 Results of Operation'!I92</f>
        <v>2489.2211147178327</v>
      </c>
      <c r="C92" s="169"/>
      <c r="D92" s="165">
        <v>0</v>
      </c>
      <c r="E92" s="164"/>
      <c r="F92" s="165">
        <v>0</v>
      </c>
      <c r="G92" s="164"/>
      <c r="H92" s="165">
        <v>0</v>
      </c>
      <c r="I92" s="164"/>
      <c r="J92" s="165">
        <v>0</v>
      </c>
      <c r="K92" s="164"/>
      <c r="L92" s="165">
        <v>0</v>
      </c>
      <c r="M92" s="164"/>
      <c r="N92" s="165">
        <v>0</v>
      </c>
      <c r="O92" s="168"/>
      <c r="P92" s="165">
        <f t="shared" si="6"/>
        <v>2489.2211147178327</v>
      </c>
      <c r="Q92" s="164"/>
      <c r="R92" s="165">
        <f>'Schedule 1 Results of Operation'!D92</f>
        <v>0</v>
      </c>
      <c r="S92" s="164"/>
      <c r="T92" s="165">
        <v>0</v>
      </c>
      <c r="U92" s="164"/>
      <c r="V92" s="165">
        <v>0</v>
      </c>
      <c r="W92" s="164"/>
      <c r="X92" s="165">
        <f t="shared" si="7"/>
        <v>0</v>
      </c>
      <c r="Z92" s="165">
        <f t="shared" si="5"/>
        <v>2489.2211147178327</v>
      </c>
    </row>
    <row r="93" spans="1:26" ht="15" customHeight="1">
      <c r="A93" s="162" t="s">
        <v>196</v>
      </c>
      <c r="B93" s="165">
        <f>'Schedule 1 Results of Operation'!I93</f>
        <v>3631.4226803956858</v>
      </c>
      <c r="C93" s="169"/>
      <c r="D93" s="165">
        <v>0</v>
      </c>
      <c r="E93" s="164"/>
      <c r="F93" s="165">
        <v>0</v>
      </c>
      <c r="G93" s="164"/>
      <c r="H93" s="165">
        <v>0</v>
      </c>
      <c r="I93" s="164"/>
      <c r="J93" s="165">
        <v>0</v>
      </c>
      <c r="K93" s="164"/>
      <c r="L93" s="165">
        <v>0</v>
      </c>
      <c r="M93" s="164"/>
      <c r="N93" s="165">
        <v>0</v>
      </c>
      <c r="O93" s="168"/>
      <c r="P93" s="165">
        <f t="shared" si="6"/>
        <v>3631.4226803956858</v>
      </c>
      <c r="Q93" s="164"/>
      <c r="R93" s="165">
        <f>'Schedule 1 Results of Operation'!D93</f>
        <v>0</v>
      </c>
      <c r="S93" s="164"/>
      <c r="T93" s="165">
        <v>0</v>
      </c>
      <c r="U93" s="164"/>
      <c r="V93" s="165">
        <v>0</v>
      </c>
      <c r="W93" s="164"/>
      <c r="X93" s="165">
        <f t="shared" si="7"/>
        <v>0</v>
      </c>
      <c r="Z93" s="165">
        <f t="shared" si="5"/>
        <v>3631.4226803956858</v>
      </c>
    </row>
    <row r="94" spans="1:26" ht="15" customHeight="1">
      <c r="A94" s="162" t="s">
        <v>197</v>
      </c>
      <c r="B94" s="165">
        <f>'Schedule 1 Results of Operation'!I94</f>
        <v>28367.212546588358</v>
      </c>
      <c r="C94" s="169"/>
      <c r="D94" s="165">
        <v>0</v>
      </c>
      <c r="E94" s="164"/>
      <c r="F94" s="165">
        <v>0</v>
      </c>
      <c r="G94" s="164"/>
      <c r="H94" s="165">
        <v>0</v>
      </c>
      <c r="I94" s="164"/>
      <c r="J94" s="165">
        <v>0</v>
      </c>
      <c r="K94" s="164"/>
      <c r="L94" s="165">
        <v>0</v>
      </c>
      <c r="M94" s="164"/>
      <c r="N94" s="165">
        <v>0</v>
      </c>
      <c r="O94" s="168"/>
      <c r="P94" s="165">
        <f t="shared" si="6"/>
        <v>28367.212546588358</v>
      </c>
      <c r="Q94" s="164"/>
      <c r="R94" s="165">
        <f>'Schedule 1 Results of Operation'!D94</f>
        <v>0</v>
      </c>
      <c r="S94" s="164"/>
      <c r="T94" s="165">
        <v>0</v>
      </c>
      <c r="U94" s="164"/>
      <c r="V94" s="165">
        <v>0</v>
      </c>
      <c r="W94" s="164"/>
      <c r="X94" s="165">
        <f t="shared" si="7"/>
        <v>0</v>
      </c>
      <c r="Z94" s="165">
        <f t="shared" si="5"/>
        <v>28367.212546588358</v>
      </c>
    </row>
    <row r="95" spans="1:26" ht="15" customHeight="1">
      <c r="A95" s="162" t="s">
        <v>198</v>
      </c>
      <c r="B95" s="165">
        <f>'Schedule 1 Results of Operation'!I95</f>
        <v>23687.906285714282</v>
      </c>
      <c r="C95" s="169"/>
      <c r="D95" s="165">
        <v>0</v>
      </c>
      <c r="E95" s="164"/>
      <c r="F95" s="165">
        <v>0</v>
      </c>
      <c r="G95" s="164"/>
      <c r="H95" s="165">
        <v>0</v>
      </c>
      <c r="I95" s="164"/>
      <c r="J95" s="165">
        <v>0</v>
      </c>
      <c r="K95" s="164"/>
      <c r="L95" s="165">
        <v>0</v>
      </c>
      <c r="M95" s="164"/>
      <c r="N95" s="165">
        <v>0</v>
      </c>
      <c r="O95" s="168"/>
      <c r="P95" s="165">
        <f t="shared" si="6"/>
        <v>23687.906285714282</v>
      </c>
      <c r="Q95" s="164"/>
      <c r="R95" s="165">
        <f>'Schedule 1 Results of Operation'!D95</f>
        <v>0</v>
      </c>
      <c r="S95" s="164"/>
      <c r="T95" s="165">
        <v>0</v>
      </c>
      <c r="U95" s="164"/>
      <c r="V95" s="165">
        <v>0</v>
      </c>
      <c r="W95" s="164"/>
      <c r="X95" s="165">
        <f t="shared" si="7"/>
        <v>0</v>
      </c>
      <c r="Z95" s="165">
        <f t="shared" si="5"/>
        <v>23687.906285714282</v>
      </c>
    </row>
    <row r="96" spans="1:26" ht="15" customHeight="1">
      <c r="A96" s="162" t="s">
        <v>199</v>
      </c>
      <c r="B96" s="165">
        <f>'Schedule 1 Results of Operation'!I96</f>
        <v>6227.8397499999955</v>
      </c>
      <c r="C96" s="169"/>
      <c r="D96" s="170">
        <v>0</v>
      </c>
      <c r="E96" s="164"/>
      <c r="F96" s="170">
        <v>0</v>
      </c>
      <c r="G96" s="164"/>
      <c r="H96" s="170">
        <v>0</v>
      </c>
      <c r="I96" s="164"/>
      <c r="J96" s="170">
        <v>0</v>
      </c>
      <c r="K96" s="164"/>
      <c r="L96" s="170">
        <v>0</v>
      </c>
      <c r="M96" s="164"/>
      <c r="N96" s="165">
        <v>0</v>
      </c>
      <c r="O96" s="168"/>
      <c r="P96" s="165">
        <f t="shared" si="6"/>
        <v>6227.8397499999955</v>
      </c>
      <c r="Q96" s="164"/>
      <c r="R96" s="165">
        <f>'Schedule 1 Results of Operation'!D96</f>
        <v>0</v>
      </c>
      <c r="S96" s="164"/>
      <c r="T96" s="165">
        <v>0</v>
      </c>
      <c r="U96" s="164"/>
      <c r="V96" s="165">
        <v>0</v>
      </c>
      <c r="W96" s="164"/>
      <c r="X96" s="165">
        <f t="shared" si="7"/>
        <v>0</v>
      </c>
      <c r="Z96" s="165">
        <f t="shared" si="5"/>
        <v>6227.8397499999955</v>
      </c>
    </row>
    <row r="97" spans="1:26" ht="15" customHeight="1">
      <c r="A97" s="160"/>
      <c r="B97" s="176">
        <f>SUM(B24:B96)</f>
        <v>-55040.499658748522</v>
      </c>
      <c r="C97" s="164"/>
      <c r="D97" s="176">
        <f>SUM(D24:D96)</f>
        <v>0</v>
      </c>
      <c r="E97" s="176"/>
      <c r="F97" s="176">
        <f>SUM(F24:F96)</f>
        <v>7.2759576141834259E-12</v>
      </c>
      <c r="G97" s="164"/>
      <c r="H97" s="176">
        <f>SUM(H24:H96)</f>
        <v>-46035.183479909698</v>
      </c>
      <c r="I97" s="164"/>
      <c r="J97" s="176">
        <f>SUM(J24:J96)</f>
        <v>0</v>
      </c>
      <c r="K97" s="164"/>
      <c r="L97" s="176">
        <f>SUM(L24:L96)</f>
        <v>-201237.53350810317</v>
      </c>
      <c r="M97" s="164"/>
      <c r="N97" s="176">
        <f>SUM(N24:N96)</f>
        <v>0</v>
      </c>
      <c r="O97" s="164"/>
      <c r="P97" s="176">
        <f>SUM(P24:P96)</f>
        <v>-302313.2166467614</v>
      </c>
      <c r="Q97" s="164"/>
      <c r="R97" s="176">
        <f>SUM(R24:R96)</f>
        <v>405275.94082068186</v>
      </c>
      <c r="S97" s="176"/>
      <c r="T97" s="176">
        <f>SUM(T24:T96)</f>
        <v>8900.8781477032753</v>
      </c>
      <c r="U97" s="176"/>
      <c r="V97" s="176">
        <f>SUM(V24:V96)</f>
        <v>0</v>
      </c>
      <c r="W97" s="166"/>
      <c r="X97" s="176">
        <f>SUM(X24:X96)</f>
        <v>414176.81896838511</v>
      </c>
      <c r="Z97" s="176">
        <f t="shared" si="5"/>
        <v>111863.60232162371</v>
      </c>
    </row>
    <row r="98" spans="1:26" ht="15" customHeight="1">
      <c r="A98" s="138"/>
      <c r="B98" s="168"/>
      <c r="C98" s="169"/>
      <c r="D98" s="168"/>
      <c r="E98" s="169"/>
      <c r="F98" s="168"/>
      <c r="G98" s="169"/>
      <c r="H98" s="168"/>
      <c r="I98" s="169"/>
      <c r="J98" s="168"/>
      <c r="K98" s="169"/>
      <c r="L98" s="168"/>
      <c r="M98" s="169"/>
      <c r="N98" s="168"/>
      <c r="O98" s="168"/>
      <c r="P98" s="168"/>
      <c r="Q98" s="169"/>
      <c r="R98" s="168"/>
      <c r="S98" s="169"/>
      <c r="T98" s="165"/>
      <c r="U98" s="164"/>
      <c r="V98" s="168"/>
      <c r="W98" s="169"/>
      <c r="X98" s="168"/>
      <c r="Z98" s="168"/>
    </row>
    <row r="99" spans="1:26" ht="15" customHeight="1" thickBot="1">
      <c r="A99" s="138" t="s">
        <v>227</v>
      </c>
      <c r="B99" s="177">
        <f>+B21-B97</f>
        <v>55040.499658748522</v>
      </c>
      <c r="C99" s="164"/>
      <c r="D99" s="177">
        <f>+D21-D97</f>
        <v>0</v>
      </c>
      <c r="E99" s="164"/>
      <c r="F99" s="177">
        <f>+F21-F97</f>
        <v>-7.2759576141834259E-12</v>
      </c>
      <c r="G99" s="164"/>
      <c r="H99" s="177">
        <f>+H21-H97</f>
        <v>46035.183479909698</v>
      </c>
      <c r="I99" s="164"/>
      <c r="J99" s="177">
        <f>+J21-J97</f>
        <v>0</v>
      </c>
      <c r="K99" s="164"/>
      <c r="L99" s="177">
        <f>+L21-L97</f>
        <v>201237.53350810317</v>
      </c>
      <c r="M99" s="164"/>
      <c r="N99" s="177">
        <f>+N21-N97</f>
        <v>-41446.961539503391</v>
      </c>
      <c r="O99" s="165"/>
      <c r="P99" s="177">
        <f>+P21-P97</f>
        <v>260866.25510725801</v>
      </c>
      <c r="Q99" s="166"/>
      <c r="R99" s="177">
        <f>+R21-R97</f>
        <v>-24931.93236018531</v>
      </c>
      <c r="S99" s="164"/>
      <c r="T99" s="177">
        <f>+T21-T97</f>
        <v>-8900.8781477032753</v>
      </c>
      <c r="U99" s="164"/>
      <c r="V99" s="177">
        <f>+V21-V97</f>
        <v>0</v>
      </c>
      <c r="W99" s="164"/>
      <c r="X99" s="177">
        <f>+X21-X97</f>
        <v>-33832.810507888556</v>
      </c>
      <c r="Z99" s="177">
        <f>P99+X99</f>
        <v>227033.44459936945</v>
      </c>
    </row>
    <row r="100" spans="1:26" ht="15" customHeight="1" thickTop="1">
      <c r="A100" s="138"/>
      <c r="B100" s="168"/>
      <c r="C100" s="169"/>
      <c r="D100" s="168"/>
      <c r="E100" s="169"/>
      <c r="F100" s="168"/>
      <c r="G100" s="169"/>
      <c r="H100" s="168"/>
      <c r="I100" s="169"/>
      <c r="J100" s="168"/>
      <c r="K100" s="169"/>
      <c r="L100" s="168"/>
      <c r="M100" s="169"/>
      <c r="N100" s="168"/>
      <c r="O100" s="168"/>
      <c r="P100" s="168"/>
      <c r="Q100" s="169"/>
      <c r="R100" s="128"/>
      <c r="S100" s="129"/>
      <c r="T100" s="128"/>
      <c r="U100" s="129"/>
      <c r="V100" s="128"/>
      <c r="W100" s="129"/>
      <c r="X100" s="128"/>
    </row>
    <row r="101" spans="1:26" ht="15" customHeight="1">
      <c r="D101" s="128"/>
      <c r="E101" s="129"/>
      <c r="Z101" s="814"/>
    </row>
    <row r="102" spans="1:26" ht="15" customHeight="1"/>
    <row r="103" spans="1:26" ht="15" customHeight="1"/>
    <row r="104" spans="1:26" ht="15" customHeight="1"/>
    <row r="105" spans="1:26" ht="15" customHeight="1"/>
    <row r="106" spans="1:26" ht="15" customHeight="1"/>
    <row r="107" spans="1:26" ht="15" customHeight="1"/>
    <row r="108" spans="1:26" ht="15" customHeight="1">
      <c r="D108" s="128"/>
      <c r="E108" s="129"/>
    </row>
    <row r="109" spans="1:26" ht="15" customHeight="1"/>
  </sheetData>
  <mergeCells count="4">
    <mergeCell ref="A1:X1"/>
    <mergeCell ref="A3:X3"/>
    <mergeCell ref="A5:X5"/>
    <mergeCell ref="A6:X6"/>
  </mergeCells>
  <pageMargins left="0.25" right="0.25" top="0.75" bottom="0.5" header="0" footer="0.25"/>
  <pageSetup scale="69" fitToHeight="0" orientation="landscape" r:id="rId1"/>
  <headerFooter scaleWithDoc="0" alignWithMargins="0">
    <oddFooter xml:space="preserve">&amp;C&amp;"Times New Roman,Regular"&amp;10 &amp;"Arial,Regular"&amp;9
</oddFooter>
  </headerFooter>
  <rowBreaks count="2" manualBreakCount="2">
    <brk id="35" max="15" man="1"/>
    <brk id="59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74"/>
  <sheetViews>
    <sheetView workbookViewId="0">
      <selection activeCell="J36" sqref="J36"/>
    </sheetView>
  </sheetViews>
  <sheetFormatPr defaultColWidth="8" defaultRowHeight="15.75"/>
  <cols>
    <col min="1" max="1" width="27.77734375" style="128" customWidth="1"/>
    <col min="2" max="2" width="8.77734375" style="128" customWidth="1"/>
    <col min="3" max="3" width="2" style="129" customWidth="1"/>
    <col min="4" max="4" width="9.21875" style="128" customWidth="1"/>
    <col min="5" max="5" width="2" style="129" customWidth="1"/>
    <col min="6" max="6" width="7.77734375" style="128" customWidth="1"/>
    <col min="7" max="7" width="2" style="129" customWidth="1"/>
    <col min="8" max="8" width="8.77734375" style="128" customWidth="1"/>
    <col min="9" max="9" width="2" style="128" customWidth="1"/>
    <col min="10" max="10" width="8.77734375" style="128" customWidth="1"/>
    <col min="11" max="12" width="8" style="126" customWidth="1"/>
    <col min="13" max="13" width="2.88671875" style="126" customWidth="1"/>
    <col min="14" max="16384" width="8" style="126"/>
  </cols>
  <sheetData>
    <row r="1" spans="1:12" ht="16.5" customHeight="1">
      <c r="A1" s="936" t="s">
        <v>86</v>
      </c>
      <c r="B1" s="936"/>
      <c r="C1" s="936"/>
      <c r="D1" s="936"/>
      <c r="E1" s="936"/>
      <c r="F1" s="936"/>
      <c r="G1" s="936"/>
      <c r="H1" s="936"/>
      <c r="I1" s="936"/>
      <c r="J1" s="936"/>
      <c r="K1" s="132"/>
      <c r="L1" s="133"/>
    </row>
    <row r="2" spans="1:12" ht="13.5" customHeight="1">
      <c r="A2" s="127"/>
      <c r="K2" s="132"/>
      <c r="L2" s="133"/>
    </row>
    <row r="3" spans="1:12" ht="16.5" customHeight="1">
      <c r="A3" s="936" t="s">
        <v>228</v>
      </c>
      <c r="B3" s="936"/>
      <c r="C3" s="936"/>
      <c r="D3" s="936"/>
      <c r="E3" s="936"/>
      <c r="F3" s="936"/>
      <c r="G3" s="936"/>
      <c r="H3" s="936"/>
      <c r="I3" s="936"/>
      <c r="J3" s="936"/>
      <c r="K3" s="132"/>
      <c r="L3" s="133"/>
    </row>
    <row r="4" spans="1:12">
      <c r="A4" s="812"/>
      <c r="B4" s="812"/>
      <c r="C4" s="134"/>
      <c r="D4" s="812"/>
      <c r="E4" s="134"/>
      <c r="F4" s="812"/>
      <c r="G4" s="134"/>
      <c r="H4" s="812"/>
      <c r="I4" s="812"/>
      <c r="J4" s="812"/>
      <c r="K4" s="132"/>
      <c r="L4" s="133"/>
    </row>
    <row r="5" spans="1:12">
      <c r="A5" s="936" t="s">
        <v>88</v>
      </c>
      <c r="B5" s="936"/>
      <c r="C5" s="936"/>
      <c r="D5" s="936"/>
      <c r="E5" s="936"/>
      <c r="F5" s="936"/>
      <c r="G5" s="936"/>
      <c r="H5" s="936"/>
      <c r="I5" s="936"/>
      <c r="J5" s="936"/>
    </row>
    <row r="6" spans="1:12">
      <c r="A6" s="936" t="s">
        <v>229</v>
      </c>
      <c r="B6" s="936"/>
      <c r="C6" s="936"/>
      <c r="D6" s="936"/>
      <c r="E6" s="936"/>
      <c r="F6" s="936"/>
      <c r="G6" s="936"/>
      <c r="H6" s="936"/>
      <c r="I6" s="936"/>
      <c r="J6" s="936"/>
    </row>
    <row r="7" spans="1:12">
      <c r="A7" s="127"/>
    </row>
    <row r="8" spans="1:12" ht="12.95" customHeight="1">
      <c r="A8" s="138"/>
      <c r="B8" s="139" t="s">
        <v>126</v>
      </c>
      <c r="C8" s="140"/>
      <c r="D8" s="139" t="s">
        <v>721</v>
      </c>
      <c r="E8" s="140"/>
      <c r="F8" s="139" t="s">
        <v>81</v>
      </c>
      <c r="G8" s="140"/>
      <c r="H8" s="139" t="s">
        <v>117</v>
      </c>
      <c r="I8" s="139"/>
      <c r="J8" s="141" t="s">
        <v>207</v>
      </c>
    </row>
    <row r="9" spans="1:12" ht="12.95" customHeight="1">
      <c r="A9" s="138"/>
      <c r="B9" s="178"/>
      <c r="C9" s="179"/>
      <c r="D9" s="139"/>
      <c r="E9" s="140"/>
      <c r="F9" s="139"/>
      <c r="G9" s="179"/>
      <c r="H9" s="139" t="s">
        <v>230</v>
      </c>
      <c r="I9" s="139"/>
      <c r="J9" s="139" t="s">
        <v>210</v>
      </c>
    </row>
    <row r="10" spans="1:12" ht="12.95" customHeight="1">
      <c r="A10" s="138"/>
      <c r="B10" s="141"/>
      <c r="C10" s="142"/>
      <c r="D10" s="139" t="s">
        <v>720</v>
      </c>
      <c r="E10" s="140"/>
      <c r="F10" s="139" t="s">
        <v>100</v>
      </c>
      <c r="G10" s="140"/>
      <c r="H10" s="180" t="s">
        <v>217</v>
      </c>
      <c r="I10" s="180"/>
      <c r="J10" s="139" t="s">
        <v>98</v>
      </c>
    </row>
    <row r="11" spans="1:12" ht="12.95" customHeight="1">
      <c r="A11" s="138"/>
      <c r="B11" s="154" t="s">
        <v>223</v>
      </c>
      <c r="C11" s="140"/>
      <c r="D11" s="154" t="s">
        <v>231</v>
      </c>
      <c r="E11" s="140"/>
      <c r="F11" s="181" t="s">
        <v>80</v>
      </c>
      <c r="G11" s="140"/>
      <c r="H11" s="154" t="s">
        <v>224</v>
      </c>
      <c r="I11" s="140"/>
      <c r="J11" s="154" t="s">
        <v>222</v>
      </c>
    </row>
    <row r="12" spans="1:12" ht="15" customHeight="1">
      <c r="A12" s="158" t="str">
        <f>+'[8]Sch 1, pg 2 - Restated'!A12</f>
        <v>REVENUES</v>
      </c>
      <c r="B12" s="138"/>
      <c r="C12" s="159"/>
      <c r="D12" s="138"/>
      <c r="E12" s="159"/>
      <c r="F12" s="138"/>
      <c r="G12" s="159"/>
      <c r="H12" s="138"/>
      <c r="I12" s="138"/>
      <c r="J12" s="138"/>
    </row>
    <row r="13" spans="1:12" ht="15" customHeight="1">
      <c r="A13" s="162" t="s">
        <v>107</v>
      </c>
      <c r="B13" s="163">
        <v>0</v>
      </c>
      <c r="C13" s="166"/>
      <c r="D13" s="163">
        <v>0</v>
      </c>
      <c r="E13" s="166"/>
      <c r="F13" s="163">
        <v>0</v>
      </c>
      <c r="G13" s="166"/>
      <c r="H13" s="163">
        <v>0</v>
      </c>
      <c r="I13" s="163"/>
      <c r="J13" s="163">
        <f t="shared" ref="J13:J20" si="0">SUM(B13:I13)</f>
        <v>0</v>
      </c>
    </row>
    <row r="14" spans="1:12" ht="15" customHeight="1">
      <c r="A14" s="162" t="s">
        <v>110</v>
      </c>
      <c r="B14" s="165">
        <v>0</v>
      </c>
      <c r="C14" s="164"/>
      <c r="D14" s="165">
        <v>0</v>
      </c>
      <c r="E14" s="164"/>
      <c r="F14" s="165">
        <v>0</v>
      </c>
      <c r="G14" s="164"/>
      <c r="H14" s="165">
        <v>0</v>
      </c>
      <c r="I14" s="165"/>
      <c r="J14" s="165">
        <f t="shared" si="0"/>
        <v>0</v>
      </c>
    </row>
    <row r="15" spans="1:12" ht="15" customHeight="1">
      <c r="A15" s="162" t="s">
        <v>111</v>
      </c>
      <c r="B15" s="165">
        <v>0</v>
      </c>
      <c r="C15" s="164"/>
      <c r="D15" s="165">
        <v>0</v>
      </c>
      <c r="E15" s="164"/>
      <c r="F15" s="165">
        <v>0</v>
      </c>
      <c r="G15" s="164"/>
      <c r="H15" s="165">
        <v>0</v>
      </c>
      <c r="I15" s="165"/>
      <c r="J15" s="165">
        <f t="shared" si="0"/>
        <v>0</v>
      </c>
    </row>
    <row r="16" spans="1:12" ht="15" customHeight="1">
      <c r="A16" s="162" t="s">
        <v>112</v>
      </c>
      <c r="B16" s="165">
        <v>0</v>
      </c>
      <c r="C16" s="164"/>
      <c r="D16" s="165">
        <v>0</v>
      </c>
      <c r="E16" s="164"/>
      <c r="F16" s="165">
        <v>0</v>
      </c>
      <c r="G16" s="164"/>
      <c r="H16" s="165">
        <v>0</v>
      </c>
      <c r="I16" s="165"/>
      <c r="J16" s="165">
        <f t="shared" si="0"/>
        <v>0</v>
      </c>
    </row>
    <row r="17" spans="1:10" ht="15" customHeight="1">
      <c r="A17" s="162" t="s">
        <v>115</v>
      </c>
      <c r="B17" s="165">
        <v>0</v>
      </c>
      <c r="C17" s="164"/>
      <c r="D17" s="165">
        <v>0</v>
      </c>
      <c r="E17" s="164"/>
      <c r="F17" s="165">
        <v>0</v>
      </c>
      <c r="G17" s="164"/>
      <c r="H17" s="165">
        <v>0</v>
      </c>
      <c r="I17" s="165"/>
      <c r="J17" s="165">
        <f t="shared" si="0"/>
        <v>0</v>
      </c>
    </row>
    <row r="18" spans="1:10" ht="15" customHeight="1">
      <c r="A18" s="162" t="s">
        <v>116</v>
      </c>
      <c r="B18" s="168">
        <v>0</v>
      </c>
      <c r="C18" s="169"/>
      <c r="D18" s="168">
        <v>0</v>
      </c>
      <c r="E18" s="169"/>
      <c r="F18" s="168">
        <v>0</v>
      </c>
      <c r="G18" s="169"/>
      <c r="H18" s="168">
        <f>'Schedule 1 Results of Operation'!L17</f>
        <v>138598.09962466493</v>
      </c>
      <c r="I18" s="182" t="s">
        <v>451</v>
      </c>
      <c r="J18" s="165">
        <f t="shared" si="0"/>
        <v>138598.09962466493</v>
      </c>
    </row>
    <row r="19" spans="1:10" ht="15" customHeight="1">
      <c r="A19" s="162" t="s">
        <v>118</v>
      </c>
      <c r="B19" s="168">
        <v>0</v>
      </c>
      <c r="C19" s="169"/>
      <c r="D19" s="168">
        <v>0</v>
      </c>
      <c r="E19" s="169"/>
      <c r="F19" s="168"/>
      <c r="G19" s="169"/>
      <c r="H19" s="168">
        <v>0</v>
      </c>
      <c r="I19" s="168"/>
      <c r="J19" s="165">
        <f t="shared" si="0"/>
        <v>0</v>
      </c>
    </row>
    <row r="20" spans="1:10" ht="15" customHeight="1">
      <c r="A20" s="162" t="s">
        <v>119</v>
      </c>
      <c r="B20" s="170">
        <v>0</v>
      </c>
      <c r="C20" s="164"/>
      <c r="D20" s="170">
        <v>0</v>
      </c>
      <c r="E20" s="164"/>
      <c r="F20" s="170">
        <v>0</v>
      </c>
      <c r="G20" s="164"/>
      <c r="H20" s="170">
        <v>0</v>
      </c>
      <c r="I20" s="164"/>
      <c r="J20" s="165">
        <f t="shared" si="0"/>
        <v>0</v>
      </c>
    </row>
    <row r="21" spans="1:10" ht="15" customHeight="1">
      <c r="A21" s="160"/>
      <c r="B21" s="170">
        <f>SUM(B13:B20)</f>
        <v>0</v>
      </c>
      <c r="C21" s="164"/>
      <c r="D21" s="170">
        <f>SUM(D13:D20)</f>
        <v>0</v>
      </c>
      <c r="E21" s="164"/>
      <c r="F21" s="170">
        <f>SUM(F13:F20)</f>
        <v>0</v>
      </c>
      <c r="G21" s="164"/>
      <c r="H21" s="170">
        <f>SUM(H13:H20)</f>
        <v>138598.09962466493</v>
      </c>
      <c r="I21" s="164"/>
      <c r="J21" s="173">
        <f>SUM(J13:J20)</f>
        <v>138598.09962466493</v>
      </c>
    </row>
    <row r="22" spans="1:10" ht="15" customHeight="1">
      <c r="A22" s="160"/>
      <c r="B22" s="164"/>
      <c r="C22" s="164"/>
      <c r="D22" s="164"/>
      <c r="E22" s="164"/>
      <c r="F22" s="164"/>
      <c r="G22" s="164"/>
      <c r="H22" s="164"/>
      <c r="I22" s="164"/>
      <c r="J22" s="164"/>
    </row>
    <row r="23" spans="1:10" ht="15" customHeight="1">
      <c r="A23" s="174" t="str">
        <f>+'[8]Sch 1, pg 2 - Restated'!A23</f>
        <v>OPERATING EXPENSES</v>
      </c>
      <c r="B23" s="165"/>
      <c r="C23" s="164"/>
      <c r="D23" s="165"/>
      <c r="E23" s="169"/>
      <c r="F23" s="168"/>
      <c r="G23" s="169"/>
      <c r="H23" s="168"/>
      <c r="I23" s="168"/>
      <c r="J23" s="165"/>
    </row>
    <row r="24" spans="1:10" ht="15" customHeight="1">
      <c r="A24" s="162" t="s">
        <v>123</v>
      </c>
      <c r="B24" s="165">
        <f>'Schedule 1 Results of Operation'!L24</f>
        <v>6873.0250755098041</v>
      </c>
      <c r="C24" s="164" t="s">
        <v>450</v>
      </c>
      <c r="D24" s="165">
        <v>0</v>
      </c>
      <c r="E24" s="164"/>
      <c r="F24" s="165">
        <v>0</v>
      </c>
      <c r="G24" s="164"/>
      <c r="H24" s="165">
        <v>0</v>
      </c>
      <c r="I24" s="165"/>
      <c r="J24" s="165">
        <f t="shared" ref="J24:J55" si="1">SUM(B24:I24)</f>
        <v>6873.0250755098041</v>
      </c>
    </row>
    <row r="25" spans="1:10" ht="15" customHeight="1">
      <c r="A25" s="162" t="s">
        <v>127</v>
      </c>
      <c r="B25" s="165">
        <f>'Schedule 1 Results of Operation'!L25</f>
        <v>33121.332824000012</v>
      </c>
      <c r="C25" s="164" t="s">
        <v>450</v>
      </c>
      <c r="D25" s="165">
        <v>0</v>
      </c>
      <c r="E25" s="164"/>
      <c r="F25" s="165">
        <v>0</v>
      </c>
      <c r="G25" s="164"/>
      <c r="H25" s="165">
        <v>0</v>
      </c>
      <c r="I25" s="165"/>
      <c r="J25" s="165">
        <f t="shared" si="1"/>
        <v>33121.332824000012</v>
      </c>
    </row>
    <row r="26" spans="1:10" ht="15" customHeight="1">
      <c r="A26" s="162" t="s">
        <v>128</v>
      </c>
      <c r="B26" s="165">
        <f>'Schedule 1 Results of Operation'!L26</f>
        <v>13359.365597497677</v>
      </c>
      <c r="C26" s="164" t="s">
        <v>450</v>
      </c>
      <c r="D26" s="165">
        <v>0</v>
      </c>
      <c r="E26" s="164"/>
      <c r="F26" s="165">
        <v>0</v>
      </c>
      <c r="G26" s="164"/>
      <c r="H26" s="165">
        <v>0</v>
      </c>
      <c r="I26" s="165"/>
      <c r="J26" s="165">
        <f t="shared" si="1"/>
        <v>13359.365597497677</v>
      </c>
    </row>
    <row r="27" spans="1:10" ht="15" customHeight="1">
      <c r="A27" s="162" t="s">
        <v>129</v>
      </c>
      <c r="B27" s="165">
        <f>'Schedule 1 Results of Operation'!L27</f>
        <v>2443.1945777674446</v>
      </c>
      <c r="C27" s="164" t="s">
        <v>450</v>
      </c>
      <c r="D27" s="165">
        <v>0</v>
      </c>
      <c r="E27" s="164"/>
      <c r="F27" s="165">
        <v>0</v>
      </c>
      <c r="G27" s="164"/>
      <c r="H27" s="165">
        <v>0</v>
      </c>
      <c r="I27" s="165"/>
      <c r="J27" s="165">
        <f t="shared" si="1"/>
        <v>2443.1945777674446</v>
      </c>
    </row>
    <row r="28" spans="1:10" ht="15" customHeight="1">
      <c r="A28" s="162" t="s">
        <v>130</v>
      </c>
      <c r="B28" s="165">
        <f>'Schedule 1 Results of Operation'!L28</f>
        <v>2483.6026490755758</v>
      </c>
      <c r="C28" s="164" t="s">
        <v>450</v>
      </c>
      <c r="D28" s="165">
        <v>0</v>
      </c>
      <c r="E28" s="164"/>
      <c r="F28" s="165">
        <v>0</v>
      </c>
      <c r="G28" s="164"/>
      <c r="H28" s="165">
        <v>0</v>
      </c>
      <c r="I28" s="165"/>
      <c r="J28" s="165">
        <f t="shared" si="1"/>
        <v>2483.6026490755758</v>
      </c>
    </row>
    <row r="29" spans="1:10" ht="15" customHeight="1">
      <c r="A29" s="162" t="s">
        <v>131</v>
      </c>
      <c r="B29" s="165">
        <f>'Schedule 1 Results of Operation'!L29</f>
        <v>8716.876816144666</v>
      </c>
      <c r="C29" s="164" t="s">
        <v>450</v>
      </c>
      <c r="D29" s="165">
        <v>0</v>
      </c>
      <c r="E29" s="164"/>
      <c r="F29" s="165">
        <v>0</v>
      </c>
      <c r="G29" s="164"/>
      <c r="H29" s="165">
        <v>0</v>
      </c>
      <c r="I29" s="165"/>
      <c r="J29" s="165">
        <f t="shared" si="1"/>
        <v>8716.876816144666</v>
      </c>
    </row>
    <row r="30" spans="1:10" ht="15" customHeight="1">
      <c r="A30" s="162" t="s">
        <v>133</v>
      </c>
      <c r="B30" s="165">
        <v>0</v>
      </c>
      <c r="C30" s="164"/>
      <c r="D30" s="165">
        <v>0</v>
      </c>
      <c r="E30" s="164"/>
      <c r="F30" s="165">
        <v>0</v>
      </c>
      <c r="G30" s="164"/>
      <c r="H30" s="165">
        <v>0</v>
      </c>
      <c r="I30" s="165"/>
      <c r="J30" s="165">
        <f t="shared" si="1"/>
        <v>0</v>
      </c>
    </row>
    <row r="31" spans="1:10" ht="15" customHeight="1">
      <c r="A31" s="162" t="s">
        <v>134</v>
      </c>
      <c r="B31" s="165">
        <v>0</v>
      </c>
      <c r="C31" s="164"/>
      <c r="D31" s="165">
        <v>0</v>
      </c>
      <c r="E31" s="164"/>
      <c r="F31" s="165">
        <v>0</v>
      </c>
      <c r="G31" s="164"/>
      <c r="H31" s="165">
        <v>0</v>
      </c>
      <c r="I31" s="165"/>
      <c r="J31" s="165">
        <f t="shared" si="1"/>
        <v>0</v>
      </c>
    </row>
    <row r="32" spans="1:10" ht="15" customHeight="1">
      <c r="A32" s="162" t="s">
        <v>225</v>
      </c>
      <c r="B32" s="165">
        <v>0</v>
      </c>
      <c r="C32" s="164"/>
      <c r="D32" s="165">
        <v>0</v>
      </c>
      <c r="E32" s="164"/>
      <c r="F32" s="165">
        <v>0</v>
      </c>
      <c r="G32" s="164"/>
      <c r="H32" s="165">
        <v>0</v>
      </c>
      <c r="I32" s="165"/>
      <c r="J32" s="165">
        <f t="shared" si="1"/>
        <v>0</v>
      </c>
    </row>
    <row r="33" spans="1:10" ht="15" customHeight="1">
      <c r="A33" s="162" t="s">
        <v>136</v>
      </c>
      <c r="B33" s="165">
        <v>0</v>
      </c>
      <c r="C33" s="164"/>
      <c r="D33" s="165">
        <v>0</v>
      </c>
      <c r="E33" s="164"/>
      <c r="F33" s="165">
        <v>0</v>
      </c>
      <c r="G33" s="164"/>
      <c r="H33" s="165">
        <v>0</v>
      </c>
      <c r="I33" s="165"/>
      <c r="J33" s="165">
        <f t="shared" si="1"/>
        <v>0</v>
      </c>
    </row>
    <row r="34" spans="1:10" ht="15" customHeight="1">
      <c r="A34" s="162" t="s">
        <v>137</v>
      </c>
      <c r="B34" s="165">
        <v>0</v>
      </c>
      <c r="C34" s="164"/>
      <c r="D34" s="165">
        <v>0</v>
      </c>
      <c r="E34" s="164"/>
      <c r="F34" s="165">
        <v>0</v>
      </c>
      <c r="G34" s="164"/>
      <c r="H34" s="165">
        <v>0</v>
      </c>
      <c r="I34" s="165"/>
      <c r="J34" s="165">
        <f t="shared" si="1"/>
        <v>0</v>
      </c>
    </row>
    <row r="35" spans="1:10" ht="15" customHeight="1">
      <c r="A35" s="162" t="s">
        <v>138</v>
      </c>
      <c r="B35" s="165">
        <v>0</v>
      </c>
      <c r="C35" s="164"/>
      <c r="D35" s="165">
        <v>0</v>
      </c>
      <c r="E35" s="164"/>
      <c r="F35" s="165">
        <v>0</v>
      </c>
      <c r="G35" s="164"/>
      <c r="H35" s="165">
        <v>0</v>
      </c>
      <c r="I35" s="165"/>
      <c r="J35" s="165">
        <f t="shared" si="1"/>
        <v>0</v>
      </c>
    </row>
    <row r="36" spans="1:10" ht="15" customHeight="1">
      <c r="A36" s="162" t="s">
        <v>80</v>
      </c>
      <c r="B36" s="165">
        <v>0</v>
      </c>
      <c r="C36" s="164"/>
      <c r="D36" s="165">
        <v>0</v>
      </c>
      <c r="E36" s="164"/>
      <c r="F36" s="165">
        <f>'Schedule 1 Results of Operation'!L36</f>
        <v>-18926.938991007122</v>
      </c>
      <c r="G36" s="175"/>
      <c r="H36" s="165">
        <v>0</v>
      </c>
      <c r="I36" s="165"/>
      <c r="J36" s="165">
        <f t="shared" si="1"/>
        <v>-18926.938991007122</v>
      </c>
    </row>
    <row r="37" spans="1:10" ht="15" customHeight="1">
      <c r="A37" s="162" t="s">
        <v>115</v>
      </c>
      <c r="B37" s="165">
        <v>0</v>
      </c>
      <c r="C37" s="164"/>
      <c r="D37" s="165">
        <v>0</v>
      </c>
      <c r="E37" s="164"/>
      <c r="F37" s="165">
        <v>0</v>
      </c>
      <c r="G37" s="164"/>
      <c r="H37" s="165">
        <v>0</v>
      </c>
      <c r="I37" s="165"/>
      <c r="J37" s="165">
        <f t="shared" si="1"/>
        <v>0</v>
      </c>
    </row>
    <row r="38" spans="1:10" ht="15" customHeight="1">
      <c r="A38" s="162" t="s">
        <v>140</v>
      </c>
      <c r="B38" s="165">
        <v>0</v>
      </c>
      <c r="C38" s="164"/>
      <c r="D38" s="165">
        <v>0</v>
      </c>
      <c r="E38" s="164"/>
      <c r="F38" s="165">
        <v>0</v>
      </c>
      <c r="G38" s="164"/>
      <c r="H38" s="165">
        <f>'Schedule 1 Results of Operation'!L38</f>
        <v>162552.43855757624</v>
      </c>
      <c r="I38" s="182" t="s">
        <v>450</v>
      </c>
      <c r="J38" s="165">
        <f t="shared" si="1"/>
        <v>162552.43855757624</v>
      </c>
    </row>
    <row r="39" spans="1:10" ht="15" customHeight="1">
      <c r="A39" s="162" t="s">
        <v>142</v>
      </c>
      <c r="B39" s="165">
        <v>0</v>
      </c>
      <c r="C39" s="164"/>
      <c r="D39" s="165">
        <v>0</v>
      </c>
      <c r="E39" s="164"/>
      <c r="F39" s="165">
        <v>0</v>
      </c>
      <c r="G39" s="164"/>
      <c r="H39" s="165">
        <v>0</v>
      </c>
      <c r="I39" s="165"/>
      <c r="J39" s="165">
        <f t="shared" si="1"/>
        <v>0</v>
      </c>
    </row>
    <row r="40" spans="1:10" ht="15" customHeight="1">
      <c r="A40" s="162" t="s">
        <v>142</v>
      </c>
      <c r="B40" s="165">
        <v>0</v>
      </c>
      <c r="C40" s="164"/>
      <c r="D40" s="165">
        <v>0</v>
      </c>
      <c r="E40" s="164"/>
      <c r="F40" s="165">
        <v>0</v>
      </c>
      <c r="G40" s="164"/>
      <c r="H40" s="165">
        <v>0</v>
      </c>
      <c r="I40" s="165"/>
      <c r="J40" s="165">
        <f t="shared" si="1"/>
        <v>0</v>
      </c>
    </row>
    <row r="41" spans="1:10" ht="15" customHeight="1">
      <c r="A41" s="162" t="s">
        <v>144</v>
      </c>
      <c r="B41" s="165">
        <v>0</v>
      </c>
      <c r="C41" s="164"/>
      <c r="D41" s="165">
        <v>0</v>
      </c>
      <c r="E41" s="164"/>
      <c r="F41" s="165">
        <v>0</v>
      </c>
      <c r="G41" s="164"/>
      <c r="H41" s="165">
        <f>+H18</f>
        <v>138598.09962466493</v>
      </c>
      <c r="I41" s="182" t="s">
        <v>451</v>
      </c>
      <c r="J41" s="165">
        <f t="shared" si="1"/>
        <v>138598.09962466493</v>
      </c>
    </row>
    <row r="42" spans="1:10" ht="15" customHeight="1">
      <c r="A42" s="162" t="s">
        <v>145</v>
      </c>
      <c r="B42" s="165">
        <v>0</v>
      </c>
      <c r="C42" s="164"/>
      <c r="D42" s="165">
        <v>0</v>
      </c>
      <c r="E42" s="164"/>
      <c r="F42" s="165">
        <v>0</v>
      </c>
      <c r="G42" s="164"/>
      <c r="H42" s="165">
        <v>0</v>
      </c>
      <c r="I42" s="165"/>
      <c r="J42" s="165">
        <f t="shared" si="1"/>
        <v>0</v>
      </c>
    </row>
    <row r="43" spans="1:10" ht="15" customHeight="1">
      <c r="A43" s="162" t="s">
        <v>146</v>
      </c>
      <c r="B43" s="165">
        <v>0</v>
      </c>
      <c r="C43" s="164"/>
      <c r="D43" s="165">
        <v>0</v>
      </c>
      <c r="E43" s="169"/>
      <c r="F43" s="165">
        <v>0</v>
      </c>
      <c r="G43" s="164"/>
      <c r="H43" s="165">
        <v>0</v>
      </c>
      <c r="I43" s="165"/>
      <c r="J43" s="165">
        <f t="shared" si="1"/>
        <v>0</v>
      </c>
    </row>
    <row r="44" spans="1:10" ht="15" customHeight="1">
      <c r="A44" s="162" t="s">
        <v>147</v>
      </c>
      <c r="B44" s="165">
        <v>0</v>
      </c>
      <c r="C44" s="164"/>
      <c r="D44" s="165">
        <v>0</v>
      </c>
      <c r="E44" s="164"/>
      <c r="F44" s="165">
        <v>0</v>
      </c>
      <c r="G44" s="164"/>
      <c r="H44" s="165">
        <v>0</v>
      </c>
      <c r="I44" s="165"/>
      <c r="J44" s="165">
        <f t="shared" si="1"/>
        <v>0</v>
      </c>
    </row>
    <row r="45" spans="1:10" ht="15" customHeight="1">
      <c r="A45" s="162" t="s">
        <v>148</v>
      </c>
      <c r="B45" s="165">
        <f>'Schedule 1 Results of Operation'!L45</f>
        <v>1195.4869907147208</v>
      </c>
      <c r="C45" s="164" t="s">
        <v>450</v>
      </c>
      <c r="D45" s="165">
        <v>0</v>
      </c>
      <c r="E45" s="164"/>
      <c r="F45" s="165">
        <v>0</v>
      </c>
      <c r="G45" s="164"/>
      <c r="H45" s="165">
        <v>0</v>
      </c>
      <c r="I45" s="165"/>
      <c r="J45" s="165">
        <f t="shared" si="1"/>
        <v>1195.4869907147208</v>
      </c>
    </row>
    <row r="46" spans="1:10" ht="15" customHeight="1">
      <c r="A46" s="162" t="s">
        <v>149</v>
      </c>
      <c r="B46" s="165">
        <f>'Schedule 1 Results of Operation'!L46</f>
        <v>16360.25179856115</v>
      </c>
      <c r="C46" s="164" t="s">
        <v>451</v>
      </c>
      <c r="D46" s="165">
        <v>0</v>
      </c>
      <c r="E46" s="164"/>
      <c r="F46" s="165">
        <v>0</v>
      </c>
      <c r="G46" s="164"/>
      <c r="H46" s="165">
        <v>0</v>
      </c>
      <c r="I46" s="165"/>
      <c r="J46" s="165">
        <f t="shared" si="1"/>
        <v>16360.25179856115</v>
      </c>
    </row>
    <row r="47" spans="1:10" ht="15" customHeight="1">
      <c r="A47" s="162" t="s">
        <v>150</v>
      </c>
      <c r="B47" s="165">
        <v>0</v>
      </c>
      <c r="C47" s="164"/>
      <c r="D47" s="165">
        <v>0</v>
      </c>
      <c r="E47" s="164"/>
      <c r="F47" s="165">
        <v>0</v>
      </c>
      <c r="G47" s="164"/>
      <c r="H47" s="165">
        <v>0</v>
      </c>
      <c r="I47" s="165"/>
      <c r="J47" s="165">
        <f t="shared" si="1"/>
        <v>0</v>
      </c>
    </row>
    <row r="48" spans="1:10" ht="15" customHeight="1">
      <c r="A48" s="162" t="s">
        <v>151</v>
      </c>
      <c r="B48" s="165">
        <v>0</v>
      </c>
      <c r="C48" s="164"/>
      <c r="D48" s="165">
        <v>0</v>
      </c>
      <c r="E48" s="164"/>
      <c r="F48" s="165">
        <v>0</v>
      </c>
      <c r="G48" s="164"/>
      <c r="H48" s="165">
        <v>0</v>
      </c>
      <c r="I48" s="165"/>
      <c r="J48" s="165">
        <f t="shared" si="1"/>
        <v>0</v>
      </c>
    </row>
    <row r="49" spans="1:10" ht="15" customHeight="1">
      <c r="A49" s="162" t="s">
        <v>152</v>
      </c>
      <c r="B49" s="165">
        <v>0</v>
      </c>
      <c r="C49" s="164"/>
      <c r="D49" s="165">
        <v>0</v>
      </c>
      <c r="E49" s="164"/>
      <c r="F49" s="165">
        <v>0</v>
      </c>
      <c r="G49" s="164"/>
      <c r="H49" s="165">
        <v>0</v>
      </c>
      <c r="I49" s="165"/>
      <c r="J49" s="165">
        <f t="shared" si="1"/>
        <v>0</v>
      </c>
    </row>
    <row r="50" spans="1:10" ht="15" customHeight="1">
      <c r="A50" s="162" t="s">
        <v>153</v>
      </c>
      <c r="B50" s="165">
        <v>0</v>
      </c>
      <c r="C50" s="164"/>
      <c r="D50" s="165">
        <v>0</v>
      </c>
      <c r="E50" s="164"/>
      <c r="F50" s="165">
        <v>0</v>
      </c>
      <c r="G50" s="164"/>
      <c r="H50" s="165">
        <v>0</v>
      </c>
      <c r="I50" s="165"/>
      <c r="J50" s="165">
        <f t="shared" si="1"/>
        <v>0</v>
      </c>
    </row>
    <row r="51" spans="1:10" ht="15" customHeight="1">
      <c r="A51" s="162" t="s">
        <v>134</v>
      </c>
      <c r="B51" s="165">
        <v>0</v>
      </c>
      <c r="C51" s="164"/>
      <c r="D51" s="165">
        <v>0</v>
      </c>
      <c r="E51" s="164"/>
      <c r="F51" s="165">
        <v>0</v>
      </c>
      <c r="G51" s="164"/>
      <c r="H51" s="165">
        <v>0</v>
      </c>
      <c r="I51" s="165"/>
      <c r="J51" s="165">
        <f t="shared" si="1"/>
        <v>0</v>
      </c>
    </row>
    <row r="52" spans="1:10" ht="15" customHeight="1">
      <c r="A52" s="162" t="s">
        <v>84</v>
      </c>
      <c r="B52" s="165">
        <v>0</v>
      </c>
      <c r="C52" s="164"/>
      <c r="D52" s="165">
        <f>'Schedule 1 Results of Operation'!L52</f>
        <v>37281.006999999998</v>
      </c>
      <c r="E52" s="164"/>
      <c r="F52" s="165">
        <v>0</v>
      </c>
      <c r="G52" s="169"/>
      <c r="H52" s="165">
        <v>0</v>
      </c>
      <c r="I52" s="165"/>
      <c r="J52" s="165">
        <f t="shared" si="1"/>
        <v>37281.006999999998</v>
      </c>
    </row>
    <row r="53" spans="1:10" ht="15" customHeight="1">
      <c r="A53" s="162" t="s">
        <v>155</v>
      </c>
      <c r="B53" s="165">
        <v>0</v>
      </c>
      <c r="C53" s="164"/>
      <c r="D53" s="165">
        <v>0</v>
      </c>
      <c r="E53" s="164"/>
      <c r="F53" s="165">
        <v>0</v>
      </c>
      <c r="G53" s="164"/>
      <c r="H53" s="165">
        <v>0</v>
      </c>
      <c r="I53" s="165"/>
      <c r="J53" s="165">
        <f t="shared" si="1"/>
        <v>0</v>
      </c>
    </row>
    <row r="54" spans="1:10" ht="15" customHeight="1">
      <c r="A54" s="162" t="s">
        <v>156</v>
      </c>
      <c r="B54" s="165">
        <v>0</v>
      </c>
      <c r="C54" s="164"/>
      <c r="D54" s="165">
        <v>0</v>
      </c>
      <c r="E54" s="164"/>
      <c r="F54" s="165">
        <v>0</v>
      </c>
      <c r="G54" s="164"/>
      <c r="H54" s="165">
        <v>0</v>
      </c>
      <c r="I54" s="165"/>
      <c r="J54" s="165">
        <f t="shared" si="1"/>
        <v>0</v>
      </c>
    </row>
    <row r="55" spans="1:10" ht="15" customHeight="1">
      <c r="A55" s="162" t="s">
        <v>157</v>
      </c>
      <c r="B55" s="165">
        <v>0</v>
      </c>
      <c r="C55" s="164"/>
      <c r="D55" s="165">
        <v>0</v>
      </c>
      <c r="E55" s="164"/>
      <c r="F55" s="165">
        <f>F21*0.004</f>
        <v>0</v>
      </c>
      <c r="G55" s="164"/>
      <c r="H55" s="165">
        <v>0</v>
      </c>
      <c r="I55" s="165"/>
      <c r="J55" s="165">
        <f t="shared" si="1"/>
        <v>0</v>
      </c>
    </row>
    <row r="56" spans="1:10" ht="15" customHeight="1">
      <c r="A56" s="162" t="s">
        <v>158</v>
      </c>
      <c r="B56" s="165">
        <v>0</v>
      </c>
      <c r="C56" s="164"/>
      <c r="D56" s="165">
        <v>0</v>
      </c>
      <c r="E56" s="164"/>
      <c r="F56" s="165">
        <v>0</v>
      </c>
      <c r="G56" s="164"/>
      <c r="H56" s="165">
        <v>0</v>
      </c>
      <c r="I56" s="165"/>
      <c r="J56" s="165">
        <f t="shared" ref="J56:J96" si="2">SUM(B56:I56)</f>
        <v>0</v>
      </c>
    </row>
    <row r="57" spans="1:10" ht="15" customHeight="1">
      <c r="A57" s="162" t="s">
        <v>159</v>
      </c>
      <c r="B57" s="165">
        <v>0</v>
      </c>
      <c r="C57" s="164"/>
      <c r="D57" s="165">
        <v>0</v>
      </c>
      <c r="E57" s="164"/>
      <c r="F57" s="165">
        <v>0</v>
      </c>
      <c r="G57" s="164"/>
      <c r="H57" s="165">
        <v>0</v>
      </c>
      <c r="I57" s="165"/>
      <c r="J57" s="165">
        <f t="shared" si="2"/>
        <v>0</v>
      </c>
    </row>
    <row r="58" spans="1:10" ht="15" customHeight="1">
      <c r="A58" s="162" t="s">
        <v>74</v>
      </c>
      <c r="B58" s="165">
        <v>0</v>
      </c>
      <c r="C58" s="164"/>
      <c r="D58" s="165">
        <v>0</v>
      </c>
      <c r="E58" s="164"/>
      <c r="F58" s="165">
        <v>0</v>
      </c>
      <c r="G58" s="164"/>
      <c r="H58" s="165">
        <v>0</v>
      </c>
      <c r="I58" s="165"/>
      <c r="J58" s="165">
        <f t="shared" si="2"/>
        <v>0</v>
      </c>
    </row>
    <row r="59" spans="1:10" ht="15" customHeight="1">
      <c r="A59" s="162" t="s">
        <v>160</v>
      </c>
      <c r="B59" s="165">
        <v>0</v>
      </c>
      <c r="C59" s="164"/>
      <c r="D59" s="165">
        <v>0</v>
      </c>
      <c r="E59" s="164"/>
      <c r="F59" s="165">
        <v>0</v>
      </c>
      <c r="G59" s="164"/>
      <c r="H59" s="165">
        <v>0</v>
      </c>
      <c r="I59" s="165"/>
      <c r="J59" s="165">
        <f t="shared" si="2"/>
        <v>0</v>
      </c>
    </row>
    <row r="60" spans="1:10" ht="15" customHeight="1">
      <c r="A60" s="162" t="s">
        <v>161</v>
      </c>
      <c r="B60" s="165">
        <v>0</v>
      </c>
      <c r="C60" s="164"/>
      <c r="D60" s="165">
        <v>0</v>
      </c>
      <c r="E60" s="164"/>
      <c r="F60" s="165">
        <v>0</v>
      </c>
      <c r="G60" s="164"/>
      <c r="H60" s="165">
        <v>0</v>
      </c>
      <c r="I60" s="165"/>
      <c r="J60" s="165">
        <f t="shared" si="2"/>
        <v>0</v>
      </c>
    </row>
    <row r="61" spans="1:10" ht="15" customHeight="1">
      <c r="A61" s="162" t="s">
        <v>162</v>
      </c>
      <c r="B61" s="165">
        <v>0</v>
      </c>
      <c r="C61" s="164"/>
      <c r="D61" s="165">
        <v>0</v>
      </c>
      <c r="E61" s="164"/>
      <c r="F61" s="165">
        <v>0</v>
      </c>
      <c r="G61" s="164"/>
      <c r="H61" s="165">
        <v>0</v>
      </c>
      <c r="I61" s="165"/>
      <c r="J61" s="165">
        <f t="shared" si="2"/>
        <v>0</v>
      </c>
    </row>
    <row r="62" spans="1:10" ht="15" customHeight="1">
      <c r="A62" s="162" t="s">
        <v>163</v>
      </c>
      <c r="B62" s="165">
        <v>0</v>
      </c>
      <c r="C62" s="164"/>
      <c r="D62" s="165">
        <v>0</v>
      </c>
      <c r="E62" s="164"/>
      <c r="F62" s="165">
        <v>0</v>
      </c>
      <c r="G62" s="164"/>
      <c r="H62" s="165">
        <v>0</v>
      </c>
      <c r="I62" s="165"/>
      <c r="J62" s="165">
        <f t="shared" si="2"/>
        <v>0</v>
      </c>
    </row>
    <row r="63" spans="1:10" ht="15" customHeight="1">
      <c r="A63" s="162" t="s">
        <v>164</v>
      </c>
      <c r="B63" s="165">
        <v>0</v>
      </c>
      <c r="C63" s="164"/>
      <c r="D63" s="165">
        <v>0</v>
      </c>
      <c r="E63" s="164"/>
      <c r="F63" s="165">
        <v>0</v>
      </c>
      <c r="G63" s="164"/>
      <c r="H63" s="165">
        <v>0</v>
      </c>
      <c r="I63" s="165"/>
      <c r="J63" s="165">
        <f t="shared" si="2"/>
        <v>0</v>
      </c>
    </row>
    <row r="64" spans="1:10" ht="15" customHeight="1">
      <c r="A64" s="162" t="s">
        <v>165</v>
      </c>
      <c r="B64" s="165">
        <v>0</v>
      </c>
      <c r="C64" s="164"/>
      <c r="D64" s="165">
        <v>0</v>
      </c>
      <c r="E64" s="164"/>
      <c r="F64" s="165">
        <v>0</v>
      </c>
      <c r="G64" s="164"/>
      <c r="H64" s="165">
        <v>0</v>
      </c>
      <c r="I64" s="165"/>
      <c r="J64" s="165">
        <f t="shared" si="2"/>
        <v>0</v>
      </c>
    </row>
    <row r="65" spans="1:10" ht="15" customHeight="1">
      <c r="A65" s="162" t="s">
        <v>166</v>
      </c>
      <c r="B65" s="165">
        <v>0</v>
      </c>
      <c r="C65" s="164"/>
      <c r="D65" s="165">
        <v>0</v>
      </c>
      <c r="E65" s="164"/>
      <c r="F65" s="165">
        <v>0</v>
      </c>
      <c r="G65" s="164"/>
      <c r="H65" s="165">
        <v>0</v>
      </c>
      <c r="I65" s="165"/>
      <c r="J65" s="165">
        <f t="shared" si="2"/>
        <v>0</v>
      </c>
    </row>
    <row r="66" spans="1:10" ht="15" customHeight="1">
      <c r="A66" s="162" t="s">
        <v>167</v>
      </c>
      <c r="B66" s="165">
        <v>0</v>
      </c>
      <c r="C66" s="164"/>
      <c r="D66" s="165">
        <v>0</v>
      </c>
      <c r="E66" s="164"/>
      <c r="F66" s="165">
        <v>0</v>
      </c>
      <c r="G66" s="164"/>
      <c r="H66" s="165">
        <v>0</v>
      </c>
      <c r="I66" s="165"/>
      <c r="J66" s="165">
        <f t="shared" si="2"/>
        <v>0</v>
      </c>
    </row>
    <row r="67" spans="1:10" ht="15" customHeight="1">
      <c r="A67" s="162" t="s">
        <v>168</v>
      </c>
      <c r="B67" s="165">
        <v>0</v>
      </c>
      <c r="C67" s="164"/>
      <c r="D67" s="165">
        <v>0</v>
      </c>
      <c r="E67" s="164"/>
      <c r="F67" s="165">
        <v>0</v>
      </c>
      <c r="G67" s="164"/>
      <c r="H67" s="165">
        <v>0</v>
      </c>
      <c r="I67" s="165"/>
      <c r="J67" s="165">
        <f t="shared" si="2"/>
        <v>0</v>
      </c>
    </row>
    <row r="68" spans="1:10" ht="15" customHeight="1">
      <c r="A68" s="162" t="s">
        <v>232</v>
      </c>
      <c r="B68" s="165">
        <v>0</v>
      </c>
      <c r="C68" s="164"/>
      <c r="D68" s="165">
        <v>0</v>
      </c>
      <c r="E68" s="164"/>
      <c r="F68" s="165">
        <v>0</v>
      </c>
      <c r="G68" s="164"/>
      <c r="H68" s="165">
        <v>0</v>
      </c>
      <c r="I68" s="165"/>
      <c r="J68" s="165">
        <f t="shared" si="2"/>
        <v>0</v>
      </c>
    </row>
    <row r="69" spans="1:10" ht="15" customHeight="1">
      <c r="A69" s="162" t="s">
        <v>171</v>
      </c>
      <c r="B69" s="165">
        <v>0</v>
      </c>
      <c r="C69" s="164"/>
      <c r="D69" s="165">
        <v>0</v>
      </c>
      <c r="E69" s="164"/>
      <c r="F69" s="165">
        <v>0</v>
      </c>
      <c r="G69" s="164"/>
      <c r="H69" s="165">
        <v>0</v>
      </c>
      <c r="I69" s="165"/>
      <c r="J69" s="165">
        <f t="shared" si="2"/>
        <v>0</v>
      </c>
    </row>
    <row r="70" spans="1:10" ht="15" customHeight="1">
      <c r="A70" s="162" t="s">
        <v>172</v>
      </c>
      <c r="B70" s="165">
        <v>0</v>
      </c>
      <c r="C70" s="164"/>
      <c r="D70" s="165">
        <v>0</v>
      </c>
      <c r="E70" s="164"/>
      <c r="F70" s="165">
        <v>0</v>
      </c>
      <c r="G70" s="164"/>
      <c r="H70" s="165">
        <v>0</v>
      </c>
      <c r="I70" s="165"/>
      <c r="J70" s="165">
        <f t="shared" si="2"/>
        <v>0</v>
      </c>
    </row>
    <row r="71" spans="1:10" ht="15" customHeight="1">
      <c r="A71" s="162" t="s">
        <v>173</v>
      </c>
      <c r="B71" s="165">
        <v>0</v>
      </c>
      <c r="C71" s="164"/>
      <c r="D71" s="165">
        <v>0</v>
      </c>
      <c r="E71" s="164"/>
      <c r="F71" s="165">
        <f>F21*0.015</f>
        <v>0</v>
      </c>
      <c r="G71" s="164"/>
      <c r="H71" s="165">
        <v>0</v>
      </c>
      <c r="I71" s="165"/>
      <c r="J71" s="165">
        <f t="shared" si="2"/>
        <v>0</v>
      </c>
    </row>
    <row r="72" spans="1:10" ht="15" customHeight="1">
      <c r="A72" s="162" t="s">
        <v>174</v>
      </c>
      <c r="B72" s="165">
        <v>0</v>
      </c>
      <c r="C72" s="164"/>
      <c r="D72" s="165">
        <v>0</v>
      </c>
      <c r="E72" s="164"/>
      <c r="F72" s="165">
        <v>0</v>
      </c>
      <c r="G72" s="164"/>
      <c r="H72" s="165">
        <v>0</v>
      </c>
      <c r="I72" s="165"/>
      <c r="J72" s="165">
        <f t="shared" si="2"/>
        <v>0</v>
      </c>
    </row>
    <row r="73" spans="1:10" ht="15" customHeight="1">
      <c r="A73" s="162" t="s">
        <v>175</v>
      </c>
      <c r="B73" s="165">
        <v>0</v>
      </c>
      <c r="C73" s="164"/>
      <c r="D73" s="165">
        <v>0</v>
      </c>
      <c r="E73" s="164"/>
      <c r="F73" s="165">
        <v>0</v>
      </c>
      <c r="G73" s="164"/>
      <c r="H73" s="165">
        <v>0</v>
      </c>
      <c r="I73" s="165"/>
      <c r="J73" s="165">
        <f t="shared" si="2"/>
        <v>0</v>
      </c>
    </row>
    <row r="74" spans="1:10" ht="15" customHeight="1">
      <c r="A74" s="162" t="s">
        <v>176</v>
      </c>
      <c r="B74" s="165">
        <v>0</v>
      </c>
      <c r="C74" s="164"/>
      <c r="D74" s="165">
        <v>0</v>
      </c>
      <c r="E74" s="164"/>
      <c r="F74" s="165">
        <v>0</v>
      </c>
      <c r="G74" s="164"/>
      <c r="H74" s="165">
        <v>0</v>
      </c>
      <c r="I74" s="165"/>
      <c r="J74" s="165">
        <f t="shared" si="2"/>
        <v>0</v>
      </c>
    </row>
    <row r="75" spans="1:10" ht="15" customHeight="1">
      <c r="A75" s="162" t="s">
        <v>177</v>
      </c>
      <c r="B75" s="165">
        <v>0</v>
      </c>
      <c r="C75" s="164"/>
      <c r="D75" s="165">
        <v>0</v>
      </c>
      <c r="E75" s="164"/>
      <c r="F75" s="165">
        <v>0</v>
      </c>
      <c r="G75" s="164"/>
      <c r="H75" s="165">
        <v>0</v>
      </c>
      <c r="I75" s="165"/>
      <c r="J75" s="165">
        <f t="shared" si="2"/>
        <v>0</v>
      </c>
    </row>
    <row r="76" spans="1:10" ht="15" customHeight="1">
      <c r="A76" s="162" t="s">
        <v>178</v>
      </c>
      <c r="B76" s="165">
        <v>0</v>
      </c>
      <c r="C76" s="164"/>
      <c r="D76" s="165">
        <v>0</v>
      </c>
      <c r="E76" s="164"/>
      <c r="F76" s="165">
        <v>0</v>
      </c>
      <c r="G76" s="164"/>
      <c r="H76" s="165">
        <v>0</v>
      </c>
      <c r="I76" s="165"/>
      <c r="J76" s="165">
        <f t="shared" si="2"/>
        <v>0</v>
      </c>
    </row>
    <row r="77" spans="1:10" ht="15" customHeight="1">
      <c r="A77" s="162" t="s">
        <v>179</v>
      </c>
      <c r="B77" s="165">
        <v>0</v>
      </c>
      <c r="C77" s="164"/>
      <c r="D77" s="165">
        <v>0</v>
      </c>
      <c r="E77" s="164"/>
      <c r="F77" s="165">
        <v>0</v>
      </c>
      <c r="G77" s="164"/>
      <c r="H77" s="165">
        <v>0</v>
      </c>
      <c r="I77" s="165"/>
      <c r="J77" s="165">
        <f t="shared" si="2"/>
        <v>0</v>
      </c>
    </row>
    <row r="78" spans="1:10" ht="15" customHeight="1">
      <c r="A78" s="162" t="s">
        <v>180</v>
      </c>
      <c r="B78" s="165">
        <v>0</v>
      </c>
      <c r="C78" s="164"/>
      <c r="D78" s="165">
        <v>0</v>
      </c>
      <c r="E78" s="164"/>
      <c r="F78" s="165">
        <v>0</v>
      </c>
      <c r="G78" s="164"/>
      <c r="H78" s="165">
        <v>0</v>
      </c>
      <c r="I78" s="165"/>
      <c r="J78" s="165">
        <f t="shared" si="2"/>
        <v>0</v>
      </c>
    </row>
    <row r="79" spans="1:10" ht="15" customHeight="1">
      <c r="A79" s="162" t="s">
        <v>181</v>
      </c>
      <c r="B79" s="165">
        <v>0</v>
      </c>
      <c r="C79" s="164"/>
      <c r="D79" s="165">
        <v>0</v>
      </c>
      <c r="E79" s="164"/>
      <c r="F79" s="165">
        <v>0</v>
      </c>
      <c r="G79" s="164"/>
      <c r="H79" s="165">
        <v>0</v>
      </c>
      <c r="I79" s="165"/>
      <c r="J79" s="165">
        <f t="shared" si="2"/>
        <v>0</v>
      </c>
    </row>
    <row r="80" spans="1:10" ht="15" customHeight="1">
      <c r="A80" s="162" t="s">
        <v>78</v>
      </c>
      <c r="B80" s="165">
        <v>0</v>
      </c>
      <c r="C80" s="164"/>
      <c r="D80" s="165">
        <v>0</v>
      </c>
      <c r="E80" s="164"/>
      <c r="F80" s="165">
        <v>0</v>
      </c>
      <c r="G80" s="164"/>
      <c r="H80" s="165">
        <v>0</v>
      </c>
      <c r="I80" s="165"/>
      <c r="J80" s="165">
        <f t="shared" si="2"/>
        <v>0</v>
      </c>
    </row>
    <row r="81" spans="1:10" ht="15" customHeight="1">
      <c r="A81" s="162" t="s">
        <v>182</v>
      </c>
      <c r="B81" s="165">
        <v>0</v>
      </c>
      <c r="C81" s="164"/>
      <c r="D81" s="165">
        <v>0</v>
      </c>
      <c r="E81" s="164"/>
      <c r="F81" s="165">
        <v>0</v>
      </c>
      <c r="G81" s="164"/>
      <c r="H81" s="165">
        <v>0</v>
      </c>
      <c r="I81" s="165"/>
      <c r="J81" s="165">
        <f t="shared" si="2"/>
        <v>0</v>
      </c>
    </row>
    <row r="82" spans="1:10" ht="15" customHeight="1">
      <c r="A82" s="162" t="s">
        <v>183</v>
      </c>
      <c r="B82" s="165">
        <v>0</v>
      </c>
      <c r="C82" s="164"/>
      <c r="D82" s="165">
        <v>0</v>
      </c>
      <c r="E82" s="164"/>
      <c r="F82" s="165">
        <v>0</v>
      </c>
      <c r="G82" s="164"/>
      <c r="H82" s="165">
        <v>0</v>
      </c>
      <c r="I82" s="165"/>
      <c r="J82" s="165">
        <f t="shared" si="2"/>
        <v>0</v>
      </c>
    </row>
    <row r="83" spans="1:10" ht="15" customHeight="1">
      <c r="A83" s="162" t="s">
        <v>184</v>
      </c>
      <c r="B83" s="165">
        <v>0</v>
      </c>
      <c r="C83" s="164"/>
      <c r="D83" s="165">
        <v>0</v>
      </c>
      <c r="E83" s="164"/>
      <c r="F83" s="165">
        <v>0</v>
      </c>
      <c r="G83" s="164"/>
      <c r="H83" s="165">
        <v>0</v>
      </c>
      <c r="I83" s="165"/>
      <c r="J83" s="165">
        <f t="shared" si="2"/>
        <v>0</v>
      </c>
    </row>
    <row r="84" spans="1:10" ht="15" customHeight="1">
      <c r="A84" s="162" t="s">
        <v>186</v>
      </c>
      <c r="B84" s="165">
        <v>0</v>
      </c>
      <c r="C84" s="164"/>
      <c r="D84" s="165">
        <v>0</v>
      </c>
      <c r="E84" s="164"/>
      <c r="F84" s="165">
        <v>0</v>
      </c>
      <c r="G84" s="164"/>
      <c r="H84" s="165">
        <v>0</v>
      </c>
      <c r="I84" s="165"/>
      <c r="J84" s="165">
        <f t="shared" si="2"/>
        <v>0</v>
      </c>
    </row>
    <row r="85" spans="1:10" ht="15" customHeight="1">
      <c r="A85" s="162" t="s">
        <v>187</v>
      </c>
      <c r="B85" s="165">
        <v>0</v>
      </c>
      <c r="C85" s="164"/>
      <c r="D85" s="165">
        <v>0</v>
      </c>
      <c r="E85" s="164"/>
      <c r="F85" s="165">
        <v>0</v>
      </c>
      <c r="G85" s="164"/>
      <c r="H85" s="165">
        <v>0</v>
      </c>
      <c r="I85" s="165"/>
      <c r="J85" s="165">
        <f t="shared" si="2"/>
        <v>0</v>
      </c>
    </row>
    <row r="86" spans="1:10" ht="15" customHeight="1">
      <c r="A86" s="162" t="s">
        <v>188</v>
      </c>
      <c r="B86" s="165">
        <v>0</v>
      </c>
      <c r="C86" s="164"/>
      <c r="D86" s="165">
        <v>0</v>
      </c>
      <c r="E86" s="164"/>
      <c r="F86" s="165">
        <v>0</v>
      </c>
      <c r="G86" s="164"/>
      <c r="H86" s="165">
        <v>0</v>
      </c>
      <c r="I86" s="165"/>
      <c r="J86" s="165">
        <f t="shared" si="2"/>
        <v>0</v>
      </c>
    </row>
    <row r="87" spans="1:10" ht="15" customHeight="1">
      <c r="A87" s="162" t="s">
        <v>189</v>
      </c>
      <c r="B87" s="165">
        <v>0</v>
      </c>
      <c r="C87" s="164"/>
      <c r="D87" s="165">
        <v>0</v>
      </c>
      <c r="E87" s="164"/>
      <c r="F87" s="165">
        <v>0</v>
      </c>
      <c r="G87" s="164"/>
      <c r="H87" s="165">
        <v>0</v>
      </c>
      <c r="I87" s="165"/>
      <c r="J87" s="165">
        <f t="shared" si="2"/>
        <v>0</v>
      </c>
    </row>
    <row r="88" spans="1:10" ht="15" customHeight="1">
      <c r="A88" s="162" t="s">
        <v>191</v>
      </c>
      <c r="B88" s="165">
        <v>0</v>
      </c>
      <c r="C88" s="164"/>
      <c r="D88" s="165">
        <v>0</v>
      </c>
      <c r="E88" s="164"/>
      <c r="F88" s="165">
        <v>0</v>
      </c>
      <c r="G88" s="164"/>
      <c r="H88" s="165">
        <v>0</v>
      </c>
      <c r="I88" s="165"/>
      <c r="J88" s="165">
        <f t="shared" si="2"/>
        <v>0</v>
      </c>
    </row>
    <row r="89" spans="1:10" ht="15" customHeight="1">
      <c r="A89" s="162" t="s">
        <v>192</v>
      </c>
      <c r="B89" s="165">
        <v>0</v>
      </c>
      <c r="C89" s="164"/>
      <c r="D89" s="165">
        <v>0</v>
      </c>
      <c r="E89" s="164"/>
      <c r="F89" s="165">
        <v>0</v>
      </c>
      <c r="G89" s="164"/>
      <c r="H89" s="165">
        <v>0</v>
      </c>
      <c r="I89" s="165"/>
      <c r="J89" s="165">
        <f t="shared" si="2"/>
        <v>0</v>
      </c>
    </row>
    <row r="90" spans="1:10" ht="15" customHeight="1">
      <c r="A90" s="162" t="s">
        <v>193</v>
      </c>
      <c r="B90" s="165">
        <v>0</v>
      </c>
      <c r="C90" s="164"/>
      <c r="D90" s="165">
        <v>0</v>
      </c>
      <c r="E90" s="164"/>
      <c r="F90" s="165">
        <v>0</v>
      </c>
      <c r="G90" s="164"/>
      <c r="H90" s="165">
        <v>0</v>
      </c>
      <c r="I90" s="165"/>
      <c r="J90" s="165">
        <f t="shared" si="2"/>
        <v>0</v>
      </c>
    </row>
    <row r="91" spans="1:10" ht="15" customHeight="1">
      <c r="A91" s="162" t="s">
        <v>194</v>
      </c>
      <c r="B91" s="165">
        <v>0</v>
      </c>
      <c r="C91" s="164"/>
      <c r="D91" s="165">
        <v>0</v>
      </c>
      <c r="E91" s="164"/>
      <c r="F91" s="165">
        <v>0</v>
      </c>
      <c r="G91" s="164"/>
      <c r="H91" s="165">
        <v>0</v>
      </c>
      <c r="I91" s="165"/>
      <c r="J91" s="165">
        <f t="shared" si="2"/>
        <v>0</v>
      </c>
    </row>
    <row r="92" spans="1:10" ht="15" customHeight="1">
      <c r="A92" s="162" t="s">
        <v>195</v>
      </c>
      <c r="B92" s="165">
        <v>0</v>
      </c>
      <c r="C92" s="164"/>
      <c r="D92" s="165">
        <v>0</v>
      </c>
      <c r="E92" s="164"/>
      <c r="F92" s="165">
        <v>0</v>
      </c>
      <c r="G92" s="164"/>
      <c r="H92" s="165">
        <v>0</v>
      </c>
      <c r="I92" s="165"/>
      <c r="J92" s="165">
        <f t="shared" si="2"/>
        <v>0</v>
      </c>
    </row>
    <row r="93" spans="1:10" ht="15" customHeight="1">
      <c r="A93" s="162" t="s">
        <v>196</v>
      </c>
      <c r="B93" s="165">
        <v>0</v>
      </c>
      <c r="C93" s="164"/>
      <c r="D93" s="165">
        <v>0</v>
      </c>
      <c r="E93" s="164"/>
      <c r="F93" s="165">
        <v>0</v>
      </c>
      <c r="G93" s="164"/>
      <c r="H93" s="165">
        <v>0</v>
      </c>
      <c r="I93" s="165"/>
      <c r="J93" s="165">
        <f t="shared" si="2"/>
        <v>0</v>
      </c>
    </row>
    <row r="94" spans="1:10" ht="15" customHeight="1">
      <c r="A94" s="162" t="s">
        <v>197</v>
      </c>
      <c r="B94" s="165">
        <v>0</v>
      </c>
      <c r="C94" s="164"/>
      <c r="D94" s="165">
        <v>0</v>
      </c>
      <c r="E94" s="164"/>
      <c r="F94" s="165">
        <v>0</v>
      </c>
      <c r="G94" s="164"/>
      <c r="H94" s="165">
        <v>0</v>
      </c>
      <c r="I94" s="165"/>
      <c r="J94" s="165">
        <f t="shared" si="2"/>
        <v>0</v>
      </c>
    </row>
    <row r="95" spans="1:10" ht="15" customHeight="1">
      <c r="A95" s="162" t="s">
        <v>198</v>
      </c>
      <c r="B95" s="165">
        <v>0</v>
      </c>
      <c r="C95" s="164"/>
      <c r="D95" s="165">
        <v>0</v>
      </c>
      <c r="E95" s="164"/>
      <c r="F95" s="165">
        <v>0</v>
      </c>
      <c r="G95" s="164"/>
      <c r="H95" s="165">
        <v>0</v>
      </c>
      <c r="I95" s="165"/>
      <c r="J95" s="165">
        <f t="shared" si="2"/>
        <v>0</v>
      </c>
    </row>
    <row r="96" spans="1:10" ht="15" customHeight="1">
      <c r="A96" s="162" t="s">
        <v>199</v>
      </c>
      <c r="B96" s="170">
        <v>0</v>
      </c>
      <c r="C96" s="164"/>
      <c r="D96" s="170">
        <v>0</v>
      </c>
      <c r="E96" s="164"/>
      <c r="F96" s="165">
        <v>0</v>
      </c>
      <c r="G96" s="164"/>
      <c r="H96" s="170">
        <v>0</v>
      </c>
      <c r="I96" s="164"/>
      <c r="J96" s="165">
        <f t="shared" si="2"/>
        <v>0</v>
      </c>
    </row>
    <row r="97" spans="1:10" ht="15" customHeight="1">
      <c r="A97" s="160"/>
      <c r="B97" s="176">
        <f>SUM(B24:B96)</f>
        <v>84553.136329271045</v>
      </c>
      <c r="C97" s="166"/>
      <c r="D97" s="176">
        <f>SUM(D24:D96)</f>
        <v>37281.006999999998</v>
      </c>
      <c r="E97" s="166"/>
      <c r="F97" s="176">
        <f>SUM(F24:F96)</f>
        <v>-18926.938991007122</v>
      </c>
      <c r="G97" s="166"/>
      <c r="H97" s="176">
        <f>SUM(H24:H96)</f>
        <v>301150.53818224114</v>
      </c>
      <c r="I97" s="164"/>
      <c r="J97" s="176">
        <f>SUM(J24:J96)</f>
        <v>404057.7425205051</v>
      </c>
    </row>
    <row r="98" spans="1:10" ht="15" customHeight="1">
      <c r="A98" s="138"/>
      <c r="B98" s="168"/>
      <c r="C98" s="169"/>
      <c r="D98" s="168"/>
      <c r="E98" s="169"/>
      <c r="F98" s="168"/>
      <c r="G98" s="169"/>
      <c r="H98" s="168"/>
      <c r="I98" s="168"/>
      <c r="J98" s="168"/>
    </row>
    <row r="99" spans="1:10" ht="15" customHeight="1" thickBot="1">
      <c r="A99" s="138" t="s">
        <v>227</v>
      </c>
      <c r="B99" s="177">
        <f>+B21-B97</f>
        <v>-84553.136329271045</v>
      </c>
      <c r="C99" s="164"/>
      <c r="D99" s="177">
        <f>+D21-D97</f>
        <v>-37281.006999999998</v>
      </c>
      <c r="E99" s="164"/>
      <c r="F99" s="177">
        <f>+F21-F97</f>
        <v>18926.938991007122</v>
      </c>
      <c r="G99" s="164"/>
      <c r="H99" s="177">
        <f>+H21-H97</f>
        <v>-162552.43855757621</v>
      </c>
      <c r="I99" s="166"/>
      <c r="J99" s="177">
        <f>+J21-J97</f>
        <v>-265459.64289584017</v>
      </c>
    </row>
    <row r="100" spans="1:10" ht="15" customHeight="1" thickTop="1">
      <c r="A100" s="138"/>
      <c r="B100" s="138"/>
      <c r="C100" s="159"/>
      <c r="D100" s="138"/>
      <c r="E100" s="159"/>
      <c r="F100" s="138"/>
      <c r="G100" s="159"/>
      <c r="H100" s="138"/>
      <c r="I100" s="138"/>
      <c r="J100" s="138"/>
    </row>
    <row r="101" spans="1:10" ht="15" customHeight="1">
      <c r="A101" s="138"/>
      <c r="B101" s="138"/>
      <c r="C101" s="159"/>
      <c r="D101" s="138"/>
      <c r="E101" s="159"/>
      <c r="F101" s="138"/>
      <c r="G101" s="159"/>
      <c r="H101" s="138"/>
      <c r="I101" s="138"/>
      <c r="J101" s="138"/>
    </row>
    <row r="102" spans="1:10" ht="15" customHeight="1">
      <c r="A102" s="138"/>
      <c r="B102" s="138"/>
      <c r="C102" s="159"/>
      <c r="D102" s="138"/>
      <c r="E102" s="159"/>
      <c r="F102" s="138"/>
      <c r="G102" s="159"/>
      <c r="H102" s="138"/>
      <c r="I102" s="138"/>
      <c r="J102" s="138"/>
    </row>
    <row r="103" spans="1:10" ht="15" customHeight="1">
      <c r="A103" s="138"/>
      <c r="B103" s="138"/>
      <c r="C103" s="159"/>
      <c r="D103" s="138"/>
      <c r="E103" s="159"/>
      <c r="F103" s="138"/>
      <c r="G103" s="159"/>
      <c r="H103" s="138"/>
      <c r="I103" s="138"/>
      <c r="J103" s="138"/>
    </row>
    <row r="104" spans="1:10" ht="15" customHeight="1">
      <c r="A104" s="138"/>
      <c r="B104" s="138"/>
      <c r="C104" s="159"/>
      <c r="D104" s="138"/>
      <c r="E104" s="159"/>
      <c r="F104" s="138"/>
      <c r="G104" s="159"/>
      <c r="H104" s="138"/>
      <c r="I104" s="138"/>
      <c r="J104" s="138"/>
    </row>
    <row r="105" spans="1:10" ht="15" customHeight="1">
      <c r="A105" s="138"/>
      <c r="B105" s="138"/>
      <c r="C105" s="159"/>
      <c r="D105" s="138"/>
      <c r="E105" s="159"/>
      <c r="F105" s="138"/>
      <c r="G105" s="159"/>
      <c r="H105" s="138"/>
      <c r="I105" s="138"/>
      <c r="J105" s="138"/>
    </row>
    <row r="106" spans="1:10" ht="15" customHeight="1">
      <c r="A106" s="138"/>
      <c r="B106" s="138"/>
      <c r="C106" s="159"/>
      <c r="D106" s="138"/>
      <c r="E106" s="159"/>
      <c r="F106" s="138"/>
      <c r="G106" s="159"/>
      <c r="H106" s="138"/>
      <c r="I106" s="138"/>
      <c r="J106" s="138"/>
    </row>
    <row r="107" spans="1:10" ht="15" customHeight="1">
      <c r="A107" s="138"/>
      <c r="B107" s="138"/>
      <c r="C107" s="159"/>
      <c r="D107" s="138"/>
      <c r="E107" s="159"/>
      <c r="F107" s="138"/>
      <c r="G107" s="159"/>
      <c r="H107" s="138"/>
      <c r="I107" s="138"/>
      <c r="J107" s="138"/>
    </row>
    <row r="108" spans="1:10" ht="15" customHeight="1">
      <c r="A108" s="138"/>
      <c r="B108" s="138"/>
      <c r="C108" s="159"/>
      <c r="D108" s="138"/>
      <c r="E108" s="159"/>
      <c r="F108" s="138"/>
      <c r="G108" s="159"/>
      <c r="H108" s="138"/>
      <c r="I108" s="138"/>
      <c r="J108" s="138"/>
    </row>
    <row r="109" spans="1:10" ht="15" customHeight="1">
      <c r="A109" s="138"/>
      <c r="B109" s="138"/>
      <c r="C109" s="159"/>
      <c r="D109" s="138"/>
      <c r="E109" s="159"/>
      <c r="F109" s="138"/>
      <c r="G109" s="159"/>
      <c r="H109" s="138"/>
      <c r="I109" s="138"/>
      <c r="J109" s="138"/>
    </row>
    <row r="110" spans="1:10" ht="15" customHeight="1">
      <c r="A110" s="138"/>
      <c r="B110" s="138"/>
      <c r="C110" s="159"/>
      <c r="D110" s="138"/>
      <c r="E110" s="159"/>
      <c r="F110" s="138"/>
      <c r="G110" s="159"/>
      <c r="H110" s="138"/>
      <c r="I110" s="138"/>
      <c r="J110" s="138"/>
    </row>
    <row r="111" spans="1:10" ht="15" customHeight="1">
      <c r="A111" s="138"/>
      <c r="B111" s="138"/>
      <c r="C111" s="159"/>
      <c r="D111" s="138"/>
      <c r="E111" s="159"/>
      <c r="F111" s="138"/>
      <c r="G111" s="159"/>
      <c r="H111" s="138"/>
      <c r="I111" s="138"/>
      <c r="J111" s="138"/>
    </row>
    <row r="112" spans="1:10" ht="15" customHeight="1">
      <c r="A112" s="138"/>
      <c r="B112" s="138"/>
      <c r="C112" s="159"/>
      <c r="D112" s="138"/>
      <c r="E112" s="159"/>
      <c r="F112" s="138"/>
      <c r="G112" s="159"/>
      <c r="H112" s="138"/>
      <c r="I112" s="138"/>
      <c r="J112" s="138"/>
    </row>
    <row r="113" spans="1:10" ht="15" customHeight="1">
      <c r="A113" s="138"/>
      <c r="B113" s="138"/>
      <c r="C113" s="159"/>
      <c r="D113" s="138"/>
      <c r="E113" s="159"/>
      <c r="F113" s="138"/>
      <c r="G113" s="159"/>
      <c r="H113" s="138"/>
      <c r="I113" s="138"/>
      <c r="J113" s="138"/>
    </row>
    <row r="114" spans="1:10">
      <c r="A114" s="138"/>
      <c r="B114" s="138"/>
      <c r="C114" s="159"/>
      <c r="D114" s="138"/>
      <c r="E114" s="159"/>
      <c r="F114" s="138"/>
      <c r="G114" s="159"/>
      <c r="H114" s="138"/>
      <c r="I114" s="138"/>
      <c r="J114" s="138"/>
    </row>
    <row r="115" spans="1:10">
      <c r="A115" s="138"/>
      <c r="B115" s="138"/>
      <c r="C115" s="159"/>
      <c r="D115" s="138"/>
      <c r="E115" s="159"/>
      <c r="F115" s="138"/>
      <c r="G115" s="159"/>
      <c r="H115" s="138"/>
      <c r="I115" s="138"/>
      <c r="J115" s="138"/>
    </row>
    <row r="116" spans="1:10">
      <c r="A116" s="138"/>
      <c r="B116" s="138"/>
      <c r="C116" s="159"/>
      <c r="D116" s="138"/>
      <c r="E116" s="159"/>
      <c r="F116" s="138"/>
      <c r="G116" s="159"/>
      <c r="H116" s="138"/>
      <c r="I116" s="138"/>
      <c r="J116" s="138"/>
    </row>
    <row r="117" spans="1:10">
      <c r="A117" s="138"/>
      <c r="B117" s="138"/>
      <c r="C117" s="159"/>
      <c r="D117" s="138"/>
      <c r="E117" s="159"/>
      <c r="F117" s="138"/>
      <c r="G117" s="159"/>
      <c r="H117" s="138"/>
      <c r="I117" s="138"/>
      <c r="J117" s="138"/>
    </row>
    <row r="118" spans="1:10">
      <c r="A118" s="138"/>
      <c r="B118" s="138"/>
      <c r="C118" s="159"/>
      <c r="D118" s="138"/>
      <c r="E118" s="159"/>
      <c r="F118" s="138"/>
      <c r="G118" s="159"/>
      <c r="H118" s="138"/>
      <c r="I118" s="138"/>
      <c r="J118" s="138"/>
    </row>
    <row r="119" spans="1:10">
      <c r="A119" s="138"/>
      <c r="B119" s="138"/>
      <c r="C119" s="159"/>
      <c r="D119" s="138"/>
      <c r="E119" s="159"/>
      <c r="F119" s="138"/>
      <c r="G119" s="159"/>
      <c r="H119" s="138"/>
      <c r="I119" s="138"/>
      <c r="J119" s="138"/>
    </row>
    <row r="120" spans="1:10">
      <c r="A120" s="138"/>
      <c r="B120" s="138"/>
      <c r="C120" s="159"/>
      <c r="D120" s="138"/>
      <c r="E120" s="159"/>
      <c r="F120" s="138"/>
      <c r="G120" s="159"/>
      <c r="H120" s="138"/>
      <c r="I120" s="138"/>
      <c r="J120" s="138"/>
    </row>
    <row r="121" spans="1:10">
      <c r="A121" s="138"/>
      <c r="B121" s="138"/>
      <c r="C121" s="159"/>
      <c r="D121" s="138"/>
      <c r="E121" s="159"/>
      <c r="F121" s="138"/>
      <c r="G121" s="159"/>
      <c r="H121" s="138"/>
      <c r="I121" s="138"/>
      <c r="J121" s="138"/>
    </row>
    <row r="122" spans="1:10">
      <c r="A122" s="138"/>
      <c r="B122" s="138"/>
      <c r="C122" s="159"/>
      <c r="D122" s="138"/>
      <c r="E122" s="159"/>
      <c r="F122" s="138"/>
      <c r="G122" s="159"/>
      <c r="H122" s="138"/>
      <c r="I122" s="138"/>
      <c r="J122" s="138"/>
    </row>
    <row r="123" spans="1:10">
      <c r="A123" s="138"/>
      <c r="B123" s="138"/>
      <c r="C123" s="159"/>
      <c r="D123" s="138"/>
      <c r="E123" s="159"/>
      <c r="F123" s="138"/>
      <c r="G123" s="159"/>
      <c r="H123" s="138"/>
      <c r="I123" s="138"/>
      <c r="J123" s="138"/>
    </row>
    <row r="124" spans="1:10">
      <c r="A124" s="138"/>
      <c r="B124" s="138"/>
      <c r="C124" s="159"/>
      <c r="D124" s="138"/>
      <c r="E124" s="159"/>
      <c r="F124" s="138"/>
      <c r="G124" s="159"/>
      <c r="H124" s="138"/>
      <c r="I124" s="138"/>
      <c r="J124" s="138"/>
    </row>
    <row r="125" spans="1:10">
      <c r="A125" s="138"/>
      <c r="B125" s="138"/>
      <c r="C125" s="159"/>
      <c r="D125" s="138"/>
      <c r="E125" s="159"/>
      <c r="F125" s="138"/>
      <c r="G125" s="159"/>
      <c r="H125" s="138"/>
      <c r="I125" s="138"/>
      <c r="J125" s="138"/>
    </row>
    <row r="126" spans="1:10">
      <c r="A126" s="138"/>
      <c r="B126" s="138"/>
      <c r="C126" s="159"/>
      <c r="D126" s="138"/>
      <c r="E126" s="159"/>
      <c r="F126" s="138"/>
      <c r="G126" s="159"/>
      <c r="H126" s="138"/>
      <c r="I126" s="138"/>
      <c r="J126" s="138"/>
    </row>
    <row r="127" spans="1:10">
      <c r="A127" s="138"/>
      <c r="B127" s="138"/>
      <c r="C127" s="159"/>
      <c r="D127" s="138"/>
      <c r="E127" s="159"/>
      <c r="F127" s="138"/>
      <c r="G127" s="159"/>
      <c r="H127" s="138"/>
      <c r="I127" s="138"/>
      <c r="J127" s="138"/>
    </row>
    <row r="128" spans="1:10">
      <c r="A128" s="138"/>
      <c r="B128" s="138"/>
      <c r="C128" s="159"/>
      <c r="D128" s="138"/>
      <c r="E128" s="159"/>
      <c r="F128" s="138"/>
      <c r="G128" s="159"/>
      <c r="H128" s="138"/>
      <c r="I128" s="138"/>
      <c r="J128" s="138"/>
    </row>
    <row r="129" spans="1:10">
      <c r="A129" s="138"/>
      <c r="B129" s="138"/>
      <c r="C129" s="159"/>
      <c r="D129" s="138"/>
      <c r="E129" s="159"/>
      <c r="F129" s="138"/>
      <c r="G129" s="159"/>
      <c r="H129" s="138"/>
      <c r="I129" s="138"/>
      <c r="J129" s="138"/>
    </row>
    <row r="130" spans="1:10">
      <c r="A130" s="138"/>
      <c r="B130" s="138"/>
      <c r="C130" s="159"/>
      <c r="D130" s="138"/>
      <c r="E130" s="159"/>
      <c r="F130" s="138"/>
      <c r="G130" s="159"/>
      <c r="H130" s="138"/>
      <c r="I130" s="138"/>
      <c r="J130" s="138"/>
    </row>
    <row r="131" spans="1:10">
      <c r="A131" s="138"/>
      <c r="B131" s="138"/>
      <c r="C131" s="159"/>
      <c r="D131" s="138"/>
      <c r="E131" s="159"/>
      <c r="F131" s="138"/>
      <c r="G131" s="159"/>
      <c r="H131" s="138"/>
      <c r="I131" s="138"/>
      <c r="J131" s="138"/>
    </row>
    <row r="132" spans="1:10">
      <c r="A132" s="138"/>
      <c r="B132" s="138"/>
      <c r="C132" s="159"/>
      <c r="D132" s="138"/>
      <c r="E132" s="159"/>
      <c r="F132" s="138"/>
      <c r="G132" s="159"/>
      <c r="H132" s="138"/>
      <c r="I132" s="138"/>
      <c r="J132" s="138"/>
    </row>
    <row r="133" spans="1:10">
      <c r="A133" s="138"/>
      <c r="B133" s="138"/>
      <c r="C133" s="159"/>
      <c r="D133" s="138"/>
      <c r="E133" s="159"/>
      <c r="F133" s="138"/>
      <c r="G133" s="159"/>
      <c r="H133" s="138"/>
      <c r="I133" s="138"/>
      <c r="J133" s="138"/>
    </row>
    <row r="134" spans="1:10">
      <c r="A134" s="138"/>
      <c r="B134" s="138"/>
      <c r="C134" s="159"/>
      <c r="D134" s="138"/>
      <c r="E134" s="159"/>
      <c r="F134" s="138"/>
      <c r="G134" s="159"/>
      <c r="H134" s="138"/>
      <c r="I134" s="138"/>
      <c r="J134" s="138"/>
    </row>
    <row r="135" spans="1:10">
      <c r="A135" s="138"/>
      <c r="B135" s="138"/>
      <c r="C135" s="159"/>
      <c r="D135" s="138"/>
      <c r="E135" s="159"/>
      <c r="F135" s="138"/>
      <c r="G135" s="159"/>
      <c r="H135" s="138"/>
      <c r="I135" s="138"/>
      <c r="J135" s="138"/>
    </row>
    <row r="136" spans="1:10">
      <c r="A136" s="138"/>
      <c r="B136" s="138"/>
      <c r="C136" s="159"/>
      <c r="D136" s="138"/>
      <c r="E136" s="159"/>
      <c r="F136" s="138"/>
      <c r="G136" s="159"/>
      <c r="H136" s="138"/>
      <c r="I136" s="138"/>
      <c r="J136" s="138"/>
    </row>
    <row r="137" spans="1:10">
      <c r="A137" s="138"/>
      <c r="B137" s="138"/>
      <c r="C137" s="159"/>
      <c r="D137" s="138"/>
      <c r="E137" s="159"/>
      <c r="F137" s="138"/>
      <c r="G137" s="159"/>
      <c r="H137" s="138"/>
      <c r="I137" s="138"/>
      <c r="J137" s="138"/>
    </row>
    <row r="138" spans="1:10">
      <c r="A138" s="138"/>
      <c r="B138" s="138"/>
      <c r="C138" s="159"/>
      <c r="D138" s="138"/>
      <c r="E138" s="159"/>
      <c r="F138" s="138"/>
      <c r="G138" s="159"/>
      <c r="H138" s="138"/>
      <c r="I138" s="138"/>
      <c r="J138" s="138"/>
    </row>
    <row r="139" spans="1:10">
      <c r="A139" s="138"/>
      <c r="B139" s="138"/>
      <c r="C139" s="159"/>
      <c r="D139" s="138"/>
      <c r="E139" s="159"/>
      <c r="F139" s="138"/>
      <c r="G139" s="159"/>
      <c r="H139" s="138"/>
      <c r="I139" s="138"/>
      <c r="J139" s="138"/>
    </row>
    <row r="140" spans="1:10">
      <c r="A140" s="138"/>
      <c r="B140" s="138"/>
      <c r="C140" s="159"/>
      <c r="D140" s="138"/>
      <c r="E140" s="159"/>
      <c r="F140" s="138"/>
      <c r="G140" s="159"/>
      <c r="H140" s="138"/>
      <c r="I140" s="138"/>
      <c r="J140" s="138"/>
    </row>
    <row r="141" spans="1:10">
      <c r="A141" s="138"/>
      <c r="B141" s="138"/>
      <c r="C141" s="159"/>
      <c r="D141" s="138"/>
      <c r="E141" s="159"/>
      <c r="F141" s="138"/>
      <c r="G141" s="159"/>
      <c r="H141" s="138"/>
      <c r="I141" s="138"/>
      <c r="J141" s="138"/>
    </row>
    <row r="142" spans="1:10">
      <c r="A142" s="138"/>
      <c r="B142" s="138"/>
      <c r="C142" s="159"/>
      <c r="D142" s="138"/>
      <c r="E142" s="159"/>
      <c r="F142" s="138"/>
      <c r="G142" s="159"/>
      <c r="H142" s="138"/>
      <c r="I142" s="138"/>
      <c r="J142" s="138"/>
    </row>
    <row r="143" spans="1:10">
      <c r="A143" s="138"/>
      <c r="B143" s="138"/>
      <c r="C143" s="159"/>
      <c r="D143" s="138"/>
      <c r="E143" s="159"/>
      <c r="F143" s="138"/>
      <c r="G143" s="159"/>
      <c r="H143" s="138"/>
      <c r="I143" s="138"/>
      <c r="J143" s="138"/>
    </row>
    <row r="144" spans="1:10">
      <c r="A144" s="138"/>
      <c r="B144" s="138"/>
      <c r="C144" s="159"/>
      <c r="D144" s="138"/>
      <c r="E144" s="159"/>
      <c r="F144" s="138"/>
      <c r="G144" s="159"/>
      <c r="H144" s="138"/>
      <c r="I144" s="138"/>
      <c r="J144" s="138"/>
    </row>
    <row r="145" spans="1:10">
      <c r="A145" s="138"/>
      <c r="B145" s="138"/>
      <c r="C145" s="159"/>
      <c r="D145" s="138"/>
      <c r="E145" s="159"/>
      <c r="F145" s="138"/>
      <c r="G145" s="159"/>
      <c r="H145" s="138"/>
      <c r="I145" s="138"/>
      <c r="J145" s="138"/>
    </row>
    <row r="146" spans="1:10">
      <c r="A146" s="138"/>
      <c r="B146" s="138"/>
      <c r="C146" s="159"/>
      <c r="D146" s="138"/>
      <c r="E146" s="159"/>
      <c r="F146" s="138"/>
      <c r="G146" s="159"/>
      <c r="H146" s="138"/>
      <c r="I146" s="138"/>
      <c r="J146" s="138"/>
    </row>
    <row r="147" spans="1:10">
      <c r="A147" s="138"/>
      <c r="B147" s="138"/>
      <c r="C147" s="159"/>
      <c r="D147" s="138"/>
      <c r="E147" s="159"/>
      <c r="F147" s="138"/>
      <c r="G147" s="159"/>
      <c r="H147" s="138"/>
      <c r="I147" s="138"/>
      <c r="J147" s="138"/>
    </row>
    <row r="148" spans="1:10">
      <c r="A148" s="138"/>
      <c r="B148" s="138"/>
      <c r="C148" s="159"/>
      <c r="D148" s="138"/>
      <c r="E148" s="159"/>
      <c r="F148" s="138"/>
      <c r="G148" s="159"/>
      <c r="H148" s="138"/>
      <c r="I148" s="138"/>
      <c r="J148" s="138"/>
    </row>
    <row r="149" spans="1:10">
      <c r="A149" s="138"/>
      <c r="B149" s="138"/>
      <c r="C149" s="159"/>
      <c r="D149" s="138"/>
      <c r="E149" s="159"/>
      <c r="F149" s="138"/>
      <c r="G149" s="159"/>
      <c r="H149" s="138"/>
      <c r="I149" s="138"/>
      <c r="J149" s="138"/>
    </row>
    <row r="150" spans="1:10">
      <c r="A150" s="138"/>
      <c r="B150" s="138"/>
      <c r="C150" s="159"/>
      <c r="D150" s="138"/>
      <c r="E150" s="159"/>
      <c r="F150" s="138"/>
      <c r="G150" s="159"/>
      <c r="H150" s="138"/>
      <c r="I150" s="138"/>
      <c r="J150" s="138"/>
    </row>
    <row r="151" spans="1:10">
      <c r="A151" s="138"/>
      <c r="B151" s="138"/>
      <c r="C151" s="159"/>
      <c r="D151" s="138"/>
      <c r="E151" s="159"/>
      <c r="F151" s="138"/>
      <c r="G151" s="159"/>
      <c r="H151" s="138"/>
      <c r="I151" s="138"/>
      <c r="J151" s="138"/>
    </row>
    <row r="152" spans="1:10">
      <c r="A152" s="138"/>
      <c r="B152" s="138"/>
      <c r="C152" s="159"/>
      <c r="D152" s="138"/>
      <c r="E152" s="159"/>
      <c r="F152" s="138"/>
      <c r="G152" s="159"/>
      <c r="H152" s="138"/>
      <c r="I152" s="138"/>
      <c r="J152" s="138"/>
    </row>
    <row r="153" spans="1:10">
      <c r="A153" s="138"/>
      <c r="B153" s="138"/>
      <c r="C153" s="159"/>
      <c r="D153" s="138"/>
      <c r="E153" s="159"/>
      <c r="F153" s="138"/>
      <c r="G153" s="159"/>
      <c r="H153" s="138"/>
      <c r="I153" s="138"/>
      <c r="J153" s="138"/>
    </row>
    <row r="154" spans="1:10">
      <c r="A154" s="138"/>
      <c r="B154" s="138"/>
      <c r="C154" s="159"/>
      <c r="D154" s="138"/>
      <c r="E154" s="159"/>
      <c r="F154" s="138"/>
      <c r="G154" s="159"/>
      <c r="H154" s="138"/>
      <c r="I154" s="138"/>
      <c r="J154" s="138"/>
    </row>
    <row r="155" spans="1:10">
      <c r="A155" s="138"/>
      <c r="B155" s="138"/>
      <c r="C155" s="159"/>
      <c r="D155" s="138"/>
      <c r="E155" s="159"/>
      <c r="F155" s="138"/>
      <c r="G155" s="159"/>
      <c r="H155" s="138"/>
      <c r="I155" s="138"/>
      <c r="J155" s="138"/>
    </row>
    <row r="156" spans="1:10">
      <c r="A156" s="138"/>
      <c r="B156" s="138"/>
      <c r="C156" s="159"/>
      <c r="D156" s="138"/>
      <c r="E156" s="159"/>
      <c r="F156" s="138"/>
      <c r="G156" s="159"/>
      <c r="H156" s="138"/>
      <c r="I156" s="138"/>
      <c r="J156" s="138"/>
    </row>
    <row r="157" spans="1:10">
      <c r="A157" s="138"/>
      <c r="B157" s="138"/>
      <c r="C157" s="159"/>
      <c r="D157" s="138"/>
      <c r="E157" s="159"/>
      <c r="F157" s="138"/>
      <c r="G157" s="159"/>
      <c r="H157" s="138"/>
      <c r="I157" s="138"/>
      <c r="J157" s="138"/>
    </row>
    <row r="158" spans="1:10">
      <c r="A158" s="138"/>
      <c r="B158" s="138"/>
      <c r="C158" s="159"/>
      <c r="D158" s="138"/>
      <c r="E158" s="159"/>
      <c r="F158" s="138"/>
      <c r="G158" s="159"/>
      <c r="H158" s="138"/>
      <c r="I158" s="138"/>
      <c r="J158" s="138"/>
    </row>
    <row r="159" spans="1:10">
      <c r="A159" s="138"/>
      <c r="B159" s="138"/>
      <c r="C159" s="159"/>
      <c r="D159" s="138"/>
      <c r="E159" s="159"/>
      <c r="F159" s="138"/>
      <c r="G159" s="159"/>
      <c r="H159" s="138"/>
      <c r="I159" s="138"/>
      <c r="J159" s="138"/>
    </row>
    <row r="160" spans="1:10">
      <c r="A160" s="138"/>
      <c r="B160" s="138"/>
      <c r="C160" s="159"/>
      <c r="D160" s="138"/>
      <c r="E160" s="159"/>
      <c r="F160" s="138"/>
      <c r="G160" s="159"/>
      <c r="H160" s="138"/>
      <c r="I160" s="138"/>
      <c r="J160" s="138"/>
    </row>
    <row r="161" spans="1:10">
      <c r="A161" s="138"/>
      <c r="B161" s="138"/>
      <c r="C161" s="159"/>
      <c r="D161" s="138"/>
      <c r="E161" s="159"/>
      <c r="F161" s="138"/>
      <c r="G161" s="159"/>
      <c r="H161" s="138"/>
      <c r="I161" s="138"/>
      <c r="J161" s="138"/>
    </row>
    <row r="162" spans="1:10">
      <c r="A162" s="138"/>
      <c r="B162" s="138"/>
      <c r="C162" s="159"/>
      <c r="D162" s="138"/>
      <c r="E162" s="159"/>
      <c r="F162" s="138"/>
      <c r="G162" s="159"/>
      <c r="H162" s="138"/>
      <c r="I162" s="138"/>
      <c r="J162" s="138"/>
    </row>
    <row r="163" spans="1:10">
      <c r="A163" s="138"/>
      <c r="B163" s="138"/>
      <c r="C163" s="159"/>
      <c r="D163" s="138"/>
      <c r="E163" s="159"/>
      <c r="F163" s="138"/>
      <c r="G163" s="159"/>
      <c r="H163" s="138"/>
      <c r="I163" s="138"/>
      <c r="J163" s="138"/>
    </row>
    <row r="164" spans="1:10">
      <c r="A164" s="138"/>
      <c r="B164" s="138"/>
      <c r="C164" s="159"/>
      <c r="D164" s="138"/>
      <c r="E164" s="159"/>
      <c r="F164" s="138"/>
      <c r="G164" s="159"/>
      <c r="H164" s="138"/>
      <c r="I164" s="138"/>
      <c r="J164" s="138"/>
    </row>
    <row r="165" spans="1:10">
      <c r="A165" s="138"/>
      <c r="B165" s="138"/>
      <c r="C165" s="159"/>
      <c r="D165" s="138"/>
      <c r="E165" s="159"/>
      <c r="F165" s="138"/>
      <c r="G165" s="159"/>
      <c r="H165" s="138"/>
      <c r="I165" s="138"/>
      <c r="J165" s="138"/>
    </row>
    <row r="166" spans="1:10">
      <c r="A166" s="138"/>
      <c r="B166" s="138"/>
      <c r="C166" s="159"/>
      <c r="D166" s="138"/>
      <c r="E166" s="159"/>
      <c r="F166" s="138"/>
      <c r="G166" s="159"/>
      <c r="H166" s="138"/>
      <c r="I166" s="138"/>
      <c r="J166" s="138"/>
    </row>
    <row r="167" spans="1:10">
      <c r="A167" s="138"/>
      <c r="B167" s="138"/>
      <c r="C167" s="159"/>
      <c r="D167" s="138"/>
      <c r="E167" s="159"/>
      <c r="F167" s="138"/>
      <c r="G167" s="159"/>
      <c r="H167" s="138"/>
      <c r="I167" s="138"/>
      <c r="J167" s="138"/>
    </row>
    <row r="168" spans="1:10">
      <c r="A168" s="138"/>
      <c r="B168" s="138"/>
      <c r="C168" s="159"/>
      <c r="D168" s="138"/>
      <c r="E168" s="159"/>
      <c r="F168" s="138"/>
      <c r="G168" s="159"/>
      <c r="H168" s="138"/>
      <c r="I168" s="138"/>
      <c r="J168" s="138"/>
    </row>
    <row r="169" spans="1:10">
      <c r="A169" s="138"/>
      <c r="B169" s="138"/>
      <c r="C169" s="159"/>
      <c r="D169" s="138"/>
      <c r="E169" s="159"/>
      <c r="F169" s="138"/>
      <c r="G169" s="159"/>
      <c r="H169" s="138"/>
      <c r="I169" s="138"/>
      <c r="J169" s="138"/>
    </row>
    <row r="170" spans="1:10">
      <c r="A170" s="138"/>
      <c r="B170" s="138"/>
      <c r="C170" s="159"/>
      <c r="D170" s="138"/>
      <c r="E170" s="159"/>
      <c r="F170" s="138"/>
      <c r="G170" s="159"/>
      <c r="H170" s="138"/>
      <c r="I170" s="138"/>
      <c r="J170" s="138"/>
    </row>
    <row r="171" spans="1:10">
      <c r="A171" s="138"/>
      <c r="B171" s="138"/>
      <c r="C171" s="159"/>
      <c r="D171" s="138"/>
      <c r="E171" s="159"/>
      <c r="F171" s="138"/>
      <c r="G171" s="159"/>
      <c r="H171" s="138"/>
      <c r="I171" s="138"/>
      <c r="J171" s="138"/>
    </row>
    <row r="172" spans="1:10">
      <c r="A172" s="138"/>
      <c r="B172" s="138"/>
      <c r="C172" s="159"/>
      <c r="D172" s="138"/>
      <c r="E172" s="159"/>
      <c r="F172" s="138"/>
      <c r="G172" s="159"/>
      <c r="H172" s="138"/>
      <c r="I172" s="138"/>
      <c r="J172" s="138"/>
    </row>
    <row r="173" spans="1:10">
      <c r="A173" s="138"/>
      <c r="B173" s="138"/>
      <c r="C173" s="159"/>
      <c r="D173" s="138"/>
      <c r="E173" s="159"/>
      <c r="F173" s="138"/>
      <c r="G173" s="159"/>
      <c r="H173" s="138"/>
      <c r="I173" s="138"/>
      <c r="J173" s="138"/>
    </row>
    <row r="174" spans="1:10">
      <c r="A174" s="138"/>
      <c r="B174" s="138"/>
      <c r="C174" s="159"/>
      <c r="D174" s="138"/>
      <c r="E174" s="159"/>
      <c r="F174" s="138"/>
      <c r="G174" s="159"/>
      <c r="H174" s="138"/>
      <c r="I174" s="138"/>
      <c r="J174" s="138"/>
    </row>
  </sheetData>
  <mergeCells count="4">
    <mergeCell ref="A1:J1"/>
    <mergeCell ref="A3:J3"/>
    <mergeCell ref="A5:J5"/>
    <mergeCell ref="A6:J6"/>
  </mergeCells>
  <pageMargins left="0.25" right="0.25" top="0.75" bottom="0.5" header="0" footer="0.25"/>
  <pageSetup fitToHeight="2" orientation="portrait" r:id="rId1"/>
  <headerFooter scaleWithDoc="0" alignWithMargins="0">
    <oddFooter xml:space="preserve">&amp;C&amp;"Times New Roman,Regular"&amp;10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60"/>
  <sheetViews>
    <sheetView workbookViewId="0">
      <selection activeCell="E30" sqref="E30"/>
    </sheetView>
  </sheetViews>
  <sheetFormatPr defaultColWidth="9.6640625" defaultRowHeight="15.75"/>
  <cols>
    <col min="1" max="1" width="15.77734375" style="868" customWidth="1"/>
    <col min="2" max="2" width="10.77734375" style="868" customWidth="1"/>
    <col min="3" max="3" width="0.88671875" style="875" customWidth="1"/>
    <col min="4" max="4" width="10.77734375" style="868" customWidth="1"/>
    <col min="5" max="5" width="0.88671875" style="875" customWidth="1"/>
    <col min="6" max="6" width="8.33203125" style="868" customWidth="1"/>
    <col min="7" max="7" width="0.88671875" style="875" customWidth="1"/>
    <col min="8" max="8" width="9.77734375" style="868" customWidth="1"/>
    <col min="9" max="9" width="0.88671875" style="875" customWidth="1"/>
    <col min="10" max="10" width="7.33203125" style="868" customWidth="1"/>
    <col min="11" max="11" width="0.88671875" style="875" customWidth="1"/>
    <col min="12" max="12" width="9.77734375" style="868" customWidth="1"/>
    <col min="13" max="13" width="0.88671875" style="875" customWidth="1"/>
    <col min="14" max="14" width="10.77734375" style="868" customWidth="1"/>
    <col min="15" max="15" width="0.88671875" style="875" customWidth="1"/>
    <col min="16" max="16" width="10.77734375" style="868" customWidth="1"/>
    <col min="17" max="17" width="0.88671875" style="875" customWidth="1"/>
    <col min="18" max="18" width="10.77734375" style="868" customWidth="1"/>
    <col min="19" max="19" width="5.6640625" style="867" bestFit="1" customWidth="1"/>
    <col min="20" max="20" width="10.77734375" style="867" bestFit="1" customWidth="1"/>
    <col min="21" max="21" width="10.21875" style="868" bestFit="1" customWidth="1"/>
    <col min="22" max="16384" width="9.6640625" style="868"/>
  </cols>
  <sheetData>
    <row r="1" spans="1:21" ht="16.5" customHeight="1">
      <c r="A1" s="937" t="str">
        <f>+[8]Assumptions!A1</f>
        <v>Waste Control, Inc.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  <c r="Q1" s="937"/>
      <c r="R1" s="937"/>
    </row>
    <row r="2" spans="1:21" ht="13.5" customHeight="1">
      <c r="A2" s="869"/>
      <c r="B2" s="870"/>
      <c r="C2" s="871"/>
      <c r="D2" s="870"/>
      <c r="E2" s="871"/>
      <c r="F2" s="870"/>
      <c r="G2" s="871"/>
      <c r="H2" s="870"/>
      <c r="I2" s="871"/>
      <c r="J2" s="870"/>
      <c r="K2" s="871"/>
      <c r="L2" s="870"/>
      <c r="M2" s="871"/>
      <c r="N2" s="870"/>
      <c r="O2" s="871"/>
      <c r="P2" s="870"/>
      <c r="Q2" s="871"/>
      <c r="R2" s="870"/>
    </row>
    <row r="3" spans="1:21" ht="16.5" customHeight="1">
      <c r="A3" s="937" t="s">
        <v>758</v>
      </c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</row>
    <row r="4" spans="1:21">
      <c r="A4" s="872"/>
      <c r="B4" s="872"/>
      <c r="C4" s="873"/>
      <c r="D4" s="872"/>
      <c r="E4" s="873"/>
      <c r="F4" s="872"/>
      <c r="G4" s="873"/>
      <c r="H4" s="872"/>
      <c r="I4" s="873"/>
      <c r="J4" s="872"/>
      <c r="K4" s="873"/>
      <c r="L4" s="872"/>
      <c r="M4" s="873"/>
      <c r="N4" s="872"/>
      <c r="O4" s="873"/>
      <c r="P4" s="872"/>
      <c r="Q4" s="873"/>
      <c r="R4" s="872"/>
    </row>
    <row r="5" spans="1:21">
      <c r="A5" s="938" t="s">
        <v>759</v>
      </c>
      <c r="B5" s="938"/>
      <c r="C5" s="938"/>
      <c r="D5" s="938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</row>
    <row r="7" spans="1:21">
      <c r="A7" s="874"/>
    </row>
    <row r="8" spans="1:21" s="880" customFormat="1" ht="15" customHeight="1">
      <c r="A8" s="876"/>
      <c r="B8" s="877">
        <v>6</v>
      </c>
      <c r="C8" s="878"/>
      <c r="D8" s="876" t="s">
        <v>760</v>
      </c>
      <c r="E8" s="878"/>
      <c r="F8" s="876"/>
      <c r="G8" s="878"/>
      <c r="H8" s="876"/>
      <c r="I8" s="878"/>
      <c r="J8" s="876"/>
      <c r="K8" s="878"/>
      <c r="L8" s="876"/>
      <c r="M8" s="878"/>
      <c r="N8" s="876"/>
      <c r="O8" s="878"/>
      <c r="P8" s="876"/>
      <c r="Q8" s="878"/>
      <c r="R8" s="876"/>
      <c r="S8" s="879"/>
      <c r="T8" s="879"/>
    </row>
    <row r="9" spans="1:21" s="880" customFormat="1" ht="15" customHeight="1">
      <c r="A9" s="876"/>
      <c r="B9" s="877">
        <v>6</v>
      </c>
      <c r="C9" s="878"/>
      <c r="D9" s="876" t="s">
        <v>761</v>
      </c>
      <c r="E9" s="878"/>
      <c r="F9" s="876"/>
      <c r="G9" s="878"/>
      <c r="H9" s="876"/>
      <c r="I9" s="878"/>
      <c r="J9" s="876"/>
      <c r="K9" s="878"/>
      <c r="L9" s="876"/>
      <c r="M9" s="878"/>
      <c r="N9" s="876"/>
      <c r="O9" s="878"/>
      <c r="P9" s="876"/>
      <c r="Q9" s="878"/>
      <c r="R9" s="876"/>
      <c r="S9" s="879"/>
      <c r="T9" s="879"/>
    </row>
    <row r="10" spans="1:21" s="880" customFormat="1" ht="15" customHeight="1">
      <c r="A10" s="876"/>
      <c r="B10" s="881">
        <v>112</v>
      </c>
      <c r="C10" s="878"/>
      <c r="D10" s="876" t="s">
        <v>762</v>
      </c>
      <c r="E10" s="878"/>
      <c r="F10" s="876"/>
      <c r="G10" s="878"/>
      <c r="H10" s="876"/>
      <c r="I10" s="878"/>
      <c r="J10" s="876"/>
      <c r="K10" s="878"/>
      <c r="L10" s="876"/>
      <c r="M10" s="878"/>
      <c r="N10" s="876"/>
      <c r="O10" s="878"/>
      <c r="P10" s="876"/>
      <c r="Q10" s="878"/>
      <c r="R10" s="876"/>
      <c r="S10" s="879"/>
      <c r="T10" s="879"/>
    </row>
    <row r="11" spans="1:21" s="880" customFormat="1" ht="15" customHeight="1">
      <c r="A11" s="876"/>
      <c r="B11" s="881">
        <v>113</v>
      </c>
      <c r="C11" s="878"/>
      <c r="D11" s="876" t="s">
        <v>763</v>
      </c>
      <c r="E11" s="878"/>
      <c r="F11" s="876"/>
      <c r="G11" s="878"/>
      <c r="H11" s="876"/>
      <c r="I11" s="878"/>
      <c r="J11" s="876"/>
      <c r="K11" s="878"/>
      <c r="L11" s="876"/>
      <c r="M11" s="882"/>
      <c r="N11" s="883" t="s">
        <v>686</v>
      </c>
      <c r="O11" s="882"/>
      <c r="P11" s="883" t="s">
        <v>687</v>
      </c>
      <c r="Q11" s="882"/>
      <c r="R11" s="876"/>
      <c r="S11" s="879"/>
      <c r="T11" s="879"/>
    </row>
    <row r="12" spans="1:21" s="880" customFormat="1" ht="15" customHeight="1">
      <c r="A12" s="884"/>
      <c r="B12" s="877"/>
      <c r="C12" s="878"/>
      <c r="D12" s="876"/>
      <c r="E12" s="878"/>
      <c r="F12" s="876"/>
      <c r="G12" s="878"/>
      <c r="H12" s="876"/>
      <c r="I12" s="878"/>
      <c r="J12" s="883" t="s">
        <v>217</v>
      </c>
      <c r="K12" s="882"/>
      <c r="L12" s="883" t="s">
        <v>210</v>
      </c>
      <c r="M12" s="882"/>
      <c r="N12" s="883" t="s">
        <v>764</v>
      </c>
      <c r="O12" s="882"/>
      <c r="P12" s="883" t="s">
        <v>764</v>
      </c>
      <c r="Q12" s="882"/>
      <c r="R12" s="876"/>
      <c r="S12" s="879"/>
      <c r="T12" s="885" t="s">
        <v>93</v>
      </c>
      <c r="U12" s="885" t="s">
        <v>375</v>
      </c>
    </row>
    <row r="13" spans="1:21" s="880" customFormat="1" ht="15" customHeight="1">
      <c r="A13" s="884"/>
      <c r="B13" s="884"/>
      <c r="C13" s="882"/>
      <c r="D13" s="884"/>
      <c r="E13" s="882"/>
      <c r="F13" s="883" t="s">
        <v>765</v>
      </c>
      <c r="G13" s="882"/>
      <c r="H13" s="883" t="s">
        <v>427</v>
      </c>
      <c r="I13" s="882"/>
      <c r="J13" s="883" t="s">
        <v>766</v>
      </c>
      <c r="K13" s="882"/>
      <c r="L13" s="883" t="s">
        <v>427</v>
      </c>
      <c r="M13" s="882"/>
      <c r="N13" s="883" t="s">
        <v>767</v>
      </c>
      <c r="O13" s="882"/>
      <c r="P13" s="883" t="s">
        <v>767</v>
      </c>
      <c r="Q13" s="882"/>
      <c r="R13" s="883" t="s">
        <v>268</v>
      </c>
      <c r="S13" s="879"/>
      <c r="T13" s="885" t="s">
        <v>268</v>
      </c>
      <c r="U13" s="885" t="s">
        <v>268</v>
      </c>
    </row>
    <row r="14" spans="1:21" s="880" customFormat="1" ht="15" customHeight="1">
      <c r="A14" s="886" t="s">
        <v>659</v>
      </c>
      <c r="B14" s="887" t="s">
        <v>768</v>
      </c>
      <c r="C14" s="882"/>
      <c r="D14" s="887" t="s">
        <v>666</v>
      </c>
      <c r="E14" s="882"/>
      <c r="F14" s="887" t="s">
        <v>767</v>
      </c>
      <c r="G14" s="882"/>
      <c r="H14" s="887" t="s">
        <v>767</v>
      </c>
      <c r="I14" s="882"/>
      <c r="J14" s="887" t="s">
        <v>767</v>
      </c>
      <c r="K14" s="882"/>
      <c r="L14" s="887" t="s">
        <v>767</v>
      </c>
      <c r="M14" s="882"/>
      <c r="N14" s="888">
        <v>41091</v>
      </c>
      <c r="O14" s="889"/>
      <c r="P14" s="890">
        <v>41455</v>
      </c>
      <c r="Q14" s="891"/>
      <c r="R14" s="887" t="s">
        <v>769</v>
      </c>
      <c r="S14" s="879"/>
      <c r="T14" s="892" t="s">
        <v>769</v>
      </c>
      <c r="U14" s="892" t="s">
        <v>769</v>
      </c>
    </row>
    <row r="15" spans="1:21" s="880" customFormat="1" ht="15" customHeight="1">
      <c r="A15" s="886"/>
      <c r="B15" s="887"/>
      <c r="C15" s="882"/>
      <c r="D15" s="887"/>
      <c r="E15" s="882"/>
      <c r="F15" s="887"/>
      <c r="G15" s="882"/>
      <c r="H15" s="887"/>
      <c r="I15" s="882"/>
      <c r="J15" s="887"/>
      <c r="K15" s="882"/>
      <c r="L15" s="887"/>
      <c r="M15" s="882"/>
      <c r="N15" s="888"/>
      <c r="O15" s="889"/>
      <c r="P15" s="890"/>
      <c r="Q15" s="891"/>
      <c r="R15" s="887"/>
      <c r="S15" s="879"/>
      <c r="T15" s="879"/>
    </row>
    <row r="16" spans="1:21" s="880" customFormat="1" ht="15" customHeight="1">
      <c r="A16" s="876" t="s">
        <v>770</v>
      </c>
      <c r="B16" s="893">
        <f>+'[8]WP-2. pg 2 -  Depn'!L38</f>
        <v>135533.62</v>
      </c>
      <c r="C16" s="894"/>
      <c r="D16" s="893">
        <f>+'[8]WP-2. pg 2 -  Depn'!N38</f>
        <v>135533.62</v>
      </c>
      <c r="E16" s="894"/>
      <c r="F16" s="893">
        <f>+'[8]WP-2. pg 2 -  Depn'!O38</f>
        <v>1129.4468333333332</v>
      </c>
      <c r="G16" s="894"/>
      <c r="H16" s="893">
        <f>+'[8]WP-2. pg 2 -  Depn'!P38</f>
        <v>6227.8397499999955</v>
      </c>
      <c r="I16" s="894"/>
      <c r="J16" s="893">
        <f>+'[8]WP-2. pg 2 -  Depn'!Q40</f>
        <v>0</v>
      </c>
      <c r="K16" s="894"/>
      <c r="L16" s="893">
        <f>+'[8]WP-2. pg 2 -  Depn'!R38</f>
        <v>6227.8397499999955</v>
      </c>
      <c r="M16" s="894"/>
      <c r="N16" s="893">
        <f>+'[8]WP-2. pg 2 -  Depn'!U38</f>
        <v>97517.283166666661</v>
      </c>
      <c r="O16" s="894"/>
      <c r="P16" s="893">
        <f>+'[8]WP-2. pg 2 -  Depn'!Y38</f>
        <v>103745.12291666663</v>
      </c>
      <c r="Q16" s="894"/>
      <c r="R16" s="893">
        <f>+'[8]WP-2. pg 2 -  Depn'!Z38</f>
        <v>34902.416958333342</v>
      </c>
      <c r="S16" s="879" t="str">
        <f>'[8]Schedule 1 Results of Operation'!G96</f>
        <v>Actual</v>
      </c>
      <c r="T16" s="895">
        <f>R16</f>
        <v>34902.416958333342</v>
      </c>
    </row>
    <row r="17" spans="1:21" s="880" customFormat="1" ht="15" customHeight="1">
      <c r="A17" s="876" t="s">
        <v>338</v>
      </c>
      <c r="B17" s="896">
        <f>+'[8]WP-2. pg 2 -  Depn'!L112</f>
        <v>76535.11</v>
      </c>
      <c r="C17" s="894"/>
      <c r="D17" s="896">
        <f>+'[8]WP-2. pg 2 -  Depn'!N112</f>
        <v>76535.11</v>
      </c>
      <c r="E17" s="894"/>
      <c r="F17" s="896">
        <f>+'[8]WP-2. pg 2 -  Depn'!O112</f>
        <v>652.82708333333335</v>
      </c>
      <c r="G17" s="894"/>
      <c r="H17" s="896">
        <f>+'[8]WP-2. pg 2 -  Depn'!P112</f>
        <v>3995.3913333333358</v>
      </c>
      <c r="I17" s="894"/>
      <c r="J17" s="896">
        <f>+'[8]WP-2. pg 2 -  Depn'!Q112</f>
        <v>0</v>
      </c>
      <c r="K17" s="894"/>
      <c r="L17" s="896">
        <f>+'[8]WP-2. pg 2 -  Depn'!R112</f>
        <v>3995.3913333333358</v>
      </c>
      <c r="M17" s="894"/>
      <c r="N17" s="896">
        <f>+'[8]WP-2. pg 2 -  Depn'!U112</f>
        <v>57574.498791666658</v>
      </c>
      <c r="O17" s="894"/>
      <c r="P17" s="896">
        <f>+'[8]WP-2. pg 2 -  Depn'!Y112</f>
        <v>61569.890125000005</v>
      </c>
      <c r="Q17" s="894"/>
      <c r="R17" s="896">
        <f>+'[8]WP-2. pg 2 -  Depn'!Z112</f>
        <v>16962.915541666669</v>
      </c>
      <c r="S17" s="879" t="str">
        <f>'[8]Schedule 1 Results of Operation'!G93</f>
        <v>Pickups</v>
      </c>
      <c r="T17" s="897">
        <f>R17*'[8]WP-8 - Cust Counts (x per wk)'!V112</f>
        <v>15417.642749966279</v>
      </c>
    </row>
    <row r="18" spans="1:21" s="880" customFormat="1" ht="15" customHeight="1">
      <c r="A18" s="906" t="s">
        <v>771</v>
      </c>
      <c r="B18" s="907">
        <f>+'[8]WP-2. pg 2 -  Depn'!L123</f>
        <v>338800.19999999995</v>
      </c>
      <c r="C18" s="908"/>
      <c r="D18" s="907">
        <f>+'[8]WP-2. pg 2 -  Depn'!N123</f>
        <v>271040.15999999997</v>
      </c>
      <c r="E18" s="908"/>
      <c r="F18" s="907">
        <f>+'[8]WP-2. pg 2 -  Depn'!O123</f>
        <v>2850.8656571428569</v>
      </c>
      <c r="G18" s="908"/>
      <c r="H18" s="907">
        <f>+'[8]WP-2. pg 2 -  Depn'!P123</f>
        <v>23687.906285714282</v>
      </c>
      <c r="I18" s="908"/>
      <c r="J18" s="907">
        <f>+'[8]WP-2. pg 2 -  Depn'!Q127</f>
        <v>0</v>
      </c>
      <c r="K18" s="908"/>
      <c r="L18" s="907">
        <f>+'[8]WP-2. pg 2 -  Depn'!R123</f>
        <v>23687.906285714282</v>
      </c>
      <c r="M18" s="908"/>
      <c r="N18" s="907">
        <f>+'[8]WP-2. pg 2 -  Depn'!U123</f>
        <v>111146.79257142858</v>
      </c>
      <c r="O18" s="908"/>
      <c r="P18" s="907">
        <f>+'[8]WP-2. pg 2 -  Depn'!Y123</f>
        <v>134834.69885714285</v>
      </c>
      <c r="Q18" s="908"/>
      <c r="R18" s="907">
        <f>+'[8]WP-2. pg 2 -  Depn'!Z123</f>
        <v>215809.45428571428</v>
      </c>
      <c r="S18" s="879" t="str">
        <f>'[8]Schedule 1 Results of Operation'!G95</f>
        <v>Actual</v>
      </c>
      <c r="T18" s="897">
        <f>R18</f>
        <v>215809.45428571428</v>
      </c>
    </row>
    <row r="19" spans="1:21" s="880" customFormat="1" ht="15" customHeight="1">
      <c r="A19" s="906" t="s">
        <v>772</v>
      </c>
      <c r="B19" s="907">
        <f>+'[8]WP-2. pg 2 -  Depn'!L144</f>
        <v>1443724.4600000002</v>
      </c>
      <c r="C19" s="908"/>
      <c r="D19" s="907">
        <f>+'[8]WP-2. pg 2 -  Depn'!N144</f>
        <v>1154979.5680000002</v>
      </c>
      <c r="E19" s="908"/>
      <c r="F19" s="907">
        <f>+'[8]WP-2. pg 2 -  Depn'!O144</f>
        <v>11926.596676190475</v>
      </c>
      <c r="G19" s="908"/>
      <c r="H19" s="907">
        <f>+'[8]WP-2. pg 2 -  Depn'!P144</f>
        <v>119415.4204</v>
      </c>
      <c r="I19" s="908"/>
      <c r="J19" s="907">
        <f>+'[8]WP-2. pg 2 -  Depn'!Q144</f>
        <v>0</v>
      </c>
      <c r="K19" s="908"/>
      <c r="L19" s="907">
        <f>+'[8]WP-2. pg 2 -  Depn'!R144</f>
        <v>119415.4204</v>
      </c>
      <c r="M19" s="908"/>
      <c r="N19" s="907">
        <f>+'[8]WP-2. pg 2 -  Depn'!U144</f>
        <v>407468.90104761894</v>
      </c>
      <c r="O19" s="908"/>
      <c r="P19" s="907">
        <f>+'[8]WP-2. pg 2 -  Depn'!Y144</f>
        <v>526884.32144761889</v>
      </c>
      <c r="Q19" s="908"/>
      <c r="R19" s="907">
        <f>+'[8]WP-2. pg 2 -  Depn'!Z144</f>
        <v>976547.84875238093</v>
      </c>
      <c r="S19" s="879" t="str">
        <f>'[8]Schedule 1 Results of Operation'!G88</f>
        <v>Cust</v>
      </c>
      <c r="T19" s="897">
        <f>R19*'[8]WP-8 - Cust Counts (x per wk)'!$P$112</f>
        <v>888195.61900521291</v>
      </c>
    </row>
    <row r="20" spans="1:21" s="880" customFormat="1" ht="15" customHeight="1">
      <c r="A20" s="876" t="s">
        <v>773</v>
      </c>
      <c r="B20" s="896">
        <f>+'[8]WP-2. pg 2 -  Depn'!L166</f>
        <v>203978.215</v>
      </c>
      <c r="C20" s="894"/>
      <c r="D20" s="896">
        <f>+'[8]WP-2. pg 2 -  Depn'!N166</f>
        <v>137443.10514999999</v>
      </c>
      <c r="E20" s="894"/>
      <c r="F20" s="896">
        <f>+'[8]WP-2. pg 2 -  Depn'!O166</f>
        <v>2290.7184191666665</v>
      </c>
      <c r="G20" s="894"/>
      <c r="H20" s="896">
        <f>+'[8]WP-2. pg 2 -  Depn'!P166</f>
        <v>20039.881569999998</v>
      </c>
      <c r="I20" s="894"/>
      <c r="J20" s="896">
        <f>+'[8]WP-2. pg 2 -  Depn'!Q169</f>
        <v>0</v>
      </c>
      <c r="K20" s="894"/>
      <c r="L20" s="896">
        <f>+'[8]WP-2. pg 2 -  Depn'!R166</f>
        <v>20039.881569999998</v>
      </c>
      <c r="M20" s="894"/>
      <c r="N20" s="896">
        <f>+'[8]WP-2. pg 2 -  Depn'!U166</f>
        <v>67923.753283333266</v>
      </c>
      <c r="O20" s="894"/>
      <c r="P20" s="898">
        <f>+'[8]WP-2. pg 2 -  Depn'!Y166</f>
        <v>81504.159895333272</v>
      </c>
      <c r="Q20" s="899"/>
      <c r="R20" s="898">
        <f>+'[8]WP-2. pg 2 -  Depn'!Z166</f>
        <v>109372.35849991672</v>
      </c>
      <c r="S20" s="879" t="str">
        <f>'[8]Schedule 1 Results of Operation'!G89</f>
        <v>Cust</v>
      </c>
      <c r="T20" s="897">
        <f>R20*'[8]WP-8 - Cust Counts (x per wk)'!$P$112</f>
        <v>99476.999292971654</v>
      </c>
    </row>
    <row r="21" spans="1:21" s="880" customFormat="1" ht="15" customHeight="1">
      <c r="A21" s="876" t="s">
        <v>774</v>
      </c>
      <c r="B21" s="896">
        <f>+'[8]WP-2. pg 2 -  Depn'!L181</f>
        <v>12803.34</v>
      </c>
      <c r="C21" s="894"/>
      <c r="D21" s="896">
        <f>+'[8]WP-2. pg 2 -  Depn'!N181</f>
        <v>12803.34</v>
      </c>
      <c r="E21" s="894"/>
      <c r="F21" s="896">
        <f>+'[8]WP-2. pg 2 -  Depn'!O181</f>
        <v>137.76395833333333</v>
      </c>
      <c r="G21" s="894"/>
      <c r="H21" s="896">
        <f>+'[8]WP-2. pg 2 -  Depn'!P181</f>
        <v>350</v>
      </c>
      <c r="I21" s="894"/>
      <c r="J21" s="896">
        <f>+'[8]WP-2. pg 2 -  Depn'!Q181</f>
        <v>0</v>
      </c>
      <c r="K21" s="894"/>
      <c r="L21" s="896">
        <f>+'[8]WP-2. pg 2 -  Depn'!R181</f>
        <v>350</v>
      </c>
      <c r="M21" s="894"/>
      <c r="N21" s="896">
        <f>+'[8]WP-2. pg 2 -  Depn'!U181</f>
        <v>10111.673333333334</v>
      </c>
      <c r="O21" s="894"/>
      <c r="P21" s="898">
        <f>+'[8]WP-2. pg 2 -  Depn'!Y181</f>
        <v>10461.673333333334</v>
      </c>
      <c r="Q21" s="899"/>
      <c r="R21" s="898">
        <f>+'[8]WP-2. pg 2 -  Depn'!Z181</f>
        <v>2516.6666666666656</v>
      </c>
      <c r="S21" s="879" t="str">
        <f>'[8]Schedule 1 Results of Operation'!G90</f>
        <v>Cust</v>
      </c>
      <c r="T21" s="897">
        <f>R21*'[8]WP-8 - Cust Counts (x per wk)'!$P$112</f>
        <v>2288.9736644093291</v>
      </c>
    </row>
    <row r="22" spans="1:21" s="880" customFormat="1" ht="15" customHeight="1">
      <c r="A22" s="876" t="s">
        <v>775</v>
      </c>
      <c r="B22" s="896">
        <f>+'[8]WP-2. pg 2 -  Depn'!L195</f>
        <v>24232.98</v>
      </c>
      <c r="C22" s="894"/>
      <c r="D22" s="896">
        <f>+'[8]WP-2. pg 2 -  Depn'!N195</f>
        <v>24232.98</v>
      </c>
      <c r="E22" s="894"/>
      <c r="F22" s="896">
        <f>+'[8]WP-2. pg 2 -  Depn'!O195</f>
        <v>403.88299999999998</v>
      </c>
      <c r="G22" s="894"/>
      <c r="H22" s="896">
        <f>+'[8]WP-2. pg 2 -  Depn'!P195</f>
        <v>2101.9263333333324</v>
      </c>
      <c r="I22" s="894"/>
      <c r="J22" s="896">
        <f>+'[8]WP-2. pg 2 -  Depn'!Q197</f>
        <v>0</v>
      </c>
      <c r="K22" s="894"/>
      <c r="L22" s="896">
        <f>+'[8]WP-2. pg 2 -  Depn'!R195</f>
        <v>2101.9263333333324</v>
      </c>
      <c r="M22" s="894"/>
      <c r="N22" s="896">
        <f>+'[8]WP-2. pg 2 -  Depn'!U195</f>
        <v>11787.090833333335</v>
      </c>
      <c r="O22" s="894"/>
      <c r="P22" s="898">
        <f>+'[8]WP-2. pg 2 -  Depn'!Y195</f>
        <v>13889.017166666665</v>
      </c>
      <c r="Q22" s="899"/>
      <c r="R22" s="898">
        <f>+'[8]WP-2. pg 2 -  Depn'!Z195</f>
        <v>11394.925999999999</v>
      </c>
      <c r="S22" s="879" t="str">
        <f>'[8]Schedule 1 Results of Operation'!G91</f>
        <v>Cust</v>
      </c>
      <c r="T22" s="897">
        <f>R22*'[8]WP-8 - Cust Counts (x per wk)'!$P$112</f>
        <v>10363.981002076749</v>
      </c>
    </row>
    <row r="23" spans="1:21" s="880" customFormat="1" ht="15" customHeight="1">
      <c r="A23" s="876" t="s">
        <v>318</v>
      </c>
      <c r="B23" s="896">
        <f>+'[8]WP-2. pg 2 -  Depn'!L322</f>
        <v>752647.05999999971</v>
      </c>
      <c r="C23" s="894"/>
      <c r="D23" s="896">
        <f>+'[8]WP-2. pg 2 -  Depn'!N322</f>
        <v>752647.05999999971</v>
      </c>
      <c r="E23" s="894"/>
      <c r="F23" s="896">
        <f>+'[8]WP-2. pg 2 -  Depn'!O322</f>
        <v>7552.8312083333321</v>
      </c>
      <c r="G23" s="894"/>
      <c r="H23" s="896">
        <f>+'[8]WP-2. pg 2 -  Depn'!P322</f>
        <v>31210.389187500004</v>
      </c>
      <c r="I23" s="894"/>
      <c r="J23" s="896">
        <f>+'[8]WP-2. pg 2 -  Depn'!Q324</f>
        <v>0</v>
      </c>
      <c r="K23" s="894"/>
      <c r="L23" s="896">
        <f>+'[8]WP-2. pg 2 -  Depn'!R322</f>
        <v>31210.389187500004</v>
      </c>
      <c r="M23" s="894"/>
      <c r="N23" s="896">
        <f>+'[8]WP-2. pg 2 -  Depn'!U322</f>
        <v>594821.66995833302</v>
      </c>
      <c r="O23" s="894"/>
      <c r="P23" s="896">
        <f>+'[8]WP-2. pg 2 -  Depn'!Y322</f>
        <v>626032.05914583325</v>
      </c>
      <c r="Q23" s="894"/>
      <c r="R23" s="896">
        <f>+'[8]WP-2. pg 2 -  Depn'!Z322</f>
        <v>142220.19544791669</v>
      </c>
      <c r="S23" s="879" t="str">
        <f>'[8]Schedule 1 Results of Operation'!G94</f>
        <v>Pickups</v>
      </c>
      <c r="T23" s="897">
        <f>R23*'[8]WP-8 - Cust Counts (x per wk)'!$V$112</f>
        <v>129264.34490936097</v>
      </c>
    </row>
    <row r="24" spans="1:21" s="880" customFormat="1" ht="15" customHeight="1">
      <c r="A24" s="876" t="s">
        <v>776</v>
      </c>
      <c r="B24" s="900">
        <f>+'[8]WP-2. pg 2 -  Depn'!L358</f>
        <v>54736.67</v>
      </c>
      <c r="C24" s="894"/>
      <c r="D24" s="900">
        <f>+'[8]WP-2. pg 2 -  Depn'!N358</f>
        <v>54736.67</v>
      </c>
      <c r="E24" s="894"/>
      <c r="F24" s="900">
        <f>+'[8]WP-2. pg 2 -  Depn'!O358</f>
        <v>228.06945833333336</v>
      </c>
      <c r="G24" s="894"/>
      <c r="H24" s="900">
        <f>+'[8]WP-2. pg 2 -  Depn'!P358</f>
        <v>2736.8334999999997</v>
      </c>
      <c r="I24" s="894"/>
      <c r="J24" s="900">
        <f>+'[8]WP-2. pg 2 -  Depn'!Q358</f>
        <v>0</v>
      </c>
      <c r="K24" s="894"/>
      <c r="L24" s="900">
        <f>+'[8]WP-2. pg 2 -  Depn'!R358</f>
        <v>2736.8334999999997</v>
      </c>
      <c r="M24" s="894"/>
      <c r="N24" s="900">
        <f>+'[8]WP-2. pg 2 -  Depn'!U358</f>
        <v>29444.456958333329</v>
      </c>
      <c r="O24" s="894"/>
      <c r="P24" s="900">
        <f>+'[8]WP-2. pg 2 -  Depn'!Y358</f>
        <v>32181.290458333329</v>
      </c>
      <c r="Q24" s="894"/>
      <c r="R24" s="900">
        <f>+'[8]WP-2. pg 2 -  Depn'!Z358</f>
        <v>23923.796291666658</v>
      </c>
      <c r="S24" s="879" t="str">
        <f>'[8]Schedule 1 Results of Operation'!G92</f>
        <v>Cust</v>
      </c>
      <c r="T24" s="897">
        <f>R24*'[8]WP-8 - Cust Counts (x per wk)'!$P$112</f>
        <v>21759.31377390142</v>
      </c>
    </row>
    <row r="25" spans="1:21" s="880" customFormat="1" ht="15" customHeight="1" thickBot="1">
      <c r="A25" s="876"/>
      <c r="B25" s="896"/>
      <c r="C25" s="894"/>
      <c r="D25" s="896"/>
      <c r="E25" s="894"/>
      <c r="F25" s="896"/>
      <c r="G25" s="894"/>
      <c r="H25" s="896"/>
      <c r="I25" s="894"/>
      <c r="J25" s="896"/>
      <c r="K25" s="894"/>
      <c r="L25" s="896"/>
      <c r="M25" s="894"/>
      <c r="N25" s="896"/>
      <c r="O25" s="894"/>
      <c r="P25" s="896"/>
      <c r="Q25" s="894"/>
      <c r="R25" s="896"/>
      <c r="S25" s="879"/>
      <c r="T25" s="879"/>
    </row>
    <row r="26" spans="1:21" s="880" customFormat="1" ht="15" customHeight="1" thickBot="1">
      <c r="A26" s="876"/>
      <c r="B26" s="901">
        <f>SUM(B16:B24)</f>
        <v>3042991.6549999993</v>
      </c>
      <c r="C26" s="894"/>
      <c r="D26" s="901">
        <f>SUM(D16:D24)</f>
        <v>2619951.6131499996</v>
      </c>
      <c r="E26" s="894"/>
      <c r="F26" s="901">
        <f>SUM(F16:F24)</f>
        <v>27173.002294166665</v>
      </c>
      <c r="G26" s="894"/>
      <c r="H26" s="901">
        <f>SUM(H16:H24)</f>
        <v>209765.58835988096</v>
      </c>
      <c r="I26" s="894"/>
      <c r="J26" s="901">
        <f>SUM(J16:J24)</f>
        <v>0</v>
      </c>
      <c r="K26" s="894"/>
      <c r="L26" s="901">
        <f>SUM(L16:L24)</f>
        <v>209765.58835988096</v>
      </c>
      <c r="M26" s="894"/>
      <c r="N26" s="901">
        <f>SUM(N16:N24)</f>
        <v>1387796.1199440469</v>
      </c>
      <c r="O26" s="894"/>
      <c r="P26" s="901">
        <f>SUM(P16:P24)</f>
        <v>1591102.2333459281</v>
      </c>
      <c r="Q26" s="894"/>
      <c r="R26" s="901">
        <f>SUM(R16:R24)</f>
        <v>1533650.5784442618</v>
      </c>
      <c r="S26" s="879"/>
      <c r="T26" s="902">
        <f>SUM(T16:T24)</f>
        <v>1417478.7456419468</v>
      </c>
      <c r="U26" s="895">
        <f>R26-T26</f>
        <v>116171.83280231501</v>
      </c>
    </row>
    <row r="27" spans="1:21" s="880" customFormat="1" ht="15" customHeight="1" thickTop="1">
      <c r="A27" s="876"/>
      <c r="B27" s="896"/>
      <c r="C27" s="894"/>
      <c r="D27" s="896"/>
      <c r="E27" s="894"/>
      <c r="F27" s="896"/>
      <c r="G27" s="894"/>
      <c r="H27" s="896"/>
      <c r="I27" s="894"/>
      <c r="J27" s="896"/>
      <c r="K27" s="894"/>
      <c r="L27" s="896"/>
      <c r="M27" s="894"/>
      <c r="N27" s="896"/>
      <c r="O27" s="894"/>
      <c r="P27" s="896"/>
      <c r="Q27" s="894"/>
      <c r="R27" s="896"/>
      <c r="S27" s="879"/>
      <c r="T27" s="879"/>
    </row>
    <row r="28" spans="1:21" s="880" customFormat="1" ht="15" customHeight="1">
      <c r="C28" s="903"/>
      <c r="E28" s="903"/>
      <c r="G28" s="903"/>
      <c r="H28" s="904"/>
      <c r="I28" s="905"/>
      <c r="J28" s="904"/>
      <c r="K28" s="905"/>
      <c r="L28" s="904"/>
      <c r="M28" s="905"/>
      <c r="N28" s="904"/>
      <c r="O28" s="905"/>
      <c r="P28" s="904"/>
      <c r="Q28" s="905"/>
      <c r="R28" s="904"/>
      <c r="S28" s="879"/>
      <c r="T28" s="879"/>
    </row>
    <row r="29" spans="1:21" s="880" customFormat="1" ht="15" customHeight="1">
      <c r="C29" s="903"/>
      <c r="E29" s="903"/>
      <c r="G29" s="903"/>
      <c r="I29" s="903"/>
      <c r="K29" s="903"/>
      <c r="M29" s="903"/>
      <c r="O29" s="903"/>
      <c r="Q29" s="903"/>
      <c r="S29" s="879"/>
      <c r="T29" s="879"/>
    </row>
    <row r="30" spans="1:21" s="880" customFormat="1" ht="15" customHeight="1">
      <c r="C30" s="903"/>
      <c r="E30" s="903"/>
      <c r="G30" s="903"/>
      <c r="I30" s="903"/>
      <c r="K30" s="903"/>
      <c r="M30" s="903"/>
      <c r="O30" s="903"/>
      <c r="Q30" s="903"/>
      <c r="S30" s="879"/>
      <c r="T30" s="879"/>
    </row>
    <row r="31" spans="1:21" s="880" customFormat="1" ht="15" customHeight="1">
      <c r="C31" s="903"/>
      <c r="E31" s="903"/>
      <c r="G31" s="903"/>
      <c r="I31" s="903"/>
      <c r="K31" s="903"/>
      <c r="M31" s="903"/>
      <c r="O31" s="903"/>
      <c r="Q31" s="903"/>
      <c r="S31" s="879"/>
      <c r="T31" s="879"/>
    </row>
    <row r="32" spans="1:21" s="880" customFormat="1" ht="15" customHeight="1">
      <c r="C32" s="903"/>
      <c r="E32" s="903"/>
      <c r="G32" s="903"/>
      <c r="I32" s="903"/>
      <c r="K32" s="903"/>
      <c r="M32" s="903"/>
      <c r="O32" s="903"/>
      <c r="Q32" s="903"/>
      <c r="S32" s="879"/>
      <c r="T32" s="879"/>
    </row>
    <row r="33" spans="3:20" s="880" customFormat="1" ht="15" customHeight="1">
      <c r="C33" s="903"/>
      <c r="E33" s="903"/>
      <c r="G33" s="903"/>
      <c r="I33" s="903"/>
      <c r="K33" s="903"/>
      <c r="M33" s="903"/>
      <c r="O33" s="903"/>
      <c r="Q33" s="903"/>
      <c r="S33" s="879"/>
      <c r="T33" s="879"/>
    </row>
    <row r="34" spans="3:20" s="880" customFormat="1" ht="15" customHeight="1">
      <c r="C34" s="903"/>
      <c r="E34" s="903"/>
      <c r="G34" s="903"/>
      <c r="I34" s="903"/>
      <c r="K34" s="903"/>
      <c r="M34" s="903"/>
      <c r="O34" s="903"/>
      <c r="Q34" s="903"/>
      <c r="S34" s="879"/>
      <c r="T34" s="879"/>
    </row>
    <row r="35" spans="3:20" s="880" customFormat="1" ht="15" customHeight="1">
      <c r="C35" s="903"/>
      <c r="E35" s="903"/>
      <c r="G35" s="903"/>
      <c r="I35" s="903"/>
      <c r="K35" s="903"/>
      <c r="M35" s="903"/>
      <c r="O35" s="903"/>
      <c r="Q35" s="903"/>
      <c r="S35" s="879"/>
      <c r="T35" s="879"/>
    </row>
    <row r="36" spans="3:20" s="880" customFormat="1" ht="15" customHeight="1">
      <c r="C36" s="903"/>
      <c r="E36" s="903"/>
      <c r="G36" s="903"/>
      <c r="I36" s="903"/>
      <c r="K36" s="903"/>
      <c r="M36" s="903"/>
      <c r="O36" s="903"/>
      <c r="Q36" s="903"/>
      <c r="S36" s="879"/>
      <c r="T36" s="879"/>
    </row>
    <row r="37" spans="3:20" s="880" customFormat="1" ht="15" customHeight="1">
      <c r="C37" s="903"/>
      <c r="E37" s="903"/>
      <c r="G37" s="903"/>
      <c r="I37" s="903"/>
      <c r="K37" s="903"/>
      <c r="M37" s="903"/>
      <c r="O37" s="903"/>
      <c r="Q37" s="903"/>
      <c r="S37" s="879"/>
      <c r="T37" s="879"/>
    </row>
    <row r="38" spans="3:20" s="880" customFormat="1" ht="15" customHeight="1">
      <c r="C38" s="903"/>
      <c r="E38" s="903"/>
      <c r="G38" s="903"/>
      <c r="I38" s="903"/>
      <c r="K38" s="903"/>
      <c r="M38" s="903"/>
      <c r="O38" s="903"/>
      <c r="Q38" s="903"/>
      <c r="S38" s="879"/>
      <c r="T38" s="879"/>
    </row>
    <row r="39" spans="3:20" s="880" customFormat="1" ht="15" customHeight="1">
      <c r="C39" s="903"/>
      <c r="E39" s="903"/>
      <c r="G39" s="903"/>
      <c r="I39" s="903"/>
      <c r="K39" s="903"/>
      <c r="M39" s="903"/>
      <c r="O39" s="903"/>
      <c r="Q39" s="903"/>
      <c r="S39" s="879"/>
      <c r="T39" s="879"/>
    </row>
    <row r="40" spans="3:20" s="880" customFormat="1" ht="15" customHeight="1">
      <c r="C40" s="903"/>
      <c r="E40" s="903"/>
      <c r="G40" s="903"/>
      <c r="I40" s="903"/>
      <c r="K40" s="903"/>
      <c r="M40" s="903"/>
      <c r="O40" s="903"/>
      <c r="Q40" s="903"/>
      <c r="S40" s="879"/>
      <c r="T40" s="879"/>
    </row>
    <row r="41" spans="3:20" s="880" customFormat="1" ht="15" customHeight="1">
      <c r="C41" s="903"/>
      <c r="E41" s="903"/>
      <c r="G41" s="903"/>
      <c r="I41" s="903"/>
      <c r="K41" s="903"/>
      <c r="M41" s="903"/>
      <c r="O41" s="903"/>
      <c r="Q41" s="903"/>
      <c r="S41" s="879"/>
      <c r="T41" s="879"/>
    </row>
    <row r="42" spans="3:20" s="880" customFormat="1" ht="15" customHeight="1">
      <c r="C42" s="903"/>
      <c r="E42" s="903"/>
      <c r="G42" s="903"/>
      <c r="I42" s="903"/>
      <c r="K42" s="903"/>
      <c r="M42" s="903"/>
      <c r="O42" s="903"/>
      <c r="Q42" s="903"/>
      <c r="S42" s="879"/>
      <c r="T42" s="879"/>
    </row>
    <row r="43" spans="3:20" s="880" customFormat="1" ht="15" customHeight="1">
      <c r="C43" s="903"/>
      <c r="E43" s="903"/>
      <c r="G43" s="903"/>
      <c r="I43" s="903"/>
      <c r="K43" s="903"/>
      <c r="M43" s="903"/>
      <c r="O43" s="903"/>
      <c r="Q43" s="903"/>
      <c r="S43" s="879"/>
      <c r="T43" s="879"/>
    </row>
    <row r="44" spans="3:20" s="880" customFormat="1" ht="15" customHeight="1">
      <c r="C44" s="903"/>
      <c r="E44" s="903"/>
      <c r="G44" s="903"/>
      <c r="I44" s="903"/>
      <c r="K44" s="903"/>
      <c r="M44" s="903"/>
      <c r="O44" s="903"/>
      <c r="Q44" s="903"/>
      <c r="S44" s="879"/>
      <c r="T44" s="879"/>
    </row>
    <row r="45" spans="3:20" s="880" customFormat="1" ht="15" customHeight="1">
      <c r="C45" s="903"/>
      <c r="E45" s="903"/>
      <c r="G45" s="903"/>
      <c r="I45" s="903"/>
      <c r="K45" s="903"/>
      <c r="M45" s="903"/>
      <c r="O45" s="903"/>
      <c r="Q45" s="903"/>
      <c r="S45" s="879"/>
      <c r="T45" s="879"/>
    </row>
    <row r="46" spans="3:20" s="880" customFormat="1" ht="15" customHeight="1">
      <c r="C46" s="903"/>
      <c r="E46" s="903"/>
      <c r="G46" s="903"/>
      <c r="I46" s="903"/>
      <c r="K46" s="903"/>
      <c r="M46" s="903"/>
      <c r="O46" s="903"/>
      <c r="Q46" s="903"/>
      <c r="S46" s="879"/>
      <c r="T46" s="879"/>
    </row>
    <row r="47" spans="3:20" s="880" customFormat="1" ht="15" customHeight="1">
      <c r="C47" s="903"/>
      <c r="E47" s="903"/>
      <c r="G47" s="903"/>
      <c r="I47" s="903"/>
      <c r="K47" s="903"/>
      <c r="M47" s="903"/>
      <c r="O47" s="903"/>
      <c r="Q47" s="903"/>
      <c r="S47" s="879"/>
      <c r="T47" s="879"/>
    </row>
    <row r="48" spans="3:20" s="880" customFormat="1" ht="15" customHeight="1">
      <c r="C48" s="903"/>
      <c r="E48" s="903"/>
      <c r="G48" s="903"/>
      <c r="I48" s="903"/>
      <c r="K48" s="903"/>
      <c r="M48" s="903"/>
      <c r="O48" s="903"/>
      <c r="Q48" s="903"/>
      <c r="S48" s="879"/>
      <c r="T48" s="879"/>
    </row>
    <row r="49" spans="3:20" s="880" customFormat="1" ht="15" customHeight="1">
      <c r="C49" s="903"/>
      <c r="E49" s="903"/>
      <c r="G49" s="903"/>
      <c r="I49" s="903"/>
      <c r="K49" s="903"/>
      <c r="M49" s="903"/>
      <c r="O49" s="903"/>
      <c r="Q49" s="903"/>
      <c r="S49" s="879"/>
      <c r="T49" s="879"/>
    </row>
    <row r="50" spans="3:20" s="880" customFormat="1" ht="15" customHeight="1">
      <c r="C50" s="903"/>
      <c r="E50" s="903"/>
      <c r="G50" s="903"/>
      <c r="I50" s="903"/>
      <c r="K50" s="903"/>
      <c r="M50" s="903"/>
      <c r="O50" s="903"/>
      <c r="Q50" s="903"/>
      <c r="S50" s="879"/>
      <c r="T50" s="879"/>
    </row>
    <row r="51" spans="3:20" s="880" customFormat="1" ht="15" customHeight="1">
      <c r="C51" s="903"/>
      <c r="E51" s="903"/>
      <c r="G51" s="903"/>
      <c r="I51" s="903"/>
      <c r="K51" s="903"/>
      <c r="M51" s="903"/>
      <c r="O51" s="903"/>
      <c r="Q51" s="903"/>
      <c r="S51" s="879"/>
      <c r="T51" s="879"/>
    </row>
    <row r="52" spans="3:20" s="880" customFormat="1" ht="15" customHeight="1">
      <c r="C52" s="903"/>
      <c r="E52" s="903"/>
      <c r="G52" s="903"/>
      <c r="I52" s="903"/>
      <c r="K52" s="903"/>
      <c r="M52" s="903"/>
      <c r="O52" s="903"/>
      <c r="Q52" s="903"/>
      <c r="S52" s="879"/>
      <c r="T52" s="879"/>
    </row>
    <row r="53" spans="3:20" s="880" customFormat="1" ht="15" customHeight="1">
      <c r="C53" s="903"/>
      <c r="E53" s="903"/>
      <c r="G53" s="903"/>
      <c r="I53" s="903"/>
      <c r="K53" s="903"/>
      <c r="M53" s="903"/>
      <c r="O53" s="903"/>
      <c r="Q53" s="903"/>
      <c r="S53" s="879"/>
      <c r="T53" s="879"/>
    </row>
    <row r="54" spans="3:20" s="880" customFormat="1" ht="15" customHeight="1">
      <c r="C54" s="903"/>
      <c r="E54" s="903"/>
      <c r="G54" s="903"/>
      <c r="I54" s="903"/>
      <c r="K54" s="903"/>
      <c r="M54" s="903"/>
      <c r="O54" s="903"/>
      <c r="Q54" s="903"/>
      <c r="S54" s="879"/>
      <c r="T54" s="879"/>
    </row>
    <row r="55" spans="3:20" s="880" customFormat="1" ht="15" customHeight="1">
      <c r="C55" s="903"/>
      <c r="E55" s="903"/>
      <c r="G55" s="903"/>
      <c r="I55" s="903"/>
      <c r="K55" s="903"/>
      <c r="M55" s="903"/>
      <c r="O55" s="903"/>
      <c r="Q55" s="903"/>
      <c r="S55" s="879"/>
      <c r="T55" s="879"/>
    </row>
    <row r="56" spans="3:20" s="880" customFormat="1" ht="15" customHeight="1">
      <c r="C56" s="903"/>
      <c r="E56" s="903"/>
      <c r="G56" s="903"/>
      <c r="I56" s="903"/>
      <c r="K56" s="903"/>
      <c r="M56" s="903"/>
      <c r="O56" s="903"/>
      <c r="Q56" s="903"/>
      <c r="S56" s="879"/>
      <c r="T56" s="879"/>
    </row>
    <row r="57" spans="3:20" s="880" customFormat="1" ht="15" customHeight="1">
      <c r="C57" s="903"/>
      <c r="E57" s="903"/>
      <c r="G57" s="903"/>
      <c r="I57" s="903"/>
      <c r="K57" s="903"/>
      <c r="M57" s="903"/>
      <c r="O57" s="903"/>
      <c r="Q57" s="903"/>
      <c r="S57" s="879"/>
      <c r="T57" s="879"/>
    </row>
    <row r="58" spans="3:20" s="880" customFormat="1" ht="15" customHeight="1">
      <c r="C58" s="903"/>
      <c r="E58" s="903"/>
      <c r="G58" s="903"/>
      <c r="I58" s="903"/>
      <c r="K58" s="903"/>
      <c r="M58" s="903"/>
      <c r="O58" s="903"/>
      <c r="Q58" s="903"/>
      <c r="S58" s="879"/>
      <c r="T58" s="879"/>
    </row>
    <row r="59" spans="3:20" s="880" customFormat="1" ht="15" customHeight="1">
      <c r="C59" s="903"/>
      <c r="E59" s="903"/>
      <c r="G59" s="903"/>
      <c r="I59" s="903"/>
      <c r="K59" s="903"/>
      <c r="M59" s="903"/>
      <c r="O59" s="903"/>
      <c r="Q59" s="903"/>
      <c r="S59" s="879"/>
      <c r="T59" s="879"/>
    </row>
    <row r="60" spans="3:20" s="880" customFormat="1" ht="15" customHeight="1">
      <c r="C60" s="903"/>
      <c r="E60" s="903"/>
      <c r="G60" s="903"/>
      <c r="I60" s="903"/>
      <c r="K60" s="903"/>
      <c r="M60" s="903"/>
      <c r="O60" s="903"/>
      <c r="Q60" s="903"/>
      <c r="S60" s="879"/>
      <c r="T60" s="879"/>
    </row>
  </sheetData>
  <mergeCells count="3">
    <mergeCell ref="A1:R1"/>
    <mergeCell ref="A3:R3"/>
    <mergeCell ref="A5:R5"/>
  </mergeCells>
  <pageMargins left="0.25" right="0.25" top="0.75" bottom="0.5" header="0" footer="0.25"/>
  <pageSetup scale="75" fitToHeight="0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workbookViewId="0">
      <selection activeCell="F34" sqref="F34"/>
    </sheetView>
  </sheetViews>
  <sheetFormatPr defaultRowHeight="15" outlineLevelRow="1"/>
  <cols>
    <col min="2" max="2" width="12.21875" customWidth="1"/>
    <col min="4" max="15" width="6.77734375" style="489" customWidth="1"/>
  </cols>
  <sheetData>
    <row r="1" spans="1:17" s="479" customFormat="1" ht="15.75">
      <c r="A1" s="939" t="str">
        <f>+'[8]WP-11 Bad Debts'!A1:G1</f>
        <v>WASTE CONTROL, INC.</v>
      </c>
      <c r="B1" s="940"/>
      <c r="C1" s="940"/>
      <c r="D1" s="940"/>
      <c r="E1" s="940"/>
      <c r="F1" s="940"/>
      <c r="G1" s="940"/>
      <c r="H1" s="478"/>
      <c r="I1" s="478"/>
      <c r="J1" s="478"/>
      <c r="K1" s="478"/>
      <c r="L1" s="478"/>
      <c r="M1" s="478"/>
      <c r="N1" s="478"/>
      <c r="O1" s="478"/>
    </row>
    <row r="2" spans="1:17" s="479" customFormat="1" ht="18" customHeight="1">
      <c r="A2" s="409"/>
      <c r="B2" s="410"/>
      <c r="C2" s="410"/>
      <c r="D2" s="480"/>
      <c r="E2" s="481"/>
      <c r="F2" s="480"/>
      <c r="G2" s="481"/>
      <c r="H2" s="482"/>
      <c r="I2" s="482"/>
      <c r="J2" s="482"/>
      <c r="K2" s="483"/>
      <c r="L2" s="483"/>
      <c r="M2" s="483"/>
      <c r="N2" s="478"/>
      <c r="O2" s="478"/>
    </row>
    <row r="3" spans="1:17" s="479" customFormat="1" ht="36" customHeight="1">
      <c r="A3" s="940" t="s">
        <v>455</v>
      </c>
      <c r="B3" s="940"/>
      <c r="C3" s="940"/>
      <c r="D3" s="940"/>
      <c r="E3" s="940"/>
      <c r="F3" s="940"/>
      <c r="G3" s="940"/>
      <c r="H3" s="484"/>
      <c r="I3" s="941" t="s">
        <v>456</v>
      </c>
      <c r="J3" s="941"/>
      <c r="K3" s="941"/>
      <c r="L3" s="941"/>
      <c r="M3" s="941"/>
      <c r="N3" s="478"/>
      <c r="O3" s="478"/>
    </row>
    <row r="4" spans="1:17" s="479" customFormat="1" ht="15.75">
      <c r="A4" s="412"/>
      <c r="B4" s="412"/>
      <c r="C4" s="412"/>
      <c r="D4" s="485"/>
      <c r="E4" s="486"/>
      <c r="F4" s="486"/>
      <c r="G4" s="486"/>
      <c r="H4" s="487"/>
      <c r="I4" s="487"/>
      <c r="J4" s="487"/>
      <c r="K4" s="487"/>
      <c r="L4" s="484"/>
      <c r="M4" s="484"/>
      <c r="N4" s="478"/>
      <c r="O4" s="478"/>
    </row>
    <row r="5" spans="1:17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487"/>
      <c r="I5" s="487"/>
      <c r="J5" s="487"/>
      <c r="K5" s="487"/>
      <c r="L5" s="484"/>
      <c r="M5" s="484"/>
      <c r="N5" s="478"/>
      <c r="O5" s="478"/>
    </row>
    <row r="6" spans="1:17" ht="15.75">
      <c r="A6" s="488" t="s">
        <v>457</v>
      </c>
      <c r="D6" s="489" t="s">
        <v>74</v>
      </c>
    </row>
    <row r="7" spans="1:17" ht="30.75" thickBot="1">
      <c r="A7" s="490" t="s">
        <v>458</v>
      </c>
      <c r="B7" s="491" t="s">
        <v>459</v>
      </c>
      <c r="C7" s="490" t="s">
        <v>460</v>
      </c>
      <c r="D7" s="492">
        <v>41091</v>
      </c>
      <c r="E7" s="492">
        <v>41122</v>
      </c>
      <c r="F7" s="492">
        <v>41153</v>
      </c>
      <c r="G7" s="492">
        <v>41183</v>
      </c>
      <c r="H7" s="492">
        <v>41214</v>
      </c>
      <c r="I7" s="492">
        <v>41244</v>
      </c>
      <c r="J7" s="492">
        <v>40909</v>
      </c>
      <c r="K7" s="492">
        <v>40940</v>
      </c>
      <c r="L7" s="492">
        <v>40969</v>
      </c>
      <c r="M7" s="492">
        <v>41000</v>
      </c>
      <c r="N7" s="492">
        <v>41030</v>
      </c>
      <c r="O7" s="492">
        <v>41061</v>
      </c>
      <c r="P7" s="493" t="s">
        <v>210</v>
      </c>
      <c r="Q7" s="494" t="s">
        <v>459</v>
      </c>
    </row>
    <row r="8" spans="1:17" hidden="1" outlineLevel="1">
      <c r="A8" s="495" t="s">
        <v>461</v>
      </c>
      <c r="B8" s="496">
        <v>0.5</v>
      </c>
      <c r="C8" s="497">
        <v>5042706</v>
      </c>
    </row>
    <row r="9" spans="1:17" hidden="1" outlineLevel="1">
      <c r="A9" s="498" t="s">
        <v>462</v>
      </c>
      <c r="B9" s="499"/>
      <c r="C9" s="497"/>
    </row>
    <row r="10" spans="1:17" hidden="1" outlineLevel="1">
      <c r="A10" s="500" t="s">
        <v>463</v>
      </c>
      <c r="B10" s="496">
        <v>0.5</v>
      </c>
      <c r="C10" s="501">
        <v>10015</v>
      </c>
    </row>
    <row r="11" spans="1:17" hidden="1" outlineLevel="1">
      <c r="A11" s="498" t="s">
        <v>464</v>
      </c>
      <c r="B11" s="499"/>
      <c r="C11" s="501"/>
    </row>
    <row r="12" spans="1:17" hidden="1" outlineLevel="1">
      <c r="A12" s="500" t="s">
        <v>465</v>
      </c>
      <c r="B12" s="496">
        <v>0.5</v>
      </c>
      <c r="C12" s="501">
        <v>10028</v>
      </c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3"/>
      <c r="Q12" s="503"/>
    </row>
    <row r="13" spans="1:17" hidden="1" outlineLevel="1">
      <c r="A13" s="498" t="s">
        <v>464</v>
      </c>
      <c r="B13" s="499"/>
      <c r="C13" s="501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3"/>
      <c r="Q13" s="503"/>
    </row>
    <row r="14" spans="1:17" hidden="1" outlineLevel="1">
      <c r="A14" s="500" t="s">
        <v>466</v>
      </c>
      <c r="B14" s="496">
        <v>1</v>
      </c>
      <c r="C14" s="501">
        <v>1002602</v>
      </c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3"/>
      <c r="Q14" s="503"/>
    </row>
    <row r="15" spans="1:17" hidden="1" outlineLevel="1">
      <c r="A15" s="498" t="s">
        <v>464</v>
      </c>
      <c r="B15" s="499"/>
      <c r="C15" s="501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3"/>
      <c r="Q15" s="503"/>
    </row>
    <row r="16" spans="1:17" hidden="1" outlineLevel="1">
      <c r="A16" s="500" t="s">
        <v>466</v>
      </c>
      <c r="B16" s="496">
        <v>0.5</v>
      </c>
      <c r="C16" s="501">
        <v>1002801</v>
      </c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3"/>
      <c r="Q16" s="503"/>
    </row>
    <row r="17" spans="1:17" hidden="1" outlineLevel="1">
      <c r="A17" s="498" t="s">
        <v>464</v>
      </c>
      <c r="B17" s="499"/>
      <c r="C17" s="499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3"/>
      <c r="Q17" s="503"/>
    </row>
    <row r="18" spans="1:17" hidden="1" outlineLevel="1">
      <c r="A18" s="500" t="s">
        <v>467</v>
      </c>
      <c r="B18" s="496">
        <v>0.5</v>
      </c>
      <c r="C18" s="497">
        <v>116720</v>
      </c>
      <c r="D18" s="502"/>
      <c r="E18" s="502"/>
      <c r="F18" s="502"/>
      <c r="G18" s="502"/>
      <c r="H18" s="502"/>
      <c r="I18" s="502"/>
      <c r="J18" s="502"/>
      <c r="K18" s="502"/>
      <c r="L18" s="502"/>
      <c r="M18" s="502"/>
      <c r="N18" s="502"/>
      <c r="O18" s="502"/>
      <c r="P18" s="503"/>
      <c r="Q18" s="503"/>
    </row>
    <row r="19" spans="1:17" hidden="1" outlineLevel="1">
      <c r="A19" s="498" t="s">
        <v>468</v>
      </c>
      <c r="B19" s="499"/>
      <c r="C19" s="497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3"/>
      <c r="Q19" s="503"/>
    </row>
    <row r="20" spans="1:17" hidden="1" outlineLevel="1">
      <c r="A20" s="500" t="s">
        <v>461</v>
      </c>
      <c r="B20" s="496">
        <v>0.5</v>
      </c>
      <c r="C20" s="497">
        <v>116883</v>
      </c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3"/>
      <c r="Q20" s="503"/>
    </row>
    <row r="21" spans="1:17" hidden="1" outlineLevel="1">
      <c r="A21" s="504" t="s">
        <v>468</v>
      </c>
      <c r="B21" s="499"/>
      <c r="C21" s="497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3"/>
      <c r="Q21" s="503"/>
    </row>
    <row r="22" spans="1:17" hidden="1" outlineLevel="1">
      <c r="A22" s="495" t="s">
        <v>469</v>
      </c>
      <c r="B22" s="496">
        <v>0.5</v>
      </c>
      <c r="C22" s="497">
        <v>10027</v>
      </c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3"/>
      <c r="Q22" s="503"/>
    </row>
    <row r="23" spans="1:17" hidden="1" outlineLevel="1">
      <c r="A23" s="504" t="s">
        <v>470</v>
      </c>
      <c r="B23" s="499"/>
      <c r="C23" s="499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3"/>
      <c r="Q23" s="503"/>
    </row>
    <row r="24" spans="1:17" hidden="1" outlineLevel="1">
      <c r="A24" s="495" t="s">
        <v>471</v>
      </c>
      <c r="B24" s="496">
        <v>0</v>
      </c>
      <c r="C24" s="497">
        <v>308405</v>
      </c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3"/>
      <c r="Q24" s="503"/>
    </row>
    <row r="25" spans="1:17" collapsed="1">
      <c r="A25" s="504" t="s">
        <v>472</v>
      </c>
      <c r="B25" s="499"/>
      <c r="C25" s="499"/>
      <c r="D25" s="502"/>
      <c r="E25" s="502"/>
      <c r="F25" s="502"/>
      <c r="G25" s="502"/>
      <c r="H25" s="502"/>
      <c r="I25" s="502"/>
      <c r="J25" s="502"/>
      <c r="K25" s="502"/>
      <c r="L25" s="502"/>
      <c r="M25" s="502"/>
      <c r="N25" s="502"/>
      <c r="O25" s="502"/>
      <c r="P25" s="503"/>
      <c r="Q25" s="503"/>
    </row>
    <row r="26" spans="1:17">
      <c r="A26" s="495" t="s">
        <v>473</v>
      </c>
      <c r="B26" s="505">
        <f>'[8]3-Factor'!$C$33</f>
        <v>0.21791617001923003</v>
      </c>
      <c r="C26" s="497">
        <v>10068</v>
      </c>
      <c r="D26" s="502">
        <v>95.62</v>
      </c>
      <c r="E26" s="502">
        <v>83.69</v>
      </c>
      <c r="F26" s="502">
        <v>113.05</v>
      </c>
      <c r="G26" s="502">
        <v>112.79</v>
      </c>
      <c r="H26" s="502">
        <v>154.19</v>
      </c>
      <c r="I26" s="502">
        <v>96.64</v>
      </c>
      <c r="J26" s="502">
        <v>139.22999999999999</v>
      </c>
      <c r="K26" s="502">
        <v>149.53</v>
      </c>
      <c r="L26" s="502">
        <v>117</v>
      </c>
      <c r="M26" s="502">
        <v>107.56</v>
      </c>
      <c r="N26" s="502">
        <v>101.71</v>
      </c>
      <c r="O26" s="502">
        <v>94.68</v>
      </c>
      <c r="P26" s="503">
        <f>SUM(D26:O26)</f>
        <v>1365.69</v>
      </c>
      <c r="Q26" s="503">
        <f>P26*B26</f>
        <v>297.60593423356227</v>
      </c>
    </row>
    <row r="27" spans="1:17">
      <c r="A27" s="504" t="s">
        <v>474</v>
      </c>
      <c r="B27" s="499"/>
      <c r="C27" s="499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3"/>
      <c r="Q27" s="503"/>
    </row>
    <row r="28" spans="1:17">
      <c r="A28" s="495" t="s">
        <v>467</v>
      </c>
      <c r="B28" s="505">
        <f>B26</f>
        <v>0.21791617001923003</v>
      </c>
      <c r="C28" s="497">
        <v>10018</v>
      </c>
      <c r="D28" s="502">
        <v>957.8</v>
      </c>
      <c r="E28" s="502">
        <v>1405.88</v>
      </c>
      <c r="F28" s="502">
        <v>1251.08</v>
      </c>
      <c r="G28" s="502">
        <v>860.04</v>
      </c>
      <c r="H28" s="502">
        <v>917.06</v>
      </c>
      <c r="I28" s="502">
        <v>729.69</v>
      </c>
      <c r="J28" s="502">
        <v>588.66999999999996</v>
      </c>
      <c r="K28" s="502">
        <v>669.83</v>
      </c>
      <c r="L28" s="502">
        <v>545.16999999999996</v>
      </c>
      <c r="M28" s="502">
        <v>977.34</v>
      </c>
      <c r="N28" s="502">
        <v>836.05</v>
      </c>
      <c r="O28" s="502">
        <v>744.63</v>
      </c>
      <c r="P28" s="503">
        <f>SUM(D28:O28)</f>
        <v>10483.24</v>
      </c>
      <c r="Q28" s="503">
        <f>P28*B28</f>
        <v>2284.4675101923931</v>
      </c>
    </row>
    <row r="29" spans="1:17">
      <c r="A29" s="504" t="s">
        <v>475</v>
      </c>
      <c r="B29" s="499"/>
      <c r="C29" s="497"/>
      <c r="D29" s="502"/>
      <c r="E29" s="502"/>
      <c r="F29" s="502"/>
      <c r="G29" s="502">
        <v>1931</v>
      </c>
      <c r="H29" s="502">
        <v>2648.79</v>
      </c>
      <c r="I29" s="502">
        <v>1676.25</v>
      </c>
      <c r="J29" s="502">
        <v>2652.23</v>
      </c>
      <c r="K29" s="502">
        <v>2926.98</v>
      </c>
      <c r="L29" s="502">
        <v>2250.4</v>
      </c>
      <c r="M29" s="502">
        <v>2054.64</v>
      </c>
      <c r="N29" s="502">
        <v>2119.89</v>
      </c>
      <c r="O29" s="502">
        <v>1807.36</v>
      </c>
      <c r="P29" s="503">
        <f>SUM(D29:O29)</f>
        <v>20067.54</v>
      </c>
      <c r="Q29" s="503">
        <f>P29*B28</f>
        <v>4373.0414585076996</v>
      </c>
    </row>
    <row r="30" spans="1:17">
      <c r="A30" s="495" t="s">
        <v>467</v>
      </c>
      <c r="B30" s="496">
        <v>0.25</v>
      </c>
      <c r="C30" s="497">
        <v>10022</v>
      </c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3"/>
      <c r="Q30" s="503"/>
    </row>
    <row r="31" spans="1:17">
      <c r="A31" s="504" t="s">
        <v>476</v>
      </c>
      <c r="B31" s="499"/>
      <c r="C31" s="499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3"/>
      <c r="Q31" s="503"/>
    </row>
    <row r="32" spans="1:17">
      <c r="A32" s="495" t="s">
        <v>477</v>
      </c>
      <c r="B32" s="496">
        <v>0.33333333333333331</v>
      </c>
      <c r="C32" s="497">
        <v>10016</v>
      </c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3"/>
      <c r="Q32" s="503"/>
    </row>
    <row r="33" spans="1:17">
      <c r="A33" s="504" t="s">
        <v>478</v>
      </c>
      <c r="B33" s="499"/>
      <c r="C33" s="499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3"/>
      <c r="Q33" s="503"/>
    </row>
    <row r="34" spans="1:17">
      <c r="A34" s="495" t="s">
        <v>479</v>
      </c>
      <c r="B34" s="505">
        <f>B28</f>
        <v>0.21791617001923003</v>
      </c>
      <c r="C34" s="497">
        <v>3025</v>
      </c>
      <c r="D34" s="502">
        <v>2487.37</v>
      </c>
      <c r="E34" s="502">
        <v>3198.3</v>
      </c>
      <c r="F34" s="502">
        <v>4441.55</v>
      </c>
      <c r="G34" s="502">
        <v>3503.96</v>
      </c>
      <c r="H34" s="502">
        <v>2480.5100000000002</v>
      </c>
      <c r="I34" s="502">
        <v>1411.8</v>
      </c>
      <c r="J34" s="502">
        <v>2137.0700000000002</v>
      </c>
      <c r="K34" s="502">
        <v>2130.1999999999998</v>
      </c>
      <c r="L34" s="502"/>
      <c r="M34" s="502">
        <v>1841.71</v>
      </c>
      <c r="N34" s="502">
        <v>2102.7199999999998</v>
      </c>
      <c r="O34" s="502">
        <v>2171.41</v>
      </c>
      <c r="P34" s="503">
        <f>SUM(D34:O34)</f>
        <v>27906.600000000002</v>
      </c>
      <c r="Q34" s="503">
        <f>P34*B34</f>
        <v>6081.299390258645</v>
      </c>
    </row>
    <row r="35" spans="1:17">
      <c r="A35" s="504" t="s">
        <v>468</v>
      </c>
      <c r="B35" s="499"/>
      <c r="C35" s="499"/>
    </row>
    <row r="36" spans="1:17">
      <c r="A36" s="495" t="s">
        <v>480</v>
      </c>
      <c r="B36" s="496">
        <v>1</v>
      </c>
      <c r="C36" s="497">
        <v>321805055</v>
      </c>
    </row>
    <row r="37" spans="1:17">
      <c r="A37" s="498" t="s">
        <v>468</v>
      </c>
      <c r="B37" s="499"/>
      <c r="C37" s="499"/>
    </row>
    <row r="39" spans="1:17">
      <c r="A39" t="s">
        <v>481</v>
      </c>
      <c r="P39" s="503">
        <f>SUM(P26:P34)</f>
        <v>59823.070000000007</v>
      </c>
      <c r="Q39" s="831">
        <f>SUM(Q8:Q34)</f>
        <v>13036.4142931923</v>
      </c>
    </row>
    <row r="40" spans="1:17">
      <c r="P40" s="503"/>
    </row>
    <row r="42" spans="1:17" ht="15.75">
      <c r="A42" s="916" t="str">
        <f>'[8]Sch 1 - Restate Exp'!A55</f>
        <v>R-6D</v>
      </c>
      <c r="B42" s="916" t="str">
        <f>'[8]Sch 1 - Restate Exp'!B55</f>
        <v>Utilities</v>
      </c>
      <c r="C42" s="916"/>
      <c r="D42" s="917"/>
      <c r="E42" s="917"/>
      <c r="F42" s="917"/>
      <c r="G42" s="917"/>
      <c r="H42" s="917"/>
    </row>
    <row r="43" spans="1:17" ht="15.75">
      <c r="A43" s="916"/>
      <c r="B43" s="916" t="str">
        <f>'[8]Sch 1 - Restate Exp'!B56</f>
        <v>Total Allowable Costs linked to file "Staff - Utilities Analysis.xlsx"</v>
      </c>
      <c r="C43" s="916"/>
      <c r="D43" s="917"/>
      <c r="E43" s="917"/>
      <c r="F43" s="917"/>
      <c r="G43" s="917"/>
      <c r="H43" s="917"/>
    </row>
    <row r="44" spans="1:17" ht="15.75">
      <c r="A44" s="916"/>
      <c r="B44" s="916"/>
      <c r="C44" s="916"/>
      <c r="D44" s="917" t="str">
        <f>'[8]Sch 1 - Restate Exp'!D57</f>
        <v>Reg</v>
      </c>
      <c r="E44" s="917"/>
      <c r="F44" s="917"/>
      <c r="G44" s="917"/>
      <c r="H44" s="917"/>
    </row>
    <row r="45" spans="1:17" ht="15.75">
      <c r="A45" s="916"/>
      <c r="B45" s="916" t="str">
        <f>'[8]Sch 1 - Restate Exp'!B58</f>
        <v>IS</v>
      </c>
      <c r="C45" s="916">
        <f>'[8]Sch 1 - Restate Exp'!C58</f>
        <v>59823.070000000007</v>
      </c>
      <c r="D45" s="917">
        <f>'[8]Sch 1 - Restate Exp'!D58</f>
        <v>54410.63513408578</v>
      </c>
      <c r="E45" s="917"/>
      <c r="F45" s="917"/>
      <c r="G45" s="917"/>
      <c r="H45" s="917"/>
    </row>
    <row r="46" spans="1:17" ht="15.75">
      <c r="A46" s="916"/>
      <c r="B46" s="916" t="str">
        <f>'[8]Sch 1 - Restate Exp'!B59</f>
        <v>Total Allowable</v>
      </c>
      <c r="C46" s="916">
        <f>'[8]Sch 1 - Restate Exp'!C59</f>
        <v>13036.4142931923</v>
      </c>
      <c r="D46" s="917">
        <f>'[8]Sch 1 - Restate Exp'!D59</f>
        <v>11856.957216733726</v>
      </c>
      <c r="E46" s="917"/>
      <c r="F46" s="917"/>
      <c r="G46" s="917"/>
      <c r="H46" s="917"/>
    </row>
    <row r="47" spans="1:17" ht="15.75">
      <c r="A47" s="916"/>
      <c r="B47" s="916" t="str">
        <f>'[8]Sch 1 - Restate Exp'!B60</f>
        <v>Adjust</v>
      </c>
      <c r="C47" s="918">
        <f>'[8]Sch 1 - Restate Exp'!C60</f>
        <v>-46786.655706807709</v>
      </c>
      <c r="D47" s="919">
        <f>'[8]Sch 1 - Restate Exp'!D60</f>
        <v>-42553.677917352055</v>
      </c>
      <c r="E47" s="917"/>
      <c r="F47" s="917"/>
      <c r="G47" s="917"/>
      <c r="H47" s="917"/>
    </row>
    <row r="48" spans="1:17" ht="15.75">
      <c r="A48" s="916"/>
      <c r="B48" s="916"/>
      <c r="C48" s="916"/>
      <c r="D48" s="917"/>
      <c r="E48" s="917"/>
      <c r="F48" s="917"/>
      <c r="G48" s="917"/>
      <c r="H48" s="917"/>
    </row>
  </sheetData>
  <mergeCells count="4">
    <mergeCell ref="A1:G1"/>
    <mergeCell ref="A3:G3"/>
    <mergeCell ref="I3:M3"/>
    <mergeCell ref="A5:G5"/>
  </mergeCells>
  <pageMargins left="0.7" right="0.7" top="0.75" bottom="0.75" header="0.3" footer="0.3"/>
  <pageSetup scale="79" fitToHeight="0" orientation="landscape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2"/>
  <sheetViews>
    <sheetView topLeftCell="A22" workbookViewId="0">
      <selection activeCell="J36" sqref="J36"/>
    </sheetView>
  </sheetViews>
  <sheetFormatPr defaultRowHeight="15"/>
  <cols>
    <col min="1" max="1" width="30.44140625" style="510" customWidth="1"/>
    <col min="2" max="2" width="5" style="510" customWidth="1"/>
    <col min="3" max="3" width="19.6640625" style="516" customWidth="1"/>
    <col min="4" max="4" width="4.88671875" style="510" customWidth="1"/>
    <col min="5" max="16384" width="8.88671875" style="510"/>
  </cols>
  <sheetData>
    <row r="1" spans="1:13" s="479" customFormat="1" ht="15.75">
      <c r="A1" s="939" t="str">
        <f>+'Schedule 4, R-6D'!A1:G1</f>
        <v>WASTE CONTROL, INC.</v>
      </c>
      <c r="B1" s="940"/>
      <c r="C1" s="940"/>
      <c r="D1" s="940"/>
      <c r="E1" s="940"/>
      <c r="F1" s="940"/>
      <c r="G1" s="940"/>
    </row>
    <row r="2" spans="1:13" s="479" customFormat="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13" s="479" customFormat="1" ht="15.75">
      <c r="A3" s="940" t="s">
        <v>482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13" s="479" customFormat="1" ht="15.75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13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/>
      <c r="J5" s="509"/>
      <c r="K5" s="509"/>
      <c r="L5" s="508"/>
      <c r="M5" s="508"/>
    </row>
    <row r="6" spans="1:13" ht="23.25" customHeight="1">
      <c r="B6" s="511"/>
      <c r="C6" s="512"/>
      <c r="D6" s="513"/>
    </row>
    <row r="7" spans="1:13" ht="15" customHeight="1">
      <c r="A7" s="514"/>
      <c r="B7" s="515"/>
      <c r="D7" s="517"/>
    </row>
    <row r="8" spans="1:13" ht="15.75" customHeight="1">
      <c r="A8" s="518" t="s">
        <v>483</v>
      </c>
      <c r="B8" s="943"/>
      <c r="C8" s="944"/>
      <c r="D8" s="945"/>
    </row>
    <row r="9" spans="1:13" ht="15" customHeight="1">
      <c r="A9" s="519"/>
      <c r="B9" s="943"/>
      <c r="C9" s="944"/>
      <c r="D9" s="945"/>
    </row>
    <row r="10" spans="1:13" ht="15" customHeight="1">
      <c r="B10" s="943"/>
      <c r="C10" s="520"/>
      <c r="D10" s="521"/>
    </row>
    <row r="11" spans="1:13">
      <c r="A11" s="522" t="s">
        <v>484</v>
      </c>
      <c r="B11" s="523" t="s">
        <v>485</v>
      </c>
      <c r="C11" s="524">
        <f>B51</f>
        <v>0.12516908847982403</v>
      </c>
      <c r="D11" s="521"/>
    </row>
    <row r="12" spans="1:13">
      <c r="A12" s="522" t="s">
        <v>486</v>
      </c>
      <c r="B12" s="523" t="s">
        <v>485</v>
      </c>
      <c r="C12" s="525">
        <f>[17]HB!$I$44</f>
        <v>6.3283324569670438E-2</v>
      </c>
      <c r="D12" s="521"/>
    </row>
    <row r="13" spans="1:13">
      <c r="A13" s="522" t="s">
        <v>487</v>
      </c>
      <c r="B13" s="523" t="s">
        <v>485</v>
      </c>
      <c r="C13" s="525">
        <f>[17]HB!$I$41</f>
        <v>0.93671667543032955</v>
      </c>
      <c r="D13" s="521"/>
    </row>
    <row r="14" spans="1:13">
      <c r="A14" s="522" t="s">
        <v>488</v>
      </c>
      <c r="B14" s="523" t="s">
        <v>485</v>
      </c>
      <c r="C14" s="526">
        <f>[17]HB!$G$51</f>
        <v>1.9263392867558474E-2</v>
      </c>
      <c r="D14" s="521"/>
    </row>
    <row r="15" spans="1:13">
      <c r="A15" s="527"/>
      <c r="B15" s="523"/>
      <c r="C15" s="528"/>
      <c r="D15" s="521"/>
    </row>
    <row r="16" spans="1:13">
      <c r="A16" s="522" t="str">
        <f>A11</f>
        <v>Staff Calculated Return on equity percentage</v>
      </c>
      <c r="B16" s="523" t="s">
        <v>489</v>
      </c>
      <c r="C16" s="524">
        <f>B52</f>
        <v>0.13146582517480263</v>
      </c>
      <c r="D16" s="521"/>
    </row>
    <row r="17" spans="1:4">
      <c r="A17" s="529" t="str">
        <f>A12</f>
        <v>Equity percentage 2013</v>
      </c>
      <c r="B17" s="523" t="s">
        <v>489</v>
      </c>
      <c r="C17" s="525">
        <f>[17]HBII!$I$48</f>
        <v>0.46201452160820566</v>
      </c>
      <c r="D17" s="521"/>
    </row>
    <row r="18" spans="1:4">
      <c r="A18" s="522" t="str">
        <f>A13</f>
        <v>Debt percentage 2013</v>
      </c>
      <c r="B18" s="523" t="s">
        <v>489</v>
      </c>
      <c r="C18" s="526">
        <f>[17]HBII!$I$45</f>
        <v>0.53798547839179434</v>
      </c>
      <c r="D18" s="521"/>
    </row>
    <row r="19" spans="1:4">
      <c r="A19" s="522" t="str">
        <f>A14</f>
        <v>Cost of debt 2013</v>
      </c>
      <c r="B19" s="523" t="s">
        <v>489</v>
      </c>
      <c r="C19" s="526">
        <f>[17]HBII!$G$55</f>
        <v>4.2778499507950263E-2</v>
      </c>
      <c r="D19" s="521"/>
    </row>
    <row r="20" spans="1:4">
      <c r="B20" s="530"/>
      <c r="C20" s="520"/>
      <c r="D20" s="521"/>
    </row>
    <row r="21" spans="1:4">
      <c r="A21" s="531" t="s">
        <v>490</v>
      </c>
      <c r="B21" s="521"/>
      <c r="C21" s="519"/>
      <c r="D21" s="521"/>
    </row>
    <row r="22" spans="1:4">
      <c r="A22" s="532" t="s">
        <v>491</v>
      </c>
      <c r="B22" s="533"/>
      <c r="C22" s="534">
        <f>'[18]Staff Summary'!$C$9</f>
        <v>1582.3584396790804</v>
      </c>
      <c r="D22" s="535"/>
    </row>
    <row r="23" spans="1:4">
      <c r="A23" s="532" t="s">
        <v>492</v>
      </c>
      <c r="B23" s="536" t="s">
        <v>493</v>
      </c>
      <c r="C23" s="534">
        <f>'[18]Staff Summary'!C10</f>
        <v>3303.833287798549</v>
      </c>
      <c r="D23" s="537"/>
    </row>
    <row r="24" spans="1:4">
      <c r="A24" s="532" t="s">
        <v>494</v>
      </c>
      <c r="B24" s="536"/>
      <c r="C24" s="534">
        <f>'[18]Staff Summary'!C11</f>
        <v>307.21067320726212</v>
      </c>
      <c r="D24" s="537"/>
    </row>
    <row r="25" spans="1:4">
      <c r="A25" s="532" t="s">
        <v>495</v>
      </c>
      <c r="B25" s="536"/>
      <c r="C25" s="534">
        <f>'[18]Staff Summary'!C12</f>
        <v>5220.8404999972163</v>
      </c>
      <c r="D25" s="537"/>
    </row>
    <row r="26" spans="1:4">
      <c r="A26" s="532" t="s">
        <v>496</v>
      </c>
      <c r="B26" s="536"/>
      <c r="C26" s="534">
        <f>'[18]Staff Summary'!C13</f>
        <v>1647.7090434061436</v>
      </c>
      <c r="D26" s="537"/>
    </row>
    <row r="27" spans="1:4">
      <c r="A27" s="532" t="s">
        <v>497</v>
      </c>
      <c r="B27" s="536">
        <v>2011</v>
      </c>
      <c r="C27" s="534">
        <f>'[18]Staff Summary'!C14</f>
        <v>6983.0641132182354</v>
      </c>
      <c r="D27" s="537"/>
    </row>
    <row r="28" spans="1:4">
      <c r="A28" s="532" t="s">
        <v>498</v>
      </c>
      <c r="B28" s="521"/>
      <c r="C28" s="534">
        <f>'[18]Staff Summary'!C15</f>
        <v>6714.234975739997</v>
      </c>
      <c r="D28" s="537"/>
    </row>
    <row r="29" spans="1:4">
      <c r="A29" s="532" t="s">
        <v>499</v>
      </c>
      <c r="B29" s="521"/>
      <c r="C29" s="534">
        <f>'[18]Staff Summary'!C16</f>
        <v>5577.8318719000299</v>
      </c>
      <c r="D29" s="537"/>
    </row>
    <row r="30" spans="1:4">
      <c r="A30" s="532" t="s">
        <v>500</v>
      </c>
      <c r="B30" s="521"/>
      <c r="C30" s="534">
        <f>'[18]Staff Summary'!C17</f>
        <v>10497.278965199221</v>
      </c>
      <c r="D30" s="537"/>
    </row>
    <row r="31" spans="1:4">
      <c r="A31" s="532" t="s">
        <v>501</v>
      </c>
      <c r="B31" s="538"/>
      <c r="C31" s="539">
        <f>'[18]Staff Summary'!C18</f>
        <v>3809.3446120210115</v>
      </c>
      <c r="D31" s="540"/>
    </row>
    <row r="32" spans="1:4">
      <c r="A32" s="530"/>
      <c r="B32" s="517"/>
      <c r="D32" s="517"/>
    </row>
    <row r="33" spans="1:19">
      <c r="A33" s="530" t="s">
        <v>502</v>
      </c>
      <c r="B33" s="521"/>
      <c r="C33" s="541">
        <f>SUM(C22:C31)</f>
        <v>45643.706482166745</v>
      </c>
      <c r="D33" s="537"/>
    </row>
    <row r="34" spans="1:19">
      <c r="A34" s="530" t="s">
        <v>503</v>
      </c>
      <c r="B34" s="521"/>
      <c r="C34" s="541">
        <v>138000</v>
      </c>
      <c r="D34" s="537"/>
    </row>
    <row r="35" spans="1:19">
      <c r="A35" s="530" t="s">
        <v>504</v>
      </c>
      <c r="B35" s="521"/>
      <c r="D35" s="521"/>
    </row>
    <row r="36" spans="1:19">
      <c r="A36" s="530" t="s">
        <v>505</v>
      </c>
      <c r="B36" s="538"/>
      <c r="D36" s="538"/>
    </row>
    <row r="37" spans="1:19" ht="19.5" thickBot="1">
      <c r="A37" s="542" t="s">
        <v>506</v>
      </c>
      <c r="B37" s="543" t="s">
        <v>28</v>
      </c>
      <c r="C37" s="544">
        <f>C33-C34</f>
        <v>-92356.293517833255</v>
      </c>
      <c r="D37" s="545"/>
    </row>
    <row r="38" spans="1:19">
      <c r="A38" s="946" t="s">
        <v>507</v>
      </c>
      <c r="B38" s="947"/>
      <c r="C38" s="947"/>
      <c r="D38" s="947"/>
    </row>
    <row r="39" spans="1:19">
      <c r="A39" s="947"/>
      <c r="B39" s="947"/>
      <c r="C39" s="947"/>
      <c r="D39" s="947"/>
    </row>
    <row r="40" spans="1:19">
      <c r="C40" s="546">
        <f>'Schedule 4, RC-1, RC-1A'!P113</f>
        <v>0.90952595936794578</v>
      </c>
    </row>
    <row r="41" spans="1:19">
      <c r="C41" s="516">
        <f>+C40*C33</f>
        <v>41514.135927301635</v>
      </c>
    </row>
    <row r="48" spans="1:19" ht="15.75">
      <c r="A48"/>
      <c r="B48" s="547" t="s">
        <v>277</v>
      </c>
      <c r="C48" s="548"/>
      <c r="D48" s="548">
        <v>2011</v>
      </c>
      <c r="E48" s="548">
        <v>2012</v>
      </c>
      <c r="F48" s="548"/>
      <c r="G48" s="548"/>
      <c r="H48" s="548">
        <v>2012</v>
      </c>
      <c r="I48" s="548"/>
      <c r="J48" s="548">
        <v>2012</v>
      </c>
      <c r="K48" s="548"/>
      <c r="L48" s="548"/>
      <c r="M48" s="549"/>
      <c r="N48"/>
      <c r="O48"/>
      <c r="P48"/>
      <c r="Q48"/>
      <c r="R48"/>
      <c r="S48" s="547">
        <v>2012</v>
      </c>
    </row>
    <row r="49" spans="1:19" ht="15.75">
      <c r="A49"/>
      <c r="B49" s="547" t="s">
        <v>508</v>
      </c>
      <c r="C49" s="548">
        <v>2012</v>
      </c>
      <c r="D49" s="548" t="s">
        <v>210</v>
      </c>
      <c r="E49" s="548" t="s">
        <v>210</v>
      </c>
      <c r="F49" s="548" t="s">
        <v>509</v>
      </c>
      <c r="G49" s="548">
        <v>2012</v>
      </c>
      <c r="H49" s="548" t="s">
        <v>108</v>
      </c>
      <c r="I49" s="548" t="s">
        <v>510</v>
      </c>
      <c r="J49" s="548" t="s">
        <v>210</v>
      </c>
      <c r="K49" s="548" t="s">
        <v>510</v>
      </c>
      <c r="L49" s="548"/>
      <c r="M49" s="549" t="s">
        <v>511</v>
      </c>
      <c r="N49"/>
      <c r="O49" s="942" t="s">
        <v>512</v>
      </c>
      <c r="P49" s="942"/>
      <c r="Q49" s="942"/>
      <c r="R49" s="942"/>
      <c r="S49" s="547" t="s">
        <v>513</v>
      </c>
    </row>
    <row r="50" spans="1:19" ht="15.75">
      <c r="A50"/>
      <c r="B50" s="547" t="s">
        <v>272</v>
      </c>
      <c r="C50" s="550" t="s">
        <v>17</v>
      </c>
      <c r="D50" s="550" t="s">
        <v>514</v>
      </c>
      <c r="E50" s="550" t="s">
        <v>514</v>
      </c>
      <c r="F50" s="550" t="s">
        <v>515</v>
      </c>
      <c r="G50" s="550" t="s">
        <v>13</v>
      </c>
      <c r="H50" s="550" t="s">
        <v>279</v>
      </c>
      <c r="I50" s="550" t="s">
        <v>279</v>
      </c>
      <c r="J50" s="550" t="s">
        <v>272</v>
      </c>
      <c r="K50" s="550" t="s">
        <v>272</v>
      </c>
      <c r="L50" s="550" t="s">
        <v>516</v>
      </c>
      <c r="M50" s="549" t="s">
        <v>272</v>
      </c>
      <c r="N50"/>
      <c r="O50" s="551" t="s">
        <v>517</v>
      </c>
      <c r="P50" s="551" t="s">
        <v>518</v>
      </c>
      <c r="Q50" s="551" t="s">
        <v>519</v>
      </c>
      <c r="R50" s="551" t="s">
        <v>520</v>
      </c>
      <c r="S50" s="551" t="s">
        <v>521</v>
      </c>
    </row>
    <row r="51" spans="1:19" ht="15.75">
      <c r="A51" s="552" t="s">
        <v>522</v>
      </c>
      <c r="B51" s="553">
        <v>0.12516908847982403</v>
      </c>
      <c r="C51" s="552">
        <v>3825</v>
      </c>
      <c r="D51" s="552">
        <v>109630</v>
      </c>
      <c r="E51" s="552">
        <v>133452</v>
      </c>
      <c r="F51" s="554">
        <v>3.1470861684534439E-2</v>
      </c>
      <c r="G51" s="555">
        <v>0.125</v>
      </c>
      <c r="H51" s="552">
        <v>114172</v>
      </c>
      <c r="I51" s="555">
        <v>0.87746318669494916</v>
      </c>
      <c r="J51" s="552">
        <v>15944</v>
      </c>
      <c r="K51" s="555">
        <v>0.12253681330505088</v>
      </c>
      <c r="L51" s="556">
        <v>0.65</v>
      </c>
      <c r="M51" s="557">
        <v>7.1608128449573512</v>
      </c>
      <c r="N51" s="552"/>
      <c r="O51" s="556">
        <v>-8.3091152017598382E-4</v>
      </c>
      <c r="P51" s="552">
        <v>2.0099999999999998</v>
      </c>
      <c r="Q51" s="552">
        <v>2</v>
      </c>
      <c r="R51" s="552">
        <v>6</v>
      </c>
      <c r="S51" s="558">
        <v>0.126</v>
      </c>
    </row>
    <row r="52" spans="1:19" ht="15.75">
      <c r="A52" s="552" t="s">
        <v>523</v>
      </c>
      <c r="B52" s="553">
        <v>0.13146582517480263</v>
      </c>
      <c r="C52" s="552">
        <v>475</v>
      </c>
      <c r="D52" s="552">
        <v>4419</v>
      </c>
      <c r="E52" s="552">
        <v>5443</v>
      </c>
      <c r="F52" s="554">
        <v>9.6329344960454269E-2</v>
      </c>
      <c r="G52" s="555">
        <v>0.06</v>
      </c>
      <c r="H52" s="552">
        <v>2883</v>
      </c>
      <c r="I52" s="555">
        <v>0.54437311178247738</v>
      </c>
      <c r="J52" s="552">
        <v>2413</v>
      </c>
      <c r="K52" s="555">
        <v>0.45562688821752267</v>
      </c>
      <c r="L52" s="556">
        <v>0.85</v>
      </c>
      <c r="M52" s="557">
        <v>1.1947782842934107</v>
      </c>
      <c r="N52" s="552"/>
      <c r="O52" s="556">
        <v>8.6465825174802627E-2</v>
      </c>
      <c r="P52" s="552">
        <v>0.76</v>
      </c>
      <c r="Q52" s="552">
        <v>1.25</v>
      </c>
      <c r="R52" s="552">
        <v>6</v>
      </c>
      <c r="S52" s="558">
        <v>4.4999999999999998E-2</v>
      </c>
    </row>
  </sheetData>
  <mergeCells count="7">
    <mergeCell ref="O49:R49"/>
    <mergeCell ref="A1:G1"/>
    <mergeCell ref="A3:G3"/>
    <mergeCell ref="A5:G5"/>
    <mergeCell ref="B8:B10"/>
    <mergeCell ref="C8:D9"/>
    <mergeCell ref="A38:D39"/>
  </mergeCells>
  <printOptions horizontalCentered="1" verticalCentered="1"/>
  <pageMargins left="0.7" right="0.7" top="0.75" bottom="0.75" header="0.3" footer="0.3"/>
  <pageSetup scale="97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9"/>
  <sheetViews>
    <sheetView zoomScale="115" zoomScaleNormal="115" workbookViewId="0">
      <selection activeCell="J36" sqref="J36"/>
    </sheetView>
  </sheetViews>
  <sheetFormatPr defaultRowHeight="11.25" outlineLevelRow="1" outlineLevelCol="1"/>
  <cols>
    <col min="1" max="1" width="21.6640625" style="569" customWidth="1"/>
    <col min="2" max="2" width="6.33203125" style="570" customWidth="1"/>
    <col min="3" max="3" width="6.88671875" style="570" customWidth="1"/>
    <col min="4" max="4" width="1.5546875" style="571" customWidth="1"/>
    <col min="5" max="5" width="7.77734375" style="571" customWidth="1"/>
    <col min="6" max="7" width="7.44140625" style="571" hidden="1" customWidth="1" outlineLevel="1"/>
    <col min="8" max="8" width="6.44140625" style="571" hidden="1" customWidth="1" outlineLevel="1"/>
    <col min="9" max="9" width="6.21875" style="571" hidden="1" customWidth="1" outlineLevel="1"/>
    <col min="10" max="10" width="1.6640625" style="571" hidden="1" customWidth="1" outlineLevel="1"/>
    <col min="11" max="12" width="8.21875" style="571" hidden="1" customWidth="1" outlineLevel="1"/>
    <col min="13" max="13" width="8.88671875" style="571" hidden="1" customWidth="1" outlineLevel="1"/>
    <col min="14" max="14" width="1.33203125" style="571" hidden="1" customWidth="1" outlineLevel="1"/>
    <col min="15" max="15" width="6.33203125" style="571" hidden="1" customWidth="1" outlineLevel="1"/>
    <col min="16" max="16" width="8" style="572" hidden="1" customWidth="1" outlineLevel="1"/>
    <col min="17" max="17" width="8.88671875" style="571" collapsed="1"/>
    <col min="18" max="16384" width="8.88671875" style="571"/>
  </cols>
  <sheetData>
    <row r="1" spans="1:16" s="559" customFormat="1">
      <c r="A1" s="948" t="str">
        <f>+'[8]WP-14 Tires'!A1:G1</f>
        <v>WASTE CONTROL, INC.</v>
      </c>
      <c r="B1" s="949"/>
      <c r="C1" s="949"/>
      <c r="D1" s="949"/>
      <c r="E1" s="949"/>
      <c r="F1" s="949"/>
      <c r="G1" s="949"/>
    </row>
    <row r="2" spans="1:16" s="559" customFormat="1" ht="18" customHeight="1">
      <c r="A2" s="560"/>
      <c r="B2" s="561"/>
      <c r="C2" s="561"/>
      <c r="D2" s="561"/>
      <c r="E2" s="562"/>
      <c r="F2" s="561"/>
      <c r="G2" s="562"/>
      <c r="H2" s="563"/>
      <c r="I2" s="563"/>
      <c r="J2" s="564"/>
      <c r="K2" s="564"/>
    </row>
    <row r="3" spans="1:16" s="559" customFormat="1">
      <c r="A3" s="949" t="s">
        <v>524</v>
      </c>
      <c r="B3" s="949"/>
      <c r="C3" s="949"/>
      <c r="D3" s="949"/>
      <c r="E3" s="949"/>
      <c r="F3" s="949"/>
      <c r="G3" s="949"/>
      <c r="H3" s="565"/>
      <c r="I3" s="565"/>
      <c r="J3" s="565"/>
      <c r="K3" s="565"/>
    </row>
    <row r="4" spans="1:16" s="559" customFormat="1">
      <c r="A4" s="566"/>
      <c r="B4" s="566"/>
      <c r="C4" s="566"/>
      <c r="D4" s="567"/>
      <c r="E4" s="566"/>
      <c r="F4" s="566"/>
      <c r="G4" s="566"/>
      <c r="H4" s="568"/>
      <c r="I4" s="568"/>
      <c r="J4" s="565"/>
      <c r="K4" s="565"/>
    </row>
    <row r="5" spans="1:16" s="559" customFormat="1">
      <c r="A5" s="948" t="str">
        <f>+'[8]WP-1 Exp Summary'!A5:D5</f>
        <v>In Support of Tariff No. 16, G-101 Effective June 1, 2014</v>
      </c>
      <c r="B5" s="948"/>
      <c r="C5" s="948"/>
      <c r="D5" s="948"/>
      <c r="E5" s="948"/>
      <c r="F5" s="948"/>
      <c r="G5" s="948"/>
      <c r="H5" s="568"/>
      <c r="I5" s="568"/>
      <c r="J5" s="565"/>
      <c r="K5" s="565"/>
    </row>
    <row r="6" spans="1:16" ht="12" thickBot="1"/>
    <row r="7" spans="1:16" ht="12" thickBot="1">
      <c r="A7" s="569" t="s">
        <v>525</v>
      </c>
      <c r="K7" s="573" t="s">
        <v>526</v>
      </c>
      <c r="L7" s="573" t="s">
        <v>527</v>
      </c>
      <c r="M7" s="573">
        <v>2012</v>
      </c>
      <c r="N7" s="574"/>
      <c r="O7" s="575"/>
      <c r="P7" s="576">
        <v>2011</v>
      </c>
    </row>
    <row r="8" spans="1:16" ht="12" thickBot="1">
      <c r="A8" s="573" t="s">
        <v>528</v>
      </c>
      <c r="B8" s="573" t="s">
        <v>529</v>
      </c>
      <c r="C8" s="573" t="s">
        <v>530</v>
      </c>
      <c r="D8" s="573"/>
      <c r="E8" s="573" t="s">
        <v>65</v>
      </c>
      <c r="F8" s="573" t="s">
        <v>531</v>
      </c>
      <c r="G8" s="573" t="s">
        <v>449</v>
      </c>
      <c r="H8" s="573" t="s">
        <v>532</v>
      </c>
      <c r="I8" s="573" t="s">
        <v>533</v>
      </c>
      <c r="J8" s="577"/>
      <c r="K8" s="573" t="s">
        <v>534</v>
      </c>
      <c r="L8" s="573" t="s">
        <v>534</v>
      </c>
      <c r="M8" s="578" t="s">
        <v>210</v>
      </c>
      <c r="N8" s="579"/>
      <c r="O8" s="580"/>
      <c r="P8" s="576" t="s">
        <v>535</v>
      </c>
    </row>
    <row r="9" spans="1:16">
      <c r="A9" s="581" t="s">
        <v>536</v>
      </c>
      <c r="B9" s="582"/>
      <c r="C9" s="582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0"/>
      <c r="O9" s="580"/>
      <c r="P9" s="584"/>
    </row>
    <row r="10" spans="1:16">
      <c r="A10" s="585"/>
      <c r="B10" s="586"/>
      <c r="C10" s="586"/>
      <c r="D10" s="587"/>
      <c r="E10" s="580"/>
      <c r="F10" s="580"/>
      <c r="G10" s="580"/>
      <c r="H10" s="580"/>
      <c r="I10" s="580"/>
      <c r="J10" s="580"/>
      <c r="K10" s="580"/>
      <c r="L10" s="580"/>
      <c r="M10" s="580"/>
    </row>
    <row r="11" spans="1:16">
      <c r="A11" s="569" t="s">
        <v>461</v>
      </c>
      <c r="B11" s="570" t="s">
        <v>537</v>
      </c>
      <c r="C11" s="570">
        <v>5042706</v>
      </c>
      <c r="E11" s="588">
        <f>(1777.72/2)/2</f>
        <v>444.43</v>
      </c>
      <c r="F11" s="588"/>
      <c r="G11" s="588">
        <f>(1777.72/2)/2</f>
        <v>444.43</v>
      </c>
      <c r="H11" s="588"/>
      <c r="I11" s="588"/>
      <c r="J11" s="588"/>
      <c r="K11" s="588">
        <f>SUM(E11,G11)</f>
        <v>888.86</v>
      </c>
      <c r="L11" s="588">
        <f>SUM(E11,G11)</f>
        <v>888.86</v>
      </c>
      <c r="M11" s="589">
        <f>SUM(K11:L11)</f>
        <v>1777.72</v>
      </c>
      <c r="O11" s="569"/>
      <c r="P11" s="590">
        <v>1710.04</v>
      </c>
    </row>
    <row r="12" spans="1:16">
      <c r="A12" s="569" t="s">
        <v>462</v>
      </c>
      <c r="E12" s="591"/>
      <c r="F12" s="591"/>
      <c r="G12" s="591"/>
      <c r="H12" s="591"/>
      <c r="I12" s="591"/>
      <c r="J12" s="591"/>
      <c r="K12" s="591"/>
      <c r="L12" s="591"/>
      <c r="M12" s="591"/>
    </row>
    <row r="13" spans="1:16">
      <c r="E13" s="591"/>
      <c r="F13" s="591"/>
      <c r="G13" s="591"/>
      <c r="H13" s="591"/>
      <c r="I13" s="591"/>
      <c r="J13" s="591"/>
      <c r="K13" s="591"/>
      <c r="L13" s="591"/>
      <c r="M13" s="591"/>
    </row>
    <row r="14" spans="1:16">
      <c r="A14" s="592" t="s">
        <v>463</v>
      </c>
      <c r="B14" s="593" t="s">
        <v>538</v>
      </c>
      <c r="C14" s="594">
        <v>10015</v>
      </c>
      <c r="E14" s="595">
        <f>(782.38/2)/2</f>
        <v>195.595</v>
      </c>
      <c r="F14" s="595"/>
      <c r="G14" s="595">
        <f>(782.38/2)/2</f>
        <v>195.595</v>
      </c>
      <c r="H14" s="595"/>
      <c r="I14" s="595"/>
      <c r="J14" s="595"/>
      <c r="K14" s="595">
        <f>SUM(E14,G14)</f>
        <v>391.19</v>
      </c>
      <c r="L14" s="595">
        <f>SUM(E14,G14)</f>
        <v>391.19</v>
      </c>
      <c r="M14" s="596">
        <f>SUM(K14:L14)</f>
        <v>782.38</v>
      </c>
      <c r="P14" s="590">
        <v>744.14</v>
      </c>
    </row>
    <row r="15" spans="1:16">
      <c r="A15" s="597" t="s">
        <v>464</v>
      </c>
      <c r="B15" s="586"/>
      <c r="C15" s="598"/>
      <c r="E15" s="591"/>
      <c r="F15" s="591"/>
      <c r="G15" s="591"/>
      <c r="H15" s="591"/>
      <c r="I15" s="591"/>
      <c r="J15" s="591"/>
      <c r="K15" s="591"/>
      <c r="L15" s="591"/>
      <c r="M15" s="591"/>
    </row>
    <row r="16" spans="1:16">
      <c r="A16" s="597" t="s">
        <v>465</v>
      </c>
      <c r="B16" s="586" t="s">
        <v>539</v>
      </c>
      <c r="C16" s="598">
        <v>10028</v>
      </c>
      <c r="E16" s="595">
        <f>(764.18/2)/2</f>
        <v>191.04499999999999</v>
      </c>
      <c r="F16" s="595"/>
      <c r="G16" s="595">
        <f>(764.18/2)/2</f>
        <v>191.04499999999999</v>
      </c>
      <c r="H16" s="595"/>
      <c r="I16" s="595"/>
      <c r="J16" s="595"/>
      <c r="K16" s="595">
        <f>SUM(E16,G16)</f>
        <v>382.09</v>
      </c>
      <c r="L16" s="595">
        <f>SUM(E16,G16)</f>
        <v>382.09</v>
      </c>
      <c r="M16" s="596">
        <f>SUM(K16:L16)</f>
        <v>764.18</v>
      </c>
      <c r="P16" s="590">
        <v>726.82</v>
      </c>
    </row>
    <row r="17" spans="1:16">
      <c r="A17" s="597" t="s">
        <v>464</v>
      </c>
      <c r="B17" s="586"/>
      <c r="C17" s="598"/>
      <c r="E17" s="591"/>
      <c r="F17" s="591"/>
      <c r="G17" s="591"/>
      <c r="H17" s="591"/>
      <c r="I17" s="591"/>
      <c r="J17" s="591"/>
      <c r="K17" s="591"/>
      <c r="L17" s="591"/>
      <c r="M17" s="591"/>
    </row>
    <row r="18" spans="1:16">
      <c r="A18" s="597" t="s">
        <v>466</v>
      </c>
      <c r="B18" s="586" t="s">
        <v>540</v>
      </c>
      <c r="C18" s="598">
        <v>1002602</v>
      </c>
      <c r="E18" s="595">
        <v>9.7799999999999994</v>
      </c>
      <c r="F18" s="595"/>
      <c r="G18" s="595">
        <v>0</v>
      </c>
      <c r="H18" s="595"/>
      <c r="I18" s="595"/>
      <c r="J18" s="595"/>
      <c r="K18" s="595">
        <f>E18</f>
        <v>9.7799999999999994</v>
      </c>
      <c r="L18" s="595">
        <f>G18</f>
        <v>0</v>
      </c>
      <c r="M18" s="596">
        <f>SUM(K18:L18)</f>
        <v>9.7799999999999994</v>
      </c>
      <c r="P18" s="590">
        <v>9.48</v>
      </c>
    </row>
    <row r="19" spans="1:16">
      <c r="A19" s="597" t="s">
        <v>464</v>
      </c>
      <c r="B19" s="586"/>
      <c r="C19" s="598"/>
      <c r="E19" s="591"/>
      <c r="F19" s="591"/>
      <c r="G19" s="591"/>
      <c r="H19" s="591"/>
      <c r="I19" s="591"/>
      <c r="J19" s="591"/>
      <c r="K19" s="591"/>
      <c r="L19" s="591"/>
      <c r="M19" s="591"/>
    </row>
    <row r="20" spans="1:16">
      <c r="A20" s="597" t="s">
        <v>466</v>
      </c>
      <c r="B20" s="586" t="s">
        <v>541</v>
      </c>
      <c r="C20" s="598">
        <v>1002604</v>
      </c>
      <c r="E20" s="595">
        <v>0</v>
      </c>
      <c r="F20" s="595"/>
      <c r="G20" s="595">
        <v>9.7799999999999994</v>
      </c>
      <c r="H20" s="595"/>
      <c r="I20" s="595"/>
      <c r="J20" s="595"/>
      <c r="K20" s="595">
        <f>G20</f>
        <v>9.7799999999999994</v>
      </c>
      <c r="L20" s="595">
        <v>0</v>
      </c>
      <c r="M20" s="596">
        <f>SUM(K20:L20)</f>
        <v>9.7799999999999994</v>
      </c>
      <c r="P20" s="590">
        <v>9.48</v>
      </c>
    </row>
    <row r="21" spans="1:16">
      <c r="A21" s="597" t="s">
        <v>464</v>
      </c>
      <c r="B21" s="586"/>
      <c r="C21" s="598"/>
      <c r="E21" s="591"/>
      <c r="F21" s="591"/>
      <c r="G21" s="591"/>
      <c r="H21" s="591"/>
      <c r="I21" s="591"/>
      <c r="J21" s="591"/>
      <c r="K21" s="591"/>
      <c r="L21" s="591"/>
      <c r="M21" s="591"/>
    </row>
    <row r="22" spans="1:16">
      <c r="A22" s="597" t="s">
        <v>466</v>
      </c>
      <c r="B22" s="586" t="s">
        <v>542</v>
      </c>
      <c r="C22" s="598">
        <v>1002801</v>
      </c>
      <c r="E22" s="595">
        <f>(481.26/2)/2</f>
        <v>120.315</v>
      </c>
      <c r="F22" s="595"/>
      <c r="G22" s="595">
        <f>(481.26/2)/2</f>
        <v>120.315</v>
      </c>
      <c r="H22" s="595"/>
      <c r="I22" s="595"/>
      <c r="J22" s="595"/>
      <c r="K22" s="595">
        <f>SUM(E22,G22)</f>
        <v>240.63</v>
      </c>
      <c r="L22" s="595">
        <f>SUM(E22,G22)</f>
        <v>240.63</v>
      </c>
      <c r="M22" s="596">
        <f>SUM(K22:L22)</f>
        <v>481.26</v>
      </c>
      <c r="P22" s="590">
        <v>457.86</v>
      </c>
    </row>
    <row r="23" spans="1:16">
      <c r="A23" s="599" t="s">
        <v>464</v>
      </c>
      <c r="B23" s="600"/>
      <c r="C23" s="601"/>
      <c r="E23" s="591"/>
      <c r="F23" s="591"/>
      <c r="G23" s="591"/>
      <c r="H23" s="591"/>
      <c r="I23" s="591"/>
      <c r="J23" s="591"/>
      <c r="K23" s="591"/>
      <c r="L23" s="591"/>
      <c r="M23" s="602"/>
    </row>
    <row r="24" spans="1:16">
      <c r="A24" s="603"/>
      <c r="B24" s="586"/>
      <c r="C24" s="586"/>
      <c r="E24" s="591"/>
      <c r="F24" s="591"/>
      <c r="G24" s="591"/>
      <c r="H24" s="591"/>
      <c r="I24" s="591"/>
      <c r="J24" s="591"/>
      <c r="K24" s="591"/>
      <c r="L24" s="591"/>
      <c r="M24" s="602"/>
    </row>
    <row r="25" spans="1:16">
      <c r="A25" s="569" t="s">
        <v>467</v>
      </c>
      <c r="B25" s="570" t="s">
        <v>543</v>
      </c>
      <c r="C25" s="570">
        <v>116720</v>
      </c>
      <c r="E25" s="595">
        <f>(114.18/2)/2</f>
        <v>28.545000000000002</v>
      </c>
      <c r="F25" s="595"/>
      <c r="G25" s="595">
        <f>(114.18/2)/2</f>
        <v>28.545000000000002</v>
      </c>
      <c r="H25" s="595"/>
      <c r="I25" s="595"/>
      <c r="J25" s="595"/>
      <c r="K25" s="595">
        <f>SUM(E25,G25)</f>
        <v>57.09</v>
      </c>
      <c r="L25" s="595">
        <f>SUM(E25,G25)</f>
        <v>57.09</v>
      </c>
      <c r="M25" s="596">
        <f>SUM(K25:L25)</f>
        <v>114.18</v>
      </c>
      <c r="P25" s="590">
        <v>111.94</v>
      </c>
    </row>
    <row r="26" spans="1:16">
      <c r="A26" s="569" t="s">
        <v>468</v>
      </c>
      <c r="E26" s="591"/>
      <c r="F26" s="591"/>
      <c r="G26" s="591"/>
      <c r="H26" s="591"/>
      <c r="I26" s="591"/>
      <c r="J26" s="591"/>
      <c r="K26" s="591"/>
      <c r="L26" s="591"/>
      <c r="M26" s="591"/>
    </row>
    <row r="27" spans="1:16">
      <c r="A27" s="569" t="s">
        <v>461</v>
      </c>
      <c r="B27" s="570" t="s">
        <v>544</v>
      </c>
      <c r="C27" s="570">
        <v>116883</v>
      </c>
      <c r="E27" s="595">
        <f>(62.24/2)/2</f>
        <v>15.56</v>
      </c>
      <c r="F27" s="595"/>
      <c r="G27" s="595">
        <f>(62.24/2)/2</f>
        <v>15.56</v>
      </c>
      <c r="H27" s="595"/>
      <c r="I27" s="595"/>
      <c r="J27" s="595"/>
      <c r="K27" s="595">
        <f>SUM(E27,G27)</f>
        <v>31.12</v>
      </c>
      <c r="L27" s="595">
        <f>SUM(E27,G27)</f>
        <v>31.12</v>
      </c>
      <c r="M27" s="596">
        <f>SUM(K27:L27)</f>
        <v>62.24</v>
      </c>
      <c r="P27" s="590">
        <v>65.5</v>
      </c>
    </row>
    <row r="28" spans="1:16">
      <c r="A28" s="569" t="s">
        <v>468</v>
      </c>
      <c r="E28" s="591"/>
      <c r="F28" s="591"/>
      <c r="G28" s="591"/>
      <c r="H28" s="591"/>
      <c r="I28" s="591"/>
      <c r="J28" s="591"/>
      <c r="K28" s="591"/>
      <c r="L28" s="591"/>
      <c r="M28" s="591"/>
    </row>
    <row r="29" spans="1:16">
      <c r="E29" s="591"/>
      <c r="F29" s="591"/>
      <c r="G29" s="591"/>
      <c r="H29" s="591"/>
      <c r="I29" s="591"/>
      <c r="J29" s="591"/>
      <c r="K29" s="591"/>
      <c r="L29" s="591"/>
      <c r="M29" s="591"/>
    </row>
    <row r="30" spans="1:16">
      <c r="A30" s="569" t="s">
        <v>545</v>
      </c>
      <c r="B30" s="570" t="s">
        <v>546</v>
      </c>
      <c r="C30" s="570">
        <v>10027</v>
      </c>
      <c r="E30" s="595">
        <f>(651.46/2)/2</f>
        <v>162.86500000000001</v>
      </c>
      <c r="F30" s="595"/>
      <c r="G30" s="595">
        <f>(651.46/2)/2</f>
        <v>162.86500000000001</v>
      </c>
      <c r="H30" s="595"/>
      <c r="I30" s="595"/>
      <c r="J30" s="595"/>
      <c r="K30" s="595">
        <f>SUM(E30:G30)</f>
        <v>325.73</v>
      </c>
      <c r="L30" s="595">
        <f>SUM(E30:G30)</f>
        <v>325.73</v>
      </c>
      <c r="M30" s="596">
        <f>SUM(K30:L30)</f>
        <v>651.46</v>
      </c>
      <c r="P30" s="590">
        <v>619.66</v>
      </c>
    </row>
    <row r="31" spans="1:16">
      <c r="E31" s="604"/>
      <c r="F31" s="604"/>
      <c r="G31" s="604"/>
      <c r="H31" s="604"/>
      <c r="I31" s="604"/>
      <c r="J31" s="604"/>
      <c r="K31" s="604"/>
      <c r="L31" s="604"/>
      <c r="M31" s="604"/>
    </row>
    <row r="32" spans="1:16">
      <c r="A32" s="569" t="s">
        <v>471</v>
      </c>
      <c r="B32" s="570" t="s">
        <v>547</v>
      </c>
      <c r="C32" s="570">
        <v>308405</v>
      </c>
      <c r="E32" s="595">
        <f>(187.48/2)/2</f>
        <v>46.87</v>
      </c>
      <c r="F32" s="595"/>
      <c r="G32" s="595">
        <f>(187.48/2)/2</f>
        <v>46.87</v>
      </c>
      <c r="H32" s="595"/>
      <c r="I32" s="595"/>
      <c r="J32" s="595"/>
      <c r="K32" s="595">
        <f>E32+G32</f>
        <v>93.74</v>
      </c>
      <c r="L32" s="595">
        <f>E32+G32</f>
        <v>93.74</v>
      </c>
      <c r="M32" s="596">
        <f>SUM(K32:L32)</f>
        <v>187.48</v>
      </c>
      <c r="P32" s="590">
        <v>300.08</v>
      </c>
    </row>
    <row r="33" spans="1:16">
      <c r="A33" s="569" t="s">
        <v>472</v>
      </c>
      <c r="E33" s="591"/>
      <c r="F33" s="591"/>
      <c r="G33" s="591"/>
      <c r="H33" s="591"/>
      <c r="I33" s="591"/>
      <c r="J33" s="591"/>
      <c r="K33" s="591"/>
      <c r="L33" s="591"/>
      <c r="M33" s="591"/>
    </row>
    <row r="34" spans="1:16">
      <c r="E34" s="588"/>
      <c r="F34" s="588"/>
      <c r="G34" s="588"/>
      <c r="H34" s="588"/>
      <c r="I34" s="588"/>
      <c r="J34" s="588"/>
      <c r="K34" s="588"/>
      <c r="L34" s="588"/>
      <c r="M34" s="588"/>
      <c r="N34" s="580"/>
      <c r="O34" s="580"/>
    </row>
    <row r="35" spans="1:16">
      <c r="A35" s="569" t="s">
        <v>473</v>
      </c>
      <c r="B35" s="570" t="s">
        <v>548</v>
      </c>
      <c r="C35" s="570">
        <v>10068</v>
      </c>
      <c r="E35" s="605">
        <f>L35*'[8]3-Factor'!$C$33</f>
        <v>326.87425502884503</v>
      </c>
      <c r="F35" s="591">
        <v>500</v>
      </c>
      <c r="G35" s="591">
        <v>500</v>
      </c>
      <c r="H35" s="591"/>
      <c r="I35" s="591"/>
      <c r="J35" s="591"/>
      <c r="K35" s="591">
        <v>1500</v>
      </c>
      <c r="L35" s="591">
        <v>1500</v>
      </c>
      <c r="M35" s="591">
        <f>SUM(K35:L35)</f>
        <v>3000</v>
      </c>
      <c r="N35" s="591"/>
      <c r="O35" s="591">
        <f>SUM(M35:N35)</f>
        <v>3000</v>
      </c>
    </row>
    <row r="36" spans="1:16">
      <c r="A36" s="569" t="s">
        <v>549</v>
      </c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</row>
    <row r="37" spans="1:16" ht="12" thickBot="1">
      <c r="E37" s="588"/>
      <c r="F37" s="588">
        <v>16519.27</v>
      </c>
      <c r="G37" s="588"/>
      <c r="H37" s="588"/>
      <c r="I37" s="588"/>
      <c r="J37" s="588"/>
      <c r="K37" s="588">
        <f>F37</f>
        <v>16519.27</v>
      </c>
      <c r="L37" s="588">
        <f>F37</f>
        <v>16519.27</v>
      </c>
      <c r="M37" s="588">
        <f>SUM(K37:L37)</f>
        <v>33038.54</v>
      </c>
      <c r="N37" s="588"/>
      <c r="O37" s="604">
        <f>SUM(M37:N37)</f>
        <v>33038.54</v>
      </c>
    </row>
    <row r="38" spans="1:16" ht="12" thickBot="1"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606">
        <f>SUM(O35:O37)</f>
        <v>36038.54</v>
      </c>
      <c r="P38" s="607">
        <v>38309.94</v>
      </c>
    </row>
    <row r="39" spans="1:16"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</row>
    <row r="40" spans="1:16">
      <c r="A40" s="569" t="s">
        <v>467</v>
      </c>
      <c r="B40" s="570" t="s">
        <v>550</v>
      </c>
      <c r="C40" s="570">
        <v>10018</v>
      </c>
      <c r="E40" s="608">
        <f>L40*'[8]3-Factor'!$C$33</f>
        <v>58.734945305283063</v>
      </c>
      <c r="F40" s="595">
        <f>(539.06/3)/2</f>
        <v>89.84333333333332</v>
      </c>
      <c r="G40" s="595">
        <f>(539.06/3)/2+0.01</f>
        <v>89.853333333333325</v>
      </c>
      <c r="H40" s="595"/>
      <c r="I40" s="595"/>
      <c r="J40" s="595"/>
      <c r="K40" s="595">
        <v>269.52999999999997</v>
      </c>
      <c r="L40" s="595">
        <v>269.52999999999997</v>
      </c>
      <c r="M40" s="596">
        <f>SUM(K40:L40)</f>
        <v>539.05999999999995</v>
      </c>
      <c r="P40" s="590">
        <v>512.84</v>
      </c>
    </row>
    <row r="41" spans="1:16">
      <c r="A41" s="569" t="s">
        <v>475</v>
      </c>
      <c r="E41" s="591"/>
      <c r="F41" s="591"/>
      <c r="G41" s="591"/>
      <c r="H41" s="591"/>
      <c r="I41" s="591"/>
      <c r="J41" s="591"/>
      <c r="M41" s="591"/>
    </row>
    <row r="42" spans="1:16">
      <c r="E42" s="591"/>
      <c r="F42" s="591"/>
      <c r="G42" s="591"/>
      <c r="H42" s="591"/>
      <c r="I42" s="591"/>
      <c r="J42" s="591"/>
      <c r="K42" s="591"/>
      <c r="L42" s="591"/>
      <c r="M42" s="591"/>
    </row>
    <row r="43" spans="1:16">
      <c r="A43" s="569" t="s">
        <v>467</v>
      </c>
      <c r="B43" s="570" t="s">
        <v>551</v>
      </c>
      <c r="C43" s="570">
        <v>10022</v>
      </c>
      <c r="E43" s="608">
        <f>L43*'[8]3-Factor'!$C$19</f>
        <v>1058.6912329959243</v>
      </c>
      <c r="F43" s="595">
        <f>(9716.5/4)/2</f>
        <v>1214.5625</v>
      </c>
      <c r="G43" s="595">
        <f>(9716.5/4)/2</f>
        <v>1214.5625</v>
      </c>
      <c r="H43" s="595"/>
      <c r="I43" s="595">
        <f>(9716.5/4)/2-0.02</f>
        <v>1214.5425</v>
      </c>
      <c r="J43" s="595"/>
      <c r="K43" s="595">
        <v>4858.25</v>
      </c>
      <c r="L43" s="595">
        <v>4858.25</v>
      </c>
      <c r="M43" s="596">
        <f>SUM(K43:L43)</f>
        <v>9716.5</v>
      </c>
      <c r="P43" s="590">
        <v>9240.84</v>
      </c>
    </row>
    <row r="44" spans="1:16">
      <c r="A44" s="569" t="s">
        <v>476</v>
      </c>
      <c r="E44" s="591"/>
      <c r="F44" s="591"/>
      <c r="G44" s="591"/>
      <c r="H44" s="591"/>
      <c r="I44" s="591"/>
      <c r="J44" s="591"/>
      <c r="M44" s="591"/>
    </row>
    <row r="45" spans="1:16">
      <c r="E45" s="591"/>
      <c r="F45" s="591"/>
      <c r="G45" s="591"/>
      <c r="H45" s="591"/>
      <c r="I45" s="591"/>
      <c r="J45" s="591"/>
      <c r="K45" s="591"/>
      <c r="L45" s="591"/>
      <c r="M45" s="591"/>
    </row>
    <row r="46" spans="1:16">
      <c r="A46" s="569" t="s">
        <v>477</v>
      </c>
      <c r="B46" s="570" t="s">
        <v>552</v>
      </c>
      <c r="C46" s="570">
        <v>10016</v>
      </c>
      <c r="E46" s="608">
        <v>0</v>
      </c>
      <c r="F46" s="609">
        <v>1567.24</v>
      </c>
      <c r="G46" s="595">
        <v>1567.24</v>
      </c>
      <c r="H46" s="595"/>
      <c r="I46" s="595"/>
      <c r="J46" s="595"/>
      <c r="K46" s="595">
        <v>5411.88</v>
      </c>
      <c r="L46" s="595">
        <f>K46</f>
        <v>5411.88</v>
      </c>
      <c r="M46" s="596">
        <f>SUM(K46:L46)</f>
        <v>10823.76</v>
      </c>
      <c r="P46" s="590">
        <v>0</v>
      </c>
    </row>
    <row r="47" spans="1:16">
      <c r="A47" s="569" t="s">
        <v>478</v>
      </c>
      <c r="E47" s="591"/>
      <c r="F47" s="591"/>
      <c r="G47" s="591"/>
      <c r="H47" s="591">
        <f>SUM(E46:G46)</f>
        <v>3134.48</v>
      </c>
      <c r="I47" s="591"/>
      <c r="J47" s="591"/>
      <c r="K47" s="591"/>
      <c r="L47" s="591"/>
      <c r="M47" s="591"/>
    </row>
    <row r="48" spans="1:16">
      <c r="A48" s="610"/>
      <c r="B48" s="611" t="s">
        <v>553</v>
      </c>
      <c r="C48" s="612">
        <v>710.16</v>
      </c>
      <c r="D48" s="580"/>
      <c r="E48" s="588"/>
      <c r="F48" s="588"/>
      <c r="G48" s="588"/>
      <c r="H48" s="588"/>
      <c r="I48" s="588"/>
      <c r="J48" s="588"/>
      <c r="K48" s="588"/>
      <c r="L48" s="588"/>
      <c r="M48" s="588"/>
      <c r="N48" s="580"/>
      <c r="O48" s="580"/>
      <c r="P48" s="584"/>
    </row>
    <row r="49" spans="1:16" ht="12" thickBot="1">
      <c r="A49" s="603" t="s">
        <v>554</v>
      </c>
      <c r="B49" s="586"/>
      <c r="C49" s="586"/>
      <c r="D49" s="587"/>
      <c r="E49" s="613">
        <f>SUM(E11:E48)+0.03</f>
        <v>2659.3354333300522</v>
      </c>
      <c r="F49" s="613">
        <f>SUM(F11:F48)</f>
        <v>19890.915833333336</v>
      </c>
      <c r="G49" s="613">
        <f>SUM(G11:G48)</f>
        <v>4586.6608333333324</v>
      </c>
      <c r="H49" s="613"/>
      <c r="I49" s="613">
        <f>SUM(I11:I48)</f>
        <v>1214.5425</v>
      </c>
      <c r="J49" s="614"/>
      <c r="K49" s="613">
        <f>SUM(K11:K48)</f>
        <v>30988.94</v>
      </c>
      <c r="L49" s="613">
        <f>SUM(L11:L48)</f>
        <v>30969.38</v>
      </c>
      <c r="M49" s="613">
        <f>SUM(M11:M48)</f>
        <v>61958.32</v>
      </c>
      <c r="N49" s="587"/>
      <c r="O49" s="587"/>
      <c r="P49" s="590">
        <v>53759.08</v>
      </c>
    </row>
    <row r="50" spans="1:16" ht="12.75" thickTop="1" thickBot="1">
      <c r="A50" s="603"/>
      <c r="B50" s="586"/>
      <c r="C50" s="586"/>
      <c r="D50" s="587"/>
      <c r="E50" s="604">
        <v>4576.8999999999996</v>
      </c>
      <c r="F50" s="604"/>
      <c r="G50" s="604">
        <v>4576.88</v>
      </c>
      <c r="H50" s="604"/>
      <c r="I50" s="604"/>
      <c r="J50" s="604"/>
      <c r="K50" s="604"/>
      <c r="L50" s="604"/>
      <c r="M50" s="604"/>
      <c r="N50" s="587"/>
      <c r="O50" s="587"/>
    </row>
    <row r="51" spans="1:16" ht="18" customHeight="1" thickBot="1">
      <c r="A51" s="615" t="s">
        <v>65</v>
      </c>
      <c r="B51" s="616"/>
      <c r="C51" s="616"/>
      <c r="D51" s="617"/>
      <c r="E51" s="618">
        <f>E11+E14+E16+E18+E20+E22+E25+E27+E30+E32+E35+E40+E43+E46+E66+E69</f>
        <v>3094.8085474502918</v>
      </c>
      <c r="F51" s="604"/>
      <c r="G51" s="604"/>
      <c r="H51" s="604"/>
      <c r="I51" s="604"/>
      <c r="J51" s="604"/>
      <c r="K51" s="619">
        <f>-E49</f>
        <v>-2659.3354333300522</v>
      </c>
      <c r="L51" s="619">
        <f>-E49</f>
        <v>-2659.3354333300522</v>
      </c>
      <c r="M51" s="619">
        <f>SUM(K51:L51)</f>
        <v>-5318.6708666601044</v>
      </c>
      <c r="N51" s="587"/>
      <c r="O51" s="587"/>
    </row>
    <row r="52" spans="1:16">
      <c r="A52" s="603" t="s">
        <v>531</v>
      </c>
      <c r="B52" s="586"/>
      <c r="C52" s="586"/>
      <c r="D52" s="587"/>
      <c r="E52" s="604"/>
      <c r="F52" s="604"/>
      <c r="G52" s="604"/>
      <c r="H52" s="604"/>
      <c r="I52" s="604"/>
      <c r="J52" s="604"/>
      <c r="K52" s="619">
        <f>-F49</f>
        <v>-19890.915833333336</v>
      </c>
      <c r="L52" s="619">
        <f>-F49</f>
        <v>-19890.915833333336</v>
      </c>
      <c r="M52" s="619">
        <f>SUM(K52:L52)</f>
        <v>-39781.831666666672</v>
      </c>
      <c r="N52" s="587"/>
      <c r="O52" s="587"/>
    </row>
    <row r="53" spans="1:16">
      <c r="A53" s="603" t="s">
        <v>449</v>
      </c>
      <c r="B53" s="586"/>
      <c r="C53" s="586"/>
      <c r="D53" s="587"/>
      <c r="E53" s="604"/>
      <c r="F53" s="604"/>
      <c r="G53" s="604"/>
      <c r="H53" s="604"/>
      <c r="I53" s="604"/>
      <c r="J53" s="604"/>
      <c r="K53" s="619">
        <f>-G49</f>
        <v>-4586.6608333333324</v>
      </c>
      <c r="L53" s="619">
        <f>-G49</f>
        <v>-4586.6608333333324</v>
      </c>
      <c r="M53" s="619">
        <f>SUM(K53:L53)</f>
        <v>-9173.3216666666649</v>
      </c>
      <c r="N53" s="587"/>
      <c r="O53" s="587"/>
    </row>
    <row r="54" spans="1:16">
      <c r="A54" s="603" t="s">
        <v>555</v>
      </c>
      <c r="B54" s="586"/>
      <c r="C54" s="586"/>
      <c r="D54" s="587"/>
      <c r="E54" s="604"/>
      <c r="F54" s="604"/>
      <c r="G54" s="604"/>
      <c r="H54" s="604"/>
      <c r="I54" s="604"/>
      <c r="J54" s="604"/>
      <c r="K54" s="619"/>
      <c r="L54" s="620">
        <v>19.559999999999999</v>
      </c>
      <c r="M54" s="620">
        <v>19.559999999999999</v>
      </c>
      <c r="N54" s="587"/>
      <c r="O54" s="587"/>
    </row>
    <row r="55" spans="1:16">
      <c r="A55" s="603"/>
      <c r="B55" s="586"/>
      <c r="C55" s="586"/>
      <c r="D55" s="587"/>
      <c r="E55" s="604"/>
      <c r="F55" s="604"/>
      <c r="G55" s="604"/>
      <c r="H55" s="604"/>
      <c r="I55" s="604"/>
      <c r="J55" s="604"/>
      <c r="K55" s="621">
        <v>-710.16</v>
      </c>
      <c r="L55" s="621"/>
      <c r="M55" s="621">
        <v>-710.16</v>
      </c>
      <c r="N55" s="587"/>
      <c r="O55" s="587"/>
    </row>
    <row r="56" spans="1:16">
      <c r="A56" s="610" t="s">
        <v>533</v>
      </c>
      <c r="B56" s="600"/>
      <c r="C56" s="600"/>
      <c r="D56" s="580"/>
      <c r="E56" s="588"/>
      <c r="F56" s="588"/>
      <c r="G56" s="588"/>
      <c r="H56" s="588"/>
      <c r="I56" s="588"/>
      <c r="J56" s="588"/>
      <c r="K56" s="589">
        <f>-I49</f>
        <v>-1214.5425</v>
      </c>
      <c r="L56" s="589">
        <f>-I49</f>
        <v>-1214.5425</v>
      </c>
      <c r="M56" s="589">
        <f>SUM(K56:L56)</f>
        <v>-2429.085</v>
      </c>
      <c r="N56" s="587"/>
      <c r="O56" s="587"/>
    </row>
    <row r="57" spans="1:16" ht="12" thickBot="1">
      <c r="A57" s="603"/>
      <c r="B57" s="586"/>
      <c r="C57" s="586"/>
      <c r="D57" s="587"/>
      <c r="E57" s="604"/>
      <c r="F57" s="604"/>
      <c r="G57" s="604"/>
      <c r="H57" s="604"/>
      <c r="I57" s="604"/>
      <c r="J57" s="604"/>
      <c r="K57" s="613">
        <f>SUM(K49:K56)+0.02</f>
        <v>1927.345400003278</v>
      </c>
      <c r="L57" s="613">
        <f>SUM(L49:L56)+0.02</f>
        <v>2637.5054000032801</v>
      </c>
      <c r="M57" s="613">
        <f>SUM(M49:M56)+0.04</f>
        <v>4564.8508000065585</v>
      </c>
      <c r="N57" s="587"/>
      <c r="O57" s="587"/>
    </row>
    <row r="58" spans="1:16" ht="12" thickTop="1">
      <c r="A58" s="603"/>
      <c r="B58" s="586"/>
      <c r="C58" s="586"/>
      <c r="D58" s="587"/>
      <c r="E58" s="604"/>
      <c r="F58" s="604"/>
      <c r="G58" s="604"/>
      <c r="H58" s="604"/>
      <c r="I58" s="604"/>
      <c r="J58" s="604"/>
      <c r="K58" s="604"/>
      <c r="L58" s="604"/>
      <c r="M58" s="604"/>
      <c r="N58" s="587"/>
      <c r="O58" s="587"/>
    </row>
    <row r="59" spans="1:16">
      <c r="A59" s="603"/>
      <c r="B59" s="586"/>
      <c r="C59" s="586"/>
      <c r="D59" s="587"/>
      <c r="E59" s="604"/>
      <c r="F59" s="604"/>
      <c r="G59" s="604"/>
      <c r="H59" s="604"/>
      <c r="I59" s="604"/>
      <c r="J59" s="604"/>
      <c r="K59" s="604"/>
      <c r="L59" s="604"/>
      <c r="M59" s="604"/>
      <c r="N59" s="587"/>
      <c r="O59" s="587"/>
    </row>
    <row r="60" spans="1:16">
      <c r="A60" s="603"/>
      <c r="B60" s="586"/>
      <c r="C60" s="586"/>
      <c r="D60" s="587"/>
      <c r="E60" s="604"/>
      <c r="F60" s="604"/>
      <c r="G60" s="604"/>
      <c r="H60" s="604"/>
      <c r="I60" s="604"/>
      <c r="J60" s="604"/>
      <c r="K60" s="604"/>
      <c r="L60" s="604"/>
      <c r="M60" s="604"/>
      <c r="N60" s="587"/>
      <c r="O60" s="587"/>
    </row>
    <row r="61" spans="1:16" ht="12" thickBot="1">
      <c r="A61" s="610"/>
      <c r="B61" s="600"/>
      <c r="C61" s="600"/>
      <c r="D61" s="580"/>
      <c r="E61" s="588"/>
      <c r="F61" s="588"/>
      <c r="G61" s="588"/>
      <c r="H61" s="588"/>
      <c r="I61" s="588"/>
      <c r="J61" s="588"/>
      <c r="K61" s="588"/>
      <c r="L61" s="588"/>
      <c r="M61" s="588"/>
      <c r="N61" s="580"/>
      <c r="O61" s="580"/>
    </row>
    <row r="62" spans="1:16" ht="12" thickBot="1">
      <c r="A62" s="569" t="s">
        <v>525</v>
      </c>
      <c r="B62" s="622"/>
      <c r="C62" s="622"/>
      <c r="D62" s="569"/>
      <c r="E62" s="569"/>
      <c r="F62" s="569"/>
      <c r="G62" s="569"/>
      <c r="H62" s="569"/>
      <c r="I62" s="569"/>
      <c r="J62" s="569"/>
      <c r="K62" s="573" t="s">
        <v>526</v>
      </c>
      <c r="L62" s="573" t="s">
        <v>527</v>
      </c>
      <c r="M62" s="573">
        <v>2012</v>
      </c>
      <c r="N62" s="587"/>
      <c r="O62" s="587"/>
      <c r="P62" s="576">
        <v>2011</v>
      </c>
    </row>
    <row r="63" spans="1:16" ht="12" thickBot="1">
      <c r="A63" s="573" t="s">
        <v>528</v>
      </c>
      <c r="B63" s="573" t="s">
        <v>529</v>
      </c>
      <c r="C63" s="573" t="s">
        <v>530</v>
      </c>
      <c r="D63" s="573"/>
      <c r="E63" s="573" t="s">
        <v>65</v>
      </c>
      <c r="F63" s="573" t="s">
        <v>531</v>
      </c>
      <c r="G63" s="573" t="s">
        <v>449</v>
      </c>
      <c r="H63" s="573" t="s">
        <v>532</v>
      </c>
      <c r="I63" s="573" t="s">
        <v>533</v>
      </c>
      <c r="J63" s="577"/>
      <c r="K63" s="573" t="s">
        <v>534</v>
      </c>
      <c r="L63" s="573" t="s">
        <v>534</v>
      </c>
      <c r="M63" s="578" t="s">
        <v>210</v>
      </c>
      <c r="N63" s="587"/>
      <c r="O63" s="587"/>
      <c r="P63" s="576" t="s">
        <v>535</v>
      </c>
    </row>
    <row r="64" spans="1:16">
      <c r="A64" s="581" t="s">
        <v>556</v>
      </c>
      <c r="B64" s="582"/>
      <c r="C64" s="582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0"/>
      <c r="O64" s="580"/>
      <c r="P64" s="584"/>
    </row>
    <row r="65" spans="1:16">
      <c r="A65" s="622" t="s">
        <v>65</v>
      </c>
      <c r="E65" s="591"/>
      <c r="F65" s="591"/>
      <c r="G65" s="591"/>
      <c r="H65" s="591"/>
      <c r="I65" s="591"/>
      <c r="J65" s="591"/>
      <c r="K65" s="591"/>
      <c r="L65" s="591"/>
      <c r="M65" s="591"/>
    </row>
    <row r="66" spans="1:16">
      <c r="A66" s="569" t="s">
        <v>479</v>
      </c>
      <c r="B66" s="570" t="s">
        <v>557</v>
      </c>
      <c r="C66" s="570">
        <v>3025</v>
      </c>
      <c r="E66" s="608">
        <f>L66*'[8]3-Factor'!$C$33</f>
        <v>386.87311412023962</v>
      </c>
      <c r="F66" s="595"/>
      <c r="G66" s="595"/>
      <c r="H66" s="595"/>
      <c r="I66" s="595"/>
      <c r="J66" s="595"/>
      <c r="K66" s="595">
        <v>1775.33</v>
      </c>
      <c r="L66" s="595">
        <v>1775.33</v>
      </c>
      <c r="M66" s="596">
        <f>SUM(K66:L66)</f>
        <v>3550.66</v>
      </c>
      <c r="P66" s="590">
        <v>3748.04</v>
      </c>
    </row>
    <row r="67" spans="1:16">
      <c r="A67" s="569" t="s">
        <v>468</v>
      </c>
      <c r="E67" s="604"/>
      <c r="F67" s="604"/>
      <c r="G67" s="604"/>
      <c r="H67" s="604"/>
      <c r="I67" s="604"/>
      <c r="J67" s="604"/>
      <c r="M67" s="619"/>
    </row>
    <row r="68" spans="1:16">
      <c r="C68" s="586"/>
      <c r="E68" s="604"/>
      <c r="F68" s="604"/>
      <c r="G68" s="604"/>
      <c r="H68" s="604"/>
      <c r="I68" s="604"/>
      <c r="J68" s="604"/>
      <c r="K68" s="604"/>
      <c r="L68" s="604"/>
      <c r="M68" s="604"/>
    </row>
    <row r="69" spans="1:16">
      <c r="A69" s="569" t="s">
        <v>480</v>
      </c>
      <c r="B69" s="570" t="s">
        <v>558</v>
      </c>
      <c r="C69" s="570">
        <v>321805055</v>
      </c>
      <c r="E69" s="595">
        <f>97.26/2</f>
        <v>48.63</v>
      </c>
      <c r="F69" s="595"/>
      <c r="G69" s="595"/>
      <c r="H69" s="595"/>
      <c r="I69" s="595"/>
      <c r="J69" s="595"/>
      <c r="K69" s="595">
        <f>E69</f>
        <v>48.63</v>
      </c>
      <c r="L69" s="595">
        <f>E69</f>
        <v>48.63</v>
      </c>
      <c r="M69" s="596">
        <f>SUM(K69:L69)</f>
        <v>97.26</v>
      </c>
      <c r="P69" s="590">
        <v>86.8</v>
      </c>
    </row>
    <row r="70" spans="1:16">
      <c r="A70" s="610" t="s">
        <v>468</v>
      </c>
      <c r="B70" s="600"/>
      <c r="C70" s="600"/>
      <c r="D70" s="580"/>
      <c r="E70" s="588"/>
      <c r="F70" s="588"/>
      <c r="G70" s="588"/>
      <c r="H70" s="588"/>
      <c r="I70" s="588"/>
      <c r="J70" s="588"/>
      <c r="K70" s="588"/>
      <c r="L70" s="588"/>
      <c r="M70" s="588"/>
    </row>
    <row r="71" spans="1:16" ht="12" thickBot="1">
      <c r="A71" s="569" t="s">
        <v>559</v>
      </c>
      <c r="E71" s="613">
        <f>SUM(E66:E70)</f>
        <v>435.50311412023962</v>
      </c>
      <c r="F71" s="614"/>
      <c r="G71" s="614"/>
      <c r="H71" s="614"/>
      <c r="I71" s="614"/>
      <c r="J71" s="614"/>
      <c r="K71" s="613">
        <f>SUM(K66:K70)</f>
        <v>1823.96</v>
      </c>
      <c r="L71" s="613">
        <f>SUM(L66:L70)</f>
        <v>1823.96</v>
      </c>
      <c r="M71" s="613">
        <f>SUM(M66:M70)</f>
        <v>3647.92</v>
      </c>
      <c r="P71" s="590">
        <v>3834.84</v>
      </c>
    </row>
    <row r="72" spans="1:16" ht="12" thickTop="1">
      <c r="E72" s="604"/>
      <c r="F72" s="604"/>
      <c r="G72" s="604"/>
      <c r="H72" s="604"/>
      <c r="I72" s="604"/>
      <c r="J72" s="604"/>
      <c r="K72" s="604"/>
      <c r="L72" s="604"/>
      <c r="M72" s="604"/>
    </row>
    <row r="73" spans="1:16">
      <c r="A73" s="610"/>
      <c r="B73" s="600"/>
      <c r="C73" s="600"/>
      <c r="D73" s="580"/>
      <c r="E73" s="588"/>
      <c r="F73" s="588"/>
      <c r="G73" s="588"/>
      <c r="H73" s="588"/>
      <c r="I73" s="588"/>
      <c r="J73" s="588"/>
      <c r="K73" s="588"/>
      <c r="L73" s="588"/>
      <c r="M73" s="588"/>
      <c r="N73" s="580"/>
      <c r="O73" s="580"/>
      <c r="P73" s="584"/>
    </row>
    <row r="74" spans="1:16" hidden="1" outlineLevel="1">
      <c r="A74" s="622" t="s">
        <v>531</v>
      </c>
      <c r="E74" s="604"/>
      <c r="F74" s="604"/>
      <c r="G74" s="604"/>
      <c r="H74" s="604"/>
      <c r="I74" s="604"/>
      <c r="J74" s="604"/>
      <c r="K74" s="604"/>
      <c r="L74" s="604"/>
      <c r="M74" s="604"/>
    </row>
    <row r="75" spans="1:16" hidden="1" outlineLevel="1">
      <c r="A75" s="569" t="s">
        <v>479</v>
      </c>
      <c r="B75" s="570" t="s">
        <v>560</v>
      </c>
      <c r="C75" s="570">
        <v>10021</v>
      </c>
      <c r="E75" s="595"/>
      <c r="F75" s="595">
        <f>9395/2</f>
        <v>4697.5</v>
      </c>
      <c r="G75" s="595"/>
      <c r="H75" s="595"/>
      <c r="I75" s="595"/>
      <c r="J75" s="595"/>
      <c r="K75" s="595">
        <f>F75</f>
        <v>4697.5</v>
      </c>
      <c r="L75" s="595">
        <f>F75</f>
        <v>4697.5</v>
      </c>
      <c r="M75" s="596">
        <f>SUM(K75:L75)</f>
        <v>9395</v>
      </c>
      <c r="P75" s="590">
        <v>13455.22</v>
      </c>
    </row>
    <row r="76" spans="1:16" hidden="1" outlineLevel="1">
      <c r="A76" s="569" t="s">
        <v>561</v>
      </c>
      <c r="E76" s="591"/>
      <c r="F76" s="591"/>
      <c r="G76" s="591"/>
      <c r="H76" s="591"/>
      <c r="I76" s="591"/>
      <c r="J76" s="591"/>
      <c r="K76" s="591"/>
      <c r="L76" s="591"/>
      <c r="M76" s="602"/>
    </row>
    <row r="77" spans="1:16" hidden="1" outlineLevel="1">
      <c r="E77" s="591"/>
      <c r="F77" s="591"/>
      <c r="G77" s="591"/>
      <c r="H77" s="591"/>
      <c r="I77" s="591"/>
      <c r="J77" s="591"/>
      <c r="K77" s="591"/>
      <c r="L77" s="591"/>
      <c r="M77" s="602"/>
    </row>
    <row r="78" spans="1:16" hidden="1" outlineLevel="1">
      <c r="A78" s="569" t="s">
        <v>467</v>
      </c>
      <c r="B78" s="570" t="s">
        <v>562</v>
      </c>
      <c r="C78" s="570">
        <v>10023</v>
      </c>
      <c r="E78" s="595"/>
      <c r="F78" s="595">
        <f>(988.7/2)</f>
        <v>494.35</v>
      </c>
      <c r="G78" s="595"/>
      <c r="H78" s="595"/>
      <c r="I78" s="595"/>
      <c r="J78" s="595"/>
      <c r="K78" s="595">
        <f>SUM(E78:G78)</f>
        <v>494.35</v>
      </c>
      <c r="L78" s="595">
        <f>SUM(E78:G78)</f>
        <v>494.35</v>
      </c>
      <c r="M78" s="596">
        <f>SUM(K78:L78)</f>
        <v>988.7</v>
      </c>
      <c r="P78" s="590">
        <v>940.46</v>
      </c>
    </row>
    <row r="79" spans="1:16" hidden="1" outlineLevel="1">
      <c r="A79" s="569" t="s">
        <v>563</v>
      </c>
      <c r="E79" s="604"/>
      <c r="F79" s="604"/>
      <c r="G79" s="604"/>
      <c r="H79" s="604"/>
      <c r="I79" s="604"/>
      <c r="J79" s="604"/>
      <c r="K79" s="604"/>
      <c r="L79" s="604"/>
      <c r="M79" s="619"/>
      <c r="P79" s="623"/>
    </row>
    <row r="80" spans="1:16" hidden="1" outlineLevel="1">
      <c r="E80" s="604"/>
      <c r="F80" s="604"/>
      <c r="G80" s="604"/>
      <c r="H80" s="604"/>
      <c r="I80" s="604"/>
      <c r="J80" s="604"/>
      <c r="K80" s="604"/>
      <c r="L80" s="604"/>
      <c r="M80" s="619"/>
      <c r="P80" s="623"/>
    </row>
    <row r="81" spans="1:16" hidden="1" outlineLevel="1">
      <c r="E81" s="591"/>
      <c r="F81" s="591"/>
      <c r="G81" s="591"/>
      <c r="H81" s="591"/>
      <c r="I81" s="591"/>
      <c r="J81" s="591"/>
      <c r="K81" s="591"/>
      <c r="L81" s="591"/>
      <c r="M81" s="602"/>
    </row>
    <row r="82" spans="1:16" hidden="1" outlineLevel="1">
      <c r="A82" s="569" t="s">
        <v>564</v>
      </c>
      <c r="B82" s="570" t="s">
        <v>565</v>
      </c>
      <c r="C82" s="570">
        <v>10019</v>
      </c>
      <c r="E82" s="595"/>
      <c r="F82" s="595">
        <f>9741.86/2</f>
        <v>4870.93</v>
      </c>
      <c r="G82" s="595"/>
      <c r="H82" s="595"/>
      <c r="I82" s="595"/>
      <c r="J82" s="595"/>
      <c r="K82" s="595">
        <f>F82</f>
        <v>4870.93</v>
      </c>
      <c r="L82" s="595">
        <f>F82</f>
        <v>4870.93</v>
      </c>
      <c r="M82" s="596">
        <f>SUM(K82:L82)</f>
        <v>9741.86</v>
      </c>
      <c r="P82" s="590">
        <v>14467.76</v>
      </c>
    </row>
    <row r="83" spans="1:16" hidden="1" outlineLevel="1">
      <c r="A83" s="569" t="s">
        <v>566</v>
      </c>
      <c r="E83" s="591"/>
      <c r="F83" s="591"/>
      <c r="G83" s="591"/>
      <c r="H83" s="591"/>
      <c r="I83" s="591"/>
      <c r="J83" s="591"/>
      <c r="K83" s="591"/>
      <c r="L83" s="591"/>
      <c r="M83" s="602"/>
    </row>
    <row r="84" spans="1:16" hidden="1" outlineLevel="1">
      <c r="E84" s="591"/>
      <c r="F84" s="591"/>
      <c r="G84" s="591"/>
      <c r="H84" s="591"/>
      <c r="I84" s="591"/>
      <c r="J84" s="591"/>
      <c r="K84" s="591"/>
      <c r="L84" s="591"/>
      <c r="M84" s="602"/>
    </row>
    <row r="85" spans="1:16" hidden="1" outlineLevel="1">
      <c r="A85" s="569" t="s">
        <v>467</v>
      </c>
      <c r="B85" s="570" t="s">
        <v>567</v>
      </c>
      <c r="C85" s="570">
        <v>321806</v>
      </c>
      <c r="E85" s="595"/>
      <c r="F85" s="595">
        <f>24301.98/2</f>
        <v>12150.99</v>
      </c>
      <c r="G85" s="595"/>
      <c r="H85" s="595"/>
      <c r="I85" s="595"/>
      <c r="J85" s="595"/>
      <c r="K85" s="595">
        <f>F85</f>
        <v>12150.99</v>
      </c>
      <c r="L85" s="595">
        <f>F85</f>
        <v>12150.99</v>
      </c>
      <c r="M85" s="596">
        <f>SUM(K85:L85)</f>
        <v>24301.98</v>
      </c>
      <c r="P85" s="590">
        <v>26074.3</v>
      </c>
    </row>
    <row r="86" spans="1:16" hidden="1" outlineLevel="1">
      <c r="A86" s="610" t="s">
        <v>468</v>
      </c>
      <c r="B86" s="600"/>
      <c r="C86" s="600"/>
      <c r="D86" s="580"/>
      <c r="E86" s="588"/>
      <c r="F86" s="588"/>
      <c r="G86" s="588"/>
      <c r="H86" s="588"/>
      <c r="I86" s="588"/>
      <c r="J86" s="588"/>
      <c r="K86" s="588"/>
      <c r="L86" s="588"/>
      <c r="M86" s="588"/>
    </row>
    <row r="87" spans="1:16" ht="12" hidden="1" outlineLevel="1" thickBot="1">
      <c r="A87" s="569" t="s">
        <v>568</v>
      </c>
      <c r="E87" s="604"/>
      <c r="F87" s="613">
        <f>SUM(F75:F86)</f>
        <v>22213.77</v>
      </c>
      <c r="G87" s="614"/>
      <c r="H87" s="614"/>
      <c r="I87" s="614"/>
      <c r="J87" s="614"/>
      <c r="K87" s="613">
        <f>SUM(K75:K86)</f>
        <v>22213.77</v>
      </c>
      <c r="L87" s="613">
        <f>SUM(L75:L86)</f>
        <v>22213.77</v>
      </c>
      <c r="M87" s="613">
        <f>SUM(M75:M86)</f>
        <v>44427.54</v>
      </c>
      <c r="P87" s="590">
        <v>53997.279999999999</v>
      </c>
    </row>
    <row r="88" spans="1:16" ht="12" hidden="1" outlineLevel="1" thickTop="1">
      <c r="E88" s="604"/>
      <c r="F88" s="604"/>
      <c r="G88" s="604"/>
      <c r="H88" s="604"/>
      <c r="I88" s="604"/>
      <c r="J88" s="604"/>
      <c r="K88" s="604"/>
      <c r="L88" s="604"/>
      <c r="M88" s="604"/>
    </row>
    <row r="89" spans="1:16" hidden="1" outlineLevel="1">
      <c r="E89" s="604"/>
      <c r="F89" s="604"/>
      <c r="G89" s="604"/>
      <c r="H89" s="604"/>
      <c r="I89" s="604"/>
      <c r="J89" s="604"/>
      <c r="K89" s="604"/>
      <c r="L89" s="604"/>
      <c r="M89" s="604"/>
    </row>
    <row r="90" spans="1:16" hidden="1" outlineLevel="1">
      <c r="A90" s="610"/>
      <c r="B90" s="600"/>
      <c r="C90" s="600"/>
      <c r="D90" s="580"/>
      <c r="E90" s="588"/>
      <c r="F90" s="588"/>
      <c r="G90" s="588"/>
      <c r="H90" s="588"/>
      <c r="I90" s="588"/>
      <c r="J90" s="588"/>
      <c r="K90" s="588"/>
      <c r="L90" s="588"/>
      <c r="M90" s="588"/>
      <c r="N90" s="580"/>
      <c r="O90" s="580"/>
      <c r="P90" s="584"/>
    </row>
    <row r="91" spans="1:16" hidden="1" outlineLevel="1">
      <c r="A91" s="622" t="s">
        <v>449</v>
      </c>
      <c r="E91" s="591"/>
      <c r="F91" s="591"/>
      <c r="G91" s="591"/>
      <c r="H91" s="591"/>
      <c r="I91" s="591"/>
      <c r="J91" s="591"/>
      <c r="K91" s="591"/>
      <c r="L91" s="591"/>
      <c r="M91" s="591"/>
    </row>
    <row r="92" spans="1:16" hidden="1" outlineLevel="1">
      <c r="E92" s="591"/>
      <c r="F92" s="591"/>
      <c r="G92" s="591"/>
      <c r="H92" s="591"/>
      <c r="I92" s="591"/>
      <c r="J92" s="591"/>
      <c r="K92" s="591"/>
      <c r="L92" s="591"/>
      <c r="M92" s="591"/>
    </row>
    <row r="93" spans="1:16" hidden="1" outlineLevel="1">
      <c r="A93" s="569" t="s">
        <v>569</v>
      </c>
      <c r="B93" s="570" t="s">
        <v>570</v>
      </c>
      <c r="C93" s="570">
        <v>321807</v>
      </c>
      <c r="E93" s="595"/>
      <c r="F93" s="595"/>
      <c r="G93" s="595">
        <f>6480.88/2</f>
        <v>3240.44</v>
      </c>
      <c r="H93" s="595"/>
      <c r="I93" s="595"/>
      <c r="J93" s="595"/>
      <c r="K93" s="595">
        <f>G93</f>
        <v>3240.44</v>
      </c>
      <c r="L93" s="595">
        <f>G93</f>
        <v>3240.44</v>
      </c>
      <c r="M93" s="596">
        <f>SUM(K93:L93)</f>
        <v>6480.88</v>
      </c>
      <c r="P93" s="590">
        <v>7227</v>
      </c>
    </row>
    <row r="94" spans="1:16" hidden="1" outlineLevel="1">
      <c r="A94" s="569" t="s">
        <v>468</v>
      </c>
      <c r="E94" s="604"/>
      <c r="F94" s="604"/>
      <c r="G94" s="604"/>
      <c r="H94" s="604"/>
      <c r="I94" s="604"/>
      <c r="J94" s="604"/>
      <c r="K94" s="604"/>
      <c r="L94" s="604"/>
      <c r="M94" s="619"/>
    </row>
    <row r="95" spans="1:16" hidden="1" outlineLevel="1">
      <c r="E95" s="604"/>
      <c r="F95" s="604"/>
      <c r="G95" s="604"/>
      <c r="H95" s="604"/>
      <c r="I95" s="604"/>
      <c r="J95" s="604"/>
      <c r="K95" s="604"/>
      <c r="L95" s="604"/>
      <c r="M95" s="619"/>
    </row>
    <row r="96" spans="1:16" hidden="1" outlineLevel="1">
      <c r="A96" s="569" t="s">
        <v>571</v>
      </c>
      <c r="B96" s="570" t="s">
        <v>572</v>
      </c>
      <c r="C96" s="570">
        <v>321805</v>
      </c>
      <c r="E96" s="595"/>
      <c r="F96" s="595"/>
      <c r="G96" s="595">
        <f>1168.98/2</f>
        <v>584.49</v>
      </c>
      <c r="H96" s="595"/>
      <c r="I96" s="595"/>
      <c r="J96" s="595"/>
      <c r="K96" s="595">
        <f>G96</f>
        <v>584.49</v>
      </c>
      <c r="L96" s="595">
        <f>G96</f>
        <v>584.49</v>
      </c>
      <c r="M96" s="596">
        <f>SUM(K96:L96)</f>
        <v>1168.98</v>
      </c>
      <c r="P96" s="590">
        <v>473.9</v>
      </c>
    </row>
    <row r="97" spans="1:16" hidden="1" outlineLevel="1">
      <c r="A97" s="610" t="s">
        <v>468</v>
      </c>
      <c r="B97" s="600"/>
      <c r="C97" s="600"/>
      <c r="D97" s="580"/>
      <c r="E97" s="588"/>
      <c r="F97" s="588"/>
      <c r="G97" s="588"/>
      <c r="H97" s="588"/>
      <c r="I97" s="588"/>
      <c r="J97" s="588"/>
      <c r="K97" s="588"/>
      <c r="L97" s="588"/>
      <c r="M97" s="588"/>
    </row>
    <row r="98" spans="1:16" ht="12" hidden="1" outlineLevel="1" thickBot="1">
      <c r="A98" s="569" t="s">
        <v>573</v>
      </c>
      <c r="E98" s="591"/>
      <c r="F98" s="591"/>
      <c r="G98" s="613">
        <f>SUM(G93:G97)</f>
        <v>3824.9300000000003</v>
      </c>
      <c r="H98" s="613"/>
      <c r="I98" s="613"/>
      <c r="J98" s="613"/>
      <c r="K98" s="613">
        <f>SUM(K93:K97)</f>
        <v>3824.9300000000003</v>
      </c>
      <c r="L98" s="613">
        <f>SUM(L93:L97)</f>
        <v>3824.9300000000003</v>
      </c>
      <c r="M98" s="613">
        <f>SUM(M93:M97)</f>
        <v>7649.8600000000006</v>
      </c>
      <c r="P98" s="590">
        <v>7700.9</v>
      </c>
    </row>
    <row r="99" spans="1:16" ht="12" hidden="1" outlineLevel="1" thickTop="1">
      <c r="E99" s="591"/>
      <c r="F99" s="591"/>
      <c r="G99" s="591"/>
      <c r="H99" s="591"/>
      <c r="I99" s="591"/>
      <c r="J99" s="591"/>
      <c r="K99" s="591"/>
      <c r="L99" s="591"/>
      <c r="M99" s="591"/>
    </row>
    <row r="100" spans="1:16" ht="12" hidden="1" outlineLevel="1" thickBot="1">
      <c r="E100" s="591"/>
      <c r="F100" s="591"/>
      <c r="G100" s="591"/>
      <c r="H100" s="591"/>
      <c r="I100" s="591"/>
      <c r="J100" s="591"/>
      <c r="K100" s="591"/>
      <c r="L100" s="591"/>
      <c r="M100" s="591"/>
    </row>
    <row r="101" spans="1:16" ht="12" hidden="1" outlineLevel="1" thickBot="1">
      <c r="A101" s="569" t="s">
        <v>525</v>
      </c>
      <c r="B101" s="622"/>
      <c r="C101" s="622"/>
      <c r="D101" s="569"/>
      <c r="E101" s="569"/>
      <c r="F101" s="569"/>
      <c r="G101" s="569"/>
      <c r="H101" s="569"/>
      <c r="I101" s="569"/>
      <c r="J101" s="569"/>
      <c r="K101" s="573" t="s">
        <v>526</v>
      </c>
      <c r="L101" s="573" t="s">
        <v>527</v>
      </c>
      <c r="M101" s="573">
        <v>2012</v>
      </c>
      <c r="P101" s="576">
        <v>2011</v>
      </c>
    </row>
    <row r="102" spans="1:16" ht="12" hidden="1" outlineLevel="1" thickBot="1">
      <c r="A102" s="573" t="s">
        <v>528</v>
      </c>
      <c r="B102" s="573" t="s">
        <v>529</v>
      </c>
      <c r="C102" s="573" t="s">
        <v>530</v>
      </c>
      <c r="D102" s="573"/>
      <c r="E102" s="573" t="s">
        <v>65</v>
      </c>
      <c r="F102" s="573" t="s">
        <v>531</v>
      </c>
      <c r="G102" s="573" t="s">
        <v>449</v>
      </c>
      <c r="H102" s="573" t="s">
        <v>532</v>
      </c>
      <c r="I102" s="573" t="s">
        <v>533</v>
      </c>
      <c r="J102" s="577"/>
      <c r="K102" s="573" t="s">
        <v>534</v>
      </c>
      <c r="L102" s="573" t="s">
        <v>534</v>
      </c>
      <c r="M102" s="578" t="s">
        <v>210</v>
      </c>
      <c r="N102" s="579"/>
      <c r="O102" s="624"/>
      <c r="P102" s="625" t="s">
        <v>535</v>
      </c>
    </row>
    <row r="103" spans="1:16" hidden="1" outlineLevel="1">
      <c r="A103" s="581" t="s">
        <v>574</v>
      </c>
      <c r="B103" s="582"/>
      <c r="C103" s="582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</row>
    <row r="104" spans="1:16" hidden="1" outlineLevel="1">
      <c r="A104" s="585"/>
      <c r="B104" s="586"/>
      <c r="C104" s="586"/>
      <c r="D104" s="587"/>
      <c r="E104" s="580"/>
      <c r="F104" s="580"/>
      <c r="G104" s="580"/>
      <c r="H104" s="580"/>
      <c r="I104" s="580"/>
      <c r="J104" s="580"/>
      <c r="K104" s="580"/>
      <c r="L104" s="580"/>
      <c r="M104" s="580"/>
    </row>
    <row r="105" spans="1:16" hidden="1" outlineLevel="1">
      <c r="A105" s="569" t="s">
        <v>467</v>
      </c>
      <c r="B105" s="570" t="s">
        <v>575</v>
      </c>
      <c r="C105" s="570">
        <v>2245</v>
      </c>
      <c r="E105" s="588"/>
      <c r="F105" s="588"/>
      <c r="G105" s="588"/>
      <c r="H105" s="588">
        <v>2883.86</v>
      </c>
      <c r="I105" s="588"/>
      <c r="J105" s="588"/>
      <c r="K105" s="588">
        <f>SUM(H105)</f>
        <v>2883.86</v>
      </c>
      <c r="L105" s="588">
        <f>SUM(H105)</f>
        <v>2883.86</v>
      </c>
      <c r="M105" s="589">
        <f>SUM(K105:L105)</f>
        <v>5767.72</v>
      </c>
      <c r="P105" s="590">
        <v>3513.76</v>
      </c>
    </row>
    <row r="106" spans="1:16" hidden="1" outlineLevel="1">
      <c r="A106" s="569" t="s">
        <v>468</v>
      </c>
      <c r="E106" s="591"/>
      <c r="F106" s="591"/>
      <c r="G106" s="591"/>
      <c r="H106" s="591"/>
      <c r="I106" s="591"/>
      <c r="J106" s="591"/>
      <c r="K106" s="591"/>
      <c r="L106" s="591"/>
      <c r="M106" s="602"/>
    </row>
    <row r="107" spans="1:16" hidden="1" outlineLevel="1">
      <c r="A107" s="610"/>
      <c r="B107" s="600"/>
      <c r="C107" s="600"/>
      <c r="D107" s="580"/>
      <c r="E107" s="588"/>
      <c r="F107" s="588"/>
      <c r="G107" s="588"/>
      <c r="H107" s="588"/>
      <c r="I107" s="588"/>
      <c r="J107" s="588"/>
      <c r="K107" s="588"/>
      <c r="L107" s="588"/>
      <c r="M107" s="589"/>
    </row>
    <row r="108" spans="1:16" ht="12" hidden="1" outlineLevel="1" thickBot="1">
      <c r="A108" s="569" t="s">
        <v>576</v>
      </c>
      <c r="E108" s="591"/>
      <c r="F108" s="591"/>
      <c r="G108" s="591"/>
      <c r="H108" s="613">
        <f>SUM(H105:H107)</f>
        <v>2883.86</v>
      </c>
      <c r="I108" s="613"/>
      <c r="J108" s="613"/>
      <c r="K108" s="613">
        <f>SUM(K105:K107)</f>
        <v>2883.86</v>
      </c>
      <c r="L108" s="613">
        <f>SUM(L105:L107)</f>
        <v>2883.86</v>
      </c>
      <c r="M108" s="613">
        <f>SUM(M105:M107)</f>
        <v>5767.72</v>
      </c>
      <c r="P108" s="590">
        <v>6732.42</v>
      </c>
    </row>
    <row r="109" spans="1:16" ht="12" hidden="1" outlineLevel="1" thickTop="1">
      <c r="E109" s="591"/>
      <c r="F109" s="591"/>
      <c r="G109" s="591"/>
      <c r="H109" s="591"/>
      <c r="I109" s="591"/>
      <c r="J109" s="591"/>
      <c r="K109" s="591"/>
      <c r="L109" s="591"/>
      <c r="M109" s="591"/>
    </row>
    <row r="110" spans="1:16" hidden="1" outlineLevel="1">
      <c r="E110" s="591"/>
      <c r="F110" s="591"/>
      <c r="G110" s="591"/>
      <c r="H110" s="591"/>
      <c r="I110" s="591"/>
      <c r="J110" s="591"/>
      <c r="K110" s="591"/>
      <c r="L110" s="591"/>
      <c r="M110" s="591"/>
    </row>
    <row r="111" spans="1:16" hidden="1" outlineLevel="1">
      <c r="A111" s="610"/>
      <c r="B111" s="600"/>
      <c r="C111" s="600"/>
      <c r="D111" s="580"/>
      <c r="E111" s="588"/>
      <c r="F111" s="588"/>
      <c r="G111" s="588"/>
      <c r="H111" s="588"/>
      <c r="I111" s="588"/>
      <c r="J111" s="588"/>
      <c r="K111" s="588"/>
      <c r="L111" s="588"/>
      <c r="M111" s="588"/>
      <c r="N111" s="580"/>
      <c r="O111" s="580"/>
      <c r="P111" s="584"/>
    </row>
    <row r="112" spans="1:16" hidden="1" outlineLevel="1">
      <c r="A112" s="610"/>
      <c r="B112" s="600"/>
      <c r="C112" s="600"/>
      <c r="D112" s="580"/>
      <c r="E112" s="588"/>
      <c r="F112" s="588"/>
      <c r="G112" s="588"/>
      <c r="H112" s="588"/>
      <c r="I112" s="588"/>
      <c r="J112" s="588"/>
      <c r="K112" s="588"/>
      <c r="L112" s="588"/>
      <c r="M112" s="588"/>
      <c r="N112" s="580"/>
      <c r="O112" s="580"/>
    </row>
    <row r="113" spans="1:13" ht="12" hidden="1" outlineLevel="1" thickBot="1">
      <c r="A113" s="569" t="s">
        <v>577</v>
      </c>
      <c r="E113" s="626">
        <f>SUM(E49,E71)</f>
        <v>3094.838547450292</v>
      </c>
      <c r="F113" s="626">
        <f>SUM(F49,F87)</f>
        <v>42104.685833333337</v>
      </c>
      <c r="G113" s="626">
        <f>SUM(G49,G98)-0.01</f>
        <v>8411.5808333333316</v>
      </c>
      <c r="H113" s="626">
        <f>SUM(H108)</f>
        <v>2883.86</v>
      </c>
      <c r="I113" s="626">
        <f>SUM(I49)-0.01</f>
        <v>1214.5325</v>
      </c>
      <c r="J113" s="626"/>
      <c r="K113" s="626">
        <f>SUM(K49,K71,K87,K98,K108)</f>
        <v>61735.46</v>
      </c>
      <c r="L113" s="626">
        <f>SUM(L49,L71,L87,L98,L108)</f>
        <v>61715.9</v>
      </c>
      <c r="M113" s="626">
        <f>SUM(M49,M71,M87,M98,M108,)</f>
        <v>123451.36</v>
      </c>
    </row>
    <row r="114" spans="1:13" ht="12" hidden="1" outlineLevel="1" thickTop="1"/>
    <row r="115" spans="1:13" hidden="1" outlineLevel="1">
      <c r="E115" s="627"/>
      <c r="F115" s="627"/>
      <c r="G115" s="627"/>
      <c r="H115" s="627"/>
      <c r="I115" s="627"/>
      <c r="J115" s="627"/>
      <c r="K115" s="627" t="s">
        <v>578</v>
      </c>
      <c r="L115" s="627" t="s">
        <v>527</v>
      </c>
      <c r="M115" s="627"/>
    </row>
    <row r="116" spans="1:13" hidden="1" outlineLevel="1">
      <c r="E116" s="612" t="s">
        <v>65</v>
      </c>
      <c r="F116" s="612" t="s">
        <v>531</v>
      </c>
      <c r="G116" s="612" t="s">
        <v>449</v>
      </c>
      <c r="H116" s="612" t="s">
        <v>532</v>
      </c>
      <c r="I116" s="612" t="s">
        <v>533</v>
      </c>
      <c r="J116" s="612"/>
      <c r="K116" s="612" t="s">
        <v>534</v>
      </c>
      <c r="L116" s="612" t="s">
        <v>534</v>
      </c>
      <c r="M116" s="612" t="s">
        <v>210</v>
      </c>
    </row>
    <row r="117" spans="1:13" hidden="1" outlineLevel="1">
      <c r="A117" s="569" t="s">
        <v>579</v>
      </c>
    </row>
    <row r="118" spans="1:13" hidden="1" outlineLevel="1">
      <c r="A118" s="610" t="s">
        <v>580</v>
      </c>
      <c r="B118" s="600"/>
      <c r="C118" s="600"/>
      <c r="D118" s="580"/>
      <c r="E118" s="580"/>
      <c r="F118" s="580"/>
      <c r="G118" s="580"/>
      <c r="H118" s="580"/>
      <c r="I118" s="580"/>
    </row>
    <row r="119" spans="1:13" hidden="1" outlineLevel="1">
      <c r="A119" s="569" t="s">
        <v>581</v>
      </c>
    </row>
    <row r="120" spans="1:13" hidden="1" outlineLevel="1">
      <c r="A120" s="569" t="s">
        <v>582</v>
      </c>
    </row>
    <row r="121" spans="1:13" hidden="1" outlineLevel="1"/>
    <row r="122" spans="1:13" hidden="1" outlineLevel="1"/>
    <row r="123" spans="1:13" hidden="1" outlineLevel="1">
      <c r="A123" s="628"/>
      <c r="B123" s="573" t="s">
        <v>526</v>
      </c>
      <c r="C123" s="573" t="s">
        <v>527</v>
      </c>
    </row>
    <row r="124" spans="1:13" hidden="1" outlineLevel="1">
      <c r="A124" s="629"/>
      <c r="B124" s="573" t="s">
        <v>534</v>
      </c>
      <c r="C124" s="573" t="s">
        <v>534</v>
      </c>
    </row>
    <row r="125" spans="1:13" hidden="1" outlineLevel="1">
      <c r="A125" s="569" t="s">
        <v>65</v>
      </c>
      <c r="B125" s="572">
        <f>E113</f>
        <v>3094.838547450292</v>
      </c>
      <c r="C125" s="572">
        <f>E113-9.78</f>
        <v>3085.0585474502918</v>
      </c>
    </row>
    <row r="126" spans="1:13" hidden="1" outlineLevel="1">
      <c r="A126" s="569" t="s">
        <v>531</v>
      </c>
      <c r="B126" s="572">
        <f>F113</f>
        <v>42104.685833333337</v>
      </c>
      <c r="C126" s="572">
        <f>F113</f>
        <v>42104.685833333337</v>
      </c>
    </row>
    <row r="127" spans="1:13" hidden="1" outlineLevel="1">
      <c r="A127" s="569" t="s">
        <v>449</v>
      </c>
      <c r="B127" s="572">
        <f>G113</f>
        <v>8411.5808333333316</v>
      </c>
      <c r="C127" s="572">
        <f>G113-9.78</f>
        <v>8401.800833333331</v>
      </c>
    </row>
    <row r="128" spans="1:13" ht="12" hidden="1" outlineLevel="1" thickBot="1">
      <c r="A128" s="569" t="s">
        <v>583</v>
      </c>
      <c r="B128" s="572">
        <f>H113</f>
        <v>2883.86</v>
      </c>
      <c r="C128" s="572">
        <f>H113</f>
        <v>2883.86</v>
      </c>
    </row>
    <row r="129" spans="1:15" ht="12" hidden="1" outlineLevel="1" thickBot="1">
      <c r="A129" s="569" t="s">
        <v>533</v>
      </c>
      <c r="B129" s="572">
        <f>I113</f>
        <v>1214.5325</v>
      </c>
      <c r="C129" s="572">
        <f>I113</f>
        <v>1214.5325</v>
      </c>
      <c r="I129" s="630">
        <v>2011</v>
      </c>
    </row>
    <row r="130" spans="1:15" s="572" customFormat="1" ht="12" hidden="1" outlineLevel="1" thickBot="1">
      <c r="A130" s="569"/>
      <c r="B130" s="631">
        <f>SUM(B125:B129)</f>
        <v>57709.497714116966</v>
      </c>
      <c r="C130" s="631">
        <f>SUM(C125:C129)</f>
        <v>57689.937714116968</v>
      </c>
      <c r="D130" s="571"/>
      <c r="E130" s="569" t="s">
        <v>584</v>
      </c>
      <c r="F130" s="571"/>
      <c r="G130" s="571"/>
      <c r="H130" s="571"/>
      <c r="I130" s="606">
        <v>71537.41</v>
      </c>
      <c r="J130" s="571"/>
      <c r="K130" s="571"/>
      <c r="L130" s="571"/>
      <c r="M130" s="571"/>
      <c r="N130" s="571"/>
      <c r="O130" s="571"/>
    </row>
    <row r="131" spans="1:15" s="572" customFormat="1" ht="12" hidden="1" outlineLevel="1" thickBot="1">
      <c r="A131" s="569"/>
      <c r="B131" s="622"/>
      <c r="C131" s="622"/>
      <c r="D131" s="571"/>
      <c r="E131" s="569"/>
      <c r="F131" s="571"/>
      <c r="G131" s="571"/>
      <c r="H131" s="571"/>
      <c r="I131" s="591"/>
      <c r="J131" s="571"/>
      <c r="K131" s="571"/>
      <c r="L131" s="571"/>
      <c r="M131" s="571"/>
      <c r="N131" s="571"/>
      <c r="O131" s="571"/>
    </row>
    <row r="132" spans="1:15" s="572" customFormat="1" ht="12" hidden="1" outlineLevel="1" thickBot="1">
      <c r="A132" s="569"/>
      <c r="B132" s="570"/>
      <c r="C132" s="631">
        <f>B130</f>
        <v>57709.497714116966</v>
      </c>
      <c r="D132" s="571"/>
      <c r="E132" s="569" t="s">
        <v>585</v>
      </c>
      <c r="F132" s="571"/>
      <c r="G132" s="571"/>
      <c r="H132" s="571"/>
      <c r="I132" s="591"/>
      <c r="J132" s="571"/>
      <c r="K132" s="571"/>
      <c r="L132" s="571"/>
      <c r="M132" s="571"/>
      <c r="N132" s="571"/>
      <c r="O132" s="571"/>
    </row>
    <row r="133" spans="1:15" s="572" customFormat="1" ht="12" hidden="1" outlineLevel="1" thickBot="1">
      <c r="A133" s="569"/>
      <c r="B133" s="570"/>
      <c r="C133" s="631">
        <f>SUM(C130:C132)</f>
        <v>115399.43542823393</v>
      </c>
      <c r="D133" s="571"/>
      <c r="E133" s="569" t="s">
        <v>586</v>
      </c>
      <c r="F133" s="571"/>
      <c r="G133" s="571"/>
      <c r="H133" s="571"/>
      <c r="I133" s="591"/>
      <c r="J133" s="571"/>
      <c r="K133" s="571"/>
      <c r="L133" s="571"/>
      <c r="M133" s="632"/>
      <c r="N133" s="571"/>
      <c r="O133" s="571"/>
    </row>
    <row r="134" spans="1:15" s="572" customFormat="1" hidden="1" outlineLevel="1">
      <c r="A134" s="569"/>
      <c r="B134" s="570"/>
      <c r="C134" s="570"/>
      <c r="D134" s="571"/>
      <c r="E134" s="571"/>
      <c r="F134" s="571"/>
      <c r="G134" s="571"/>
      <c r="H134" s="571"/>
      <c r="I134" s="571"/>
      <c r="J134" s="571"/>
      <c r="K134" s="571"/>
      <c r="L134" s="571"/>
      <c r="M134" s="569"/>
      <c r="N134" s="571"/>
      <c r="O134" s="571"/>
    </row>
    <row r="135" spans="1:15" hidden="1" outlineLevel="1"/>
    <row r="136" spans="1:15" hidden="1" outlineLevel="1"/>
    <row r="137" spans="1:15" s="572" customFormat="1" hidden="1" outlineLevel="1">
      <c r="A137" s="603" t="s">
        <v>587</v>
      </c>
      <c r="B137" s="586"/>
      <c r="C137" s="586"/>
      <c r="D137" s="587"/>
      <c r="E137" s="604"/>
      <c r="F137" s="604"/>
      <c r="G137" s="604"/>
      <c r="H137" s="604"/>
      <c r="I137" s="604"/>
      <c r="J137" s="604"/>
      <c r="K137" s="604"/>
      <c r="L137" s="604"/>
      <c r="M137" s="604"/>
      <c r="N137" s="587"/>
      <c r="O137" s="587"/>
    </row>
    <row r="138" spans="1:15" s="572" customFormat="1" hidden="1" outlineLevel="1">
      <c r="A138" s="603"/>
      <c r="B138" s="586"/>
      <c r="C138" s="586"/>
      <c r="D138" s="587"/>
      <c r="E138" s="604"/>
      <c r="F138" s="604"/>
      <c r="G138" s="604"/>
      <c r="H138" s="604"/>
      <c r="I138" s="604"/>
      <c r="J138" s="604"/>
      <c r="K138" s="604"/>
      <c r="L138" s="604"/>
      <c r="M138" s="604"/>
      <c r="N138" s="587"/>
      <c r="O138" s="587"/>
    </row>
    <row r="139" spans="1:15" s="572" customFormat="1" hidden="1" outlineLevel="1">
      <c r="A139" s="603" t="s">
        <v>588</v>
      </c>
      <c r="B139" s="586"/>
      <c r="C139" s="586"/>
      <c r="D139" s="587"/>
      <c r="E139" s="604"/>
      <c r="F139" s="604"/>
      <c r="G139" s="604"/>
      <c r="H139" s="604"/>
      <c r="I139" s="604"/>
      <c r="J139" s="604"/>
      <c r="K139" s="604"/>
      <c r="L139" s="604"/>
      <c r="M139" s="604"/>
      <c r="N139" s="587"/>
      <c r="O139" s="587"/>
    </row>
    <row r="140" spans="1:15" s="572" customFormat="1" hidden="1" outlineLevel="1">
      <c r="A140" s="603" t="s">
        <v>589</v>
      </c>
      <c r="B140" s="586"/>
      <c r="C140" s="586"/>
      <c r="D140" s="587"/>
      <c r="E140" s="604"/>
      <c r="F140" s="604"/>
      <c r="G140" s="604"/>
      <c r="H140" s="604"/>
      <c r="I140" s="604"/>
      <c r="J140" s="604"/>
      <c r="K140" s="604"/>
      <c r="L140" s="604"/>
      <c r="M140" s="604"/>
      <c r="N140" s="587"/>
      <c r="O140" s="587"/>
    </row>
    <row r="141" spans="1:15" hidden="1" outlineLevel="1"/>
    <row r="142" spans="1:15" hidden="1" outlineLevel="1"/>
    <row r="143" spans="1:15" hidden="1" outlineLevel="1"/>
    <row r="144" spans="1:15" hidden="1" outlineLevel="1"/>
    <row r="145" hidden="1" outlineLevel="1"/>
    <row r="146" hidden="1" outlineLevel="1"/>
    <row r="147" hidden="1" outlineLevel="1"/>
    <row r="148" hidden="1" outlineLevel="1"/>
    <row r="149" collapsed="1"/>
  </sheetData>
  <mergeCells count="3">
    <mergeCell ref="A1:G1"/>
    <mergeCell ref="A3:G3"/>
    <mergeCell ref="A5:G5"/>
  </mergeCells>
  <pageMargins left="0.7" right="0.7" top="0.75" bottom="0.75" header="0.3" footer="0.3"/>
  <pageSetup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1"/>
  <sheetViews>
    <sheetView workbookViewId="0">
      <selection activeCell="S69" sqref="S69"/>
    </sheetView>
  </sheetViews>
  <sheetFormatPr defaultRowHeight="11.25" outlineLevelRow="1" outlineLevelCol="1"/>
  <cols>
    <col min="1" max="1" width="28.109375" style="569" customWidth="1"/>
    <col min="2" max="2" width="8" style="570" customWidth="1"/>
    <col min="3" max="3" width="9" style="570" customWidth="1"/>
    <col min="4" max="4" width="1.5546875" style="571" customWidth="1"/>
    <col min="5" max="5" width="8.44140625" style="571" customWidth="1"/>
    <col min="6" max="8" width="8.44140625" style="571" hidden="1" customWidth="1" outlineLevel="1"/>
    <col min="9" max="9" width="8.33203125" style="571" hidden="1" customWidth="1" outlineLevel="1"/>
    <col min="10" max="13" width="8.44140625" style="571" hidden="1" customWidth="1" outlineLevel="1"/>
    <col min="14" max="14" width="1.33203125" style="571" hidden="1" customWidth="1" outlineLevel="1"/>
    <col min="15" max="15" width="8.5546875" style="571" hidden="1" customWidth="1" outlineLevel="1"/>
    <col min="16" max="16" width="11.21875" style="572" hidden="1" customWidth="1" outlineLevel="1"/>
    <col min="17" max="18" width="0" style="571" hidden="1" customWidth="1" outlineLevel="1"/>
    <col min="19" max="19" width="8.88671875" style="571" collapsed="1"/>
    <col min="20" max="16384" width="8.88671875" style="571"/>
  </cols>
  <sheetData>
    <row r="1" spans="1:16" s="559" customFormat="1">
      <c r="A1" s="948" t="str">
        <f>+'Schedule 4, R-6G pg 1 '!A1:G1</f>
        <v>WASTE CONTROL, INC.</v>
      </c>
      <c r="B1" s="949"/>
      <c r="C1" s="949"/>
      <c r="D1" s="949"/>
      <c r="E1" s="949"/>
      <c r="F1" s="949"/>
      <c r="G1" s="949"/>
    </row>
    <row r="2" spans="1:16" s="559" customFormat="1" ht="18" customHeight="1">
      <c r="A2" s="560"/>
      <c r="B2" s="561"/>
      <c r="C2" s="561"/>
      <c r="D2" s="561"/>
      <c r="E2" s="562"/>
      <c r="F2" s="561"/>
      <c r="G2" s="562"/>
      <c r="H2" s="563"/>
      <c r="I2" s="563"/>
      <c r="J2" s="564"/>
      <c r="K2" s="564"/>
    </row>
    <row r="3" spans="1:16" s="559" customFormat="1">
      <c r="A3" s="949" t="s">
        <v>590</v>
      </c>
      <c r="B3" s="949"/>
      <c r="C3" s="949"/>
      <c r="D3" s="949"/>
      <c r="E3" s="949"/>
      <c r="F3" s="949"/>
      <c r="G3" s="949"/>
      <c r="H3" s="565"/>
      <c r="I3" s="565"/>
      <c r="J3" s="565"/>
      <c r="K3" s="565"/>
    </row>
    <row r="4" spans="1:16" s="559" customFormat="1">
      <c r="A4" s="566"/>
      <c r="B4" s="566"/>
      <c r="C4" s="566"/>
      <c r="D4" s="567"/>
      <c r="E4" s="566"/>
      <c r="F4" s="566"/>
      <c r="G4" s="566"/>
      <c r="H4" s="568"/>
      <c r="I4" s="568"/>
      <c r="J4" s="565"/>
      <c r="K4" s="565"/>
    </row>
    <row r="5" spans="1:16" s="559" customFormat="1" ht="12" thickBot="1">
      <c r="A5" s="948" t="str">
        <f>+'[8]WP-1 Exp Summary'!A5:D5</f>
        <v>In Support of Tariff No. 16, G-101 Effective June 1, 2014</v>
      </c>
      <c r="B5" s="948"/>
      <c r="C5" s="948"/>
      <c r="D5" s="948"/>
      <c r="E5" s="948"/>
      <c r="F5" s="948"/>
      <c r="G5" s="948"/>
      <c r="H5" s="568"/>
      <c r="I5" s="568"/>
      <c r="J5" s="565"/>
      <c r="K5" s="565"/>
    </row>
    <row r="6" spans="1:16" ht="12" thickBot="1">
      <c r="A6" s="569" t="s">
        <v>591</v>
      </c>
      <c r="K6" s="573" t="s">
        <v>526</v>
      </c>
      <c r="L6" s="573" t="s">
        <v>527</v>
      </c>
      <c r="M6" s="573">
        <v>2013</v>
      </c>
      <c r="N6" s="574"/>
      <c r="O6" s="575"/>
      <c r="P6" s="576">
        <v>2012</v>
      </c>
    </row>
    <row r="7" spans="1:16" ht="12" thickBot="1">
      <c r="A7" s="573" t="s">
        <v>528</v>
      </c>
      <c r="B7" s="573" t="s">
        <v>529</v>
      </c>
      <c r="C7" s="573" t="s">
        <v>530</v>
      </c>
      <c r="D7" s="573"/>
      <c r="E7" s="573" t="s">
        <v>65</v>
      </c>
      <c r="F7" s="573" t="s">
        <v>531</v>
      </c>
      <c r="G7" s="573" t="s">
        <v>449</v>
      </c>
      <c r="H7" s="573" t="s">
        <v>532</v>
      </c>
      <c r="I7" s="573" t="s">
        <v>533</v>
      </c>
      <c r="J7" s="577"/>
      <c r="K7" s="573" t="s">
        <v>534</v>
      </c>
      <c r="L7" s="573" t="s">
        <v>534</v>
      </c>
      <c r="M7" s="578" t="s">
        <v>210</v>
      </c>
      <c r="N7" s="579"/>
      <c r="O7" s="580"/>
      <c r="P7" s="576" t="s">
        <v>535</v>
      </c>
    </row>
    <row r="8" spans="1:16">
      <c r="A8" s="581" t="s">
        <v>536</v>
      </c>
      <c r="B8" s="582"/>
      <c r="C8" s="582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0"/>
      <c r="O8" s="580"/>
      <c r="P8" s="584"/>
    </row>
    <row r="9" spans="1:16">
      <c r="A9" s="585"/>
      <c r="B9" s="586"/>
      <c r="C9" s="586"/>
      <c r="D9" s="587"/>
      <c r="E9" s="580"/>
      <c r="F9" s="580"/>
      <c r="G9" s="580"/>
      <c r="H9" s="580"/>
      <c r="I9" s="580"/>
      <c r="J9" s="580"/>
      <c r="K9" s="580"/>
      <c r="L9" s="580"/>
      <c r="M9" s="580"/>
    </row>
    <row r="10" spans="1:16">
      <c r="A10" s="569" t="s">
        <v>461</v>
      </c>
      <c r="B10" s="570" t="s">
        <v>537</v>
      </c>
      <c r="C10" s="570">
        <v>5042706</v>
      </c>
      <c r="E10" s="588">
        <f>(2018.22/2)/2</f>
        <v>504.55500000000001</v>
      </c>
      <c r="F10" s="588"/>
      <c r="G10" s="588">
        <f>(2018.22/2)/2</f>
        <v>504.55500000000001</v>
      </c>
      <c r="H10" s="588"/>
      <c r="I10" s="588"/>
      <c r="J10" s="588"/>
      <c r="K10" s="588">
        <f>SUM(E10,G10)</f>
        <v>1009.11</v>
      </c>
      <c r="L10" s="588">
        <f>SUM(E10,G10)</f>
        <v>1009.11</v>
      </c>
      <c r="M10" s="589">
        <f>SUM(K10:L10)</f>
        <v>2018.22</v>
      </c>
      <c r="O10" s="569"/>
      <c r="P10" s="590">
        <v>1777.72</v>
      </c>
    </row>
    <row r="11" spans="1:16">
      <c r="A11" s="569" t="s">
        <v>462</v>
      </c>
      <c r="E11" s="591"/>
      <c r="F11" s="591"/>
      <c r="G11" s="591"/>
      <c r="H11" s="591"/>
      <c r="I11" s="591"/>
      <c r="J11" s="591"/>
      <c r="K11" s="591"/>
      <c r="L11" s="591"/>
      <c r="M11" s="591"/>
    </row>
    <row r="12" spans="1:16">
      <c r="E12" s="591"/>
      <c r="F12" s="591"/>
      <c r="G12" s="591"/>
      <c r="H12" s="591"/>
      <c r="I12" s="591"/>
      <c r="J12" s="591"/>
      <c r="K12" s="591"/>
      <c r="L12" s="591"/>
      <c r="M12" s="591"/>
    </row>
    <row r="13" spans="1:16">
      <c r="A13" s="592" t="s">
        <v>463</v>
      </c>
      <c r="B13" s="593" t="s">
        <v>538</v>
      </c>
      <c r="C13" s="594">
        <v>10015</v>
      </c>
      <c r="E13" s="595">
        <f>(672.88/2)/2</f>
        <v>168.22</v>
      </c>
      <c r="F13" s="595"/>
      <c r="G13" s="595">
        <f>(672.88/2)/2</f>
        <v>168.22</v>
      </c>
      <c r="H13" s="595"/>
      <c r="I13" s="595"/>
      <c r="J13" s="595"/>
      <c r="K13" s="595">
        <f>SUM(E13,G13)</f>
        <v>336.44</v>
      </c>
      <c r="L13" s="595">
        <f>SUM(E13,G13)</f>
        <v>336.44</v>
      </c>
      <c r="M13" s="596">
        <f>SUM(K13:L13)</f>
        <v>672.88</v>
      </c>
      <c r="P13" s="590">
        <v>782.38</v>
      </c>
    </row>
    <row r="14" spans="1:16">
      <c r="A14" s="597" t="s">
        <v>464</v>
      </c>
      <c r="B14" s="586"/>
      <c r="C14" s="598"/>
      <c r="E14" s="591"/>
      <c r="F14" s="591"/>
      <c r="G14" s="591"/>
      <c r="H14" s="591"/>
      <c r="I14" s="591"/>
      <c r="J14" s="591"/>
      <c r="K14" s="591"/>
      <c r="L14" s="591"/>
      <c r="M14" s="591"/>
    </row>
    <row r="15" spans="1:16">
      <c r="A15" s="597" t="s">
        <v>465</v>
      </c>
      <c r="B15" s="586" t="s">
        <v>539</v>
      </c>
      <c r="C15" s="598">
        <v>10028</v>
      </c>
      <c r="E15" s="595">
        <f>(637.4/2)/2</f>
        <v>159.35</v>
      </c>
      <c r="F15" s="595"/>
      <c r="G15" s="595">
        <f>(637.4/2)/2</f>
        <v>159.35</v>
      </c>
      <c r="H15" s="595"/>
      <c r="I15" s="595"/>
      <c r="J15" s="595"/>
      <c r="K15" s="595">
        <f>SUM(E15,G15)</f>
        <v>318.7</v>
      </c>
      <c r="L15" s="595">
        <f>SUM(E15,G15)</f>
        <v>318.7</v>
      </c>
      <c r="M15" s="596">
        <f>SUM(K15:L15)</f>
        <v>637.4</v>
      </c>
      <c r="P15" s="590">
        <v>764.18</v>
      </c>
    </row>
    <row r="16" spans="1:16">
      <c r="A16" s="597" t="s">
        <v>464</v>
      </c>
      <c r="B16" s="586"/>
      <c r="C16" s="598"/>
      <c r="E16" s="591"/>
      <c r="F16" s="591"/>
      <c r="G16" s="591"/>
      <c r="H16" s="591"/>
      <c r="I16" s="591"/>
      <c r="J16" s="591"/>
      <c r="K16" s="591"/>
      <c r="L16" s="591"/>
      <c r="M16" s="591"/>
    </row>
    <row r="17" spans="1:16">
      <c r="A17" s="597" t="s">
        <v>466</v>
      </c>
      <c r="B17" s="586" t="s">
        <v>540</v>
      </c>
      <c r="C17" s="598">
        <v>1002602</v>
      </c>
      <c r="E17" s="595">
        <v>10.06</v>
      </c>
      <c r="F17" s="595"/>
      <c r="G17" s="595">
        <v>0</v>
      </c>
      <c r="H17" s="595"/>
      <c r="I17" s="595"/>
      <c r="J17" s="595"/>
      <c r="K17" s="595">
        <f>E17</f>
        <v>10.06</v>
      </c>
      <c r="L17" s="595">
        <f>G17</f>
        <v>0</v>
      </c>
      <c r="M17" s="596">
        <f>SUM(K17:L17)</f>
        <v>10.06</v>
      </c>
      <c r="P17" s="590">
        <v>9.7799999999999994</v>
      </c>
    </row>
    <row r="18" spans="1:16">
      <c r="A18" s="597" t="s">
        <v>464</v>
      </c>
      <c r="B18" s="586"/>
      <c r="C18" s="598"/>
      <c r="E18" s="591"/>
      <c r="F18" s="591"/>
      <c r="G18" s="591"/>
      <c r="H18" s="591"/>
      <c r="I18" s="591"/>
      <c r="J18" s="591"/>
      <c r="K18" s="591"/>
      <c r="L18" s="591"/>
      <c r="M18" s="591"/>
    </row>
    <row r="19" spans="1:16">
      <c r="A19" s="597" t="s">
        <v>466</v>
      </c>
      <c r="B19" s="586" t="s">
        <v>541</v>
      </c>
      <c r="C19" s="598">
        <v>1002604</v>
      </c>
      <c r="E19" s="595">
        <v>0</v>
      </c>
      <c r="F19" s="595"/>
      <c r="G19" s="595">
        <v>10.06</v>
      </c>
      <c r="H19" s="595"/>
      <c r="I19" s="595"/>
      <c r="J19" s="595"/>
      <c r="K19" s="595">
        <f>G19</f>
        <v>10.06</v>
      </c>
      <c r="L19" s="595">
        <v>0</v>
      </c>
      <c r="M19" s="596">
        <f>SUM(K19:L19)</f>
        <v>10.06</v>
      </c>
      <c r="P19" s="590">
        <v>9.7799999999999994</v>
      </c>
    </row>
    <row r="20" spans="1:16">
      <c r="A20" s="597" t="s">
        <v>464</v>
      </c>
      <c r="B20" s="586"/>
      <c r="C20" s="598"/>
      <c r="E20" s="591"/>
      <c r="F20" s="591"/>
      <c r="G20" s="591"/>
      <c r="H20" s="591"/>
      <c r="I20" s="591"/>
      <c r="J20" s="591"/>
      <c r="K20" s="591"/>
      <c r="L20" s="591"/>
      <c r="M20" s="591"/>
    </row>
    <row r="21" spans="1:16">
      <c r="A21" s="597" t="s">
        <v>466</v>
      </c>
      <c r="B21" s="586" t="s">
        <v>542</v>
      </c>
      <c r="C21" s="598">
        <v>1002801</v>
      </c>
      <c r="E21" s="595">
        <f>(401.46/2)/2</f>
        <v>100.36499999999999</v>
      </c>
      <c r="F21" s="595"/>
      <c r="G21" s="595">
        <f>(401.46/2)/2</f>
        <v>100.36499999999999</v>
      </c>
      <c r="H21" s="595"/>
      <c r="I21" s="595"/>
      <c r="J21" s="595"/>
      <c r="K21" s="595">
        <f>SUM(E21,G21)</f>
        <v>200.73</v>
      </c>
      <c r="L21" s="595">
        <f>SUM(E21,G21)</f>
        <v>200.73</v>
      </c>
      <c r="M21" s="596">
        <f>SUM(K21:L21)</f>
        <v>401.46</v>
      </c>
      <c r="P21" s="590">
        <v>481.26</v>
      </c>
    </row>
    <row r="22" spans="1:16">
      <c r="A22" s="599" t="s">
        <v>464</v>
      </c>
      <c r="B22" s="600"/>
      <c r="C22" s="601"/>
      <c r="E22" s="591"/>
      <c r="F22" s="591"/>
      <c r="G22" s="591"/>
      <c r="H22" s="591"/>
      <c r="I22" s="591"/>
      <c r="J22" s="591"/>
      <c r="K22" s="591"/>
      <c r="L22" s="591"/>
      <c r="M22" s="602"/>
    </row>
    <row r="23" spans="1:16">
      <c r="A23" s="603"/>
      <c r="B23" s="586"/>
      <c r="C23" s="586"/>
      <c r="E23" s="591"/>
      <c r="F23" s="591"/>
      <c r="G23" s="591"/>
      <c r="H23" s="591"/>
      <c r="I23" s="591"/>
      <c r="J23" s="591"/>
      <c r="K23" s="591"/>
      <c r="L23" s="591"/>
      <c r="M23" s="602"/>
    </row>
    <row r="24" spans="1:16">
      <c r="A24" s="569" t="s">
        <v>467</v>
      </c>
      <c r="B24" s="570" t="s">
        <v>543</v>
      </c>
      <c r="C24" s="570">
        <v>116720</v>
      </c>
      <c r="E24" s="595">
        <f>(104.22/2)/2</f>
        <v>26.055</v>
      </c>
      <c r="F24" s="595"/>
      <c r="G24" s="595">
        <f>(104.22/2)/2</f>
        <v>26.055</v>
      </c>
      <c r="H24" s="595"/>
      <c r="I24" s="595"/>
      <c r="J24" s="595"/>
      <c r="K24" s="595">
        <f>SUM(E24,G24)</f>
        <v>52.11</v>
      </c>
      <c r="L24" s="595">
        <f>SUM(E24,G24)</f>
        <v>52.11</v>
      </c>
      <c r="M24" s="596">
        <f>SUM(K24:L24)</f>
        <v>104.22</v>
      </c>
      <c r="P24" s="590">
        <v>114.18</v>
      </c>
    </row>
    <row r="25" spans="1:16">
      <c r="A25" s="569" t="s">
        <v>468</v>
      </c>
      <c r="E25" s="591"/>
      <c r="F25" s="591"/>
      <c r="G25" s="591"/>
      <c r="H25" s="591"/>
      <c r="I25" s="591"/>
      <c r="J25" s="591"/>
      <c r="K25" s="591"/>
      <c r="L25" s="591"/>
      <c r="M25" s="591"/>
    </row>
    <row r="26" spans="1:16">
      <c r="A26" s="569" t="s">
        <v>461</v>
      </c>
      <c r="B26" s="570" t="s">
        <v>544</v>
      </c>
      <c r="C26" s="570">
        <v>116883</v>
      </c>
      <c r="E26" s="595">
        <f>(65.66/2)/2</f>
        <v>16.414999999999999</v>
      </c>
      <c r="F26" s="595"/>
      <c r="G26" s="595">
        <f>(65.66/2)/2</f>
        <v>16.414999999999999</v>
      </c>
      <c r="H26" s="595"/>
      <c r="I26" s="595"/>
      <c r="J26" s="595"/>
      <c r="K26" s="595">
        <f>SUM(E26,G26)</f>
        <v>32.83</v>
      </c>
      <c r="L26" s="595">
        <f>SUM(E26,G26)</f>
        <v>32.83</v>
      </c>
      <c r="M26" s="596">
        <f>SUM(K26:L26)</f>
        <v>65.66</v>
      </c>
      <c r="P26" s="590">
        <v>62.24</v>
      </c>
    </row>
    <row r="27" spans="1:16">
      <c r="A27" s="569" t="s">
        <v>468</v>
      </c>
      <c r="E27" s="591"/>
      <c r="F27" s="591"/>
      <c r="G27" s="591"/>
      <c r="H27" s="591"/>
      <c r="I27" s="591"/>
      <c r="J27" s="591"/>
      <c r="K27" s="591"/>
      <c r="L27" s="591"/>
      <c r="M27" s="591"/>
    </row>
    <row r="28" spans="1:16">
      <c r="E28" s="591"/>
      <c r="F28" s="591"/>
      <c r="G28" s="591"/>
      <c r="H28" s="591"/>
      <c r="I28" s="591"/>
      <c r="J28" s="591"/>
      <c r="K28" s="591"/>
      <c r="L28" s="591"/>
      <c r="M28" s="591"/>
    </row>
    <row r="29" spans="1:16">
      <c r="A29" s="569" t="s">
        <v>545</v>
      </c>
      <c r="B29" s="570" t="s">
        <v>546</v>
      </c>
      <c r="C29" s="570">
        <v>10027</v>
      </c>
      <c r="E29" s="595">
        <f>(593.5/2)/2</f>
        <v>148.375</v>
      </c>
      <c r="F29" s="595"/>
      <c r="G29" s="595">
        <f>(593.5/2)/2</f>
        <v>148.375</v>
      </c>
      <c r="H29" s="595"/>
      <c r="I29" s="595"/>
      <c r="J29" s="595"/>
      <c r="K29" s="595">
        <f>SUM(E29:G29)</f>
        <v>296.75</v>
      </c>
      <c r="L29" s="595">
        <f>SUM(E29:G29)</f>
        <v>296.75</v>
      </c>
      <c r="M29" s="596">
        <f>SUM(K29:L29)</f>
        <v>593.5</v>
      </c>
      <c r="P29" s="590">
        <v>651.46</v>
      </c>
    </row>
    <row r="30" spans="1:16">
      <c r="E30" s="604"/>
      <c r="F30" s="604"/>
      <c r="G30" s="604"/>
      <c r="H30" s="604"/>
      <c r="I30" s="604"/>
      <c r="J30" s="604"/>
      <c r="K30" s="604"/>
      <c r="L30" s="604"/>
      <c r="M30" s="604"/>
    </row>
    <row r="31" spans="1:16">
      <c r="A31" s="569" t="s">
        <v>471</v>
      </c>
      <c r="B31" s="570" t="s">
        <v>547</v>
      </c>
      <c r="C31" s="570">
        <v>308405</v>
      </c>
      <c r="E31" s="595">
        <f>(258.24/2)/2</f>
        <v>64.56</v>
      </c>
      <c r="F31" s="595"/>
      <c r="G31" s="595">
        <f>(258.24/2)/2</f>
        <v>64.56</v>
      </c>
      <c r="H31" s="595"/>
      <c r="I31" s="595"/>
      <c r="J31" s="595"/>
      <c r="K31" s="595">
        <f>E31+G31</f>
        <v>129.12</v>
      </c>
      <c r="L31" s="595">
        <f>E31+G31</f>
        <v>129.12</v>
      </c>
      <c r="M31" s="596">
        <f>SUM(K31:L31)</f>
        <v>258.24</v>
      </c>
      <c r="P31" s="590">
        <v>187.48</v>
      </c>
    </row>
    <row r="32" spans="1:16">
      <c r="A32" s="569" t="s">
        <v>472</v>
      </c>
      <c r="E32" s="591"/>
      <c r="F32" s="591"/>
      <c r="G32" s="591"/>
      <c r="H32" s="591"/>
      <c r="I32" s="591"/>
      <c r="J32" s="591"/>
      <c r="K32" s="591"/>
      <c r="L32" s="591"/>
      <c r="M32" s="591"/>
    </row>
    <row r="33" spans="1:16">
      <c r="E33" s="588"/>
      <c r="F33" s="588"/>
      <c r="G33" s="588"/>
      <c r="H33" s="588"/>
      <c r="I33" s="588"/>
      <c r="J33" s="588"/>
      <c r="K33" s="588"/>
      <c r="L33" s="588"/>
      <c r="M33" s="588"/>
      <c r="N33" s="580"/>
      <c r="O33" s="580"/>
    </row>
    <row r="34" spans="1:16">
      <c r="A34" s="569" t="s">
        <v>473</v>
      </c>
      <c r="B34" s="570" t="s">
        <v>548</v>
      </c>
      <c r="C34" s="570">
        <v>10068</v>
      </c>
      <c r="E34" s="605">
        <f>K34*'[8]3-Factor'!$C$33</f>
        <v>326.87425502884503</v>
      </c>
      <c r="F34" s="591">
        <v>500</v>
      </c>
      <c r="G34" s="591">
        <v>500</v>
      </c>
      <c r="H34" s="591"/>
      <c r="I34" s="591"/>
      <c r="J34" s="591"/>
      <c r="K34" s="591">
        <v>1500</v>
      </c>
      <c r="L34" s="591">
        <v>1500</v>
      </c>
      <c r="M34" s="591">
        <f>SUM(K34:L34)</f>
        <v>3000</v>
      </c>
      <c r="N34" s="591"/>
      <c r="O34" s="591">
        <f>SUM(M34:N34)</f>
        <v>3000</v>
      </c>
    </row>
    <row r="35" spans="1:16">
      <c r="A35" s="569" t="s">
        <v>549</v>
      </c>
      <c r="E35" s="591"/>
      <c r="F35" s="591"/>
      <c r="G35" s="591"/>
      <c r="H35" s="591"/>
      <c r="I35" s="591"/>
      <c r="J35" s="591"/>
      <c r="K35" s="591"/>
      <c r="L35" s="591"/>
      <c r="M35" s="591"/>
      <c r="N35" s="591"/>
      <c r="O35" s="591"/>
    </row>
    <row r="36" spans="1:16" ht="12" thickBot="1">
      <c r="E36" s="588"/>
      <c r="F36" s="588">
        <v>15753.31</v>
      </c>
      <c r="G36" s="588"/>
      <c r="H36" s="588"/>
      <c r="I36" s="588"/>
      <c r="J36" s="588"/>
      <c r="K36" s="588">
        <f>F36</f>
        <v>15753.31</v>
      </c>
      <c r="L36" s="588">
        <f>F36</f>
        <v>15753.31</v>
      </c>
      <c r="M36" s="588">
        <f>SUM(K36:L36)</f>
        <v>31506.62</v>
      </c>
      <c r="N36" s="588"/>
      <c r="O36" s="604">
        <f>SUM(M36:N36)</f>
        <v>31506.62</v>
      </c>
    </row>
    <row r="37" spans="1:16" ht="12" thickBot="1">
      <c r="E37" s="595"/>
      <c r="F37" s="595"/>
      <c r="G37" s="595"/>
      <c r="H37" s="595"/>
      <c r="I37" s="595"/>
      <c r="J37" s="595"/>
      <c r="K37" s="595"/>
      <c r="L37" s="595"/>
      <c r="M37" s="595"/>
      <c r="N37" s="595"/>
      <c r="O37" s="606">
        <f>SUM(O34:O36)</f>
        <v>34506.619999999995</v>
      </c>
      <c r="P37" s="607">
        <v>36038.54</v>
      </c>
    </row>
    <row r="38" spans="1:16"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</row>
    <row r="39" spans="1:16">
      <c r="A39" s="569" t="s">
        <v>467</v>
      </c>
      <c r="B39" s="570" t="s">
        <v>550</v>
      </c>
      <c r="C39" s="570">
        <v>10018</v>
      </c>
      <c r="E39" s="605">
        <f>K39*'[8]3-Factor'!$C$33</f>
        <v>48.994092505423495</v>
      </c>
      <c r="F39" s="595">
        <f>(449.66/3)/2</f>
        <v>74.943333333333342</v>
      </c>
      <c r="G39" s="595">
        <f>(449.66/3)/2+0.01</f>
        <v>74.953333333333347</v>
      </c>
      <c r="H39" s="595"/>
      <c r="I39" s="595"/>
      <c r="J39" s="595"/>
      <c r="K39" s="595">
        <v>224.83000000000004</v>
      </c>
      <c r="L39" s="595">
        <v>224.83000000000004</v>
      </c>
      <c r="M39" s="596">
        <f>SUM(K39:L39)</f>
        <v>449.66000000000008</v>
      </c>
      <c r="P39" s="590">
        <v>539.05999999999995</v>
      </c>
    </row>
    <row r="40" spans="1:16">
      <c r="A40" s="569" t="s">
        <v>475</v>
      </c>
      <c r="E40" s="591"/>
      <c r="F40" s="591"/>
      <c r="G40" s="591"/>
      <c r="H40" s="591"/>
      <c r="I40" s="591"/>
      <c r="J40" s="591"/>
      <c r="K40" s="591"/>
      <c r="L40" s="591"/>
      <c r="M40" s="591"/>
    </row>
    <row r="41" spans="1:16">
      <c r="E41" s="591"/>
      <c r="F41" s="591"/>
      <c r="G41" s="591"/>
      <c r="H41" s="591"/>
      <c r="I41" s="591"/>
      <c r="J41" s="591"/>
      <c r="K41" s="591"/>
      <c r="L41" s="591"/>
      <c r="M41" s="591"/>
    </row>
    <row r="42" spans="1:16">
      <c r="A42" s="569" t="s">
        <v>467</v>
      </c>
      <c r="B42" s="570" t="s">
        <v>551</v>
      </c>
      <c r="C42" s="570">
        <v>10022</v>
      </c>
      <c r="E42" s="605">
        <f>K42*'[8]3-Factor'!$C$19</f>
        <v>1629.4703404804927</v>
      </c>
      <c r="F42" s="595">
        <f>(14955.02/4)/2</f>
        <v>1869.3775000000001</v>
      </c>
      <c r="G42" s="595">
        <f>(14955.02/4)/2</f>
        <v>1869.3775000000001</v>
      </c>
      <c r="H42" s="595"/>
      <c r="I42" s="595">
        <f>(14955.02/4)/2-0.02</f>
        <v>1869.3575000000001</v>
      </c>
      <c r="J42" s="595"/>
      <c r="K42" s="595">
        <v>7477.51</v>
      </c>
      <c r="L42" s="595">
        <v>7477.51</v>
      </c>
      <c r="M42" s="596">
        <f>SUM(K42:L42)</f>
        <v>14955.02</v>
      </c>
      <c r="P42" s="590">
        <v>9716.5</v>
      </c>
    </row>
    <row r="43" spans="1:16">
      <c r="A43" s="569" t="s">
        <v>476</v>
      </c>
      <c r="E43" s="591"/>
      <c r="F43" s="591"/>
      <c r="G43" s="591"/>
      <c r="H43" s="591"/>
      <c r="I43" s="591"/>
      <c r="J43" s="591"/>
      <c r="K43" s="591"/>
      <c r="L43" s="591"/>
      <c r="M43" s="591"/>
    </row>
    <row r="44" spans="1:16">
      <c r="E44" s="591"/>
      <c r="F44" s="591"/>
      <c r="G44" s="591"/>
      <c r="H44" s="591"/>
      <c r="I44" s="591"/>
      <c r="J44" s="591"/>
      <c r="K44" s="591"/>
      <c r="L44" s="591"/>
      <c r="M44" s="591"/>
    </row>
    <row r="45" spans="1:16">
      <c r="A45" s="569" t="s">
        <v>477</v>
      </c>
      <c r="B45" s="570" t="s">
        <v>552</v>
      </c>
      <c r="C45" s="570">
        <v>10016</v>
      </c>
      <c r="E45" s="605">
        <v>0</v>
      </c>
      <c r="F45" s="595">
        <f>(10695.62/3)/2</f>
        <v>1782.6033333333335</v>
      </c>
      <c r="G45" s="595">
        <f>(10695.62/3)/2</f>
        <v>1782.6033333333335</v>
      </c>
      <c r="H45" s="595"/>
      <c r="I45" s="595"/>
      <c r="J45" s="595"/>
      <c r="K45" s="595">
        <v>5347.81</v>
      </c>
      <c r="L45" s="595">
        <v>5347.81</v>
      </c>
      <c r="M45" s="596">
        <f>SUM(K45:L45)</f>
        <v>10695.62</v>
      </c>
      <c r="P45" s="590">
        <v>10113.6</v>
      </c>
    </row>
    <row r="46" spans="1:16">
      <c r="A46" s="569" t="s">
        <v>478</v>
      </c>
      <c r="E46" s="591"/>
      <c r="F46" s="591"/>
      <c r="G46" s="591"/>
      <c r="H46" s="591"/>
      <c r="I46" s="591"/>
      <c r="J46" s="591"/>
      <c r="K46" s="591"/>
      <c r="L46" s="591"/>
      <c r="M46" s="591"/>
    </row>
    <row r="47" spans="1:16">
      <c r="A47" s="610"/>
      <c r="B47" s="611"/>
      <c r="C47" s="612">
        <v>0</v>
      </c>
      <c r="D47" s="580"/>
      <c r="E47" s="588"/>
      <c r="F47" s="588"/>
      <c r="G47" s="588"/>
      <c r="H47" s="588"/>
      <c r="I47" s="588"/>
      <c r="J47" s="588"/>
      <c r="K47" s="588"/>
      <c r="L47" s="588"/>
      <c r="M47" s="588"/>
      <c r="N47" s="580"/>
      <c r="O47" s="580"/>
      <c r="P47" s="584"/>
    </row>
    <row r="48" spans="1:16" ht="12" thickBot="1">
      <c r="A48" s="603" t="s">
        <v>554</v>
      </c>
      <c r="B48" s="586"/>
      <c r="C48" s="586"/>
      <c r="D48" s="587"/>
      <c r="E48" s="613">
        <f>SUM(E10:E47)+0.03</f>
        <v>3203.323688014761</v>
      </c>
      <c r="F48" s="613">
        <f>SUM(F10:F47)</f>
        <v>19980.234166666665</v>
      </c>
      <c r="G48" s="613">
        <f>SUM(G10:G47)</f>
        <v>5424.8891666666668</v>
      </c>
      <c r="H48" s="613"/>
      <c r="I48" s="613">
        <f>SUM(I10:I47)</f>
        <v>1869.3575000000001</v>
      </c>
      <c r="J48" s="614"/>
      <c r="K48" s="613">
        <f>SUM(K10:K47)</f>
        <v>32699.370000000006</v>
      </c>
      <c r="L48" s="613">
        <f>SUM(L10:L47)</f>
        <v>32679.250000000004</v>
      </c>
      <c r="M48" s="613">
        <f>SUM(M10:M47)</f>
        <v>65378.62</v>
      </c>
      <c r="N48" s="587"/>
      <c r="O48" s="587"/>
      <c r="P48" s="590">
        <v>61248.160000000003</v>
      </c>
    </row>
    <row r="49" spans="1:16" ht="12.75" thickTop="1" thickBot="1">
      <c r="A49" s="603"/>
      <c r="B49" s="586"/>
      <c r="C49" s="586"/>
      <c r="D49" s="587"/>
      <c r="E49" s="604">
        <v>0</v>
      </c>
      <c r="F49" s="604"/>
      <c r="G49" s="604">
        <v>0</v>
      </c>
      <c r="H49" s="604"/>
      <c r="I49" s="604"/>
      <c r="J49" s="604"/>
      <c r="K49" s="604"/>
      <c r="L49" s="604"/>
      <c r="M49" s="604"/>
      <c r="N49" s="587"/>
      <c r="O49" s="587"/>
    </row>
    <row r="50" spans="1:16" ht="22.5" customHeight="1" thickBot="1">
      <c r="A50" s="615" t="s">
        <v>65</v>
      </c>
      <c r="B50" s="616"/>
      <c r="C50" s="616"/>
      <c r="D50" s="617"/>
      <c r="E50" s="618">
        <f>E10+E13+E15+E17+E19+E21+E24+E26+E29+E31+E34+E39+E42+E45+E65+E68</f>
        <v>3680.3361985148899</v>
      </c>
      <c r="F50" s="604"/>
      <c r="G50" s="604"/>
      <c r="H50" s="604"/>
      <c r="I50" s="604"/>
      <c r="J50" s="604"/>
      <c r="K50" s="619">
        <f>-E48</f>
        <v>-3203.323688014761</v>
      </c>
      <c r="L50" s="619">
        <f>-E48</f>
        <v>-3203.323688014761</v>
      </c>
      <c r="M50" s="619">
        <f>SUM(K50:L50)</f>
        <v>-6406.6473760295221</v>
      </c>
      <c r="N50" s="587"/>
      <c r="O50" s="587"/>
    </row>
    <row r="51" spans="1:16">
      <c r="A51" s="603" t="s">
        <v>531</v>
      </c>
      <c r="B51" s="586"/>
      <c r="C51" s="586"/>
      <c r="D51" s="587"/>
      <c r="E51" s="604"/>
      <c r="F51" s="604"/>
      <c r="G51" s="604"/>
      <c r="H51" s="604"/>
      <c r="I51" s="604"/>
      <c r="J51" s="604"/>
      <c r="K51" s="619">
        <f>-F48</f>
        <v>-19980.234166666665</v>
      </c>
      <c r="L51" s="619">
        <f>-F48</f>
        <v>-19980.234166666665</v>
      </c>
      <c r="M51" s="619">
        <f>SUM(K51:L51)</f>
        <v>-39960.468333333331</v>
      </c>
      <c r="N51" s="587"/>
      <c r="O51" s="587"/>
    </row>
    <row r="52" spans="1:16">
      <c r="A52" s="603" t="s">
        <v>449</v>
      </c>
      <c r="B52" s="586"/>
      <c r="C52" s="586"/>
      <c r="D52" s="587"/>
      <c r="E52" s="604"/>
      <c r="F52" s="604"/>
      <c r="G52" s="604"/>
      <c r="H52" s="604"/>
      <c r="I52" s="604"/>
      <c r="J52" s="604"/>
      <c r="K52" s="619">
        <f>-G48</f>
        <v>-5424.8891666666668</v>
      </c>
      <c r="L52" s="619">
        <f>-G48</f>
        <v>-5424.8891666666668</v>
      </c>
      <c r="M52" s="619">
        <f>SUM(K52:L52)</f>
        <v>-10849.778333333334</v>
      </c>
      <c r="N52" s="587"/>
      <c r="O52" s="587"/>
    </row>
    <row r="53" spans="1:16">
      <c r="A53" s="603" t="s">
        <v>592</v>
      </c>
      <c r="B53" s="586"/>
      <c r="C53" s="586"/>
      <c r="D53" s="587"/>
      <c r="E53" s="604"/>
      <c r="F53" s="604"/>
      <c r="G53" s="604"/>
      <c r="H53" s="604"/>
      <c r="I53" s="604"/>
      <c r="J53" s="604"/>
      <c r="K53" s="619"/>
      <c r="L53" s="620">
        <v>20.12</v>
      </c>
      <c r="M53" s="620">
        <v>20.12</v>
      </c>
      <c r="N53" s="587"/>
      <c r="O53" s="587"/>
    </row>
    <row r="54" spans="1:16">
      <c r="A54" s="603"/>
      <c r="B54" s="586"/>
      <c r="C54" s="586"/>
      <c r="D54" s="587"/>
      <c r="E54" s="604"/>
      <c r="F54" s="604"/>
      <c r="G54" s="604"/>
      <c r="H54" s="604"/>
      <c r="I54" s="604"/>
      <c r="J54" s="604"/>
      <c r="K54" s="621">
        <v>0</v>
      </c>
      <c r="L54" s="621"/>
      <c r="M54" s="621">
        <v>0</v>
      </c>
      <c r="N54" s="587"/>
      <c r="O54" s="587"/>
    </row>
    <row r="55" spans="1:16">
      <c r="A55" s="610" t="s">
        <v>533</v>
      </c>
      <c r="B55" s="600"/>
      <c r="C55" s="600"/>
      <c r="D55" s="580"/>
      <c r="E55" s="588"/>
      <c r="F55" s="588"/>
      <c r="G55" s="588"/>
      <c r="H55" s="588"/>
      <c r="I55" s="588"/>
      <c r="J55" s="588"/>
      <c r="K55" s="589">
        <f>-I48</f>
        <v>-1869.3575000000001</v>
      </c>
      <c r="L55" s="589">
        <f>-I48</f>
        <v>-1869.3575000000001</v>
      </c>
      <c r="M55" s="589">
        <f>SUM(K55:L55)</f>
        <v>-3738.7150000000001</v>
      </c>
      <c r="N55" s="587"/>
      <c r="O55" s="587"/>
    </row>
    <row r="56" spans="1:16" ht="12" thickBot="1">
      <c r="A56" s="603"/>
      <c r="B56" s="586"/>
      <c r="C56" s="586"/>
      <c r="D56" s="587"/>
      <c r="E56" s="604"/>
      <c r="F56" s="604"/>
      <c r="G56" s="604"/>
      <c r="H56" s="604"/>
      <c r="I56" s="604"/>
      <c r="J56" s="604"/>
      <c r="K56" s="613">
        <f>SUM(K48:K55)+0.02</f>
        <v>2221.5854786519144</v>
      </c>
      <c r="L56" s="613">
        <f>SUM(L48:L55)+0.02</f>
        <v>2221.5854786519117</v>
      </c>
      <c r="M56" s="613">
        <f>SUM(M48:M55)+0.04</f>
        <v>4443.1709573038188</v>
      </c>
      <c r="N56" s="587"/>
      <c r="O56" s="587"/>
    </row>
    <row r="57" spans="1:16" ht="12" thickTop="1">
      <c r="A57" s="603"/>
      <c r="B57" s="586"/>
      <c r="C57" s="586"/>
      <c r="D57" s="587"/>
      <c r="E57" s="604"/>
      <c r="F57" s="604"/>
      <c r="G57" s="604"/>
      <c r="H57" s="604"/>
      <c r="I57" s="604"/>
      <c r="J57" s="604"/>
      <c r="K57" s="604"/>
      <c r="L57" s="604"/>
      <c r="M57" s="604"/>
      <c r="N57" s="587"/>
      <c r="O57" s="587"/>
    </row>
    <row r="58" spans="1:16">
      <c r="A58" s="603"/>
      <c r="B58" s="586"/>
      <c r="C58" s="586"/>
      <c r="D58" s="587"/>
      <c r="E58" s="604"/>
      <c r="F58" s="604"/>
      <c r="G58" s="604"/>
      <c r="H58" s="604"/>
      <c r="I58" s="604"/>
      <c r="J58" s="604"/>
      <c r="K58" s="604"/>
      <c r="L58" s="604"/>
      <c r="M58" s="604"/>
      <c r="N58" s="587"/>
      <c r="O58" s="587"/>
    </row>
    <row r="59" spans="1:16">
      <c r="A59" s="603"/>
      <c r="B59" s="586"/>
      <c r="C59" s="586"/>
      <c r="D59" s="587"/>
      <c r="E59" s="604"/>
      <c r="F59" s="604"/>
      <c r="G59" s="604"/>
      <c r="H59" s="604"/>
      <c r="I59" s="604"/>
      <c r="J59" s="604"/>
      <c r="K59" s="604"/>
      <c r="L59" s="604"/>
      <c r="M59" s="604"/>
      <c r="N59" s="587"/>
      <c r="O59" s="587"/>
    </row>
    <row r="60" spans="1:16" ht="12" thickBot="1">
      <c r="A60" s="610"/>
      <c r="B60" s="600"/>
      <c r="C60" s="600"/>
      <c r="D60" s="580"/>
      <c r="E60" s="588"/>
      <c r="F60" s="588"/>
      <c r="G60" s="588"/>
      <c r="H60" s="588"/>
      <c r="I60" s="588"/>
      <c r="J60" s="588"/>
      <c r="K60" s="588"/>
      <c r="L60" s="588"/>
      <c r="M60" s="588"/>
      <c r="N60" s="580"/>
      <c r="O60" s="580"/>
    </row>
    <row r="61" spans="1:16" ht="12" thickBot="1">
      <c r="A61" s="569" t="s">
        <v>591</v>
      </c>
      <c r="B61" s="622"/>
      <c r="C61" s="622"/>
      <c r="D61" s="569"/>
      <c r="E61" s="569"/>
      <c r="F61" s="569"/>
      <c r="G61" s="569"/>
      <c r="H61" s="569"/>
      <c r="I61" s="569"/>
      <c r="J61" s="569"/>
      <c r="K61" s="573" t="s">
        <v>526</v>
      </c>
      <c r="L61" s="573" t="s">
        <v>527</v>
      </c>
      <c r="M61" s="573">
        <v>2013</v>
      </c>
      <c r="N61" s="587"/>
      <c r="O61" s="587"/>
      <c r="P61" s="576">
        <v>2012</v>
      </c>
    </row>
    <row r="62" spans="1:16" ht="12" thickBot="1">
      <c r="A62" s="573" t="s">
        <v>528</v>
      </c>
      <c r="B62" s="573" t="s">
        <v>529</v>
      </c>
      <c r="C62" s="573" t="s">
        <v>530</v>
      </c>
      <c r="D62" s="573"/>
      <c r="E62" s="573" t="s">
        <v>65</v>
      </c>
      <c r="F62" s="573" t="s">
        <v>531</v>
      </c>
      <c r="G62" s="573" t="s">
        <v>449</v>
      </c>
      <c r="H62" s="573" t="s">
        <v>532</v>
      </c>
      <c r="I62" s="573" t="s">
        <v>533</v>
      </c>
      <c r="J62" s="577"/>
      <c r="K62" s="573" t="s">
        <v>534</v>
      </c>
      <c r="L62" s="573" t="s">
        <v>534</v>
      </c>
      <c r="M62" s="578" t="s">
        <v>210</v>
      </c>
      <c r="N62" s="587"/>
      <c r="O62" s="587"/>
      <c r="P62" s="576" t="s">
        <v>535</v>
      </c>
    </row>
    <row r="63" spans="1:16">
      <c r="A63" s="581" t="s">
        <v>556</v>
      </c>
      <c r="B63" s="582"/>
      <c r="C63" s="582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0"/>
      <c r="O63" s="580"/>
      <c r="P63" s="584"/>
    </row>
    <row r="64" spans="1:16">
      <c r="A64" s="622" t="s">
        <v>65</v>
      </c>
      <c r="E64" s="591"/>
      <c r="F64" s="591"/>
      <c r="G64" s="591"/>
      <c r="H64" s="591"/>
      <c r="I64" s="591"/>
      <c r="J64" s="591"/>
      <c r="K64" s="591"/>
      <c r="L64" s="591"/>
      <c r="M64" s="591"/>
    </row>
    <row r="65" spans="1:16">
      <c r="A65" s="569" t="s">
        <v>479</v>
      </c>
      <c r="B65" s="570" t="s">
        <v>557</v>
      </c>
      <c r="C65" s="570">
        <v>3025</v>
      </c>
      <c r="E65" s="605">
        <f>K65*'[8]3-Factor'!$C$33</f>
        <v>428.68251050012913</v>
      </c>
      <c r="F65" s="595"/>
      <c r="G65" s="595"/>
      <c r="H65" s="595"/>
      <c r="I65" s="595"/>
      <c r="J65" s="595"/>
      <c r="K65" s="595">
        <v>1967.19</v>
      </c>
      <c r="L65" s="595">
        <v>1967.19</v>
      </c>
      <c r="M65" s="596">
        <f>SUM(K65:L65)</f>
        <v>3934.38</v>
      </c>
      <c r="P65" s="590">
        <v>3550.66</v>
      </c>
    </row>
    <row r="66" spans="1:16">
      <c r="A66" s="569" t="s">
        <v>468</v>
      </c>
      <c r="E66" s="604"/>
      <c r="F66" s="604"/>
      <c r="G66" s="604"/>
      <c r="H66" s="604"/>
      <c r="I66" s="604"/>
      <c r="J66" s="604"/>
      <c r="K66" s="604"/>
      <c r="L66" s="604"/>
      <c r="M66" s="619"/>
    </row>
    <row r="67" spans="1:16">
      <c r="C67" s="586"/>
      <c r="E67" s="604"/>
      <c r="F67" s="604"/>
      <c r="G67" s="604"/>
      <c r="H67" s="604"/>
      <c r="I67" s="604"/>
      <c r="J67" s="604"/>
      <c r="K67" s="604"/>
      <c r="L67" s="604"/>
      <c r="M67" s="604"/>
    </row>
    <row r="68" spans="1:16">
      <c r="A68" s="569" t="s">
        <v>480</v>
      </c>
      <c r="B68" s="570" t="s">
        <v>558</v>
      </c>
      <c r="C68" s="570">
        <v>321805055</v>
      </c>
      <c r="E68" s="595">
        <f>96.72/2</f>
        <v>48.36</v>
      </c>
      <c r="F68" s="595"/>
      <c r="G68" s="595"/>
      <c r="H68" s="595"/>
      <c r="I68" s="595"/>
      <c r="J68" s="595"/>
      <c r="K68" s="595">
        <f>E68</f>
        <v>48.36</v>
      </c>
      <c r="L68" s="595">
        <f>E68</f>
        <v>48.36</v>
      </c>
      <c r="M68" s="596">
        <f>SUM(K68:L68)</f>
        <v>96.72</v>
      </c>
      <c r="P68" s="590">
        <v>97.26</v>
      </c>
    </row>
    <row r="69" spans="1:16">
      <c r="A69" s="610" t="s">
        <v>468</v>
      </c>
      <c r="B69" s="600"/>
      <c r="C69" s="600"/>
      <c r="D69" s="580"/>
      <c r="E69" s="588"/>
      <c r="F69" s="588"/>
      <c r="G69" s="588"/>
      <c r="H69" s="588"/>
      <c r="I69" s="588"/>
      <c r="J69" s="588"/>
      <c r="K69" s="588"/>
      <c r="L69" s="588"/>
      <c r="M69" s="588"/>
    </row>
    <row r="70" spans="1:16" ht="12" thickBot="1">
      <c r="A70" s="569" t="s">
        <v>559</v>
      </c>
      <c r="E70" s="613">
        <f>SUM(E65:E69)</f>
        <v>477.04251050012914</v>
      </c>
      <c r="F70" s="614"/>
      <c r="G70" s="614"/>
      <c r="H70" s="614"/>
      <c r="I70" s="614"/>
      <c r="J70" s="614"/>
      <c r="K70" s="613">
        <f>SUM(K65:K69)</f>
        <v>2015.55</v>
      </c>
      <c r="L70" s="613">
        <f>SUM(L65:L69)</f>
        <v>2015.55</v>
      </c>
      <c r="M70" s="613">
        <f>SUM(M65:M69)</f>
        <v>4031.1</v>
      </c>
      <c r="P70" s="590">
        <v>3647.92</v>
      </c>
    </row>
    <row r="71" spans="1:16" ht="12" thickTop="1">
      <c r="E71" s="604"/>
      <c r="F71" s="604"/>
      <c r="G71" s="604"/>
      <c r="H71" s="604"/>
      <c r="I71" s="604"/>
      <c r="J71" s="604"/>
      <c r="K71" s="604"/>
      <c r="L71" s="604"/>
      <c r="M71" s="604"/>
    </row>
    <row r="72" spans="1:16" hidden="1" outlineLevel="1">
      <c r="A72" s="610"/>
      <c r="B72" s="600"/>
      <c r="C72" s="600"/>
      <c r="D72" s="580"/>
      <c r="E72" s="588"/>
      <c r="F72" s="588"/>
      <c r="G72" s="588"/>
      <c r="H72" s="588"/>
      <c r="I72" s="588"/>
      <c r="J72" s="588"/>
      <c r="K72" s="588"/>
      <c r="L72" s="588"/>
      <c r="M72" s="588"/>
      <c r="N72" s="580"/>
      <c r="O72" s="580"/>
      <c r="P72" s="584"/>
    </row>
    <row r="73" spans="1:16" hidden="1" outlineLevel="1">
      <c r="A73" s="622" t="s">
        <v>531</v>
      </c>
      <c r="E73" s="604"/>
      <c r="F73" s="604"/>
      <c r="G73" s="604"/>
      <c r="H73" s="604"/>
      <c r="I73" s="604"/>
      <c r="J73" s="604"/>
      <c r="K73" s="604"/>
      <c r="L73" s="604"/>
      <c r="M73" s="604"/>
    </row>
    <row r="74" spans="1:16" hidden="1" outlineLevel="1">
      <c r="A74" s="569" t="s">
        <v>479</v>
      </c>
      <c r="B74" s="570" t="s">
        <v>560</v>
      </c>
      <c r="C74" s="570">
        <v>10021</v>
      </c>
      <c r="E74" s="595"/>
      <c r="F74" s="595">
        <f>9515.3/2</f>
        <v>4757.6499999999996</v>
      </c>
      <c r="G74" s="595"/>
      <c r="H74" s="595"/>
      <c r="I74" s="595"/>
      <c r="J74" s="595"/>
      <c r="K74" s="595">
        <f>F74</f>
        <v>4757.6499999999996</v>
      </c>
      <c r="L74" s="595">
        <f>F74</f>
        <v>4757.6499999999996</v>
      </c>
      <c r="M74" s="596">
        <f>SUM(K74:L74)</f>
        <v>9515.2999999999993</v>
      </c>
      <c r="P74" s="590">
        <v>9395</v>
      </c>
    </row>
    <row r="75" spans="1:16" hidden="1" outlineLevel="1">
      <c r="A75" s="569" t="s">
        <v>561</v>
      </c>
      <c r="E75" s="591"/>
      <c r="F75" s="591"/>
      <c r="G75" s="591"/>
      <c r="H75" s="591"/>
      <c r="I75" s="591"/>
      <c r="J75" s="591"/>
      <c r="K75" s="591"/>
      <c r="L75" s="591"/>
      <c r="M75" s="602"/>
    </row>
    <row r="76" spans="1:16" hidden="1" outlineLevel="1">
      <c r="E76" s="591"/>
      <c r="F76" s="591"/>
      <c r="G76" s="591"/>
      <c r="H76" s="591"/>
      <c r="I76" s="591"/>
      <c r="J76" s="591"/>
      <c r="K76" s="591"/>
      <c r="L76" s="591"/>
      <c r="M76" s="602"/>
    </row>
    <row r="77" spans="1:16" hidden="1" outlineLevel="1">
      <c r="A77" s="569" t="s">
        <v>467</v>
      </c>
      <c r="B77" s="570" t="s">
        <v>562</v>
      </c>
      <c r="C77" s="570">
        <v>10023</v>
      </c>
      <c r="E77" s="595"/>
      <c r="F77" s="595">
        <f>(824.08/2)</f>
        <v>412.04</v>
      </c>
      <c r="G77" s="595"/>
      <c r="H77" s="595"/>
      <c r="I77" s="595"/>
      <c r="J77" s="595"/>
      <c r="K77" s="595">
        <f>SUM(E77:G77)</f>
        <v>412.04</v>
      </c>
      <c r="L77" s="595">
        <f>SUM(E77:G77)</f>
        <v>412.04</v>
      </c>
      <c r="M77" s="596">
        <f>SUM(K77:L77)</f>
        <v>824.08</v>
      </c>
      <c r="P77" s="590">
        <v>988.7</v>
      </c>
    </row>
    <row r="78" spans="1:16" hidden="1" outlineLevel="1">
      <c r="A78" s="569" t="s">
        <v>563</v>
      </c>
      <c r="E78" s="604"/>
      <c r="F78" s="604"/>
      <c r="G78" s="604"/>
      <c r="H78" s="604"/>
      <c r="I78" s="604"/>
      <c r="J78" s="604"/>
      <c r="K78" s="604"/>
      <c r="L78" s="604"/>
      <c r="M78" s="619"/>
      <c r="P78" s="623"/>
    </row>
    <row r="79" spans="1:16" hidden="1" outlineLevel="1">
      <c r="E79" s="604"/>
      <c r="F79" s="604"/>
      <c r="G79" s="604"/>
      <c r="H79" s="604"/>
      <c r="I79" s="604"/>
      <c r="J79" s="604"/>
      <c r="K79" s="604"/>
      <c r="L79" s="604"/>
      <c r="M79" s="619"/>
      <c r="P79" s="623"/>
    </row>
    <row r="80" spans="1:16" hidden="1" outlineLevel="1">
      <c r="E80" s="591"/>
      <c r="F80" s="591"/>
      <c r="G80" s="591"/>
      <c r="H80" s="591"/>
      <c r="I80" s="591"/>
      <c r="J80" s="591"/>
      <c r="K80" s="591"/>
      <c r="L80" s="591"/>
      <c r="M80" s="602"/>
    </row>
    <row r="81" spans="1:16" hidden="1" outlineLevel="1">
      <c r="A81" s="569" t="s">
        <v>564</v>
      </c>
      <c r="B81" s="570" t="s">
        <v>565</v>
      </c>
      <c r="C81" s="570">
        <v>10019</v>
      </c>
      <c r="E81" s="595"/>
      <c r="F81" s="595">
        <f>9782.04/2</f>
        <v>4891.0200000000004</v>
      </c>
      <c r="G81" s="595"/>
      <c r="H81" s="595"/>
      <c r="I81" s="595"/>
      <c r="J81" s="595"/>
      <c r="K81" s="595">
        <f>F81</f>
        <v>4891.0200000000004</v>
      </c>
      <c r="L81" s="595">
        <f>F81</f>
        <v>4891.0200000000004</v>
      </c>
      <c r="M81" s="596">
        <f>SUM(K81:L81)</f>
        <v>9782.0400000000009</v>
      </c>
      <c r="P81" s="590">
        <v>9741.86</v>
      </c>
    </row>
    <row r="82" spans="1:16" hidden="1" outlineLevel="1">
      <c r="A82" s="569" t="s">
        <v>566</v>
      </c>
      <c r="E82" s="591"/>
      <c r="F82" s="591"/>
      <c r="G82" s="591"/>
      <c r="H82" s="591"/>
      <c r="I82" s="591"/>
      <c r="J82" s="591"/>
      <c r="K82" s="591"/>
      <c r="L82" s="591"/>
      <c r="M82" s="602"/>
    </row>
    <row r="83" spans="1:16" hidden="1" outlineLevel="1">
      <c r="E83" s="591"/>
      <c r="F83" s="591"/>
      <c r="G83" s="591"/>
      <c r="H83" s="591"/>
      <c r="I83" s="591"/>
      <c r="J83" s="591"/>
      <c r="K83" s="591"/>
      <c r="L83" s="591"/>
      <c r="M83" s="602"/>
    </row>
    <row r="84" spans="1:16" hidden="1" outlineLevel="1">
      <c r="A84" s="569" t="s">
        <v>467</v>
      </c>
      <c r="B84" s="570" t="s">
        <v>567</v>
      </c>
      <c r="C84" s="570">
        <v>321806</v>
      </c>
      <c r="E84" s="595"/>
      <c r="F84" s="595">
        <f>24003.52/2</f>
        <v>12001.76</v>
      </c>
      <c r="G84" s="595"/>
      <c r="H84" s="595"/>
      <c r="I84" s="595"/>
      <c r="J84" s="595"/>
      <c r="K84" s="595">
        <f>F84</f>
        <v>12001.76</v>
      </c>
      <c r="L84" s="595">
        <f>F84</f>
        <v>12001.76</v>
      </c>
      <c r="M84" s="596">
        <f>SUM(K84:L84)</f>
        <v>24003.52</v>
      </c>
      <c r="P84" s="590">
        <v>24301.98</v>
      </c>
    </row>
    <row r="85" spans="1:16" hidden="1" outlineLevel="1">
      <c r="A85" s="610" t="s">
        <v>468</v>
      </c>
      <c r="B85" s="600"/>
      <c r="C85" s="600"/>
      <c r="D85" s="580"/>
      <c r="E85" s="588"/>
      <c r="F85" s="588"/>
      <c r="G85" s="588"/>
      <c r="H85" s="588"/>
      <c r="I85" s="588"/>
      <c r="J85" s="588"/>
      <c r="K85" s="588"/>
      <c r="L85" s="588"/>
      <c r="M85" s="588"/>
    </row>
    <row r="86" spans="1:16" ht="12" hidden="1" outlineLevel="1" thickBot="1">
      <c r="A86" s="569" t="s">
        <v>568</v>
      </c>
      <c r="E86" s="604"/>
      <c r="F86" s="613">
        <f>SUM(F74:F85)</f>
        <v>22062.47</v>
      </c>
      <c r="G86" s="614"/>
      <c r="H86" s="614"/>
      <c r="I86" s="614"/>
      <c r="J86" s="614"/>
      <c r="K86" s="613">
        <f>SUM(K74:K85)</f>
        <v>22062.47</v>
      </c>
      <c r="L86" s="613">
        <f>SUM(L74:L85)</f>
        <v>22062.47</v>
      </c>
      <c r="M86" s="613">
        <f>SUM(M74:M85)</f>
        <v>44124.94</v>
      </c>
      <c r="P86" s="590">
        <v>44427.54</v>
      </c>
    </row>
    <row r="87" spans="1:16" ht="12" hidden="1" outlineLevel="1" thickTop="1">
      <c r="E87" s="604"/>
      <c r="F87" s="604"/>
      <c r="G87" s="604"/>
      <c r="H87" s="604"/>
      <c r="I87" s="604"/>
      <c r="J87" s="604"/>
      <c r="K87" s="604"/>
      <c r="L87" s="604"/>
      <c r="M87" s="604"/>
    </row>
    <row r="88" spans="1:16" hidden="1" outlineLevel="1">
      <c r="E88" s="604"/>
      <c r="F88" s="604"/>
      <c r="G88" s="604"/>
      <c r="H88" s="604"/>
      <c r="I88" s="604"/>
      <c r="J88" s="604"/>
      <c r="K88" s="604"/>
      <c r="L88" s="604"/>
      <c r="M88" s="604"/>
    </row>
    <row r="89" spans="1:16" hidden="1" outlineLevel="1">
      <c r="A89" s="610"/>
      <c r="B89" s="600"/>
      <c r="C89" s="600"/>
      <c r="D89" s="580"/>
      <c r="E89" s="588"/>
      <c r="F89" s="588"/>
      <c r="G89" s="588"/>
      <c r="H89" s="588"/>
      <c r="I89" s="588"/>
      <c r="J89" s="588"/>
      <c r="K89" s="588"/>
      <c r="L89" s="588"/>
      <c r="M89" s="588"/>
      <c r="N89" s="580"/>
      <c r="O89" s="580"/>
      <c r="P89" s="584"/>
    </row>
    <row r="90" spans="1:16" hidden="1" outlineLevel="1">
      <c r="A90" s="622" t="s">
        <v>449</v>
      </c>
      <c r="E90" s="591"/>
      <c r="F90" s="591"/>
      <c r="G90" s="591"/>
      <c r="H90" s="591"/>
      <c r="I90" s="591"/>
      <c r="J90" s="591"/>
      <c r="K90" s="591"/>
      <c r="L90" s="591"/>
      <c r="M90" s="591"/>
    </row>
    <row r="91" spans="1:16" hidden="1" outlineLevel="1">
      <c r="E91" s="591"/>
      <c r="F91" s="591"/>
      <c r="G91" s="591"/>
      <c r="H91" s="591"/>
      <c r="I91" s="591"/>
      <c r="J91" s="591"/>
      <c r="K91" s="591"/>
      <c r="L91" s="591"/>
      <c r="M91" s="591"/>
    </row>
    <row r="92" spans="1:16" hidden="1" outlineLevel="1">
      <c r="A92" s="569" t="s">
        <v>569</v>
      </c>
      <c r="B92" s="570" t="s">
        <v>570</v>
      </c>
      <c r="C92" s="570">
        <v>321807</v>
      </c>
      <c r="E92" s="595"/>
      <c r="F92" s="595"/>
      <c r="G92" s="595">
        <f>7011.76/2</f>
        <v>3505.88</v>
      </c>
      <c r="H92" s="595"/>
      <c r="I92" s="595"/>
      <c r="J92" s="595"/>
      <c r="K92" s="595">
        <f>G92</f>
        <v>3505.88</v>
      </c>
      <c r="L92" s="595">
        <f>G92</f>
        <v>3505.88</v>
      </c>
      <c r="M92" s="596">
        <f>SUM(K92:L92)</f>
        <v>7011.76</v>
      </c>
      <c r="P92" s="590">
        <v>6480.88</v>
      </c>
    </row>
    <row r="93" spans="1:16" hidden="1" outlineLevel="1">
      <c r="A93" s="569" t="s">
        <v>468</v>
      </c>
      <c r="E93" s="604"/>
      <c r="F93" s="604"/>
      <c r="G93" s="604"/>
      <c r="H93" s="604"/>
      <c r="I93" s="604"/>
      <c r="J93" s="604"/>
      <c r="K93" s="604"/>
      <c r="L93" s="604"/>
      <c r="M93" s="619"/>
    </row>
    <row r="94" spans="1:16" hidden="1" outlineLevel="1">
      <c r="E94" s="604"/>
      <c r="F94" s="604"/>
      <c r="G94" s="604"/>
      <c r="H94" s="604"/>
      <c r="I94" s="604"/>
      <c r="J94" s="604"/>
      <c r="K94" s="604"/>
      <c r="L94" s="604"/>
      <c r="M94" s="619"/>
    </row>
    <row r="95" spans="1:16" hidden="1" outlineLevel="1">
      <c r="A95" s="569" t="s">
        <v>571</v>
      </c>
      <c r="B95" s="570" t="s">
        <v>572</v>
      </c>
      <c r="C95" s="570">
        <v>321805</v>
      </c>
      <c r="E95" s="595"/>
      <c r="F95" s="595"/>
      <c r="G95" s="595">
        <f>1350.76/2</f>
        <v>675.38</v>
      </c>
      <c r="H95" s="595"/>
      <c r="I95" s="595"/>
      <c r="J95" s="595"/>
      <c r="K95" s="595">
        <f>G95</f>
        <v>675.38</v>
      </c>
      <c r="L95" s="595">
        <f>G95</f>
        <v>675.38</v>
      </c>
      <c r="M95" s="596">
        <f>SUM(K95:L95)</f>
        <v>1350.76</v>
      </c>
      <c r="P95" s="590">
        <v>1168.98</v>
      </c>
    </row>
    <row r="96" spans="1:16" hidden="1" outlineLevel="1">
      <c r="A96" s="610" t="s">
        <v>468</v>
      </c>
      <c r="B96" s="600"/>
      <c r="C96" s="600"/>
      <c r="D96" s="580"/>
      <c r="E96" s="588"/>
      <c r="F96" s="588"/>
      <c r="G96" s="588"/>
      <c r="H96" s="588"/>
      <c r="I96" s="588"/>
      <c r="J96" s="588"/>
      <c r="K96" s="588"/>
      <c r="L96" s="588"/>
      <c r="M96" s="588"/>
    </row>
    <row r="97" spans="1:16" ht="12" hidden="1" outlineLevel="1" thickBot="1">
      <c r="A97" s="569" t="s">
        <v>573</v>
      </c>
      <c r="E97" s="591"/>
      <c r="F97" s="591"/>
      <c r="G97" s="613">
        <f>SUM(G92:G96)</f>
        <v>4181.26</v>
      </c>
      <c r="H97" s="613"/>
      <c r="I97" s="613"/>
      <c r="J97" s="613"/>
      <c r="K97" s="613">
        <f>SUM(K92:K96)</f>
        <v>4181.26</v>
      </c>
      <c r="L97" s="613">
        <f>SUM(L92:L96)</f>
        <v>4181.26</v>
      </c>
      <c r="M97" s="613">
        <f>SUM(M92:M96)</f>
        <v>8362.52</v>
      </c>
      <c r="P97" s="590">
        <v>7649.86</v>
      </c>
    </row>
    <row r="98" spans="1:16" ht="12" hidden="1" outlineLevel="1" thickTop="1">
      <c r="E98" s="591"/>
      <c r="F98" s="591"/>
      <c r="G98" s="591"/>
      <c r="H98" s="591"/>
      <c r="I98" s="591"/>
      <c r="J98" s="591"/>
      <c r="K98" s="591"/>
      <c r="L98" s="591"/>
      <c r="M98" s="591"/>
    </row>
    <row r="99" spans="1:16" ht="12" hidden="1" outlineLevel="1" thickBot="1">
      <c r="E99" s="591"/>
      <c r="F99" s="591"/>
      <c r="G99" s="591"/>
      <c r="H99" s="591"/>
      <c r="I99" s="591"/>
      <c r="J99" s="591"/>
      <c r="K99" s="591"/>
      <c r="L99" s="591"/>
      <c r="M99" s="591"/>
    </row>
    <row r="100" spans="1:16" ht="12" hidden="1" outlineLevel="1" thickBot="1">
      <c r="A100" s="569" t="s">
        <v>591</v>
      </c>
      <c r="B100" s="622"/>
      <c r="C100" s="622"/>
      <c r="D100" s="569"/>
      <c r="E100" s="569"/>
      <c r="F100" s="569"/>
      <c r="G100" s="569"/>
      <c r="H100" s="569"/>
      <c r="I100" s="569"/>
      <c r="J100" s="569"/>
      <c r="K100" s="573" t="s">
        <v>526</v>
      </c>
      <c r="L100" s="573" t="s">
        <v>527</v>
      </c>
      <c r="M100" s="573">
        <v>2013</v>
      </c>
      <c r="P100" s="576">
        <v>2012</v>
      </c>
    </row>
    <row r="101" spans="1:16" ht="12" hidden="1" outlineLevel="1" thickBot="1">
      <c r="A101" s="573" t="s">
        <v>528</v>
      </c>
      <c r="B101" s="573" t="s">
        <v>529</v>
      </c>
      <c r="C101" s="573" t="s">
        <v>530</v>
      </c>
      <c r="D101" s="573"/>
      <c r="E101" s="573" t="s">
        <v>65</v>
      </c>
      <c r="F101" s="573" t="s">
        <v>531</v>
      </c>
      <c r="G101" s="573" t="s">
        <v>449</v>
      </c>
      <c r="H101" s="573" t="s">
        <v>532</v>
      </c>
      <c r="I101" s="573" t="s">
        <v>533</v>
      </c>
      <c r="J101" s="577"/>
      <c r="K101" s="573" t="s">
        <v>534</v>
      </c>
      <c r="L101" s="573" t="s">
        <v>534</v>
      </c>
      <c r="M101" s="578" t="s">
        <v>210</v>
      </c>
      <c r="N101" s="579"/>
      <c r="O101" s="624"/>
      <c r="P101" s="625" t="s">
        <v>535</v>
      </c>
    </row>
    <row r="102" spans="1:16" hidden="1" outlineLevel="1">
      <c r="A102" s="581" t="s">
        <v>593</v>
      </c>
      <c r="B102" s="582"/>
      <c r="C102" s="582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</row>
    <row r="103" spans="1:16" hidden="1" outlineLevel="1">
      <c r="A103" s="585"/>
      <c r="B103" s="586"/>
      <c r="C103" s="586"/>
      <c r="D103" s="587"/>
      <c r="E103" s="580"/>
      <c r="F103" s="580"/>
      <c r="G103" s="580"/>
      <c r="H103" s="580"/>
      <c r="I103" s="580"/>
      <c r="J103" s="580"/>
      <c r="K103" s="580"/>
      <c r="L103" s="580"/>
      <c r="M103" s="580"/>
    </row>
    <row r="104" spans="1:16" hidden="1" outlineLevel="1">
      <c r="A104" s="569" t="s">
        <v>467</v>
      </c>
      <c r="B104" s="570" t="s">
        <v>575</v>
      </c>
      <c r="C104" s="570">
        <v>2245</v>
      </c>
      <c r="E104" s="588"/>
      <c r="F104" s="588"/>
      <c r="G104" s="588"/>
      <c r="H104" s="588">
        <v>2769.78</v>
      </c>
      <c r="I104" s="588"/>
      <c r="J104" s="588"/>
      <c r="K104" s="588">
        <f>SUM(H104)</f>
        <v>2769.78</v>
      </c>
      <c r="L104" s="588">
        <f>SUM(H104)</f>
        <v>2769.78</v>
      </c>
      <c r="M104" s="589">
        <f>SUM(K104:L104)</f>
        <v>5539.56</v>
      </c>
      <c r="P104" s="590">
        <v>5767.72</v>
      </c>
    </row>
    <row r="105" spans="1:16" hidden="1" outlineLevel="1">
      <c r="A105" s="569" t="s">
        <v>468</v>
      </c>
      <c r="E105" s="591"/>
      <c r="F105" s="591"/>
      <c r="G105" s="591"/>
      <c r="H105" s="591"/>
      <c r="I105" s="591"/>
      <c r="J105" s="591"/>
      <c r="K105" s="591"/>
      <c r="L105" s="591"/>
      <c r="M105" s="602"/>
    </row>
    <row r="106" spans="1:16" hidden="1" outlineLevel="1">
      <c r="A106" s="610"/>
      <c r="B106" s="600"/>
      <c r="C106" s="600"/>
      <c r="D106" s="580"/>
      <c r="E106" s="588"/>
      <c r="F106" s="588"/>
      <c r="G106" s="588"/>
      <c r="H106" s="588"/>
      <c r="I106" s="588"/>
      <c r="J106" s="588"/>
      <c r="K106" s="588"/>
      <c r="L106" s="588"/>
      <c r="M106" s="589"/>
    </row>
    <row r="107" spans="1:16" ht="12" hidden="1" outlineLevel="1" thickBot="1">
      <c r="A107" s="569" t="s">
        <v>576</v>
      </c>
      <c r="E107" s="591"/>
      <c r="F107" s="591"/>
      <c r="G107" s="591"/>
      <c r="H107" s="613">
        <f>SUM(H104:H106)</f>
        <v>2769.78</v>
      </c>
      <c r="I107" s="613"/>
      <c r="J107" s="613"/>
      <c r="K107" s="613">
        <f>SUM(K104:K106)</f>
        <v>2769.78</v>
      </c>
      <c r="L107" s="613">
        <f>SUM(L104:L106)</f>
        <v>2769.78</v>
      </c>
      <c r="M107" s="613">
        <f>SUM(M104:M106)</f>
        <v>5539.56</v>
      </c>
      <c r="P107" s="590">
        <v>8965.94</v>
      </c>
    </row>
    <row r="108" spans="1:16" ht="12" hidden="1" outlineLevel="1" thickTop="1">
      <c r="E108" s="591"/>
      <c r="F108" s="591"/>
      <c r="G108" s="591"/>
      <c r="H108" s="591"/>
      <c r="I108" s="591"/>
      <c r="J108" s="591"/>
      <c r="K108" s="591"/>
      <c r="L108" s="591"/>
      <c r="M108" s="591"/>
    </row>
    <row r="109" spans="1:16" hidden="1" outlineLevel="1">
      <c r="E109" s="591"/>
      <c r="F109" s="591"/>
      <c r="G109" s="591"/>
      <c r="H109" s="591"/>
      <c r="I109" s="591"/>
      <c r="J109" s="591"/>
      <c r="K109" s="591"/>
      <c r="L109" s="591"/>
      <c r="M109" s="591"/>
    </row>
    <row r="110" spans="1:16" hidden="1" outlineLevel="1">
      <c r="A110" s="610"/>
      <c r="B110" s="600"/>
      <c r="C110" s="600"/>
      <c r="D110" s="580"/>
      <c r="E110" s="588"/>
      <c r="F110" s="588"/>
      <c r="G110" s="588"/>
      <c r="H110" s="588"/>
      <c r="I110" s="588"/>
      <c r="J110" s="588"/>
      <c r="K110" s="588"/>
      <c r="L110" s="588"/>
      <c r="M110" s="588"/>
      <c r="N110" s="580"/>
      <c r="O110" s="580"/>
    </row>
    <row r="111" spans="1:16" ht="12" hidden="1" outlineLevel="1" thickBot="1">
      <c r="A111" s="569" t="s">
        <v>577</v>
      </c>
      <c r="E111" s="626">
        <f>SUM(E48,E70)</f>
        <v>3680.3661985148901</v>
      </c>
      <c r="F111" s="626">
        <f>SUM(F48,F86)</f>
        <v>42042.704166666663</v>
      </c>
      <c r="G111" s="626">
        <f>SUM(G48,G97)-0.01</f>
        <v>9606.1391666666659</v>
      </c>
      <c r="H111" s="626">
        <f>SUM(H107)</f>
        <v>2769.78</v>
      </c>
      <c r="I111" s="626">
        <f>SUM(I48)-0.01</f>
        <v>1869.3475000000001</v>
      </c>
      <c r="J111" s="626"/>
      <c r="K111" s="626">
        <f>SUM(K48,K70,K86,K97,K107)</f>
        <v>63728.430000000008</v>
      </c>
      <c r="L111" s="626">
        <f>SUM(L48,L70,L86,L97,L107)</f>
        <v>63708.310000000005</v>
      </c>
      <c r="M111" s="626">
        <f>SUM(M48,M70,M86,M97,M107)</f>
        <v>127436.74</v>
      </c>
    </row>
    <row r="112" spans="1:16" ht="12" hidden="1" outlineLevel="1" thickTop="1"/>
    <row r="113" spans="1:13" hidden="1" outlineLevel="1">
      <c r="E113" s="627"/>
      <c r="F113" s="627"/>
      <c r="G113" s="627"/>
      <c r="H113" s="627"/>
      <c r="I113" s="627"/>
      <c r="J113" s="627"/>
      <c r="K113" s="627" t="s">
        <v>578</v>
      </c>
      <c r="L113" s="627" t="s">
        <v>527</v>
      </c>
      <c r="M113" s="627"/>
    </row>
    <row r="114" spans="1:13" hidden="1" outlineLevel="1">
      <c r="E114" s="612" t="s">
        <v>65</v>
      </c>
      <c r="F114" s="612" t="s">
        <v>531</v>
      </c>
      <c r="G114" s="612" t="s">
        <v>449</v>
      </c>
      <c r="H114" s="612" t="s">
        <v>532</v>
      </c>
      <c r="I114" s="612" t="s">
        <v>533</v>
      </c>
      <c r="J114" s="612"/>
      <c r="K114" s="612" t="s">
        <v>534</v>
      </c>
      <c r="L114" s="612" t="s">
        <v>534</v>
      </c>
      <c r="M114" s="612" t="s">
        <v>210</v>
      </c>
    </row>
    <row r="115" spans="1:13" hidden="1" outlineLevel="1">
      <c r="A115" s="569" t="s">
        <v>579</v>
      </c>
    </row>
    <row r="116" spans="1:13" hidden="1" outlineLevel="1">
      <c r="A116" s="610" t="s">
        <v>580</v>
      </c>
      <c r="B116" s="600"/>
      <c r="C116" s="600"/>
      <c r="D116" s="580"/>
      <c r="E116" s="580"/>
      <c r="F116" s="580"/>
      <c r="G116" s="580"/>
      <c r="H116" s="580"/>
      <c r="I116" s="580"/>
    </row>
    <row r="117" spans="1:13" hidden="1" outlineLevel="1">
      <c r="A117" s="569" t="s">
        <v>581</v>
      </c>
    </row>
    <row r="118" spans="1:13" hidden="1" outlineLevel="1">
      <c r="A118" s="569" t="s">
        <v>582</v>
      </c>
    </row>
    <row r="119" spans="1:13" hidden="1" outlineLevel="1"/>
    <row r="120" spans="1:13" hidden="1" outlineLevel="1"/>
    <row r="121" spans="1:13" hidden="1" outlineLevel="1"/>
    <row r="122" spans="1:13" hidden="1" outlineLevel="1"/>
    <row r="123" spans="1:13" hidden="1" outlineLevel="1"/>
    <row r="124" spans="1:13" hidden="1" outlineLevel="1"/>
    <row r="125" spans="1:13" hidden="1" outlineLevel="1">
      <c r="A125" s="628"/>
      <c r="B125" s="573" t="s">
        <v>526</v>
      </c>
      <c r="C125" s="573" t="s">
        <v>527</v>
      </c>
    </row>
    <row r="126" spans="1:13" hidden="1" outlineLevel="1">
      <c r="A126" s="629"/>
      <c r="B126" s="573" t="s">
        <v>534</v>
      </c>
      <c r="C126" s="573" t="s">
        <v>534</v>
      </c>
    </row>
    <row r="127" spans="1:13" hidden="1" outlineLevel="1">
      <c r="A127" s="569" t="s">
        <v>65</v>
      </c>
      <c r="B127" s="572">
        <f>E111</f>
        <v>3680.3661985148901</v>
      </c>
      <c r="C127" s="572">
        <f>E111-10.06</f>
        <v>3670.3061985148902</v>
      </c>
    </row>
    <row r="128" spans="1:13" hidden="1" outlineLevel="1">
      <c r="A128" s="569" t="s">
        <v>531</v>
      </c>
      <c r="B128" s="572">
        <f>F111</f>
        <v>42042.704166666663</v>
      </c>
      <c r="C128" s="572">
        <f>F111</f>
        <v>42042.704166666663</v>
      </c>
    </row>
    <row r="129" spans="1:16" hidden="1" outlineLevel="1">
      <c r="A129" s="569" t="s">
        <v>449</v>
      </c>
      <c r="B129" s="572">
        <f>G111</f>
        <v>9606.1391666666659</v>
      </c>
      <c r="C129" s="572">
        <f>G111-10.06</f>
        <v>9596.0791666666664</v>
      </c>
    </row>
    <row r="130" spans="1:16" s="570" customFormat="1" hidden="1" outlineLevel="1">
      <c r="A130" s="569" t="s">
        <v>583</v>
      </c>
      <c r="B130" s="572">
        <f>H111</f>
        <v>2769.78</v>
      </c>
      <c r="C130" s="572">
        <f>H111</f>
        <v>2769.78</v>
      </c>
      <c r="D130" s="571"/>
      <c r="E130" s="571"/>
      <c r="F130" s="571"/>
      <c r="G130" s="571"/>
      <c r="H130" s="571"/>
      <c r="I130" s="587"/>
      <c r="J130" s="571"/>
      <c r="K130" s="571"/>
      <c r="L130" s="571"/>
      <c r="M130" s="571"/>
      <c r="N130" s="571"/>
      <c r="O130" s="571"/>
      <c r="P130" s="572"/>
    </row>
    <row r="131" spans="1:16" s="570" customFormat="1" ht="12" hidden="1" outlineLevel="1" thickBot="1">
      <c r="A131" s="569" t="s">
        <v>533</v>
      </c>
      <c r="B131" s="572">
        <f>I111</f>
        <v>1869.3475000000001</v>
      </c>
      <c r="C131" s="572">
        <f>I111</f>
        <v>1869.3475000000001</v>
      </c>
      <c r="D131" s="571"/>
      <c r="E131" s="571"/>
      <c r="F131" s="571"/>
      <c r="G131" s="571"/>
      <c r="H131" s="571"/>
      <c r="I131" s="585"/>
      <c r="J131" s="571"/>
      <c r="K131" s="571"/>
      <c r="L131" s="571"/>
      <c r="M131" s="571"/>
      <c r="N131" s="571"/>
      <c r="O131" s="571"/>
      <c r="P131" s="572"/>
    </row>
    <row r="132" spans="1:16" s="570" customFormat="1" ht="12" hidden="1" outlineLevel="1" thickBot="1">
      <c r="A132" s="569"/>
      <c r="B132" s="631">
        <f>SUM(B127:B131)</f>
        <v>59968.337031848227</v>
      </c>
      <c r="C132" s="631">
        <f>SUM(C127:C131)</f>
        <v>59948.217031848224</v>
      </c>
      <c r="D132" s="571"/>
      <c r="E132" s="569" t="s">
        <v>584</v>
      </c>
      <c r="F132" s="571"/>
      <c r="G132" s="571"/>
      <c r="H132" s="571"/>
      <c r="I132" s="619"/>
      <c r="J132" s="571"/>
      <c r="K132" s="571"/>
      <c r="L132" s="571"/>
      <c r="M132" s="571"/>
      <c r="N132" s="571"/>
      <c r="O132" s="571"/>
      <c r="P132" s="572"/>
    </row>
    <row r="133" spans="1:16" s="570" customFormat="1" ht="12" hidden="1" outlineLevel="1" thickBot="1">
      <c r="A133" s="569"/>
      <c r="B133" s="622"/>
      <c r="C133" s="622"/>
      <c r="D133" s="571"/>
      <c r="E133" s="569"/>
      <c r="F133" s="571"/>
      <c r="G133" s="571"/>
      <c r="H133" s="571"/>
      <c r="I133" s="591"/>
      <c r="J133" s="571"/>
      <c r="K133" s="571"/>
      <c r="L133" s="571"/>
      <c r="M133" s="571"/>
      <c r="N133" s="571"/>
      <c r="O133" s="571"/>
      <c r="P133" s="572"/>
    </row>
    <row r="134" spans="1:16" s="570" customFormat="1" ht="12" hidden="1" outlineLevel="1" thickBot="1">
      <c r="A134" s="569"/>
      <c r="C134" s="631">
        <f>B132</f>
        <v>59968.337031848227</v>
      </c>
      <c r="D134" s="571"/>
      <c r="E134" s="569" t="s">
        <v>585</v>
      </c>
      <c r="F134" s="571"/>
      <c r="G134" s="571"/>
      <c r="H134" s="571"/>
      <c r="I134" s="591"/>
      <c r="J134" s="571"/>
      <c r="K134" s="571"/>
      <c r="L134" s="571"/>
      <c r="M134" s="587"/>
      <c r="N134" s="587"/>
      <c r="O134" s="587"/>
      <c r="P134" s="572"/>
    </row>
    <row r="135" spans="1:16" s="570" customFormat="1" ht="12" hidden="1" outlineLevel="1" thickBot="1">
      <c r="A135" s="569"/>
      <c r="C135" s="631">
        <f>SUM(C132:C134)</f>
        <v>119916.55406369644</v>
      </c>
      <c r="D135" s="571"/>
      <c r="E135" s="569" t="s">
        <v>594</v>
      </c>
      <c r="F135" s="571"/>
      <c r="G135" s="571"/>
      <c r="H135" s="571"/>
      <c r="I135" s="591"/>
      <c r="J135" s="571"/>
      <c r="K135" s="571"/>
      <c r="L135" s="571"/>
      <c r="M135" s="587"/>
      <c r="N135" s="587"/>
      <c r="O135" s="623"/>
    </row>
    <row r="136" spans="1:16" s="570" customFormat="1" hidden="1" outlineLevel="1">
      <c r="A136" s="569"/>
      <c r="D136" s="571"/>
      <c r="E136" s="571"/>
      <c r="F136" s="571"/>
      <c r="G136" s="571"/>
      <c r="H136" s="571"/>
      <c r="I136" s="571"/>
      <c r="J136" s="571"/>
      <c r="K136" s="571"/>
      <c r="L136" s="571"/>
      <c r="M136" s="587"/>
      <c r="N136" s="587"/>
      <c r="O136" s="623"/>
    </row>
    <row r="137" spans="1:16" s="570" customFormat="1" hidden="1" outlineLevel="1">
      <c r="A137" s="569"/>
      <c r="D137" s="571"/>
      <c r="E137" s="571"/>
      <c r="F137" s="571"/>
      <c r="G137" s="571"/>
      <c r="H137" s="571"/>
      <c r="I137" s="571"/>
      <c r="J137" s="571"/>
      <c r="K137" s="571"/>
      <c r="L137" s="571"/>
      <c r="M137" s="587"/>
      <c r="N137" s="587"/>
      <c r="O137" s="587"/>
      <c r="P137" s="572"/>
    </row>
    <row r="138" spans="1:16" s="570" customFormat="1" hidden="1" outlineLevel="1">
      <c r="A138" s="569"/>
      <c r="D138" s="571"/>
      <c r="E138" s="571"/>
      <c r="F138" s="571"/>
      <c r="G138" s="571"/>
      <c r="H138" s="571"/>
      <c r="I138" s="571"/>
      <c r="J138" s="571"/>
      <c r="K138" s="571"/>
      <c r="L138" s="571"/>
      <c r="M138" s="571"/>
      <c r="N138" s="571"/>
      <c r="O138" s="571"/>
      <c r="P138" s="572"/>
    </row>
    <row r="139" spans="1:16" s="570" customFormat="1" hidden="1" outlineLevel="1">
      <c r="A139" s="569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2"/>
    </row>
    <row r="140" spans="1:16" s="570" customFormat="1" hidden="1" outlineLevel="1">
      <c r="A140" s="603" t="s">
        <v>587</v>
      </c>
      <c r="B140" s="586"/>
      <c r="C140" s="586"/>
      <c r="D140" s="587"/>
      <c r="E140" s="604"/>
      <c r="F140" s="604"/>
      <c r="G140" s="604"/>
      <c r="H140" s="604"/>
      <c r="I140" s="604"/>
      <c r="J140" s="604"/>
      <c r="K140" s="604"/>
      <c r="L140" s="604"/>
      <c r="M140" s="604"/>
      <c r="N140" s="587"/>
      <c r="O140" s="587"/>
      <c r="P140" s="572"/>
    </row>
    <row r="141" spans="1:16" s="570" customFormat="1" hidden="1" outlineLevel="1">
      <c r="A141" s="603"/>
      <c r="B141" s="586"/>
      <c r="C141" s="586"/>
      <c r="D141" s="587"/>
      <c r="E141" s="604"/>
      <c r="F141" s="604"/>
      <c r="G141" s="604"/>
      <c r="H141" s="604"/>
      <c r="I141" s="604"/>
      <c r="J141" s="604"/>
      <c r="K141" s="604"/>
      <c r="L141" s="604"/>
      <c r="M141" s="604"/>
      <c r="N141" s="587"/>
      <c r="O141" s="587"/>
      <c r="P141" s="572"/>
    </row>
    <row r="142" spans="1:16" s="570" customFormat="1" hidden="1" outlineLevel="1">
      <c r="A142" s="603" t="s">
        <v>588</v>
      </c>
      <c r="B142" s="586"/>
      <c r="C142" s="586"/>
      <c r="D142" s="587"/>
      <c r="E142" s="604"/>
      <c r="F142" s="604"/>
      <c r="G142" s="604"/>
      <c r="H142" s="604"/>
      <c r="I142" s="604"/>
      <c r="J142" s="604"/>
      <c r="K142" s="604"/>
      <c r="L142" s="604"/>
      <c r="M142" s="604"/>
      <c r="N142" s="587"/>
      <c r="O142" s="587"/>
      <c r="P142" s="572"/>
    </row>
    <row r="143" spans="1:16" s="570" customFormat="1" hidden="1" outlineLevel="1">
      <c r="A143" s="603" t="s">
        <v>589</v>
      </c>
      <c r="B143" s="586"/>
      <c r="C143" s="586"/>
      <c r="D143" s="587"/>
      <c r="E143" s="604"/>
      <c r="F143" s="604"/>
      <c r="G143" s="604"/>
      <c r="H143" s="604"/>
      <c r="I143" s="604"/>
      <c r="J143" s="604"/>
      <c r="K143" s="604"/>
      <c r="L143" s="604"/>
      <c r="M143" s="604"/>
      <c r="N143" s="587"/>
      <c r="O143" s="587"/>
      <c r="P143" s="572"/>
    </row>
    <row r="144" spans="1:16" hidden="1" outlineLevel="1"/>
    <row r="145" spans="1:7" hidden="1" outlineLevel="1"/>
    <row r="146" spans="1:7" hidden="1" outlineLevel="1"/>
    <row r="147" spans="1:7" hidden="1" outlineLevel="1"/>
    <row r="148" spans="1:7" collapsed="1"/>
    <row r="150" spans="1:7">
      <c r="A150" s="920" t="str">
        <f>'[8]Sch 1 - Restate Exp'!A73</f>
        <v>R-6G</v>
      </c>
      <c r="B150" s="924" t="str">
        <f>'[8]Sch 1 - Restate Exp'!B73</f>
        <v>Property Tax</v>
      </c>
      <c r="C150" s="924"/>
      <c r="D150" s="925"/>
      <c r="E150" s="925"/>
      <c r="F150" s="571">
        <f>'[8]Sch 1 - Restate Exp'!F73</f>
        <v>0</v>
      </c>
      <c r="G150" s="571">
        <f>'[8]Sch 1 - Restate Exp'!G73</f>
        <v>0</v>
      </c>
    </row>
    <row r="151" spans="1:7">
      <c r="A151" s="923"/>
      <c r="B151" s="924" t="str">
        <f>'[8]Sch 1 - Restate Exp'!B74</f>
        <v xml:space="preserve">Removed Applied Industries Land, property is not used or useful to Wci operations. </v>
      </c>
      <c r="C151" s="924"/>
      <c r="D151" s="925"/>
      <c r="E151" s="925"/>
      <c r="F151" s="571">
        <f>'[8]Sch 1 - Restate Exp'!F74</f>
        <v>0</v>
      </c>
      <c r="G151" s="571">
        <f>'[8]Sch 1 - Restate Exp'!G74</f>
        <v>0</v>
      </c>
    </row>
    <row r="152" spans="1:7">
      <c r="A152" s="923"/>
      <c r="B152" s="924" t="str">
        <f>'[8]Sch 1 - Restate Exp'!B75</f>
        <v>Staff removed an additional portion using staff's allocation</v>
      </c>
      <c r="C152" s="924"/>
      <c r="D152" s="925"/>
      <c r="E152" s="925"/>
      <c r="F152" s="571">
        <f>'[8]Sch 1 - Restate Exp'!F75</f>
        <v>0</v>
      </c>
      <c r="G152" s="571">
        <f>'[8]Sch 1 - Restate Exp'!G75</f>
        <v>0</v>
      </c>
    </row>
    <row r="153" spans="1:7">
      <c r="A153" s="923"/>
      <c r="B153" s="924"/>
      <c r="C153" s="924" t="str">
        <f>'[8]Sch 1 - Restate Exp'!C76</f>
        <v>Remove</v>
      </c>
      <c r="D153" s="925"/>
      <c r="E153" s="925" t="str">
        <f>'[8]Sch 1 - Restate Exp'!D76</f>
        <v>Reg</v>
      </c>
      <c r="F153" s="571">
        <f>'[8]Sch 1 - Restate Exp'!F76</f>
        <v>0</v>
      </c>
      <c r="G153" s="571">
        <f>'[8]Sch 1 - Restate Exp'!G76</f>
        <v>0</v>
      </c>
    </row>
    <row r="154" spans="1:7">
      <c r="A154" s="923"/>
      <c r="B154" s="924" t="str">
        <f>'[8]Sch 1 - Restate Exp'!B77</f>
        <v>IS</v>
      </c>
      <c r="C154" s="926">
        <f>'[8]Sch 1 - Restate Exp'!C77</f>
        <v>12129.22</v>
      </c>
      <c r="D154" s="927"/>
      <c r="E154" s="927">
        <f>'[8]Sch 1 - Restate Exp'!D77</f>
        <v>11031.840456884875</v>
      </c>
      <c r="F154" s="571">
        <f>'[8]Sch 1 - Restate Exp'!F77</f>
        <v>0</v>
      </c>
      <c r="G154" s="571">
        <f>'[8]Sch 1 - Restate Exp'!G77</f>
        <v>0</v>
      </c>
    </row>
    <row r="155" spans="1:7">
      <c r="A155" s="923"/>
      <c r="B155" s="924" t="str">
        <f>'[8]Sch 1 - Restate Exp'!B78</f>
        <v>2012 portion</v>
      </c>
      <c r="C155" s="926">
        <f>'Schedule 4, R-6G pg 1 '!E51</f>
        <v>3094.8085474502918</v>
      </c>
      <c r="D155" s="927"/>
      <c r="E155" s="927">
        <f>'[8]Sch 1 - Restate Exp'!D78</f>
        <v>2814.8087131798452</v>
      </c>
      <c r="F155" s="571">
        <f>'[8]Sch 1 - Restate Exp'!F78</f>
        <v>0</v>
      </c>
      <c r="G155" s="571">
        <f>'[8]Sch 1 - Restate Exp'!G78</f>
        <v>0</v>
      </c>
    </row>
    <row r="156" spans="1:7">
      <c r="A156" s="923"/>
      <c r="B156" s="924" t="str">
        <f>'[8]Sch 1 - Restate Exp'!B79</f>
        <v>2013 portion</v>
      </c>
      <c r="C156" s="926">
        <f>E50</f>
        <v>3680.3361985148899</v>
      </c>
      <c r="D156" s="927"/>
      <c r="E156" s="927">
        <f>'[8]Sch 1 - Restate Exp'!D79</f>
        <v>3347.3613117508339</v>
      </c>
      <c r="F156" s="571">
        <f>'[8]Sch 1 - Restate Exp'!F79</f>
        <v>0</v>
      </c>
      <c r="G156" s="571">
        <f>'[8]Sch 1 - Restate Exp'!G79</f>
        <v>0</v>
      </c>
    </row>
    <row r="157" spans="1:7">
      <c r="A157" s="923"/>
      <c r="B157" s="924" t="str">
        <f>'[8]Sch 1 - Restate Exp'!B80</f>
        <v>Adjust</v>
      </c>
      <c r="C157" s="928">
        <f>'[8]Sch 1 - Restate Exp'!C80</f>
        <v>-5354.0752540348176</v>
      </c>
      <c r="D157" s="929"/>
      <c r="E157" s="929">
        <f>'[8]Sch 1 - Restate Exp'!D80</f>
        <v>-4869.670431954195</v>
      </c>
      <c r="F157" s="571">
        <f>'[8]Sch 1 - Restate Exp'!F80</f>
        <v>0</v>
      </c>
      <c r="G157" s="571">
        <f>'[8]Sch 1 - Restate Exp'!G80</f>
        <v>0</v>
      </c>
    </row>
    <row r="158" spans="1:7">
      <c r="A158" s="923"/>
      <c r="B158" s="924"/>
      <c r="C158" s="924"/>
      <c r="D158" s="925"/>
      <c r="E158" s="925"/>
      <c r="F158" s="571">
        <f>'[8]Sch 1 - Restate Exp'!F81</f>
        <v>0</v>
      </c>
      <c r="G158" s="571">
        <f>'[8]Sch 1 - Restate Exp'!G81</f>
        <v>0</v>
      </c>
    </row>
    <row r="159" spans="1:7">
      <c r="A159" s="923"/>
      <c r="B159" s="924"/>
      <c r="C159" s="924"/>
      <c r="D159" s="925"/>
      <c r="E159" s="925"/>
    </row>
    <row r="160" spans="1:7">
      <c r="A160" s="923"/>
      <c r="B160" s="921"/>
      <c r="C160" s="921"/>
      <c r="D160" s="922"/>
      <c r="E160" s="922"/>
    </row>
    <row r="161" spans="1:5">
      <c r="A161" s="923"/>
      <c r="B161" s="921"/>
      <c r="C161" s="921"/>
      <c r="D161" s="922"/>
      <c r="E161" s="922"/>
    </row>
  </sheetData>
  <mergeCells count="3">
    <mergeCell ref="A1:G1"/>
    <mergeCell ref="A3:G3"/>
    <mergeCell ref="A5:G5"/>
  </mergeCells>
  <pageMargins left="0.7" right="0.7" top="0.75" bottom="0.75" header="0.3" footer="0.3"/>
  <pageSetup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59"/>
  <sheetViews>
    <sheetView topLeftCell="A7" zoomScale="85" zoomScaleNormal="85" workbookViewId="0">
      <selection activeCell="F34" sqref="F34:F35"/>
    </sheetView>
  </sheetViews>
  <sheetFormatPr defaultRowHeight="15"/>
  <cols>
    <col min="1" max="1" width="3.109375" style="752" customWidth="1"/>
    <col min="2" max="2" width="15.6640625" style="752" customWidth="1"/>
    <col min="3" max="3" width="8.88671875" style="752" bestFit="1" customWidth="1"/>
    <col min="4" max="4" width="9.5546875" style="752" bestFit="1" customWidth="1"/>
    <col min="5" max="5" width="11.88671875" style="752" customWidth="1"/>
    <col min="6" max="7" width="8.88671875" style="752"/>
    <col min="8" max="8" width="9" style="752" customWidth="1"/>
    <col min="9" max="9" width="7.6640625" style="752" customWidth="1"/>
    <col min="10" max="10" width="5.77734375" style="752" customWidth="1"/>
    <col min="11" max="11" width="6.109375" style="752" customWidth="1"/>
    <col min="12" max="13" width="8.88671875" style="752"/>
    <col min="14" max="14" width="7.88671875" style="752" customWidth="1"/>
    <col min="15" max="15" width="8.88671875" style="752"/>
    <col min="16" max="16" width="8.88671875" style="753"/>
    <col min="17" max="17" width="13.21875" style="752" customWidth="1"/>
    <col min="18" max="18" width="9.88671875" style="752" customWidth="1"/>
    <col min="19" max="16384" width="8.88671875" style="752"/>
  </cols>
  <sheetData>
    <row r="1" spans="1:29" s="479" customFormat="1" ht="15.75">
      <c r="A1" s="939" t="str">
        <f>+'[8]WP-18 Rate Case Cost'!A1:G1</f>
        <v>WASTE CONTROL, INC.</v>
      </c>
      <c r="B1" s="940"/>
      <c r="C1" s="940"/>
      <c r="D1" s="940"/>
      <c r="E1" s="940"/>
      <c r="F1" s="940"/>
      <c r="G1" s="940"/>
    </row>
    <row r="2" spans="1:29" s="479" customFormat="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9" s="479" customFormat="1" ht="15.75">
      <c r="A3" s="940" t="s">
        <v>654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9" s="479" customFormat="1" ht="15.75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9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/>
      <c r="J5" s="509"/>
      <c r="K5" s="509"/>
      <c r="L5" s="508"/>
      <c r="M5" s="508"/>
    </row>
    <row r="6" spans="1:29" s="709" customFormat="1">
      <c r="K6" s="710"/>
      <c r="L6" s="710"/>
      <c r="M6" s="710"/>
      <c r="N6" s="710"/>
      <c r="O6" s="711"/>
      <c r="P6" s="711"/>
      <c r="Q6" s="710"/>
      <c r="R6" s="710"/>
      <c r="S6" s="710"/>
      <c r="T6" s="712"/>
      <c r="U6" s="710"/>
      <c r="V6" s="712"/>
      <c r="W6" s="710"/>
      <c r="X6" s="710"/>
      <c r="Z6" s="713"/>
      <c r="AA6" s="713"/>
    </row>
    <row r="7" spans="1:29" s="709" customFormat="1">
      <c r="D7" s="955" t="s">
        <v>655</v>
      </c>
      <c r="E7" s="955"/>
      <c r="F7" s="956" t="s">
        <v>656</v>
      </c>
      <c r="G7" s="956"/>
      <c r="K7" s="710"/>
      <c r="L7" s="710"/>
      <c r="M7" s="710"/>
      <c r="N7" s="710"/>
      <c r="O7" s="711"/>
      <c r="P7" s="711"/>
      <c r="Q7" s="710"/>
      <c r="R7" s="710"/>
      <c r="S7" s="710"/>
      <c r="T7" s="712"/>
      <c r="U7" s="710"/>
      <c r="V7" s="712"/>
      <c r="W7" s="710"/>
      <c r="X7" s="710"/>
      <c r="Z7" s="713"/>
      <c r="AA7" s="713"/>
    </row>
    <row r="8" spans="1:29" s="709" customFormat="1" ht="15" customHeight="1">
      <c r="D8" s="714" t="s">
        <v>657</v>
      </c>
      <c r="E8" s="714" t="s">
        <v>658</v>
      </c>
      <c r="F8" s="715" t="s">
        <v>657</v>
      </c>
      <c r="G8" s="715" t="s">
        <v>658</v>
      </c>
      <c r="K8" s="710"/>
      <c r="L8" s="710"/>
      <c r="M8" s="710"/>
      <c r="N8" s="710"/>
      <c r="O8" s="711"/>
      <c r="P8" s="711"/>
      <c r="Q8" s="710"/>
      <c r="R8" s="710"/>
      <c r="S8" s="710"/>
      <c r="T8" s="712"/>
      <c r="U8" s="710"/>
      <c r="V8" s="712"/>
      <c r="W8" s="710"/>
      <c r="X8" s="710"/>
      <c r="Z8" s="713"/>
      <c r="AA8" s="713"/>
    </row>
    <row r="9" spans="1:29" s="709" customFormat="1">
      <c r="D9" s="716">
        <v>6</v>
      </c>
      <c r="E9" s="716">
        <v>2012</v>
      </c>
      <c r="F9" s="715">
        <f>12-D9</f>
        <v>6</v>
      </c>
      <c r="G9" s="715">
        <f>E9+1</f>
        <v>2013</v>
      </c>
      <c r="K9" s="710"/>
      <c r="L9" s="710"/>
      <c r="M9" s="710"/>
      <c r="N9" s="710"/>
      <c r="O9" s="717"/>
      <c r="P9" s="717"/>
      <c r="Q9" s="710"/>
      <c r="R9" s="710"/>
      <c r="S9" s="710"/>
      <c r="T9" s="712"/>
      <c r="U9" s="718"/>
      <c r="V9" s="712"/>
      <c r="W9" s="718"/>
      <c r="X9" s="718"/>
      <c r="Z9" s="713"/>
      <c r="AA9" s="713"/>
    </row>
    <row r="10" spans="1:29" s="709" customFormat="1">
      <c r="A10" s="713"/>
      <c r="D10" s="719"/>
      <c r="E10" s="710"/>
      <c r="F10" s="719"/>
      <c r="H10" s="719"/>
      <c r="J10" s="713"/>
      <c r="K10" s="710"/>
      <c r="L10" s="710"/>
      <c r="M10" s="710"/>
      <c r="N10" s="710"/>
      <c r="O10" s="717"/>
      <c r="P10" s="717"/>
      <c r="Q10" s="710"/>
      <c r="R10" s="718"/>
      <c r="S10" s="718"/>
      <c r="T10" s="712"/>
      <c r="U10" s="718"/>
      <c r="V10" s="720"/>
      <c r="W10" s="718"/>
      <c r="X10" s="718"/>
    </row>
    <row r="11" spans="1:29" s="709" customFormat="1" ht="60" customHeight="1">
      <c r="B11" s="721" t="s">
        <v>659</v>
      </c>
      <c r="C11" s="957" t="s">
        <v>660</v>
      </c>
      <c r="D11" s="957"/>
      <c r="E11" s="722" t="s">
        <v>661</v>
      </c>
      <c r="F11" s="723" t="s">
        <v>662</v>
      </c>
      <c r="G11" s="723" t="s">
        <v>663</v>
      </c>
      <c r="H11" s="723" t="s">
        <v>664</v>
      </c>
      <c r="I11" s="960" t="s">
        <v>665</v>
      </c>
      <c r="J11" s="961"/>
      <c r="K11" s="962"/>
      <c r="L11" s="722" t="s">
        <v>666</v>
      </c>
      <c r="M11" s="963" t="s">
        <v>667</v>
      </c>
      <c r="N11" s="963"/>
      <c r="O11" s="964" t="s">
        <v>668</v>
      </c>
      <c r="P11" s="965"/>
      <c r="Q11" s="722" t="s">
        <v>284</v>
      </c>
      <c r="R11" s="724" t="s">
        <v>669</v>
      </c>
      <c r="S11" s="724" t="s">
        <v>670</v>
      </c>
      <c r="T11" s="724" t="s">
        <v>671</v>
      </c>
      <c r="U11" s="724" t="s">
        <v>672</v>
      </c>
      <c r="V11" s="724" t="s">
        <v>673</v>
      </c>
      <c r="W11" s="950" t="s">
        <v>674</v>
      </c>
      <c r="X11" s="951"/>
      <c r="Y11" s="724" t="s">
        <v>675</v>
      </c>
      <c r="Z11" s="724" t="s">
        <v>676</v>
      </c>
      <c r="AA11" s="724" t="s">
        <v>677</v>
      </c>
      <c r="AB11" s="724" t="s">
        <v>678</v>
      </c>
      <c r="AC11" s="724" t="s">
        <v>679</v>
      </c>
    </row>
    <row r="12" spans="1:29" s="709" customFormat="1" ht="15.75">
      <c r="A12" s="719"/>
      <c r="B12" s="725" t="s">
        <v>680</v>
      </c>
      <c r="C12" s="726" t="s">
        <v>657</v>
      </c>
      <c r="D12" s="726" t="s">
        <v>658</v>
      </c>
      <c r="E12" s="727" t="s">
        <v>681</v>
      </c>
      <c r="F12" s="728" t="s">
        <v>270</v>
      </c>
      <c r="G12" s="726" t="s">
        <v>682</v>
      </c>
      <c r="H12" s="729" t="s">
        <v>658</v>
      </c>
      <c r="I12" s="730" t="s">
        <v>683</v>
      </c>
      <c r="J12" s="730" t="s">
        <v>684</v>
      </c>
      <c r="K12" s="731" t="s">
        <v>681</v>
      </c>
      <c r="L12" s="732" t="s">
        <v>681</v>
      </c>
      <c r="M12" s="733" t="s">
        <v>234</v>
      </c>
      <c r="N12" s="733" t="s">
        <v>685</v>
      </c>
      <c r="O12" s="734" t="s">
        <v>686</v>
      </c>
      <c r="P12" s="734" t="s">
        <v>687</v>
      </c>
      <c r="Q12" s="733" t="s">
        <v>681</v>
      </c>
      <c r="R12" s="735" t="s">
        <v>681</v>
      </c>
      <c r="S12" s="735" t="s">
        <v>681</v>
      </c>
      <c r="T12" s="736" t="s">
        <v>270</v>
      </c>
      <c r="U12" s="735" t="s">
        <v>681</v>
      </c>
      <c r="V12" s="736" t="s">
        <v>270</v>
      </c>
      <c r="W12" s="736" t="s">
        <v>686</v>
      </c>
      <c r="X12" s="736" t="s">
        <v>687</v>
      </c>
      <c r="Y12" s="736" t="s">
        <v>450</v>
      </c>
      <c r="Z12" s="736" t="s">
        <v>451</v>
      </c>
      <c r="AA12" s="736" t="s">
        <v>452</v>
      </c>
      <c r="AB12" s="736" t="s">
        <v>453</v>
      </c>
      <c r="AC12" s="736" t="s">
        <v>454</v>
      </c>
    </row>
    <row r="13" spans="1:29" s="741" customFormat="1">
      <c r="A13" s="737"/>
      <c r="B13" s="738" t="s">
        <v>688</v>
      </c>
      <c r="C13" s="737"/>
      <c r="D13" s="737"/>
      <c r="E13" s="717"/>
      <c r="F13" s="737"/>
      <c r="G13" s="737"/>
      <c r="H13" s="737"/>
      <c r="I13" s="739"/>
      <c r="J13" s="739"/>
      <c r="K13" s="717"/>
      <c r="L13" s="717"/>
      <c r="M13" s="717"/>
      <c r="N13" s="717"/>
      <c r="O13" s="717"/>
      <c r="P13" s="717"/>
      <c r="Q13" s="717"/>
      <c r="R13" s="717"/>
      <c r="S13" s="717"/>
      <c r="T13" s="740"/>
      <c r="U13" s="717"/>
      <c r="V13" s="740"/>
      <c r="W13" s="717"/>
      <c r="X13" s="711"/>
      <c r="Y13" s="737"/>
      <c r="Z13" s="737"/>
      <c r="AA13" s="737"/>
      <c r="AB13" s="737"/>
      <c r="AC13" s="737"/>
    </row>
    <row r="14" spans="1:29" s="709" customFormat="1">
      <c r="B14" s="742" t="s">
        <v>689</v>
      </c>
      <c r="C14" s="743">
        <v>6</v>
      </c>
      <c r="D14" s="743">
        <v>2011</v>
      </c>
      <c r="E14" s="744">
        <f>39369*Q43</f>
        <v>10145.08846153846</v>
      </c>
      <c r="F14" s="745">
        <v>0.33</v>
      </c>
      <c r="G14" s="743">
        <v>5</v>
      </c>
      <c r="H14" s="709">
        <f>D14+G14</f>
        <v>2016</v>
      </c>
      <c r="I14" s="746"/>
      <c r="J14" s="747"/>
      <c r="K14" s="748">
        <v>0</v>
      </c>
      <c r="L14" s="710">
        <f>(E14-E14*F14)</f>
        <v>6797.2092692307688</v>
      </c>
      <c r="M14" s="710">
        <f>L14/G14/12</f>
        <v>113.28682115384613</v>
      </c>
      <c r="N14" s="710">
        <f>IF(K14&gt;0,0,IF(OR(Y14&gt;Z14,AA14&lt;AB14),0,IF(AND(AA14&gt;=AB14,AA14&lt;=Z14),M14*((AA14-AB14)*12),IF(AND(AB14&lt;=Y14,Z14&gt;=Y14),((Z14-Y14)*12)*M14,IF(AA14&gt;Z14,12*M14,0)))))</f>
        <v>1359.4418538461537</v>
      </c>
      <c r="O14" s="749">
        <f>IF(Y14&gt;Z14,0,IF(AA14&lt;AB14,L14,IF(AND(AA14&gt;=AB14,AA14&lt;=Z14),(L14-S14),IF(AND(AB14&lt;=Y14,Z14&gt;=Y14),0,IF(AA14&gt;Z14,((AB14-Y14)*12)*M14,0)))))</f>
        <v>1472.7286749998966</v>
      </c>
      <c r="P14" s="749">
        <f>IF(K14&gt;0,0,X14+U14*V14)*V14</f>
        <v>2832.1705288460503</v>
      </c>
      <c r="Q14" s="710">
        <f>IF(K14&gt;0,(E14-X14)/2,IF(Y14&gt;=AB14,(((E14*T14)*V14)-P14)/2,((((E14*T14)*V14)-X14)+(((E14*T14)*V14)-P14))/2))</f>
        <v>7992.6388596154866</v>
      </c>
      <c r="R14" s="710">
        <f>IF(K14=0,0,IF(AND(AC14&gt;=AB14,AC14&lt;=AA14),((AC14-AB14)*12)*M14,0))</f>
        <v>0</v>
      </c>
      <c r="S14" s="710">
        <f>IF(R14&gt;0,R14,N14)</f>
        <v>1359.4418538461537</v>
      </c>
      <c r="T14" s="712">
        <v>1</v>
      </c>
      <c r="U14" s="710">
        <f>T14*(N14+R14)</f>
        <v>1359.4418538461537</v>
      </c>
      <c r="V14" s="712">
        <v>1</v>
      </c>
      <c r="W14" s="710">
        <f>O14*T14</f>
        <v>1472.7286749998966</v>
      </c>
      <c r="X14" s="710">
        <f>W14*V14</f>
        <v>1472.7286749998966</v>
      </c>
      <c r="Y14" s="750">
        <f>$D14+(($C14-1)/12)</f>
        <v>2011.4166666666667</v>
      </c>
      <c r="Z14" s="709">
        <f>($G$9+1)-($D$9/12)</f>
        <v>2013.5</v>
      </c>
      <c r="AA14" s="750">
        <f>$H14+(($C14-1)/12)</f>
        <v>2016.4166666666667</v>
      </c>
      <c r="AB14" s="709">
        <f>$E$9+($F$9/12)</f>
        <v>2012.5</v>
      </c>
      <c r="AC14" s="709">
        <f>$J14+(($I14-1)/12)</f>
        <v>-8.3333333333333329E-2</v>
      </c>
    </row>
    <row r="15" spans="1:29" s="709" customFormat="1">
      <c r="B15" s="742" t="s">
        <v>690</v>
      </c>
      <c r="C15" s="743">
        <v>11</v>
      </c>
      <c r="D15" s="743">
        <v>2011</v>
      </c>
      <c r="E15" s="744">
        <f>21640*Q44</f>
        <v>2580.1538461538462</v>
      </c>
      <c r="F15" s="745">
        <v>0.33</v>
      </c>
      <c r="G15" s="743">
        <v>5</v>
      </c>
      <c r="H15" s="709">
        <f>D15+G15</f>
        <v>2016</v>
      </c>
      <c r="I15" s="746"/>
      <c r="J15" s="747"/>
      <c r="K15" s="748">
        <v>0</v>
      </c>
      <c r="L15" s="710">
        <f>(E15-E15*F15)</f>
        <v>1728.7030769230769</v>
      </c>
      <c r="M15" s="710">
        <f>L15/G15/12</f>
        <v>28.811717948717945</v>
      </c>
      <c r="N15" s="710">
        <f>IF(K15&gt;0,0,IF(OR(Y15&gt;Z15,AA15&lt;AB15),0,IF(AND(AA15&gt;=AB15,AA15&lt;=Z15),M15*((AA15-AB15)*12),IF(AND(AB15&lt;=Y15,Z15&gt;=Y15),((Z15-Y15)*12)*M15,IF(AA15&gt;Z15,12*M15,0)))))</f>
        <v>345.74061538461535</v>
      </c>
      <c r="O15" s="749">
        <f>IF(Y15&gt;Z15,0,IF(AA15&lt;AB15,L15,IF(AND(AA15&gt;=AB15,AA15&lt;=Z15),(L15-S15),IF(AND(AB15&lt;=Y15,Z15&gt;=Y15),0,IF(AA15&gt;Z15,((AB15-Y15)*12)*M15,0)))))</f>
        <v>230.49374358976976</v>
      </c>
      <c r="P15" s="749">
        <f>IF(K15&gt;0,0,X15+U15*V15)*V15</f>
        <v>576.23435897438515</v>
      </c>
      <c r="Q15" s="710">
        <f>IF(K15&gt;0,(E15-X15)/2,IF(Y15&gt;=AB15,(((E15*T15)*V15)-P15)/2,((((E15*T15)*V15)-X15)+(((E15*T15)*V15)-P15))/2))</f>
        <v>2176.7897948717691</v>
      </c>
      <c r="R15" s="710">
        <f>IF(K15=0,0,IF(AND(AC15&gt;=AB15,AC15&lt;=AA15),((AC15-AB15)*12)*M15,0))</f>
        <v>0</v>
      </c>
      <c r="S15" s="710">
        <f>IF(R15&gt;0,R15,N15)</f>
        <v>345.74061538461535</v>
      </c>
      <c r="T15" s="712">
        <v>1</v>
      </c>
      <c r="U15" s="710">
        <f>T15*(N15+R15)</f>
        <v>345.74061538461535</v>
      </c>
      <c r="V15" s="712">
        <v>1</v>
      </c>
      <c r="W15" s="710">
        <f>O15*T15</f>
        <v>230.49374358976976</v>
      </c>
      <c r="X15" s="710">
        <f>W15*V15</f>
        <v>230.49374358976976</v>
      </c>
      <c r="Y15" s="750">
        <f>$D15+(($C15-1)/12)</f>
        <v>2011.8333333333333</v>
      </c>
      <c r="Z15" s="709">
        <f>($G$9+1)-($D$9/12)</f>
        <v>2013.5</v>
      </c>
      <c r="AA15" s="750">
        <f>$H15+(($C15-1)/12)</f>
        <v>2016.8333333333333</v>
      </c>
      <c r="AB15" s="709">
        <f>$E$9+($F$9/12)</f>
        <v>2012.5</v>
      </c>
      <c r="AC15" s="709">
        <f>$J15+(($I15-1)/12)</f>
        <v>-8.3333333333333329E-2</v>
      </c>
    </row>
    <row r="16" spans="1:29" s="709" customFormat="1">
      <c r="B16" s="742" t="s">
        <v>691</v>
      </c>
      <c r="C16" s="743">
        <v>1</v>
      </c>
      <c r="D16" s="743">
        <v>2005</v>
      </c>
      <c r="E16" s="744">
        <f>204602*Q45</f>
        <v>46428.915384615386</v>
      </c>
      <c r="F16" s="745">
        <v>0.2</v>
      </c>
      <c r="G16" s="751">
        <v>5</v>
      </c>
      <c r="H16" s="709">
        <f>D16+G16</f>
        <v>2010</v>
      </c>
      <c r="I16" s="746"/>
      <c r="J16" s="747"/>
      <c r="K16" s="748">
        <v>0</v>
      </c>
      <c r="L16" s="710">
        <f>(E16-E16*F16)</f>
        <v>37143.132307692307</v>
      </c>
      <c r="M16" s="710">
        <f>L16/G16/12</f>
        <v>619.05220512820517</v>
      </c>
      <c r="N16" s="710">
        <f>IF(K16&gt;0,0,IF(OR(Y16&gt;Z16,AA16&lt;AB16),0,IF(AND(AA16&gt;=AB16,AA16&lt;=Z16),M16*((AA16-AB16)*12),IF(AND(AB16&lt;=Y16,Z16&gt;=Y16),((Z16-Y16)*12)*M16,IF(AA16&gt;Z16,12*M16,0)))))</f>
        <v>0</v>
      </c>
      <c r="O16" s="749">
        <f>IF(Y16&gt;Z16,0,IF(AA16&lt;AB16,L16,IF(AND(AA16&gt;=AB16,AA16&lt;=Z16),(L16-S16),IF(AND(AB16&lt;=Y16,Z16&gt;=Y16),0,IF(AA16&gt;Z16,((AB16-Y16)*12)*M16,0)))))</f>
        <v>37143.132307692307</v>
      </c>
      <c r="P16" s="749">
        <f>IF(K16&gt;0,0,X16+U16*V16)*V16</f>
        <v>37143.132307692307</v>
      </c>
      <c r="Q16" s="710">
        <f>IF(K16&gt;0,(E16-X16)/2,IF(Y16&gt;=AB16,(((E16*T16)*V16)-P16)/2,((((E16*T16)*V16)-X16)+(((E16*T16)*V16)-P16))/2))</f>
        <v>9285.7830769230786</v>
      </c>
      <c r="R16" s="710">
        <f>IF(K16=0,0,IF(AND(AC16&gt;=AB16,AC16&lt;=AA16),((AC16-AB16)*12)*M16,0))</f>
        <v>0</v>
      </c>
      <c r="S16" s="710">
        <f>IF(R16&gt;0,R16,N16)</f>
        <v>0</v>
      </c>
      <c r="T16" s="712">
        <v>1</v>
      </c>
      <c r="U16" s="710">
        <f>T16*(N16+R16)</f>
        <v>0</v>
      </c>
      <c r="V16" s="712">
        <v>1</v>
      </c>
      <c r="W16" s="710">
        <f>O16*T16</f>
        <v>37143.132307692307</v>
      </c>
      <c r="X16" s="710">
        <f>W16*V16</f>
        <v>37143.132307692307</v>
      </c>
      <c r="Y16" s="750">
        <f>$D16+(($C16-1)/12)</f>
        <v>2005</v>
      </c>
      <c r="Z16" s="709">
        <f>($G$9+1)-($D$9/12)</f>
        <v>2013.5</v>
      </c>
      <c r="AA16" s="750">
        <f>$H16+(($C16-1)/12)</f>
        <v>2010</v>
      </c>
      <c r="AB16" s="709">
        <f>$E$9+($F$9/12)</f>
        <v>2012.5</v>
      </c>
      <c r="AC16" s="709">
        <f>$J16+(($I16-1)/12)</f>
        <v>-8.3333333333333329E-2</v>
      </c>
    </row>
    <row r="17" spans="2:29" ht="15.75" thickBot="1"/>
    <row r="18" spans="2:29" ht="15.75" thickBot="1">
      <c r="B18" s="754" t="s">
        <v>481</v>
      </c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6">
        <f>SUM(N14:N16)</f>
        <v>1705.1824692307691</v>
      </c>
      <c r="O18" s="755"/>
      <c r="P18" s="757"/>
      <c r="Q18" s="756">
        <f>SUM(Q14:Q16)</f>
        <v>19455.211731410334</v>
      </c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8"/>
    </row>
    <row r="19" spans="2:29" ht="15.75" thickBot="1"/>
    <row r="20" spans="2:29">
      <c r="B20" s="759" t="s">
        <v>284</v>
      </c>
      <c r="C20" s="760"/>
      <c r="D20" s="761">
        <f>Q18</f>
        <v>19455.211731410334</v>
      </c>
      <c r="F20" s="762"/>
      <c r="G20" s="762"/>
      <c r="H20" s="763"/>
      <c r="I20" s="762"/>
    </row>
    <row r="21" spans="2:29">
      <c r="B21" s="764"/>
      <c r="C21" s="765"/>
      <c r="D21" s="766"/>
      <c r="F21" s="762"/>
      <c r="G21" s="762"/>
      <c r="H21" s="767"/>
      <c r="I21" s="762"/>
      <c r="M21" s="768">
        <v>3</v>
      </c>
      <c r="N21" s="768">
        <v>6</v>
      </c>
      <c r="O21" s="768">
        <v>29</v>
      </c>
      <c r="P21" s="752"/>
    </row>
    <row r="22" spans="2:29">
      <c r="B22" s="769" t="s">
        <v>692</v>
      </c>
      <c r="C22" s="765"/>
      <c r="D22" s="770"/>
      <c r="F22" s="762"/>
      <c r="G22" s="762"/>
      <c r="H22" s="767"/>
      <c r="I22" s="762"/>
      <c r="K22" s="752" t="s">
        <v>693</v>
      </c>
      <c r="M22" s="771">
        <v>336</v>
      </c>
      <c r="N22" s="771">
        <v>1140</v>
      </c>
      <c r="O22" s="771">
        <v>341</v>
      </c>
      <c r="P22" s="771">
        <v>1817</v>
      </c>
      <c r="Q22" s="752" t="s">
        <v>432</v>
      </c>
    </row>
    <row r="23" spans="2:29">
      <c r="B23" s="764" t="s">
        <v>279</v>
      </c>
      <c r="C23" s="772">
        <f>[17]WCE!$I$43</f>
        <v>0.51511333471033283</v>
      </c>
      <c r="D23" s="770">
        <f>D20*C23</f>
        <v>10021.638992462365</v>
      </c>
      <c r="F23" s="762"/>
      <c r="G23" s="762"/>
      <c r="H23" s="763"/>
      <c r="I23" s="762"/>
      <c r="K23" s="752" t="s">
        <v>694</v>
      </c>
      <c r="M23" s="771">
        <v>681</v>
      </c>
      <c r="N23" s="771">
        <v>681</v>
      </c>
      <c r="O23" s="771">
        <v>681</v>
      </c>
      <c r="P23" s="771">
        <v>2043</v>
      </c>
      <c r="Q23" s="752" t="s">
        <v>432</v>
      </c>
    </row>
    <row r="24" spans="2:29">
      <c r="B24" s="764" t="s">
        <v>272</v>
      </c>
      <c r="C24" s="773">
        <f>[17]WCE!$I$48</f>
        <v>0.48488666528966717</v>
      </c>
      <c r="D24" s="770">
        <f>C24*D20</f>
        <v>9433.5727389479689</v>
      </c>
      <c r="I24" s="762"/>
      <c r="K24" s="752" t="s">
        <v>695</v>
      </c>
      <c r="M24" s="771">
        <v>1200</v>
      </c>
      <c r="N24" s="771">
        <v>1200</v>
      </c>
      <c r="O24" s="771">
        <v>1200</v>
      </c>
      <c r="P24" s="771">
        <v>3600</v>
      </c>
      <c r="Q24" s="752" t="s">
        <v>696</v>
      </c>
    </row>
    <row r="25" spans="2:29">
      <c r="B25" s="764"/>
      <c r="C25" s="774"/>
      <c r="D25" s="770"/>
      <c r="F25" s="952" t="s">
        <v>697</v>
      </c>
      <c r="G25" s="952"/>
      <c r="H25" s="767">
        <f>D32</f>
        <v>9246.2815351766185</v>
      </c>
      <c r="K25" s="752" t="s">
        <v>698</v>
      </c>
      <c r="M25" s="771">
        <v>5438.0099999999993</v>
      </c>
      <c r="N25" s="771">
        <v>7643.3400000000011</v>
      </c>
      <c r="O25" s="771">
        <v>9084.69</v>
      </c>
      <c r="P25" s="771">
        <v>22166.04</v>
      </c>
      <c r="Q25" s="752" t="s">
        <v>432</v>
      </c>
    </row>
    <row r="26" spans="2:29" ht="30" customHeight="1">
      <c r="B26" s="764"/>
      <c r="C26" s="775"/>
      <c r="D26" s="770"/>
      <c r="F26" s="953" t="s">
        <v>437</v>
      </c>
      <c r="G26" s="953"/>
      <c r="H26" s="763">
        <f>'[8]Sch 4 - 12months'!O32</f>
        <v>36000</v>
      </c>
      <c r="K26" s="954" t="s">
        <v>210</v>
      </c>
      <c r="L26" s="954"/>
      <c r="M26" s="763">
        <f>SUM(M22:M25)</f>
        <v>7655.0099999999993</v>
      </c>
      <c r="N26" s="763">
        <f t="shared" ref="N26:O26" si="0">SUM(N22:N25)</f>
        <v>10664.34</v>
      </c>
      <c r="O26" s="763">
        <f t="shared" si="0"/>
        <v>11306.69</v>
      </c>
      <c r="P26" s="763"/>
      <c r="Q26" s="771"/>
    </row>
    <row r="27" spans="2:29" ht="16.5" customHeight="1">
      <c r="B27" s="769" t="s">
        <v>69</v>
      </c>
      <c r="C27" s="772">
        <f>[17]WCE!$G$56</f>
        <v>6.1412250074626758E-2</v>
      </c>
      <c r="D27" s="770">
        <f>C27*D23</f>
        <v>615.45139996272928</v>
      </c>
      <c r="F27" s="958" t="s">
        <v>779</v>
      </c>
      <c r="G27" s="958"/>
      <c r="H27" s="932">
        <f>H25-H26</f>
        <v>-26753.718464823382</v>
      </c>
      <c r="K27" s="952" t="s">
        <v>699</v>
      </c>
      <c r="L27" s="952"/>
      <c r="M27" s="776">
        <f>Q43*M26</f>
        <v>1972.637192307692</v>
      </c>
      <c r="N27" s="776">
        <f>N26*Q44</f>
        <v>1271.5174615384617</v>
      </c>
      <c r="O27" s="776">
        <f>O26*Q45</f>
        <v>2565.7488846153847</v>
      </c>
      <c r="P27" s="777">
        <f>SUM(M27:O27)</f>
        <v>5809.9035384615381</v>
      </c>
    </row>
    <row r="28" spans="2:29">
      <c r="B28" s="769" t="s">
        <v>700</v>
      </c>
      <c r="C28" s="773">
        <f>B59</f>
        <v>0.11827376100202842</v>
      </c>
      <c r="D28" s="770">
        <f>C28*D24</f>
        <v>1115.7441275215826</v>
      </c>
    </row>
    <row r="29" spans="2:29">
      <c r="B29" s="764"/>
      <c r="C29" s="765"/>
      <c r="D29" s="770"/>
    </row>
    <row r="30" spans="2:29">
      <c r="B30" s="778" t="s">
        <v>667</v>
      </c>
      <c r="C30" s="779"/>
      <c r="D30" s="780">
        <f>N18</f>
        <v>1705.1824692307691</v>
      </c>
      <c r="F30" s="789" t="str">
        <f>'[8]Sch 1 - Restate Exp'!A83</f>
        <v>R-6H</v>
      </c>
      <c r="G30" s="789" t="str">
        <f>'[8]Sch 1 - Restate Exp'!B83</f>
        <v>Spare Truck Rents</v>
      </c>
      <c r="H30" s="789" t="str">
        <f>'[8]Sch 1 - Restate Exp'!C83</f>
        <v xml:space="preserve"> Staff adjustment based on the number of collection days</v>
      </c>
      <c r="I30" s="789"/>
      <c r="J30" s="789"/>
      <c r="K30" s="789"/>
      <c r="L30" s="789"/>
      <c r="M30" s="789"/>
    </row>
    <row r="31" spans="2:29">
      <c r="B31" s="769" t="s">
        <v>701</v>
      </c>
      <c r="C31" s="781"/>
      <c r="D31" s="782">
        <f>P27</f>
        <v>5809.9035384615381</v>
      </c>
      <c r="F31" s="789"/>
      <c r="G31" s="789"/>
      <c r="H31" s="789" t="str">
        <f>'[8]Sch 1 - Restate Exp'!C84</f>
        <v>Total</v>
      </c>
      <c r="I31" s="789" t="str">
        <f>'[8]Sch 1 - Restate Exp'!D84</f>
        <v>Reg</v>
      </c>
      <c r="J31" s="789"/>
      <c r="K31" s="789"/>
      <c r="L31" s="789"/>
      <c r="M31" s="789"/>
    </row>
    <row r="32" spans="2:29">
      <c r="B32" s="764" t="s">
        <v>702</v>
      </c>
      <c r="C32" s="765"/>
      <c r="D32" s="766">
        <f>SUM(D27:D31)</f>
        <v>9246.2815351766185</v>
      </c>
      <c r="F32" s="789"/>
      <c r="G32" s="789" t="str">
        <f>'[8]Sch 1 - Restate Exp'!B85</f>
        <v>Operations</v>
      </c>
      <c r="H32" s="931">
        <f>'[8]Sch 1 - Restate Exp'!C85</f>
        <v>36000</v>
      </c>
      <c r="I32" s="931">
        <f>'[8]Sch 1 - Restate Exp'!D85</f>
        <v>32720.503597122301</v>
      </c>
      <c r="J32" s="789"/>
      <c r="K32" s="789"/>
      <c r="L32" s="789"/>
      <c r="M32" s="789"/>
      <c r="U32" s="753"/>
    </row>
    <row r="33" spans="2:21" ht="15.75" thickBot="1">
      <c r="B33" s="783"/>
      <c r="C33" s="784"/>
      <c r="D33" s="785"/>
      <c r="F33" s="789"/>
      <c r="G33" s="789" t="str">
        <f>'[8]Sch 1 - Restate Exp'!B86</f>
        <v>Adjusted</v>
      </c>
      <c r="H33" s="931">
        <f>H25</f>
        <v>9246.2815351766185</v>
      </c>
      <c r="I33" s="931">
        <f>'[8]Sch 1 - Restate Exp'!D86</f>
        <v>8403.9718953264455</v>
      </c>
      <c r="J33" s="789"/>
      <c r="K33" s="789"/>
      <c r="L33" s="789"/>
      <c r="M33" s="789"/>
      <c r="U33" s="753"/>
    </row>
    <row r="34" spans="2:21" ht="15.75" thickBot="1">
      <c r="F34" s="789"/>
      <c r="G34" s="789"/>
      <c r="H34" s="789"/>
      <c r="I34" s="933">
        <f>'[8]Sch 1 - Restate Exp'!D87</f>
        <v>-24316.531701795855</v>
      </c>
      <c r="J34" s="789"/>
      <c r="K34" s="789"/>
      <c r="L34" s="930"/>
      <c r="M34" s="789"/>
      <c r="U34" s="753"/>
    </row>
    <row r="35" spans="2:21">
      <c r="B35" s="959"/>
      <c r="C35" s="786"/>
      <c r="D35" s="771"/>
      <c r="F35" s="789"/>
      <c r="G35" s="789"/>
      <c r="H35" s="789"/>
      <c r="I35" s="789"/>
      <c r="J35" s="789"/>
      <c r="K35" s="789"/>
      <c r="L35" s="789"/>
      <c r="M35" s="789"/>
      <c r="U35" s="753"/>
    </row>
    <row r="36" spans="2:21">
      <c r="B36" s="959"/>
      <c r="D36" s="771"/>
      <c r="U36" s="787"/>
    </row>
    <row r="37" spans="2:21">
      <c r="B37" s="788"/>
      <c r="D37" s="771"/>
      <c r="U37" s="787"/>
    </row>
    <row r="38" spans="2:21">
      <c r="Q38" s="789" t="s">
        <v>703</v>
      </c>
      <c r="R38" s="789"/>
      <c r="S38" s="789">
        <f>52*5</f>
        <v>260</v>
      </c>
      <c r="U38" s="787"/>
    </row>
    <row r="39" spans="2:21">
      <c r="C39" s="752" t="s">
        <v>704</v>
      </c>
      <c r="P39" s="752"/>
      <c r="U39" s="790"/>
    </row>
    <row r="40" spans="2:21">
      <c r="C40" s="791">
        <v>2012</v>
      </c>
      <c r="D40" s="791">
        <v>2012</v>
      </c>
      <c r="E40" s="791">
        <v>2012</v>
      </c>
      <c r="F40" s="791">
        <v>2012</v>
      </c>
      <c r="G40" s="791">
        <v>2012</v>
      </c>
      <c r="H40" s="791">
        <v>2012</v>
      </c>
      <c r="I40" s="791">
        <v>2013</v>
      </c>
      <c r="J40" s="791">
        <v>2013</v>
      </c>
      <c r="K40" s="791">
        <v>2013</v>
      </c>
      <c r="L40" s="791">
        <v>2013</v>
      </c>
      <c r="M40" s="791">
        <v>2013</v>
      </c>
      <c r="N40" s="791">
        <v>2013</v>
      </c>
      <c r="P40" s="752"/>
      <c r="U40" s="753"/>
    </row>
    <row r="41" spans="2:21">
      <c r="B41" s="779" t="s">
        <v>705</v>
      </c>
      <c r="C41" s="792" t="s">
        <v>596</v>
      </c>
      <c r="D41" s="792" t="s">
        <v>600</v>
      </c>
      <c r="E41" s="792" t="s">
        <v>601</v>
      </c>
      <c r="F41" s="792" t="s">
        <v>602</v>
      </c>
      <c r="G41" s="792" t="s">
        <v>603</v>
      </c>
      <c r="H41" s="792" t="s">
        <v>604</v>
      </c>
      <c r="I41" s="792" t="s">
        <v>605</v>
      </c>
      <c r="J41" s="792" t="s">
        <v>606</v>
      </c>
      <c r="K41" s="792" t="s">
        <v>607</v>
      </c>
      <c r="L41" s="792" t="s">
        <v>608</v>
      </c>
      <c r="M41" s="792" t="s">
        <v>609</v>
      </c>
      <c r="N41" s="792" t="s">
        <v>610</v>
      </c>
      <c r="P41" s="792" t="s">
        <v>611</v>
      </c>
      <c r="U41" s="753"/>
    </row>
    <row r="42" spans="2:21">
      <c r="B42" s="793"/>
      <c r="P42" s="752"/>
    </row>
    <row r="43" spans="2:21">
      <c r="B43" s="793" t="s">
        <v>689</v>
      </c>
      <c r="C43" s="791">
        <v>6</v>
      </c>
      <c r="D43" s="791">
        <v>4</v>
      </c>
      <c r="E43" s="791">
        <v>3</v>
      </c>
      <c r="F43" s="791">
        <v>4</v>
      </c>
      <c r="G43" s="791"/>
      <c r="H43" s="791">
        <v>9</v>
      </c>
      <c r="I43" s="791">
        <v>6</v>
      </c>
      <c r="J43" s="791">
        <v>4</v>
      </c>
      <c r="K43" s="791">
        <v>17</v>
      </c>
      <c r="L43" s="791">
        <v>4</v>
      </c>
      <c r="M43" s="791">
        <v>3</v>
      </c>
      <c r="N43" s="791">
        <v>7</v>
      </c>
      <c r="P43" s="791">
        <f>SUM(C43:N43)</f>
        <v>67</v>
      </c>
      <c r="Q43" s="794">
        <f>P43/S38</f>
        <v>0.25769230769230766</v>
      </c>
    </row>
    <row r="44" spans="2:21">
      <c r="B44" s="793" t="s">
        <v>690</v>
      </c>
      <c r="C44" s="791"/>
      <c r="D44" s="791"/>
      <c r="E44" s="791">
        <v>7</v>
      </c>
      <c r="F44" s="791"/>
      <c r="G44" s="791"/>
      <c r="H44" s="791"/>
      <c r="I44" s="791">
        <v>4</v>
      </c>
      <c r="J44" s="791">
        <v>11</v>
      </c>
      <c r="K44" s="791">
        <v>3</v>
      </c>
      <c r="L44" s="791">
        <v>3</v>
      </c>
      <c r="M44" s="791">
        <v>1</v>
      </c>
      <c r="N44" s="791">
        <v>2</v>
      </c>
      <c r="P44" s="791">
        <f>SUM(C44:N44)</f>
        <v>31</v>
      </c>
      <c r="Q44" s="794">
        <f>P44/S38</f>
        <v>0.11923076923076924</v>
      </c>
    </row>
    <row r="45" spans="2:21">
      <c r="B45" s="795" t="s">
        <v>691</v>
      </c>
      <c r="C45" s="792">
        <v>4</v>
      </c>
      <c r="D45" s="792"/>
      <c r="E45" s="792">
        <v>15</v>
      </c>
      <c r="F45" s="792">
        <v>17</v>
      </c>
      <c r="G45" s="792">
        <v>10</v>
      </c>
      <c r="H45" s="792">
        <v>3</v>
      </c>
      <c r="I45" s="792"/>
      <c r="J45" s="792"/>
      <c r="K45" s="792"/>
      <c r="L45" s="792">
        <v>2</v>
      </c>
      <c r="M45" s="792">
        <v>2</v>
      </c>
      <c r="N45" s="792">
        <v>6</v>
      </c>
      <c r="P45" s="792">
        <f>SUM(C45:N45)</f>
        <v>59</v>
      </c>
      <c r="Q45" s="794">
        <f>P45/S38</f>
        <v>0.22692307692307692</v>
      </c>
    </row>
    <row r="46" spans="2:21">
      <c r="C46" s="791">
        <f t="shared" ref="C46:N46" si="1">SUM(C43:C45)</f>
        <v>10</v>
      </c>
      <c r="D46" s="791">
        <f t="shared" si="1"/>
        <v>4</v>
      </c>
      <c r="E46" s="791">
        <f t="shared" si="1"/>
        <v>25</v>
      </c>
      <c r="F46" s="791">
        <f t="shared" si="1"/>
        <v>21</v>
      </c>
      <c r="G46" s="791">
        <f t="shared" si="1"/>
        <v>10</v>
      </c>
      <c r="H46" s="791">
        <f t="shared" si="1"/>
        <v>12</v>
      </c>
      <c r="I46" s="791">
        <f t="shared" si="1"/>
        <v>10</v>
      </c>
      <c r="J46" s="791">
        <f t="shared" si="1"/>
        <v>15</v>
      </c>
      <c r="K46" s="791">
        <f t="shared" si="1"/>
        <v>20</v>
      </c>
      <c r="L46" s="791">
        <f t="shared" si="1"/>
        <v>9</v>
      </c>
      <c r="M46" s="791">
        <f t="shared" si="1"/>
        <v>6</v>
      </c>
      <c r="N46" s="791">
        <f t="shared" si="1"/>
        <v>15</v>
      </c>
      <c r="P46" s="791">
        <f>SUM(P43:P45)</f>
        <v>157</v>
      </c>
    </row>
    <row r="47" spans="2:21">
      <c r="P47" s="752"/>
    </row>
    <row r="48" spans="2:21">
      <c r="P48" s="752"/>
    </row>
    <row r="51" spans="1:19">
      <c r="A51" s="796" t="s">
        <v>777</v>
      </c>
      <c r="B51" s="796"/>
      <c r="C51" s="796"/>
      <c r="D51" s="796"/>
    </row>
    <row r="56" spans="1:19" ht="15.75">
      <c r="A56"/>
      <c r="B56" s="547" t="s">
        <v>277</v>
      </c>
      <c r="C56" s="548"/>
      <c r="D56" s="548">
        <v>2012</v>
      </c>
      <c r="E56" s="548">
        <v>2013</v>
      </c>
      <c r="F56" s="548"/>
      <c r="G56" s="548"/>
      <c r="H56" s="548">
        <v>2013</v>
      </c>
      <c r="I56" s="548"/>
      <c r="J56" s="548">
        <v>2013</v>
      </c>
      <c r="K56" s="548"/>
      <c r="L56" s="548"/>
      <c r="M56" s="549"/>
      <c r="N56"/>
      <c r="O56"/>
      <c r="P56"/>
      <c r="Q56"/>
      <c r="R56"/>
      <c r="S56" s="547">
        <v>2013</v>
      </c>
    </row>
    <row r="57" spans="1:19" ht="15.75">
      <c r="A57"/>
      <c r="B57" s="547" t="s">
        <v>508</v>
      </c>
      <c r="C57" s="548">
        <v>2013</v>
      </c>
      <c r="D57" s="548" t="s">
        <v>210</v>
      </c>
      <c r="E57" s="548" t="s">
        <v>210</v>
      </c>
      <c r="F57" s="548" t="s">
        <v>509</v>
      </c>
      <c r="G57" s="548">
        <v>2013</v>
      </c>
      <c r="H57" s="548" t="s">
        <v>108</v>
      </c>
      <c r="I57" s="548" t="s">
        <v>510</v>
      </c>
      <c r="J57" s="548" t="s">
        <v>210</v>
      </c>
      <c r="K57" s="548" t="s">
        <v>510</v>
      </c>
      <c r="L57" s="548"/>
      <c r="M57" s="549" t="s">
        <v>511</v>
      </c>
      <c r="N57"/>
      <c r="O57" s="942" t="s">
        <v>512</v>
      </c>
      <c r="P57" s="942"/>
      <c r="Q57" s="942"/>
      <c r="R57" s="942"/>
      <c r="S57" s="547" t="s">
        <v>513</v>
      </c>
    </row>
    <row r="58" spans="1:19" ht="15.75">
      <c r="A58"/>
      <c r="B58" s="547" t="s">
        <v>272</v>
      </c>
      <c r="C58" s="550" t="s">
        <v>17</v>
      </c>
      <c r="D58" s="550" t="s">
        <v>514</v>
      </c>
      <c r="E58" s="550" t="s">
        <v>514</v>
      </c>
      <c r="F58" s="550" t="s">
        <v>515</v>
      </c>
      <c r="G58" s="550" t="s">
        <v>13</v>
      </c>
      <c r="H58" s="550" t="s">
        <v>279</v>
      </c>
      <c r="I58" s="550" t="s">
        <v>279</v>
      </c>
      <c r="J58" s="550" t="s">
        <v>272</v>
      </c>
      <c r="K58" s="550" t="s">
        <v>272</v>
      </c>
      <c r="L58" s="550" t="s">
        <v>516</v>
      </c>
      <c r="M58" s="549" t="s">
        <v>272</v>
      </c>
      <c r="N58"/>
      <c r="O58" s="551" t="s">
        <v>517</v>
      </c>
      <c r="P58" s="551" t="s">
        <v>518</v>
      </c>
      <c r="Q58" s="551" t="s">
        <v>519</v>
      </c>
      <c r="R58" s="551" t="s">
        <v>520</v>
      </c>
      <c r="S58" s="551" t="s">
        <v>778</v>
      </c>
    </row>
    <row r="59" spans="1:19" ht="15.75">
      <c r="A59" s="552" t="s">
        <v>706</v>
      </c>
      <c r="B59" s="553">
        <v>0.11827376100202842</v>
      </c>
      <c r="C59" s="552">
        <v>6419</v>
      </c>
      <c r="D59" s="552">
        <v>8319</v>
      </c>
      <c r="E59" s="552">
        <v>9104</v>
      </c>
      <c r="F59" s="554">
        <v>0.73684210526315785</v>
      </c>
      <c r="G59" s="555">
        <v>0.13500000000000001</v>
      </c>
      <c r="H59" s="552">
        <v>4189</v>
      </c>
      <c r="I59" s="555">
        <v>0.68830101873151495</v>
      </c>
      <c r="J59" s="552">
        <v>1897</v>
      </c>
      <c r="K59" s="555">
        <v>0.31169898126848505</v>
      </c>
      <c r="L59" s="556">
        <v>1.35</v>
      </c>
      <c r="M59" s="557">
        <v>2.2082235108065364</v>
      </c>
      <c r="N59" s="552"/>
      <c r="O59" s="556">
        <v>9.7273761002028419E-2</v>
      </c>
      <c r="P59" s="552">
        <v>4.87</v>
      </c>
      <c r="Q59" s="552">
        <v>8.5</v>
      </c>
      <c r="R59" s="552">
        <v>6</v>
      </c>
      <c r="S59" s="552">
        <v>2.1000000000000001E-2</v>
      </c>
    </row>
  </sheetData>
  <mergeCells count="17">
    <mergeCell ref="F27:G27"/>
    <mergeCell ref="K27:L27"/>
    <mergeCell ref="B35:B36"/>
    <mergeCell ref="O57:R57"/>
    <mergeCell ref="I11:K11"/>
    <mergeCell ref="M11:N11"/>
    <mergeCell ref="O11:P11"/>
    <mergeCell ref="W11:X11"/>
    <mergeCell ref="F25:G25"/>
    <mergeCell ref="F26:G26"/>
    <mergeCell ref="K26:L26"/>
    <mergeCell ref="A1:G1"/>
    <mergeCell ref="A3:G3"/>
    <mergeCell ref="A5:G5"/>
    <mergeCell ref="D7:E7"/>
    <mergeCell ref="F7:G7"/>
    <mergeCell ref="C11:D11"/>
  </mergeCells>
  <pageMargins left="0.7" right="0.7" top="0.75" bottom="0.75" header="0.3" footer="0.3"/>
  <pageSetup scale="39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78F1273DB70904AAE85271E1485204E" ma:contentTypeVersion="175" ma:contentTypeDescription="" ma:contentTypeScope="" ma:versionID="d26588880608c5f475bb975253cc6c5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9af5a78cd4b1f642e3ede5db40f327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TV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Permit</CaseType>
    <IndustryCode xmlns="dc463f71-b30c-4ab2-9473-d307f9d35888">200</IndustryCode>
    <CaseStatus xmlns="dc463f71-b30c-4ab2-9473-d307f9d35888">Closed</CaseStatus>
    <OpenedDate xmlns="dc463f71-b30c-4ab2-9473-d307f9d35888">2014-04-18T07:00:00+00:00</OpenedDate>
    <Date1 xmlns="dc463f71-b30c-4ab2-9473-d307f9d35888">2014-07-18T07:00:00+00:00</Date1>
    <IsDocumentOrder xmlns="dc463f71-b30c-4ab2-9473-d307f9d35888" xsi:nil="true"/>
    <IsHighlyConfidential xmlns="dc463f71-b30c-4ab2-9473-d307f9d35888">false</IsHighlyConfidential>
    <CaseCompanyNames xmlns="dc463f71-b30c-4ab2-9473-d307f9d35888">Schram, Henry Donald</CaseCompanyNames>
    <DocketNumber xmlns="dc463f71-b30c-4ab2-9473-d307f9d35888">140650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41B4F9C4-CA50-40F5-B8FC-BAC602C4CD15}"/>
</file>

<file path=customXml/itemProps2.xml><?xml version="1.0" encoding="utf-8"?>
<ds:datastoreItem xmlns:ds="http://schemas.openxmlformats.org/officeDocument/2006/customXml" ds:itemID="{BA4392CE-3DFC-4BDC-82FC-F0D9D52CC56F}"/>
</file>

<file path=customXml/itemProps3.xml><?xml version="1.0" encoding="utf-8"?>
<ds:datastoreItem xmlns:ds="http://schemas.openxmlformats.org/officeDocument/2006/customXml" ds:itemID="{A9479F25-4D82-4D9F-80F6-1B8113E5558E}"/>
</file>

<file path=customXml/itemProps4.xml><?xml version="1.0" encoding="utf-8"?>
<ds:datastoreItem xmlns:ds="http://schemas.openxmlformats.org/officeDocument/2006/customXml" ds:itemID="{D380211B-902F-467F-842B-AFE9FCCB55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9</vt:i4>
      </vt:variant>
    </vt:vector>
  </HeadingPairs>
  <TitlesOfParts>
    <vt:vector size="26" baseType="lpstr">
      <vt:lpstr>Schedule 1 Results of Operation</vt:lpstr>
      <vt:lpstr>Schedule 2 Restated</vt:lpstr>
      <vt:lpstr>Schedule 3 Pro forma</vt:lpstr>
      <vt:lpstr>Schedule 4 R-1A, R-10</vt:lpstr>
      <vt:lpstr>Schedule 4, R-6D</vt:lpstr>
      <vt:lpstr>Schedule 4, R-6E</vt:lpstr>
      <vt:lpstr>Schedule 4, R-6G pg 1 </vt:lpstr>
      <vt:lpstr>Schedule 4, R-6G pg 2</vt:lpstr>
      <vt:lpstr>Schedule 4, R-6H</vt:lpstr>
      <vt:lpstr>Schedule 4, R-8 and R-9</vt:lpstr>
      <vt:lpstr>Schedule 4, RC-1A</vt:lpstr>
      <vt:lpstr>Schedule 4, RC-1, RC-1A</vt:lpstr>
      <vt:lpstr>Schedule 5, P-1A</vt:lpstr>
      <vt:lpstr>Schedule 5, P-2 and P-3</vt:lpstr>
      <vt:lpstr>Schedule 5, P-4</vt:lpstr>
      <vt:lpstr>Schedule 5, P-5A</vt:lpstr>
      <vt:lpstr>Schedule 6 Lurito-Gallagher</vt:lpstr>
      <vt:lpstr>'Schedule 3 Pro forma'!Print_Area</vt:lpstr>
      <vt:lpstr>'Schedule 4, R-6E'!Print_Area</vt:lpstr>
      <vt:lpstr>'Schedule 4, R-6H'!Print_Area</vt:lpstr>
      <vt:lpstr>'Schedule 4, RC-1, RC-1A'!Print_Area</vt:lpstr>
      <vt:lpstr>'Schedule 6 Lurito-Gallagher'!Print_Area</vt:lpstr>
      <vt:lpstr>'Schedule 1 Results of Operation'!Print_Titles</vt:lpstr>
      <vt:lpstr>'Schedule 2 Restated'!Print_Titles</vt:lpstr>
      <vt:lpstr>'Schedule 3 Pro forma'!Print_Titles</vt:lpstr>
      <vt:lpstr>'Schedule 5, P-1A'!Print_Titles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Cheesman</dc:creator>
  <cp:lastModifiedBy>DeMarco, Betsy (UTC)</cp:lastModifiedBy>
  <cp:lastPrinted>2014-07-18T20:07:31Z</cp:lastPrinted>
  <dcterms:created xsi:type="dcterms:W3CDTF">2014-07-16T02:06:12Z</dcterms:created>
  <dcterms:modified xsi:type="dcterms:W3CDTF">2014-07-18T20:07:55Z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0x0101006E56B4D1795A2E4DB2F0B01679ED314A00978F1273DB70904AAE85271E1485204E</vt:lpwstr>
  </property>
  <property fmtid="{D5CDD505-2E9C-101B-9397-08002B2CF9AE}" pid="3" name="_docset_NoMedatataSyncRequired">
    <vt:lpwstr>False</vt:lpwstr>
  </property>
</Properties>
</file>