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280" activeTab="2"/>
  </bookViews>
  <sheets>
    <sheet name="RJA-6 (1,2 of 4)" sheetId="1" r:id="rId1"/>
    <sheet name="RJA-6 (3 of 4)" sheetId="2" r:id="rId2"/>
    <sheet name="RJA-6 (4of4)" sheetId="3" r:id="rId3"/>
  </sheets>
  <externalReferences>
    <externalReference r:id="rId6"/>
    <externalReference r:id="rId7"/>
    <externalReference r:id="rId8"/>
    <externalReference r:id="rId9"/>
  </externalReferences>
  <definedNames>
    <definedName name="ANCUS">'[2]Allocators'!#REF!</definedName>
    <definedName name="BASE">#REF!</definedName>
    <definedName name="BILLINTREV">'[2]Allocators'!#REF!</definedName>
    <definedName name="BLOAD">#REF!</definedName>
    <definedName name="CASE">'[3]INPUTS'!$C$8</definedName>
    <definedName name="COM">#REF!</definedName>
    <definedName name="COM1_376">'[2]Allocators'!#REF!</definedName>
    <definedName name="COMPPLNT">#REF!</definedName>
    <definedName name="CSI">#REF!</definedName>
    <definedName name="CUS">#REF!</definedName>
    <definedName name="CUST">'[2]Allocators'!#REF!</definedName>
    <definedName name="CUST_879">'[2]Allocators'!#REF!</definedName>
    <definedName name="CUST879">#REF!</definedName>
    <definedName name="CUSTACCTXUA">#REF!</definedName>
    <definedName name="CUSTXT">'[2]Allocators'!#REF!</definedName>
    <definedName name="D_108">#REF!</definedName>
    <definedName name="D_252">#REF!</definedName>
    <definedName name="D_376C">#REF!</definedName>
    <definedName name="D_376D">#REF!</definedName>
    <definedName name="D_380">#REF!</definedName>
    <definedName name="D_382">#REF!</definedName>
    <definedName name="D_385">#REF!</definedName>
    <definedName name="D_403">#REF!</definedName>
    <definedName name="D_408">#REF!</definedName>
    <definedName name="D_870">#REF!</definedName>
    <definedName name="D_871">#REF!</definedName>
    <definedName name="D_875">#REF!</definedName>
    <definedName name="D_878">#REF!</definedName>
    <definedName name="D_879">#REF!</definedName>
    <definedName name="D_887C">#REF!</definedName>
    <definedName name="D_887D">#REF!</definedName>
    <definedName name="D_893">#REF!</definedName>
    <definedName name="D_894">#REF!</definedName>
    <definedName name="D_902">#REF!</definedName>
    <definedName name="D_903">#REF!</definedName>
    <definedName name="D_904">#REF!</definedName>
    <definedName name="D_908">#REF!</definedName>
    <definedName name="D_912">#REF!</definedName>
    <definedName name="D_920">#REF!</definedName>
    <definedName name="D_923">#REF!</definedName>
    <definedName name="D_924">#REF!</definedName>
    <definedName name="D_926">#REF!</definedName>
    <definedName name="D_932">#REF!</definedName>
    <definedName name="D_COM1">#REF!</definedName>
    <definedName name="D_COM1XT">#REF!</definedName>
    <definedName name="D_MAINS">#REF!</definedName>
    <definedName name="D_PDAY">#REF!</definedName>
    <definedName name="D_PDAYT">#REF!</definedName>
    <definedName name="D_SEAS_2">#REF!</definedName>
    <definedName name="D_SEAS_3">#REF!</definedName>
    <definedName name="D_STRUCT">#REF!</definedName>
    <definedName name="DATA">#REF!</definedName>
    <definedName name="DEM">#REF!</definedName>
    <definedName name="DIR108">'[2]Allocators'!#REF!</definedName>
    <definedName name="DIR252">'[2]Allocators'!#REF!</definedName>
    <definedName name="DIR376C">'[2]Allocators'!#REF!</definedName>
    <definedName name="DIR376D">'[2]Allocators'!#REF!</definedName>
    <definedName name="DIR380">'[2]Allocators'!#REF!</definedName>
    <definedName name="DIR382">'[2]Allocators'!#REF!</definedName>
    <definedName name="DIR385">'[2]Allocators'!#REF!</definedName>
    <definedName name="DIR386">'[2]Allocators'!#REF!</definedName>
    <definedName name="DIR403">'[2]Allocators'!#REF!</definedName>
    <definedName name="DIR408">'[2]Allocators'!#REF!</definedName>
    <definedName name="DIR870">'[2]Allocators'!#REF!</definedName>
    <definedName name="DIR875">'[2]Allocators'!#REF!</definedName>
    <definedName name="DIR879">'[2]Allocators'!#REF!</definedName>
    <definedName name="DIR880">'[2]Allocators'!#REF!</definedName>
    <definedName name="DIR890">'[2]Allocators'!#REF!</definedName>
    <definedName name="DIR893">'[2]Allocators'!#REF!</definedName>
    <definedName name="DIR894">'[2]Allocators'!#REF!</definedName>
    <definedName name="DIR902">'[2]Allocators'!#REF!</definedName>
    <definedName name="DIR903">'[2]Allocators'!#REF!</definedName>
    <definedName name="DIR904">'[2]Allocators'!#REF!</definedName>
    <definedName name="DIR908">'[2]Allocators'!#REF!</definedName>
    <definedName name="DIR912">'[2]Allocators'!#REF!</definedName>
    <definedName name="DIR920">'[2]Allocators'!#REF!</definedName>
    <definedName name="DIR923">'[2]Allocators'!#REF!</definedName>
    <definedName name="DIR926">'[2]Allocators'!#REF!</definedName>
    <definedName name="DIST_OM">#REF!</definedName>
    <definedName name="DIST_OML">#REF!</definedName>
    <definedName name="DISTPT">#REF!</definedName>
    <definedName name="DMAINS_SERV">#REF!</definedName>
    <definedName name="EffTax">#REF!</definedName>
    <definedName name="FIT">'[2]Allocators'!#REF!</definedName>
    <definedName name="GAS">#REF!</definedName>
    <definedName name="GASREV">'[2]Allocators'!#REF!</definedName>
    <definedName name="JPSTOR">'[2]Allocators'!#REF!</definedName>
    <definedName name="LP">#REF!</definedName>
    <definedName name="MAINS">#REF!</definedName>
    <definedName name="MET_REGPT">#REF!</definedName>
    <definedName name="MR_GENPT">#REF!</definedName>
    <definedName name="MR_INDPT">#REF!</definedName>
    <definedName name="MTRS_385">'[2]Allocators'!#REF!</definedName>
    <definedName name="MTRS_CUS">'[2]Allocators'!#REF!</definedName>
    <definedName name="MTRS_INST">'[2]Allocators'!#REF!</definedName>
    <definedName name="MTRS_INT">#REF!</definedName>
    <definedName name="MTRS_READ">'[2]Allocators'!#REF!</definedName>
    <definedName name="MTRS_REG">#REF!</definedName>
    <definedName name="OML">#REF!</definedName>
    <definedName name="P_AD">#REF!</definedName>
    <definedName name="PDAY_376">'[2]Allocators'!#REF!</definedName>
    <definedName name="PDAYT">#REF!</definedName>
    <definedName name="PLT">#REF!</definedName>
    <definedName name="_xlnm.Print_Area" localSheetId="0">'RJA-6 (1,2 of 4)'!$A$1:$N$90</definedName>
    <definedName name="PRINT_AREA_MI">#REF!</definedName>
    <definedName name="PROD_OML">#REF!</definedName>
    <definedName name="PRODPT">#REF!</definedName>
    <definedName name="R_904">#REF!</definedName>
    <definedName name="RENTALS">#REF!</definedName>
    <definedName name="RENTREV">'[2]Allocators'!#REF!</definedName>
    <definedName name="REV">#REF!</definedName>
    <definedName name="REV1">#REF!</definedName>
    <definedName name="REV2">#REF!</definedName>
    <definedName name="REV3">#REF!</definedName>
    <definedName name="ROR">'[2]Allocators'!#REF!</definedName>
    <definedName name="SALESACCT">#REF!</definedName>
    <definedName name="SALESREV">'[2]Allocators'!#REF!</definedName>
    <definedName name="SEAS_2">#REF!</definedName>
    <definedName name="SEAS_3">#REF!</definedName>
    <definedName name="SERV">'[2]Allocators'!#REF!</definedName>
    <definedName name="STORPT">#REF!</definedName>
    <definedName name="TRANPT">#REF!</definedName>
  </definedNames>
  <calcPr fullCalcOnLoad="1"/>
</workbook>
</file>

<file path=xl/comments1.xml><?xml version="1.0" encoding="utf-8"?>
<comments xmlns="http://schemas.openxmlformats.org/spreadsheetml/2006/main">
  <authors>
    <author>PSE</author>
  </authors>
  <commentList>
    <comment ref="C42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----------
From:  Donahue, Bill
Sent:  Wednesday, November 21, 2001 11:03 PM
To:  Paulson, Colleen
Subject:  Gas Cost Final.xls
&lt;&lt;File: Gas Cost Final.xls&gt;&gt; 
</t>
        </r>
      </text>
    </comment>
  </commentList>
</comments>
</file>

<file path=xl/sharedStrings.xml><?xml version="1.0" encoding="utf-8"?>
<sst xmlns="http://schemas.openxmlformats.org/spreadsheetml/2006/main" count="133" uniqueCount="64">
  <si>
    <t>From Gas Cost Sub-Report</t>
  </si>
  <si>
    <t>TOTAL</t>
  </si>
  <si>
    <t>Residential</t>
  </si>
  <si>
    <t>C &amp; I Heating</t>
  </si>
  <si>
    <t>C &amp; I - 41</t>
  </si>
  <si>
    <t>Rate 85</t>
  </si>
  <si>
    <t>Rate 86</t>
  </si>
  <si>
    <t>Rate 87</t>
  </si>
  <si>
    <t>Rate 57</t>
  </si>
  <si>
    <t>Transport Contracts</t>
  </si>
  <si>
    <t>CNG Service</t>
  </si>
  <si>
    <t/>
  </si>
  <si>
    <t>Total Gas Costs</t>
  </si>
  <si>
    <t>Demand</t>
  </si>
  <si>
    <t>Commodity</t>
  </si>
  <si>
    <t>Secondary Credit</t>
  </si>
  <si>
    <t>Total</t>
  </si>
  <si>
    <t>Demand ANALYSIS</t>
  </si>
  <si>
    <t>Annual Therms</t>
  </si>
  <si>
    <t>Sales CD</t>
  </si>
  <si>
    <t>Pk Day (Ave Jan for 41,85,86,87)</t>
  </si>
  <si>
    <t>Annual Load Factor</t>
  </si>
  <si>
    <t>Proposed CD Dem Chg/Mo.</t>
  </si>
  <si>
    <t>CD Annual Rev.</t>
  </si>
  <si>
    <t>imputed CD annual unit rate</t>
  </si>
  <si>
    <t xml:space="preserve">Demand Cost Remainder after CD </t>
  </si>
  <si>
    <t>Dem. Amt proposed in COSS</t>
  </si>
  <si>
    <t>Proposed (COSS) Demand unit rate</t>
  </si>
  <si>
    <t>Proposed Demand %</t>
  </si>
  <si>
    <t>Total Average Demand unit</t>
  </si>
  <si>
    <t>Average Dem %</t>
  </si>
  <si>
    <t>Compare to:</t>
  </si>
  <si>
    <t>Dem. Amt  using Current Method</t>
  </si>
  <si>
    <t>Current Demand unit rate</t>
  </si>
  <si>
    <t>Current Demand %</t>
  </si>
  <si>
    <t>Conclusion : Use Demand Allocation per COSS</t>
  </si>
  <si>
    <t xml:space="preserve">DEMAND RATES </t>
  </si>
  <si>
    <t>Demand Charge Rate - before tax</t>
  </si>
  <si>
    <t>n/a</t>
  </si>
  <si>
    <t>Unit Demand Rate - before tax</t>
  </si>
  <si>
    <t>RS 16 before tax</t>
  </si>
  <si>
    <t>Comm.and Sec.Credit ANALYSIS</t>
  </si>
  <si>
    <t>Comm &amp; SecCredit Amt using COSS</t>
  </si>
  <si>
    <t>COSS Comm. unit rate</t>
  </si>
  <si>
    <t>COSS Comm. %</t>
  </si>
  <si>
    <t>Comm&amp; SecCreditAmt using Current</t>
  </si>
  <si>
    <t>Current Comm. unit rate</t>
  </si>
  <si>
    <t>Current Comm. %</t>
  </si>
  <si>
    <t>Comm. Amt using Mo Rates</t>
  </si>
  <si>
    <t>Proposed Comm average rate using Mo.PGA</t>
  </si>
  <si>
    <t>Proposed Comm. %</t>
  </si>
  <si>
    <t>Conclusion : Use Comm &amp; Sec.Credit Allocation resulting from Monthly PGA (approx 1/2 way between current and COSS method)</t>
  </si>
  <si>
    <t>Total ANALYSIS</t>
  </si>
  <si>
    <t>COSS Dem &amp; Comm (incl CD)</t>
  </si>
  <si>
    <t>Current  Dem &amp; Comm (incl CD)</t>
  </si>
  <si>
    <t>Proposed Dem &amp; Comm (incl CD) using Mo.PGA</t>
  </si>
  <si>
    <t xml:space="preserve">Conclusion : Use Demand Allocation from COSS and Comm &amp; Sec.Credit Allocation resulting from Monthly PGA </t>
  </si>
  <si>
    <t>MONTHLY RATES:  Commodity / Secondary Market Credit</t>
  </si>
  <si>
    <t>Sec.Mkt.Credit</t>
  </si>
  <si>
    <t>For RS 16</t>
  </si>
  <si>
    <t>Resulting Gas Cost Recoveries</t>
  </si>
  <si>
    <t xml:space="preserve">Demand CD </t>
  </si>
  <si>
    <t>Demand Volumetric</t>
  </si>
  <si>
    <t>Commodity (Mo.Volumetric)</t>
  </si>
</sst>
</file>

<file path=xl/styles.xml><?xml version="1.0" encoding="utf-8"?>
<styleSheet xmlns="http://schemas.openxmlformats.org/spreadsheetml/2006/main">
  <numFmts count="1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\ \-\-\-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_);\(&quot;$&quot;#,##0\);\ \-\-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#,##0.0000_);[Red]\(#,##0.0000\)"/>
    <numFmt numFmtId="172" formatCode="&quot;$&quot;#,##0.0000_);\(&quot;$&quot;#,##0.0000\)"/>
    <numFmt numFmtId="173" formatCode="&quot;$&quot;\ #,##0.00000_);\(&quot;$&quot;\ #,##0.00000\)"/>
    <numFmt numFmtId="174" formatCode="#,##0.0000_);[Red]\(#,##0.0000\);\ \-\-"/>
    <numFmt numFmtId="175" formatCode="#,##0.0000_);[Red]\(#,##0.0000\);\ \-\-\ \ \ "/>
    <numFmt numFmtId="176" formatCode="0.0000%"/>
    <numFmt numFmtId="177" formatCode="0.0000%\ \ \ \ \ "/>
    <numFmt numFmtId="178" formatCode="0.0000\ %\ \ \ \ \ "/>
    <numFmt numFmtId="179" formatCode="#,##0.00000_);[Red]\(#,##0.00000\);\ \-\-\ \ \ "/>
    <numFmt numFmtId="180" formatCode="&quot;$&quot;#,##0_);\(&quot;$&quot;#,##0\);\ \-\-\ \ \ "/>
    <numFmt numFmtId="181" formatCode="#,##0__\);\(#,##0_)"/>
    <numFmt numFmtId="182" formatCode="#,##0__;\(#,##0_)"/>
    <numFmt numFmtId="183" formatCode="&quot;$&quot;\ #,##0.000000000_);\(&quot;$&quot;\ #,##0.000000000\)"/>
    <numFmt numFmtId="184" formatCode="0.0\ %"/>
    <numFmt numFmtId="185" formatCode="&quot;$&quot;\ .00_);\(&quot;$&quot;\ .00\)"/>
    <numFmt numFmtId="186" formatCode="&quot;$&quot;\ .000_);\(&quot;$&quot;\ .000\)"/>
    <numFmt numFmtId="187" formatCode="&quot;$&quot;\ .00000_);\(&quot;$&quot;\ .00000\)"/>
    <numFmt numFmtId="188" formatCode="&quot;$&quot;#,##0.00000_);\(&quot;$&quot;#,##0.00000\)"/>
    <numFmt numFmtId="189" formatCode="0.0%"/>
    <numFmt numFmtId="190" formatCode="&quot;$&quot;#,##0.000_);[Red]\(&quot;$&quot;#,##0.000\)"/>
    <numFmt numFmtId="191" formatCode="&quot;$&quot;#,##0.0000_);[Red]\(&quot;$&quot;#,##0.0000\)"/>
    <numFmt numFmtId="192" formatCode="#,##0.0_);[Red]\(#,##0.0\)"/>
    <numFmt numFmtId="193" formatCode="&quot;$&quot;#,##0.0_);[Red]\(&quot;$&quot;#,##0.0\)"/>
    <numFmt numFmtId="194" formatCode="&quot;$&quot;#,##0"/>
    <numFmt numFmtId="195" formatCode="#,##0.0"/>
    <numFmt numFmtId="196" formatCode="0.000%"/>
    <numFmt numFmtId="197" formatCode="&quot;$&quot;#,##0.00000_);[Red]\(&quot;$&quot;#,##0.00000\)"/>
    <numFmt numFmtId="198" formatCode="&quot;$&quot;#,##0.000000_);[Red]\(&quot;$&quot;#,##0.000000\)"/>
    <numFmt numFmtId="199" formatCode="#,##0.000_);\(#,##0.000\)"/>
    <numFmt numFmtId="200" formatCode="#,##0.0000_);\(#,##0.0000\)"/>
    <numFmt numFmtId="201" formatCode="#,##0.00000_);\(#,##0.00000\)"/>
    <numFmt numFmtId="202" formatCode="&quot;$&quot;#,##0.0_);\(&quot;$&quot;#,##0.0\)"/>
    <numFmt numFmtId="203" formatCode="&quot;$&quot;#,##0.000000_);\(&quot;$&quot;#,##0.000000\)"/>
    <numFmt numFmtId="204" formatCode="0.00_);\(0.00\)"/>
    <numFmt numFmtId="205" formatCode="0.000_);\(0.000\)"/>
    <numFmt numFmtId="206" formatCode="0.0000_);\(0.0000\)"/>
    <numFmt numFmtId="207" formatCode="0.00000_);\(0.00000\)"/>
    <numFmt numFmtId="208" formatCode="0.000000_);\(0.000000\)"/>
    <numFmt numFmtId="209" formatCode="_(&quot;$&quot;* #,##0.00000_);_(&quot;$&quot;* \(#,##0.00000\);_(&quot;$&quot;* &quot;-&quot;??_);_(@_)"/>
    <numFmt numFmtId="210" formatCode="#,##0.000000_);\(#,##0.000000\)"/>
    <numFmt numFmtId="211" formatCode="&quot;$&quot;#,##0.000_);\(&quot;$&quot;#,##0.000\)"/>
    <numFmt numFmtId="212" formatCode="0.00000"/>
    <numFmt numFmtId="213" formatCode="0.000000"/>
    <numFmt numFmtId="214" formatCode="0.0000000"/>
    <numFmt numFmtId="215" formatCode="0.0000"/>
    <numFmt numFmtId="216" formatCode="0.00000000"/>
    <numFmt numFmtId="217" formatCode="#,##0.000_);[Red]\(#,##0.000\)"/>
    <numFmt numFmtId="218" formatCode="#,##0.00000_);[Red]\(#,##0.00000\)"/>
    <numFmt numFmtId="219" formatCode="0.000"/>
    <numFmt numFmtId="220" formatCode="_(* #,##0.000_);_(* \(#,##0.000\);_(* &quot;-&quot;??_);_(@_)"/>
    <numFmt numFmtId="221" formatCode="0.0_)"/>
    <numFmt numFmtId="222" formatCode="_(* #,##0.0000_);_(* \(#,##0.0000\);_(* &quot;-&quot;??_);_(@_)"/>
    <numFmt numFmtId="223" formatCode="_(&quot;$&quot;* #,##0.000_);_(&quot;$&quot;* \(#,##0.000\);_(&quot;$&quot;* &quot;-&quot;??_);_(@_)"/>
    <numFmt numFmtId="224" formatCode="_(&quot;$&quot;* #,##0.0000_);_(&quot;$&quot;* \(#,##0.0000\);_(&quot;$&quot;* &quot;-&quot;??_);_(@_)"/>
    <numFmt numFmtId="225" formatCode="0.00000%"/>
    <numFmt numFmtId="226" formatCode="_(&quot;$&quot;* #,##0.000_);_(&quot;$&quot;* \(#,##0.000\);_(&quot;$&quot;* &quot;-&quot;???_);_(@_)"/>
    <numFmt numFmtId="227" formatCode="_(&quot;$&quot;* #,##0.000000_);_(&quot;$&quot;* \(#,##0.000000\);_(&quot;$&quot;* &quot;-&quot;??_);_(@_)"/>
    <numFmt numFmtId="228" formatCode="_(* #,##0.00000_);_(* \(#,##0.00000\);_(* &quot;-&quot;?????_);_(@_)"/>
    <numFmt numFmtId="229" formatCode="mmmm\-yy"/>
    <numFmt numFmtId="230" formatCode="m/d"/>
    <numFmt numFmtId="231" formatCode="0_)"/>
    <numFmt numFmtId="232" formatCode="_(* #,##0.00000_);_(* \(#,##0.00000\);_(* &quot;-&quot;??_);_(@_)"/>
    <numFmt numFmtId="233" formatCode="_(* #,##0.000000_);_(* \(#,##0.000000\);_(* &quot;-&quot;??_);_(@_)"/>
    <numFmt numFmtId="234" formatCode="_(* #,##0.0000000_);_(* \(#,##0.0000000\);_(* &quot;-&quot;??_);_(@_)"/>
    <numFmt numFmtId="235" formatCode="_(* #,##0.00000000_);_(* \(#,##0.00000000\);_(* &quot;-&quot;??_);_(@_)"/>
    <numFmt numFmtId="236" formatCode="_(* #,##0.000000000_);_(* \(#,##0.000000000\);_(* &quot;-&quot;??_);_(@_)"/>
    <numFmt numFmtId="237" formatCode="&quot;$&quot;#,##0\ ;\(&quot;$&quot;#,##0\)"/>
    <numFmt numFmtId="238" formatCode="&quot;$&quot;#,##0\ ;[Red]\(&quot;$&quot;#,##0\)"/>
    <numFmt numFmtId="239" formatCode="&quot;$&quot;#,##0.00\ ;\(&quot;$&quot;#,##0.00\)"/>
    <numFmt numFmtId="240" formatCode="&quot;$&quot;#,##0.00\ ;[Red]\(&quot;$&quot;#,##0.00\)"/>
    <numFmt numFmtId="241" formatCode="#,##0.000000"/>
    <numFmt numFmtId="242" formatCode="#,##0.00000"/>
    <numFmt numFmtId="243" formatCode="0.000000000"/>
    <numFmt numFmtId="244" formatCode="0.0000000000"/>
    <numFmt numFmtId="245" formatCode="0.00000000000"/>
    <numFmt numFmtId="246" formatCode="#,##0.000"/>
    <numFmt numFmtId="247" formatCode="#,##0.0000"/>
    <numFmt numFmtId="248" formatCode="_(&quot;$&quot;* #,##0.00000_);_(&quot;$&quot;* \(#,##0.00000\);_(&quot;$&quot;* &quot;-&quot;?????_);_(@_)"/>
    <numFmt numFmtId="249" formatCode="#,##0.0000000"/>
    <numFmt numFmtId="250" formatCode="0.00000E+00;\䐜"/>
    <numFmt numFmtId="251" formatCode="0.00000E+00;\룈"/>
    <numFmt numFmtId="252" formatCode="0.0000E+00;\룈"/>
    <numFmt numFmtId="253" formatCode="0.000E+00;\룈"/>
    <numFmt numFmtId="254" formatCode="0.00E+00;\룈"/>
    <numFmt numFmtId="255" formatCode="0.0E+00;\룈"/>
    <numFmt numFmtId="256" formatCode="0E+00;\룈"/>
    <numFmt numFmtId="257" formatCode="&quot;$&quot;#,##0.0000000_);[Red]\(&quot;$&quot;#,##0.0000000\)"/>
    <numFmt numFmtId="258" formatCode="mm/dd/yy"/>
    <numFmt numFmtId="259" formatCode="#,##0.0000000_);\(#,##0.0000000\)"/>
    <numFmt numFmtId="260" formatCode="#,##0.00000000_);\(#,##0.00000000\)"/>
    <numFmt numFmtId="261" formatCode="_(&quot;$&quot;* #,###.00000_);_(&quot;$&quot;* \(#,###.00000\);_(&quot;$&quot;* &quot;-&quot;??_);_(@_)"/>
    <numFmt numFmtId="262" formatCode="_(&quot;$&quot;* #,###.00_);_(&quot;$&quot;* \(#,###.00\);_(&quot;$&quot;* &quot;-&quot;??_);_(@_)"/>
    <numFmt numFmtId="263" formatCode="General_)"/>
    <numFmt numFmtId="264" formatCode="_(* #,##0.0_);_(* \(#,##0.0\);_(* &quot;-&quot;?_);_(@_)"/>
    <numFmt numFmtId="265" formatCode="m/d/yy"/>
    <numFmt numFmtId="266" formatCode="#,###.000"/>
    <numFmt numFmtId="267" formatCode="#,###.0000"/>
    <numFmt numFmtId="268" formatCode="#,###.00000"/>
    <numFmt numFmtId="269" formatCode="#,###.00"/>
    <numFmt numFmtId="270" formatCode="&quot;$&quot;#,##0.00"/>
    <numFmt numFmtId="271" formatCode="&quot;$&quot;#,##0.000"/>
    <numFmt numFmtId="272" formatCode="&quot;$&quot;#,##0.0000"/>
    <numFmt numFmtId="273" formatCode="&quot;$&quot;#,##0.0"/>
    <numFmt numFmtId="274" formatCode="&quot;$&quot;#,##0.00000"/>
    <numFmt numFmtId="275" formatCode="_(* #,##0.000_);_(* \(#,##0.000\);_(* &quot;-&quot;???_);_(@_)"/>
    <numFmt numFmtId="276" formatCode="_(* #,##0.0000_);_(* \(#,##0.0000\);_(* &quot;-&quot;????_);_(@_)"/>
    <numFmt numFmtId="277" formatCode="_(* #,##0.0000_);_(* \(#,##0.0000\);_(* &quot;-&quot;?????_);_(@_)"/>
    <numFmt numFmtId="278" formatCode="_(* #,##0.000_);_(* \(#,##0.000\);_(* &quot;-&quot;?????_);_(@_)"/>
    <numFmt numFmtId="279" formatCode="_(* #,##0.00_);_(* \(#,##0.00\);_(* &quot;-&quot;?????_);_(@_)"/>
    <numFmt numFmtId="280" formatCode="_(* #,##0.0_);_(* \(#,##0.0\);_(* &quot;-&quot;?????_);_(@_)"/>
    <numFmt numFmtId="281" formatCode="_(* #,##0_);_(* \(#,##0\);_(* &quot;-&quot;?????_);_(@_)"/>
    <numFmt numFmtId="282" formatCode="_(&quot;$&quot;* #,##0.0000_);_(&quot;$&quot;* \(#,##0.0000\);_(&quot;$&quot;* &quot;-&quot;????_);_(@_)"/>
    <numFmt numFmtId="283" formatCode="_(* #,##0.00000_);_(* \(#,##0.00000\);_(* &quot;-&quot;????_);_(@_)"/>
    <numFmt numFmtId="284" formatCode="mmm"/>
  </numFmts>
  <fonts count="37">
    <font>
      <sz val="10"/>
      <name val="Times New Roman"/>
      <family val="0"/>
    </font>
    <font>
      <sz val="10"/>
      <name val="Arial"/>
      <family val="0"/>
    </font>
    <font>
      <sz val="10"/>
      <name val="MS Sans Serif"/>
      <family val="0"/>
    </font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0"/>
      <name val="Courier"/>
      <family val="0"/>
    </font>
    <font>
      <sz val="10"/>
      <name val="Univers (WN)"/>
      <family val="0"/>
    </font>
    <font>
      <b/>
      <sz val="16"/>
      <name val="Times New Roman"/>
      <family val="1"/>
    </font>
    <font>
      <sz val="11.25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u val="single"/>
      <sz val="9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9"/>
      <color indexed="12"/>
      <name val="Arial"/>
      <family val="0"/>
    </font>
    <font>
      <sz val="10"/>
      <color indexed="6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Arial"/>
      <family val="2"/>
    </font>
    <font>
      <b/>
      <u val="single"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name val="Times New Roman"/>
      <family val="1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1" fillId="2" borderId="0">
      <alignment/>
      <protection/>
    </xf>
    <xf numFmtId="41" fontId="1" fillId="3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3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1" fontId="16" fillId="4" borderId="1">
      <alignment horizontal="left"/>
      <protection locked="0"/>
    </xf>
    <xf numFmtId="10" fontId="16" fillId="4" borderId="1">
      <alignment horizontal="right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263" fontId="7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283" fontId="1" fillId="0" borderId="0">
      <alignment/>
      <protection/>
    </xf>
    <xf numFmtId="9" fontId="0" fillId="0" borderId="0" applyFont="0" applyFill="0" applyBorder="0" applyAlignment="0" applyProtection="0"/>
    <xf numFmtId="41" fontId="1" fillId="0" borderId="1">
      <alignment/>
      <protection/>
    </xf>
    <xf numFmtId="42" fontId="1" fillId="2" borderId="0">
      <alignment/>
      <protection/>
    </xf>
    <xf numFmtId="42" fontId="17" fillId="4" borderId="2">
      <alignment vertical="center"/>
      <protection/>
    </xf>
    <xf numFmtId="0" fontId="18" fillId="2" borderId="3" applyNumberFormat="0">
      <alignment horizontal="center" vertical="center" wrapText="1"/>
      <protection/>
    </xf>
    <xf numFmtId="10" fontId="1" fillId="2" borderId="0">
      <alignment/>
      <protection/>
    </xf>
    <xf numFmtId="282" fontId="1" fillId="2" borderId="0">
      <alignment/>
      <protection/>
    </xf>
    <xf numFmtId="42" fontId="19" fillId="2" borderId="4">
      <alignment horizontal="left"/>
      <protection/>
    </xf>
    <xf numFmtId="282" fontId="19" fillId="2" borderId="4">
      <alignment horizontal="left"/>
      <protection/>
    </xf>
    <xf numFmtId="41" fontId="17" fillId="2" borderId="0">
      <alignment horizontal="left"/>
      <protection/>
    </xf>
    <xf numFmtId="270" fontId="20" fillId="0" borderId="0">
      <alignment horizontal="left" vertical="center"/>
      <protection/>
    </xf>
    <xf numFmtId="0" fontId="18" fillId="2" borderId="0">
      <alignment horizontal="left" wrapText="1"/>
      <protection/>
    </xf>
    <xf numFmtId="0" fontId="21" fillId="0" borderId="0">
      <alignment horizontal="left" vertical="center"/>
      <protection/>
    </xf>
    <xf numFmtId="0" fontId="3" fillId="0" borderId="5" applyNumberFormat="0" applyFont="0" applyFill="0" applyAlignment="0" applyProtection="0"/>
    <xf numFmtId="41" fontId="18" fillId="2" borderId="0">
      <alignment horizontal="left"/>
      <protection/>
    </xf>
    <xf numFmtId="0" fontId="3" fillId="0" borderId="5" applyNumberFormat="0" applyFont="0" applyFill="0" applyAlignment="0" applyProtection="0"/>
  </cellStyleXfs>
  <cellXfs count="161">
    <xf numFmtId="0" fontId="0" fillId="0" borderId="0" xfId="0" applyAlignment="1">
      <alignment/>
    </xf>
    <xf numFmtId="0" fontId="1" fillId="0" borderId="0" xfId="118" applyAlignment="1">
      <alignment horizontal="left"/>
      <protection/>
    </xf>
    <xf numFmtId="0" fontId="1" fillId="0" borderId="0" xfId="118">
      <alignment/>
      <protection/>
    </xf>
    <xf numFmtId="0" fontId="18" fillId="0" borderId="6" xfId="118" applyFont="1" applyBorder="1" applyAlignment="1">
      <alignment horizontal="left" wrapText="1"/>
      <protection/>
    </xf>
    <xf numFmtId="0" fontId="18" fillId="0" borderId="7" xfId="118" applyFont="1" applyBorder="1" applyAlignment="1">
      <alignment wrapText="1"/>
      <protection/>
    </xf>
    <xf numFmtId="0" fontId="18" fillId="0" borderId="7" xfId="118" applyFont="1" applyBorder="1" applyAlignment="1">
      <alignment horizontal="left" wrapText="1"/>
      <protection/>
    </xf>
    <xf numFmtId="0" fontId="22" fillId="0" borderId="7" xfId="118" applyFont="1" applyBorder="1" applyAlignment="1">
      <alignment horizontal="center" vertical="center" wrapText="1"/>
      <protection/>
    </xf>
    <xf numFmtId="0" fontId="22" fillId="0" borderId="8" xfId="118" applyFont="1" applyBorder="1" applyAlignment="1">
      <alignment horizontal="center" vertical="center" wrapText="1"/>
      <protection/>
    </xf>
    <xf numFmtId="0" fontId="18" fillId="0" borderId="0" xfId="118" applyFont="1" applyAlignment="1">
      <alignment wrapText="1"/>
      <protection/>
    </xf>
    <xf numFmtId="0" fontId="18" fillId="0" borderId="9" xfId="118" applyFont="1" applyBorder="1" applyAlignment="1">
      <alignment horizontal="left" wrapText="1"/>
      <protection/>
    </xf>
    <xf numFmtId="0" fontId="18" fillId="0" borderId="0" xfId="118" applyFont="1" applyBorder="1" applyAlignment="1">
      <alignment wrapText="1"/>
      <protection/>
    </xf>
    <xf numFmtId="0" fontId="18" fillId="0" borderId="10" xfId="118" applyFont="1" applyBorder="1" applyAlignment="1">
      <alignment wrapText="1"/>
      <protection/>
    </xf>
    <xf numFmtId="0" fontId="1" fillId="0" borderId="9" xfId="118" applyBorder="1" applyAlignment="1">
      <alignment horizontal="left"/>
      <protection/>
    </xf>
    <xf numFmtId="0" fontId="18" fillId="0" borderId="0" xfId="118" applyFont="1" applyBorder="1">
      <alignment/>
      <protection/>
    </xf>
    <xf numFmtId="0" fontId="1" fillId="0" borderId="0" xfId="118" applyBorder="1">
      <alignment/>
      <protection/>
    </xf>
    <xf numFmtId="166" fontId="1" fillId="0" borderId="0" xfId="57" applyNumberFormat="1" applyBorder="1" applyAlignment="1">
      <alignment/>
    </xf>
    <xf numFmtId="189" fontId="1" fillId="0" borderId="0" xfId="147" applyNumberFormat="1" applyBorder="1" applyAlignment="1">
      <alignment/>
    </xf>
    <xf numFmtId="166" fontId="1" fillId="0" borderId="10" xfId="57" applyNumberFormat="1" applyBorder="1" applyAlignment="1">
      <alignment/>
    </xf>
    <xf numFmtId="0" fontId="1" fillId="0" borderId="9" xfId="118" applyFont="1" applyBorder="1" applyAlignment="1">
      <alignment horizontal="left"/>
      <protection/>
    </xf>
    <xf numFmtId="0" fontId="19" fillId="0" borderId="0" xfId="118" applyFont="1" applyBorder="1">
      <alignment/>
      <protection/>
    </xf>
    <xf numFmtId="166" fontId="1" fillId="0" borderId="11" xfId="57" applyNumberFormat="1" applyFont="1" applyBorder="1" applyAlignment="1">
      <alignment/>
    </xf>
    <xf numFmtId="166" fontId="1" fillId="0" borderId="12" xfId="57" applyNumberFormat="1" applyFont="1" applyBorder="1" applyAlignment="1">
      <alignment/>
    </xf>
    <xf numFmtId="166" fontId="19" fillId="0" borderId="0" xfId="57" applyNumberFormat="1" applyFont="1" applyAlignment="1">
      <alignment/>
    </xf>
    <xf numFmtId="44" fontId="19" fillId="0" borderId="0" xfId="57" applyFont="1" applyAlignment="1">
      <alignment/>
    </xf>
    <xf numFmtId="0" fontId="19" fillId="0" borderId="0" xfId="118" applyFont="1">
      <alignment/>
      <protection/>
    </xf>
    <xf numFmtId="0" fontId="19" fillId="0" borderId="13" xfId="118" applyFont="1" applyBorder="1" applyAlignment="1">
      <alignment horizontal="left"/>
      <protection/>
    </xf>
    <xf numFmtId="0" fontId="19" fillId="0" borderId="14" xfId="118" applyFont="1" applyBorder="1">
      <alignment/>
      <protection/>
    </xf>
    <xf numFmtId="166" fontId="1" fillId="0" borderId="14" xfId="57" applyNumberFormat="1" applyFont="1" applyBorder="1" applyAlignment="1">
      <alignment/>
    </xf>
    <xf numFmtId="166" fontId="1" fillId="0" borderId="15" xfId="57" applyNumberFormat="1" applyFont="1" applyBorder="1" applyAlignment="1">
      <alignment/>
    </xf>
    <xf numFmtId="0" fontId="19" fillId="0" borderId="16" xfId="118" applyFont="1" applyBorder="1" applyAlignment="1">
      <alignment horizontal="left"/>
      <protection/>
    </xf>
    <xf numFmtId="166" fontId="1" fillId="0" borderId="0" xfId="57" applyNumberFormat="1" applyFont="1" applyBorder="1" applyAlignment="1">
      <alignment/>
    </xf>
    <xf numFmtId="0" fontId="1" fillId="0" borderId="6" xfId="118" applyBorder="1" applyAlignment="1">
      <alignment horizontal="left"/>
      <protection/>
    </xf>
    <xf numFmtId="0" fontId="1" fillId="0" borderId="7" xfId="118" applyBorder="1">
      <alignment/>
      <protection/>
    </xf>
    <xf numFmtId="0" fontId="18" fillId="0" borderId="7" xfId="118" applyFont="1" applyBorder="1" applyAlignment="1">
      <alignment vertical="top" wrapText="1"/>
      <protection/>
    </xf>
    <xf numFmtId="41" fontId="1" fillId="0" borderId="0" xfId="118" applyNumberFormat="1" applyBorder="1">
      <alignment/>
      <protection/>
    </xf>
    <xf numFmtId="41" fontId="1" fillId="0" borderId="10" xfId="118" applyNumberFormat="1" applyBorder="1">
      <alignment/>
      <protection/>
    </xf>
    <xf numFmtId="170" fontId="1" fillId="0" borderId="0" xfId="17" applyNumberFormat="1" applyBorder="1" applyAlignment="1">
      <alignment/>
    </xf>
    <xf numFmtId="170" fontId="1" fillId="0" borderId="17" xfId="17" applyNumberFormat="1" applyBorder="1" applyAlignment="1">
      <alignment/>
    </xf>
    <xf numFmtId="170" fontId="1" fillId="0" borderId="16" xfId="17" applyNumberFormat="1" applyBorder="1" applyAlignment="1">
      <alignment/>
    </xf>
    <xf numFmtId="170" fontId="1" fillId="0" borderId="18" xfId="17" applyNumberFormat="1" applyBorder="1" applyAlignment="1">
      <alignment/>
    </xf>
    <xf numFmtId="170" fontId="1" fillId="0" borderId="10" xfId="17" applyNumberFormat="1" applyBorder="1" applyAlignment="1">
      <alignment/>
    </xf>
    <xf numFmtId="170" fontId="1" fillId="0" borderId="19" xfId="17" applyNumberFormat="1" applyBorder="1" applyAlignment="1">
      <alignment/>
    </xf>
    <xf numFmtId="9" fontId="18" fillId="0" borderId="0" xfId="147" applyFont="1" applyBorder="1" applyAlignment="1">
      <alignment horizontal="center"/>
    </xf>
    <xf numFmtId="9" fontId="1" fillId="0" borderId="0" xfId="147" applyBorder="1" applyAlignment="1">
      <alignment horizontal="center"/>
    </xf>
    <xf numFmtId="9" fontId="18" fillId="0" borderId="10" xfId="147" applyFont="1" applyBorder="1" applyAlignment="1">
      <alignment horizontal="center"/>
    </xf>
    <xf numFmtId="0" fontId="1" fillId="0" borderId="9" xfId="118" applyBorder="1" applyAlignment="1">
      <alignment horizontal="left" vertical="center"/>
      <protection/>
    </xf>
    <xf numFmtId="0" fontId="1" fillId="0" borderId="0" xfId="118" applyBorder="1" applyAlignment="1">
      <alignment vertical="center"/>
      <protection/>
    </xf>
    <xf numFmtId="0" fontId="3" fillId="0" borderId="0" xfId="118" applyFont="1" applyBorder="1" applyAlignment="1">
      <alignment vertical="center"/>
      <protection/>
    </xf>
    <xf numFmtId="44" fontId="14" fillId="5" borderId="17" xfId="57" applyNumberFormat="1" applyFont="1" applyFill="1" applyBorder="1" applyAlignment="1">
      <alignment vertical="center"/>
    </xf>
    <xf numFmtId="44" fontId="14" fillId="5" borderId="16" xfId="57" applyNumberFormat="1" applyFont="1" applyFill="1" applyBorder="1" applyAlignment="1">
      <alignment vertical="center"/>
    </xf>
    <xf numFmtId="44" fontId="14" fillId="5" borderId="18" xfId="57" applyNumberFormat="1" applyFont="1" applyFill="1" applyBorder="1" applyAlignment="1">
      <alignment vertical="center"/>
    </xf>
    <xf numFmtId="0" fontId="1" fillId="0" borderId="10" xfId="118" applyBorder="1" applyAlignment="1">
      <alignment vertical="center"/>
      <protection/>
    </xf>
    <xf numFmtId="0" fontId="1" fillId="0" borderId="0" xfId="118" applyAlignment="1">
      <alignment vertical="center"/>
      <protection/>
    </xf>
    <xf numFmtId="0" fontId="1" fillId="0" borderId="10" xfId="118" applyBorder="1">
      <alignment/>
      <protection/>
    </xf>
    <xf numFmtId="209" fontId="1" fillId="0" borderId="0" xfId="57" applyNumberFormat="1" applyBorder="1" applyAlignment="1">
      <alignment/>
    </xf>
    <xf numFmtId="0" fontId="1" fillId="0" borderId="9" xfId="118" applyFill="1" applyBorder="1" applyAlignment="1">
      <alignment horizontal="left"/>
      <protection/>
    </xf>
    <xf numFmtId="0" fontId="1" fillId="0" borderId="0" xfId="118" applyFill="1" applyBorder="1">
      <alignment/>
      <protection/>
    </xf>
    <xf numFmtId="166" fontId="1" fillId="0" borderId="0" xfId="118" applyNumberFormat="1" applyFill="1" applyBorder="1">
      <alignment/>
      <protection/>
    </xf>
    <xf numFmtId="166" fontId="1" fillId="0" borderId="10" xfId="118" applyNumberFormat="1" applyFill="1" applyBorder="1">
      <alignment/>
      <protection/>
    </xf>
    <xf numFmtId="0" fontId="1" fillId="0" borderId="0" xfId="118" applyFill="1">
      <alignment/>
      <protection/>
    </xf>
    <xf numFmtId="0" fontId="3" fillId="0" borderId="6" xfId="118" applyFont="1" applyBorder="1" applyAlignment="1">
      <alignment vertical="center"/>
      <protection/>
    </xf>
    <xf numFmtId="0" fontId="3" fillId="0" borderId="7" xfId="118" applyFont="1" applyBorder="1" applyAlignment="1">
      <alignment vertical="center"/>
      <protection/>
    </xf>
    <xf numFmtId="209" fontId="1" fillId="0" borderId="7" xfId="57" applyNumberFormat="1" applyBorder="1" applyAlignment="1">
      <alignment vertical="center"/>
    </xf>
    <xf numFmtId="209" fontId="14" fillId="5" borderId="7" xfId="57" applyNumberFormat="1" applyFont="1" applyFill="1" applyBorder="1" applyAlignment="1">
      <alignment vertical="center"/>
    </xf>
    <xf numFmtId="209" fontId="14" fillId="5" borderId="8" xfId="57" applyNumberFormat="1" applyFont="1" applyFill="1" applyBorder="1" applyAlignment="1">
      <alignment vertical="center"/>
    </xf>
    <xf numFmtId="166" fontId="1" fillId="0" borderId="0" xfId="118" applyNumberFormat="1" applyAlignment="1">
      <alignment vertical="center"/>
      <protection/>
    </xf>
    <xf numFmtId="0" fontId="1" fillId="0" borderId="13" xfId="118" applyBorder="1">
      <alignment/>
      <protection/>
    </xf>
    <xf numFmtId="0" fontId="1" fillId="0" borderId="14" xfId="118" applyBorder="1">
      <alignment/>
      <protection/>
    </xf>
    <xf numFmtId="189" fontId="1" fillId="0" borderId="14" xfId="147" applyNumberFormat="1" applyFill="1" applyBorder="1" applyAlignment="1">
      <alignment/>
    </xf>
    <xf numFmtId="189" fontId="1" fillId="4" borderId="14" xfId="147" applyNumberFormat="1" applyFill="1" applyBorder="1" applyAlignment="1">
      <alignment/>
    </xf>
    <xf numFmtId="209" fontId="1" fillId="0" borderId="14" xfId="57" applyNumberFormat="1" applyFill="1" applyBorder="1" applyAlignment="1">
      <alignment/>
    </xf>
    <xf numFmtId="189" fontId="1" fillId="4" borderId="20" xfId="147" applyNumberFormat="1" applyFill="1" applyBorder="1" applyAlignment="1">
      <alignment/>
    </xf>
    <xf numFmtId="209" fontId="1" fillId="0" borderId="0" xfId="57" applyNumberFormat="1" applyFill="1" applyBorder="1" applyAlignment="1">
      <alignment/>
    </xf>
    <xf numFmtId="189" fontId="1" fillId="0" borderId="0" xfId="147" applyNumberFormat="1" applyFill="1" applyBorder="1" applyAlignment="1">
      <alignment/>
    </xf>
    <xf numFmtId="0" fontId="23" fillId="0" borderId="0" xfId="118" applyFont="1" applyBorder="1">
      <alignment/>
      <protection/>
    </xf>
    <xf numFmtId="0" fontId="24" fillId="0" borderId="0" xfId="118" applyFont="1" applyBorder="1">
      <alignment/>
      <protection/>
    </xf>
    <xf numFmtId="166" fontId="1" fillId="0" borderId="0" xfId="118" applyNumberFormat="1" applyBorder="1">
      <alignment/>
      <protection/>
    </xf>
    <xf numFmtId="43" fontId="1" fillId="0" borderId="0" xfId="118" applyNumberFormat="1" applyBorder="1">
      <alignment/>
      <protection/>
    </xf>
    <xf numFmtId="166" fontId="1" fillId="0" borderId="0" xfId="118" applyNumberFormat="1">
      <alignment/>
      <protection/>
    </xf>
    <xf numFmtId="0" fontId="1" fillId="0" borderId="6" xfId="118" applyBorder="1">
      <alignment/>
      <protection/>
    </xf>
    <xf numFmtId="209" fontId="1" fillId="0" borderId="7" xfId="57" applyNumberFormat="1" applyFill="1" applyBorder="1" applyAlignment="1">
      <alignment/>
    </xf>
    <xf numFmtId="209" fontId="1" fillId="0" borderId="8" xfId="57" applyNumberFormat="1" applyFill="1" applyBorder="1" applyAlignment="1">
      <alignment/>
    </xf>
    <xf numFmtId="234" fontId="1" fillId="0" borderId="0" xfId="118" applyNumberFormat="1">
      <alignment/>
      <protection/>
    </xf>
    <xf numFmtId="0" fontId="1" fillId="0" borderId="13" xfId="118" applyBorder="1" applyAlignment="1">
      <alignment horizontal="left"/>
      <protection/>
    </xf>
    <xf numFmtId="0" fontId="23" fillId="0" borderId="14" xfId="118" applyFont="1" applyFill="1" applyBorder="1">
      <alignment/>
      <protection/>
    </xf>
    <xf numFmtId="0" fontId="1" fillId="0" borderId="20" xfId="118" applyBorder="1">
      <alignment/>
      <protection/>
    </xf>
    <xf numFmtId="0" fontId="1" fillId="0" borderId="0" xfId="118" applyBorder="1" applyAlignment="1">
      <alignment horizontal="left"/>
      <protection/>
    </xf>
    <xf numFmtId="0" fontId="23" fillId="0" borderId="0" xfId="118" applyFont="1" applyFill="1" applyBorder="1">
      <alignment/>
      <protection/>
    </xf>
    <xf numFmtId="0" fontId="1" fillId="0" borderId="0" xfId="118" applyFill="1" applyBorder="1" applyAlignment="1">
      <alignment horizontal="left"/>
      <protection/>
    </xf>
    <xf numFmtId="0" fontId="18" fillId="0" borderId="6" xfId="118" applyFont="1" applyFill="1" applyBorder="1" applyAlignment="1">
      <alignment wrapText="1"/>
      <protection/>
    </xf>
    <xf numFmtId="0" fontId="18" fillId="0" borderId="7" xfId="118" applyFont="1" applyFill="1" applyBorder="1" applyAlignment="1">
      <alignment wrapText="1"/>
      <protection/>
    </xf>
    <xf numFmtId="0" fontId="22" fillId="0" borderId="7" xfId="118" applyFont="1" applyFill="1" applyBorder="1" applyAlignment="1">
      <alignment horizontal="center" vertical="center" wrapText="1"/>
      <protection/>
    </xf>
    <xf numFmtId="0" fontId="22" fillId="0" borderId="8" xfId="118" applyFont="1" applyFill="1" applyBorder="1" applyAlignment="1">
      <alignment horizontal="center" vertical="center" wrapText="1"/>
      <protection/>
    </xf>
    <xf numFmtId="0" fontId="1" fillId="0" borderId="9" xfId="118" applyFill="1" applyBorder="1">
      <alignment/>
      <protection/>
    </xf>
    <xf numFmtId="0" fontId="1" fillId="0" borderId="10" xfId="118" applyFill="1" applyBorder="1">
      <alignment/>
      <protection/>
    </xf>
    <xf numFmtId="0" fontId="1" fillId="0" borderId="0" xfId="118" applyFill="1" applyBorder="1" applyAlignment="1">
      <alignment horizontal="center"/>
      <protection/>
    </xf>
    <xf numFmtId="44" fontId="3" fillId="0" borderId="0" xfId="118" applyNumberFormat="1" applyFont="1" applyFill="1" applyBorder="1">
      <alignment/>
      <protection/>
    </xf>
    <xf numFmtId="0" fontId="1" fillId="0" borderId="10" xfId="118" applyFill="1" applyBorder="1" applyAlignment="1">
      <alignment horizontal="center"/>
      <protection/>
    </xf>
    <xf numFmtId="209" fontId="3" fillId="0" borderId="0" xfId="118" applyNumberFormat="1" applyFont="1" applyFill="1" applyBorder="1">
      <alignment/>
      <protection/>
    </xf>
    <xf numFmtId="209" fontId="3" fillId="0" borderId="10" xfId="118" applyNumberFormat="1" applyFont="1" applyFill="1" applyBorder="1">
      <alignment/>
      <protection/>
    </xf>
    <xf numFmtId="0" fontId="1" fillId="0" borderId="13" xfId="118" applyFill="1" applyBorder="1">
      <alignment/>
      <protection/>
    </xf>
    <xf numFmtId="0" fontId="1" fillId="0" borderId="14" xfId="118" applyFill="1" applyBorder="1">
      <alignment/>
      <protection/>
    </xf>
    <xf numFmtId="44" fontId="3" fillId="0" borderId="14" xfId="57" applyFont="1" applyFill="1" applyBorder="1" applyAlignment="1">
      <alignment/>
    </xf>
    <xf numFmtId="0" fontId="3" fillId="0" borderId="14" xfId="118" applyFont="1" applyFill="1" applyBorder="1">
      <alignment/>
      <protection/>
    </xf>
    <xf numFmtId="0" fontId="3" fillId="0" borderId="20" xfId="118" applyFont="1" applyFill="1" applyBorder="1">
      <alignment/>
      <protection/>
    </xf>
    <xf numFmtId="0" fontId="18" fillId="0" borderId="7" xfId="118" applyFont="1" applyBorder="1" applyAlignment="1">
      <alignment vertical="top"/>
      <protection/>
    </xf>
    <xf numFmtId="209" fontId="1" fillId="0" borderId="7" xfId="57" applyNumberFormat="1" applyBorder="1" applyAlignment="1">
      <alignment/>
    </xf>
    <xf numFmtId="209" fontId="1" fillId="0" borderId="8" xfId="57" applyNumberFormat="1" applyBorder="1" applyAlignment="1">
      <alignment/>
    </xf>
    <xf numFmtId="189" fontId="1" fillId="0" borderId="10" xfId="147" applyNumberFormat="1" applyFill="1" applyBorder="1" applyAlignment="1">
      <alignment/>
    </xf>
    <xf numFmtId="166" fontId="1" fillId="0" borderId="0" xfId="57" applyNumberFormat="1" applyAlignment="1">
      <alignment/>
    </xf>
    <xf numFmtId="0" fontId="1" fillId="0" borderId="7" xfId="118" applyBorder="1" applyAlignment="1">
      <alignment horizontal="left"/>
      <protection/>
    </xf>
    <xf numFmtId="209" fontId="1" fillId="0" borderId="10" xfId="57" applyNumberFormat="1" applyBorder="1" applyAlignment="1">
      <alignment/>
    </xf>
    <xf numFmtId="189" fontId="1" fillId="4" borderId="0" xfId="147" applyNumberFormat="1" applyFill="1" applyBorder="1" applyAlignment="1">
      <alignment/>
    </xf>
    <xf numFmtId="189" fontId="1" fillId="4" borderId="10" xfId="147" applyNumberFormat="1" applyFill="1" applyBorder="1" applyAlignment="1">
      <alignment/>
    </xf>
    <xf numFmtId="209" fontId="25" fillId="0" borderId="6" xfId="57" applyNumberFormat="1" applyFont="1" applyFill="1" applyBorder="1" applyAlignment="1">
      <alignment vertical="center"/>
    </xf>
    <xf numFmtId="209" fontId="26" fillId="0" borderId="7" xfId="57" applyNumberFormat="1" applyFont="1" applyFill="1" applyBorder="1" applyAlignment="1">
      <alignment/>
    </xf>
    <xf numFmtId="209" fontId="27" fillId="0" borderId="7" xfId="57" applyNumberFormat="1" applyFont="1" applyFill="1" applyBorder="1" applyAlignment="1">
      <alignment/>
    </xf>
    <xf numFmtId="209" fontId="27" fillId="0" borderId="8" xfId="57" applyNumberFormat="1" applyFont="1" applyFill="1" applyBorder="1" applyAlignment="1">
      <alignment/>
    </xf>
    <xf numFmtId="284" fontId="28" fillId="0" borderId="9" xfId="132" applyNumberFormat="1" applyFont="1" applyBorder="1" applyAlignment="1">
      <alignment horizontal="center"/>
      <protection/>
    </xf>
    <xf numFmtId="284" fontId="28" fillId="0" borderId="0" xfId="132" applyNumberFormat="1" applyFont="1" applyBorder="1" applyAlignment="1">
      <alignment horizontal="center"/>
      <protection/>
    </xf>
    <xf numFmtId="284" fontId="28" fillId="0" borderId="10" xfId="132" applyNumberFormat="1" applyFont="1" applyBorder="1" applyAlignment="1">
      <alignment horizontal="center"/>
      <protection/>
    </xf>
    <xf numFmtId="284" fontId="29" fillId="0" borderId="9" xfId="132" applyNumberFormat="1" applyFont="1" applyBorder="1" applyAlignment="1">
      <alignment horizontal="center"/>
      <protection/>
    </xf>
    <xf numFmtId="209" fontId="30" fillId="0" borderId="9" xfId="57" applyNumberFormat="1" applyFont="1" applyFill="1" applyBorder="1" applyAlignment="1">
      <alignment/>
    </xf>
    <xf numFmtId="209" fontId="30" fillId="0" borderId="0" xfId="57" applyNumberFormat="1" applyFont="1" applyFill="1" applyBorder="1" applyAlignment="1">
      <alignment/>
    </xf>
    <xf numFmtId="209" fontId="30" fillId="0" borderId="10" xfId="57" applyNumberFormat="1" applyFont="1" applyFill="1" applyBorder="1" applyAlignment="1">
      <alignment/>
    </xf>
    <xf numFmtId="209" fontId="0" fillId="0" borderId="21" xfId="57" applyNumberFormat="1" applyFont="1" applyFill="1" applyBorder="1" applyAlignment="1">
      <alignment/>
    </xf>
    <xf numFmtId="209" fontId="0" fillId="0" borderId="11" xfId="57" applyNumberFormat="1" applyFont="1" applyFill="1" applyBorder="1" applyAlignment="1">
      <alignment/>
    </xf>
    <xf numFmtId="209" fontId="0" fillId="0" borderId="12" xfId="57" applyNumberFormat="1" applyFont="1" applyFill="1" applyBorder="1" applyAlignment="1">
      <alignment/>
    </xf>
    <xf numFmtId="209" fontId="0" fillId="0" borderId="9" xfId="57" applyNumberFormat="1" applyFont="1" applyFill="1" applyBorder="1" applyAlignment="1">
      <alignment/>
    </xf>
    <xf numFmtId="209" fontId="0" fillId="0" borderId="0" xfId="57" applyNumberFormat="1" applyFont="1" applyFill="1" applyBorder="1" applyAlignment="1">
      <alignment/>
    </xf>
    <xf numFmtId="209" fontId="0" fillId="0" borderId="10" xfId="57" applyNumberFormat="1" applyFont="1" applyFill="1" applyBorder="1" applyAlignment="1">
      <alignment/>
    </xf>
    <xf numFmtId="44" fontId="0" fillId="0" borderId="9" xfId="57" applyNumberFormat="1" applyFont="1" applyFill="1" applyBorder="1" applyAlignment="1">
      <alignment/>
    </xf>
    <xf numFmtId="44" fontId="0" fillId="0" borderId="0" xfId="57" applyNumberFormat="1" applyFont="1" applyFill="1" applyBorder="1" applyAlignment="1">
      <alignment/>
    </xf>
    <xf numFmtId="44" fontId="0" fillId="0" borderId="10" xfId="57" applyNumberFormat="1" applyFont="1" applyFill="1" applyBorder="1" applyAlignment="1">
      <alignment/>
    </xf>
    <xf numFmtId="44" fontId="0" fillId="0" borderId="13" xfId="57" applyNumberFormat="1" applyFont="1" applyFill="1" applyBorder="1" applyAlignment="1">
      <alignment/>
    </xf>
    <xf numFmtId="44" fontId="0" fillId="0" borderId="14" xfId="57" applyNumberFormat="1" applyFont="1" applyFill="1" applyBorder="1" applyAlignment="1">
      <alignment/>
    </xf>
    <xf numFmtId="44" fontId="0" fillId="0" borderId="20" xfId="57" applyNumberFormat="1" applyFont="1" applyFill="1" applyBorder="1" applyAlignment="1">
      <alignment/>
    </xf>
    <xf numFmtId="0" fontId="18" fillId="0" borderId="6" xfId="118" applyFont="1" applyFill="1" applyBorder="1" applyAlignment="1">
      <alignment horizontal="left" wrapText="1"/>
      <protection/>
    </xf>
    <xf numFmtId="0" fontId="31" fillId="0" borderId="7" xfId="118" applyFont="1" applyFill="1" applyBorder="1">
      <alignment/>
      <protection/>
    </xf>
    <xf numFmtId="0" fontId="18" fillId="0" borderId="7" xfId="118" applyFont="1" applyFill="1" applyBorder="1" applyAlignment="1">
      <alignment horizontal="center" wrapText="1"/>
      <protection/>
    </xf>
    <xf numFmtId="0" fontId="18" fillId="0" borderId="0" xfId="118" applyFont="1" applyFill="1" applyAlignment="1">
      <alignment horizontal="center" wrapText="1"/>
      <protection/>
    </xf>
    <xf numFmtId="0" fontId="31" fillId="0" borderId="0" xfId="118" applyFont="1" applyFill="1" applyBorder="1">
      <alignment/>
      <protection/>
    </xf>
    <xf numFmtId="0" fontId="18" fillId="0" borderId="0" xfId="118" applyFont="1" applyFill="1" applyBorder="1">
      <alignment/>
      <protection/>
    </xf>
    <xf numFmtId="166" fontId="1" fillId="0" borderId="11" xfId="118" applyNumberFormat="1" applyFill="1" applyBorder="1">
      <alignment/>
      <protection/>
    </xf>
    <xf numFmtId="166" fontId="1" fillId="0" borderId="12" xfId="118" applyNumberFormat="1" applyFill="1" applyBorder="1">
      <alignment/>
      <protection/>
    </xf>
    <xf numFmtId="0" fontId="1" fillId="0" borderId="13" xfId="118" applyFill="1" applyBorder="1" applyAlignment="1">
      <alignment horizontal="left"/>
      <protection/>
    </xf>
    <xf numFmtId="166" fontId="1" fillId="0" borderId="14" xfId="118" applyNumberFormat="1" applyFill="1" applyBorder="1">
      <alignment/>
      <protection/>
    </xf>
    <xf numFmtId="166" fontId="1" fillId="0" borderId="20" xfId="118" applyNumberFormat="1" applyFill="1" applyBorder="1">
      <alignment/>
      <protection/>
    </xf>
    <xf numFmtId="0" fontId="1" fillId="0" borderId="0" xfId="118" applyFill="1" applyAlignment="1">
      <alignment horizontal="left"/>
      <protection/>
    </xf>
    <xf numFmtId="0" fontId="1" fillId="0" borderId="0" xfId="118" applyFont="1" applyFill="1" applyAlignment="1">
      <alignment horizontal="right"/>
      <protection/>
    </xf>
    <xf numFmtId="0" fontId="32" fillId="0" borderId="7" xfId="118" applyFont="1" applyFill="1" applyBorder="1" applyAlignment="1">
      <alignment horizontal="center" vertical="center" wrapText="1"/>
      <protection/>
    </xf>
    <xf numFmtId="0" fontId="32" fillId="0" borderId="8" xfId="118" applyFont="1" applyFill="1" applyBorder="1" applyAlignment="1">
      <alignment horizontal="center" vertical="center" wrapText="1"/>
      <protection/>
    </xf>
    <xf numFmtId="0" fontId="32" fillId="0" borderId="6" xfId="118" applyFont="1" applyFill="1" applyBorder="1" applyAlignment="1">
      <alignment horizontal="center" vertical="center" wrapText="1"/>
      <protection/>
    </xf>
    <xf numFmtId="232" fontId="3" fillId="0" borderId="9" xfId="118" applyNumberFormat="1" applyFont="1" applyBorder="1">
      <alignment/>
      <protection/>
    </xf>
    <xf numFmtId="232" fontId="3" fillId="0" borderId="0" xfId="118" applyNumberFormat="1" applyFont="1" applyBorder="1">
      <alignment/>
      <protection/>
    </xf>
    <xf numFmtId="232" fontId="3" fillId="0" borderId="10" xfId="118" applyNumberFormat="1" applyFont="1" applyBorder="1">
      <alignment/>
      <protection/>
    </xf>
    <xf numFmtId="0" fontId="3" fillId="0" borderId="9" xfId="118" applyFont="1" applyBorder="1">
      <alignment/>
      <protection/>
    </xf>
    <xf numFmtId="0" fontId="3" fillId="0" borderId="0" xfId="118" applyFont="1" applyBorder="1">
      <alignment/>
      <protection/>
    </xf>
    <xf numFmtId="0" fontId="3" fillId="0" borderId="10" xfId="118" applyFont="1" applyBorder="1">
      <alignment/>
      <protection/>
    </xf>
    <xf numFmtId="0" fontId="1" fillId="0" borderId="9" xfId="118" applyBorder="1">
      <alignment/>
      <protection/>
    </xf>
    <xf numFmtId="0" fontId="3" fillId="0" borderId="14" xfId="118" applyFont="1" applyBorder="1">
      <alignment/>
      <protection/>
    </xf>
  </cellXfs>
  <cellStyles count="156">
    <cellStyle name="Normal" xfId="0"/>
    <cellStyle name="RowLevel_0" xfId="1"/>
    <cellStyle name="ColLevel_0" xfId="2"/>
    <cellStyle name="Calculation" xfId="15"/>
    <cellStyle name="CheckCell" xfId="16"/>
    <cellStyle name="Comma" xfId="17"/>
    <cellStyle name="Comma [0]" xfId="18"/>
    <cellStyle name="Comma [0]_00-01AmortRates" xfId="19"/>
    <cellStyle name="Comma [0]_00-01'Base'Rates" xfId="20"/>
    <cellStyle name="Comma [0]_00GASCST" xfId="21"/>
    <cellStyle name="Comma [0]_01GASCST" xfId="22"/>
    <cellStyle name="Comma [0]_Book1" xfId="23"/>
    <cellStyle name="Comma [0]_Book2" xfId="24"/>
    <cellStyle name="Comma [0]_calvol" xfId="25"/>
    <cellStyle name="Comma [0]_DemoBill" xfId="26"/>
    <cellStyle name="Comma [0]_Gas Volume Latest" xfId="27"/>
    <cellStyle name="Comma [0]_JAN 99 Margin Change" xfId="28"/>
    <cellStyle name="Comma [0]_june07P-00pga1yramort" xfId="29"/>
    <cellStyle name="Comma [0]_pga 070301-9mo-AmortFINAL" xfId="30"/>
    <cellStyle name="Comma [0]_Revenue" xfId="31"/>
    <cellStyle name="Comma [0]_Revenue (2)" xfId="32"/>
    <cellStyle name="Comma [0]_RevImpact" xfId="33"/>
    <cellStyle name="Comma [0]_Sheet1" xfId="34"/>
    <cellStyle name="Comma [0]_vol-fcst09-15" xfId="35"/>
    <cellStyle name="Comma_####gas cos factors 11_16_2001 pm" xfId="36"/>
    <cellStyle name="Comma_00-01AmortRates" xfId="37"/>
    <cellStyle name="Comma_00-01'Base'Rates" xfId="38"/>
    <cellStyle name="Comma_00GASCST" xfId="39"/>
    <cellStyle name="Comma_01GASCST" xfId="40"/>
    <cellStyle name="Comma_Book1" xfId="41"/>
    <cellStyle name="Comma_Book2" xfId="42"/>
    <cellStyle name="Comma_calvol" xfId="43"/>
    <cellStyle name="Comma_DemoBill" xfId="44"/>
    <cellStyle name="Comma_Gas Volume Latest" xfId="45"/>
    <cellStyle name="Comma_JAN 99 GAS RATE CHANGE 1028 REVISED" xfId="46"/>
    <cellStyle name="Comma_JAN 99 Margin Change" xfId="47"/>
    <cellStyle name="Comma_june07P-00pga1yramort" xfId="48"/>
    <cellStyle name="Comma_pga 070301-9mo-AmortFINAL" xfId="49"/>
    <cellStyle name="Comma_rates" xfId="50"/>
    <cellStyle name="Comma_Revenue" xfId="51"/>
    <cellStyle name="Comma_Revenue (2)" xfId="52"/>
    <cellStyle name="Comma_RevImpact" xfId="53"/>
    <cellStyle name="Comma_Sheet1" xfId="54"/>
    <cellStyle name="Comma_vol-fcst09-15" xfId="55"/>
    <cellStyle name="Comma0" xfId="56"/>
    <cellStyle name="Currency" xfId="57"/>
    <cellStyle name="Currency [0]" xfId="58"/>
    <cellStyle name="Currency [0]_00-01AmortRates" xfId="59"/>
    <cellStyle name="Currency [0]_00-01'Base'Rates" xfId="60"/>
    <cellStyle name="Currency [0]_00GASCST" xfId="61"/>
    <cellStyle name="Currency [0]_01GASCST" xfId="62"/>
    <cellStyle name="Currency [0]_Book1" xfId="63"/>
    <cellStyle name="Currency [0]_Book2" xfId="64"/>
    <cellStyle name="Currency [0]_calvol" xfId="65"/>
    <cellStyle name="Currency [0]_DemoBill" xfId="66"/>
    <cellStyle name="Currency [0]_Gas Volume Latest" xfId="67"/>
    <cellStyle name="Currency [0]_JAN 99 Margin Change" xfId="68"/>
    <cellStyle name="Currency [0]_june07P-00pga1yramort" xfId="69"/>
    <cellStyle name="Currency [0]_pga 070301-9mo-AmortFINAL" xfId="70"/>
    <cellStyle name="Currency [0]_Revenue" xfId="71"/>
    <cellStyle name="Currency [0]_Revenue (2)" xfId="72"/>
    <cellStyle name="Currency [0]_RevImpact" xfId="73"/>
    <cellStyle name="Currency [0]_Sheet1" xfId="74"/>
    <cellStyle name="Currency [0]_vol-fcst09-15" xfId="75"/>
    <cellStyle name="Currency_00-01AmortRates" xfId="76"/>
    <cellStyle name="Currency_00-01'Base'Rates" xfId="77"/>
    <cellStyle name="Currency_00GASCST" xfId="78"/>
    <cellStyle name="Currency_01GASCST" xfId="79"/>
    <cellStyle name="Currency_Book1" xfId="80"/>
    <cellStyle name="Currency_Book2" xfId="81"/>
    <cellStyle name="Currency_calvol" xfId="82"/>
    <cellStyle name="Currency_DemoBill" xfId="83"/>
    <cellStyle name="Currency_Gas Volume Latest" xfId="84"/>
    <cellStyle name="Currency_JAN 99 GAS RATE CHANGE 1028 REVISED" xfId="85"/>
    <cellStyle name="Currency_JAN 99 Margin Change" xfId="86"/>
    <cellStyle name="Currency_june07P-00pga1yramort" xfId="87"/>
    <cellStyle name="Currency_pga 070301-9mo-AmortFINAL" xfId="88"/>
    <cellStyle name="Currency_rates" xfId="89"/>
    <cellStyle name="Currency_Revenue" xfId="90"/>
    <cellStyle name="Currency_Revenue (2)" xfId="91"/>
    <cellStyle name="Currency_RevImpact" xfId="92"/>
    <cellStyle name="Currency_Sheet1" xfId="93"/>
    <cellStyle name="Currency_vol-fcst09-15" xfId="94"/>
    <cellStyle name="Currency0" xfId="95"/>
    <cellStyle name="Date" xfId="96"/>
    <cellStyle name="Fixed" xfId="97"/>
    <cellStyle name="Followed Hyperlink" xfId="98"/>
    <cellStyle name="Heading 1" xfId="99"/>
    <cellStyle name="Heading 1_Gas Cost Final" xfId="100"/>
    <cellStyle name="Heading 1_REV GasCost SubReport" xfId="101"/>
    <cellStyle name="Heading 2" xfId="102"/>
    <cellStyle name="Heading 2_Gas Cost Final" xfId="103"/>
    <cellStyle name="Heading 2_REV GasCost SubReport" xfId="104"/>
    <cellStyle name="Hyperlink" xfId="105"/>
    <cellStyle name="Input Cells" xfId="106"/>
    <cellStyle name="Input Cells Percent" xfId="107"/>
    <cellStyle name="Normal_00-01AmortRates" xfId="108"/>
    <cellStyle name="Normal_00-01'Base'Rates" xfId="109"/>
    <cellStyle name="Normal_00GASCST" xfId="110"/>
    <cellStyle name="Normal_01GASCST" xfId="111"/>
    <cellStyle name="Normal_Book1" xfId="112"/>
    <cellStyle name="Normal_Book2" xfId="113"/>
    <cellStyle name="Normal_calvol" xfId="114"/>
    <cellStyle name="Normal_CalVol8yrs" xfId="115"/>
    <cellStyle name="Normal_Cusotmer Load" xfId="116"/>
    <cellStyle name="Normal_DemoBill" xfId="117"/>
    <cellStyle name="Normal_Gas Cost Final" xfId="118"/>
    <cellStyle name="Normal_Gas Volume Latest" xfId="119"/>
    <cellStyle name="Normal_JAN 99 GAS RATE CHANGE 1028 REVISED" xfId="120"/>
    <cellStyle name="Normal_JAN 99 Margin Change" xfId="121"/>
    <cellStyle name="Normal_june07P-00pga1yramort" xfId="122"/>
    <cellStyle name="Normal_LS1" xfId="123"/>
    <cellStyle name="Normal_Mn091599.101599" xfId="124"/>
    <cellStyle name="Normal_monthly orig IS" xfId="125"/>
    <cellStyle name="Normal_PEAK1" xfId="126"/>
    <cellStyle name="Normal_pga 070301-9mo-AmortFINAL" xfId="127"/>
    <cellStyle name="Normal_pga_summary_070901_rev2" xfId="128"/>
    <cellStyle name="Normal_pga_summary_60700_a" xfId="129"/>
    <cellStyle name="Normal_PSE Model 11-18c" xfId="130"/>
    <cellStyle name="Normal_rates" xfId="131"/>
    <cellStyle name="Normal_REV GasCost SubReport" xfId="132"/>
    <cellStyle name="Normal_Revenue" xfId="133"/>
    <cellStyle name="Normal_Revenue (2)" xfId="134"/>
    <cellStyle name="Normal_RevImpact" xfId="135"/>
    <cellStyle name="Normal_SeasonalCompare" xfId="136"/>
    <cellStyle name="Normal_Sheet1" xfId="137"/>
    <cellStyle name="Normal_Sheet1_JAN 99 Margin Change" xfId="138"/>
    <cellStyle name="Normal_Sheet1_Revenue" xfId="139"/>
    <cellStyle name="Normal_Sheet1_Revenue (2)" xfId="140"/>
    <cellStyle name="Normal_Sheet3" xfId="141"/>
    <cellStyle name="Normal_Sheet4" xfId="142"/>
    <cellStyle name="Normal_Therm Load" xfId="143"/>
    <cellStyle name="Normal_Uubilled Load REVISED" xfId="144"/>
    <cellStyle name="Normal_vol-fcst09-15" xfId="145"/>
    <cellStyle name="Normal_VS_BUDGT" xfId="146"/>
    <cellStyle name="Percent" xfId="147"/>
    <cellStyle name="Percent_####gas cos factors 11_16_2001 pm" xfId="148"/>
    <cellStyle name="Percent_JAN 99 GAS RATE CHANGE 1028 REVISED" xfId="149"/>
    <cellStyle name="Percent_JAN 99 Margin Change" xfId="150"/>
    <cellStyle name="Percent_PSE Model 11-18c" xfId="151"/>
    <cellStyle name="Percent_rates" xfId="152"/>
    <cellStyle name="Processing" xfId="153"/>
    <cellStyle name="Report" xfId="154"/>
    <cellStyle name="Report Bar" xfId="155"/>
    <cellStyle name="Report Heading" xfId="156"/>
    <cellStyle name="Report Percent" xfId="157"/>
    <cellStyle name="Report Unit Cost" xfId="158"/>
    <cellStyle name="Reports Total" xfId="159"/>
    <cellStyle name="Reports Unit Cost Total" xfId="160"/>
    <cellStyle name="Sub-total" xfId="161"/>
    <cellStyle name="Title: Major" xfId="162"/>
    <cellStyle name="Title: Minor" xfId="163"/>
    <cellStyle name="Title: Worksheet" xfId="164"/>
    <cellStyle name="Total" xfId="165"/>
    <cellStyle name="Total_Gas Cost Final" xfId="166"/>
    <cellStyle name="Total_REV GasCost SubReport" xfId="1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Current &amp; Proposed PGA Gas Cost Recovery - Total Rate</a:t>
            </a:r>
          </a:p>
        </c:rich>
      </c:tx>
      <c:layout>
        <c:manualLayout>
          <c:xMode val="factor"/>
          <c:yMode val="factor"/>
          <c:x val="0.0012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125"/>
          <c:w val="0.963"/>
          <c:h val="0.8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'[2]RJA-6 (1,2 of 4)'!$C$64</c:f>
              <c:strCache>
                <c:ptCount val="1"/>
                <c:pt idx="0">
                  <c:v>Current  Dem &amp; Comm (incl CD)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('[2]RJA-6 (1,2 of 4)'!$F$2:$K$2,'[2]RJA-6 (1,2 of 4)'!$N$2)</c:f>
              <c:strCache>
                <c:ptCount val="7"/>
                <c:pt idx="0">
                  <c:v>Residential</c:v>
                </c:pt>
                <c:pt idx="1">
                  <c:v>C &amp; I Heating</c:v>
                </c:pt>
                <c:pt idx="2">
                  <c:v>C &amp; I - 41</c:v>
                </c:pt>
                <c:pt idx="3">
                  <c:v>Rate 85</c:v>
                </c:pt>
                <c:pt idx="4">
                  <c:v>Rate 86</c:v>
                </c:pt>
                <c:pt idx="5">
                  <c:v>Rate 87</c:v>
                </c:pt>
                <c:pt idx="6">
                  <c:v>CNG Service</c:v>
                </c:pt>
              </c:strCache>
            </c:strRef>
          </c:cat>
          <c:val>
            <c:numRef>
              <c:f>('[2]RJA-6 (1,2 of 4)'!$F$64:$K$64,'[2]RJA-6 (1,2 of 4)'!$N$64)</c:f>
              <c:numCache>
                <c:ptCount val="7"/>
                <c:pt idx="0">
                  <c:v>0.44416721737572157</c:v>
                </c:pt>
                <c:pt idx="1">
                  <c:v>0.43087937988072156</c:v>
                </c:pt>
                <c:pt idx="2">
                  <c:v>0.3775100178007216</c:v>
                </c:pt>
                <c:pt idx="3">
                  <c:v>0.4080863780823586</c:v>
                </c:pt>
                <c:pt idx="4">
                  <c:v>0.41314249534759345</c:v>
                </c:pt>
                <c:pt idx="5">
                  <c:v>0.3663924374162047</c:v>
                </c:pt>
                <c:pt idx="6">
                  <c:v>0.35317986744072155</c:v>
                </c:pt>
              </c:numCache>
            </c:numRef>
          </c:val>
        </c:ser>
        <c:ser>
          <c:idx val="0"/>
          <c:order val="1"/>
          <c:tx>
            <c:strRef>
              <c:f>'[2]RJA-6 (1,2 of 4)'!$C$61</c:f>
              <c:strCache>
                <c:ptCount val="1"/>
                <c:pt idx="0">
                  <c:v>COSS Dem &amp; Comm (incl CD)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('[2]RJA-6 (1,2 of 4)'!$F$2:$K$2,'[2]RJA-6 (1,2 of 4)'!$N$2)</c:f>
              <c:strCache>
                <c:ptCount val="7"/>
                <c:pt idx="0">
                  <c:v>Residential</c:v>
                </c:pt>
                <c:pt idx="1">
                  <c:v>C &amp; I Heating</c:v>
                </c:pt>
                <c:pt idx="2">
                  <c:v>C &amp; I - 41</c:v>
                </c:pt>
                <c:pt idx="3">
                  <c:v>Rate 85</c:v>
                </c:pt>
                <c:pt idx="4">
                  <c:v>Rate 86</c:v>
                </c:pt>
                <c:pt idx="5">
                  <c:v>Rate 87</c:v>
                </c:pt>
                <c:pt idx="6">
                  <c:v>CNG Service</c:v>
                </c:pt>
              </c:strCache>
            </c:strRef>
          </c:cat>
          <c:val>
            <c:numRef>
              <c:f>('[2]RJA-6 (1,2 of 4)'!$F$61:$K$61,'[2]RJA-6 (1,2 of 4)'!$N$61)</c:f>
              <c:numCache>
                <c:ptCount val="7"/>
                <c:pt idx="0">
                  <c:v>0.4738048549232849</c:v>
                </c:pt>
                <c:pt idx="1">
                  <c:v>0.4362925463102479</c:v>
                </c:pt>
                <c:pt idx="2">
                  <c:v>0.28750384391416667</c:v>
                </c:pt>
                <c:pt idx="3">
                  <c:v>0.2723960681466483</c:v>
                </c:pt>
                <c:pt idx="4">
                  <c:v>0.3595766645006812</c:v>
                </c:pt>
                <c:pt idx="5">
                  <c:v>0.27156865845883893</c:v>
                </c:pt>
                <c:pt idx="6">
                  <c:v>0.3336726889746322</c:v>
                </c:pt>
              </c:numCache>
            </c:numRef>
          </c:val>
        </c:ser>
        <c:ser>
          <c:idx val="2"/>
          <c:order val="2"/>
          <c:tx>
            <c:strRef>
              <c:f>'[2]RJA-6 (1,2 of 4)'!$C$67</c:f>
              <c:strCache>
                <c:ptCount val="1"/>
                <c:pt idx="0">
                  <c:v>Proposed Dem &amp; Comm (incl CD) using Mo.PGA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('[2]RJA-6 (1,2 of 4)'!$F$2:$K$2,'[2]RJA-6 (1,2 of 4)'!$N$2)</c:f>
              <c:strCache>
                <c:ptCount val="7"/>
                <c:pt idx="0">
                  <c:v>Residential</c:v>
                </c:pt>
                <c:pt idx="1">
                  <c:v>C &amp; I Heating</c:v>
                </c:pt>
                <c:pt idx="2">
                  <c:v>C &amp; I - 41</c:v>
                </c:pt>
                <c:pt idx="3">
                  <c:v>Rate 85</c:v>
                </c:pt>
                <c:pt idx="4">
                  <c:v>Rate 86</c:v>
                </c:pt>
                <c:pt idx="5">
                  <c:v>Rate 87</c:v>
                </c:pt>
                <c:pt idx="6">
                  <c:v>CNG Service</c:v>
                </c:pt>
              </c:strCache>
            </c:strRef>
          </c:cat>
          <c:val>
            <c:numRef>
              <c:f>('[2]RJA-6 (1,2 of 4)'!$F$67:$K$67,'[2]RJA-6 (1,2 of 4)'!$N$67)</c:f>
              <c:numCache>
                <c:ptCount val="7"/>
                <c:pt idx="0">
                  <c:v>0.4615907855544285</c:v>
                </c:pt>
                <c:pt idx="1">
                  <c:v>0.43248861888351303</c:v>
                </c:pt>
                <c:pt idx="2">
                  <c:v>0.33294964564482693</c:v>
                </c:pt>
                <c:pt idx="3">
                  <c:v>0.3225783724004229</c:v>
                </c:pt>
                <c:pt idx="4">
                  <c:v>0.36592322337830474</c:v>
                </c:pt>
                <c:pt idx="5">
                  <c:v>0.31710379285057927</c:v>
                </c:pt>
                <c:pt idx="6">
                  <c:v>0.35495367917867837</c:v>
                </c:pt>
              </c:numCache>
            </c:numRef>
          </c:val>
        </c:ser>
        <c:gapWidth val="100"/>
        <c:axId val="22778381"/>
        <c:axId val="3678838"/>
      </c:barChart>
      <c:catAx>
        <c:axId val="2277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8838"/>
        <c:crosses val="autoZero"/>
        <c:auto val="1"/>
        <c:lblOffset val="100"/>
        <c:noMultiLvlLbl val="0"/>
      </c:catAx>
      <c:valAx>
        <c:axId val="3678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78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25"/>
          <c:y val="0.13675"/>
          <c:w val="0.3355"/>
          <c:h val="0.11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Annual Demand / Monthly Commodity , showing effect of Secondary Credit</a:t>
            </a:r>
          </a:p>
        </c:rich>
      </c:tx>
      <c:layout>
        <c:manualLayout>
          <c:xMode val="factor"/>
          <c:yMode val="factor"/>
          <c:x val="0.009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8"/>
          <c:w val="0.95425"/>
          <c:h val="0.8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'[1]Summary'!$F$83</c:f>
              <c:strCache>
                <c:ptCount val="1"/>
                <c:pt idx="0">
                  <c:v>Ann.Demand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'[1]Summary'!$H$2:$S$2</c:f>
              <c:numCache>
                <c:ptCount val="12"/>
                <c:pt idx="0">
                  <c:v>37196</c:v>
                </c:pt>
                <c:pt idx="1">
                  <c:v>37226</c:v>
                </c:pt>
                <c:pt idx="2">
                  <c:v>37257</c:v>
                </c:pt>
                <c:pt idx="3">
                  <c:v>37288</c:v>
                </c:pt>
                <c:pt idx="4">
                  <c:v>37316</c:v>
                </c:pt>
                <c:pt idx="5">
                  <c:v>37347</c:v>
                </c:pt>
                <c:pt idx="6">
                  <c:v>37377</c:v>
                </c:pt>
                <c:pt idx="7">
                  <c:v>37408</c:v>
                </c:pt>
                <c:pt idx="8">
                  <c:v>37438</c:v>
                </c:pt>
                <c:pt idx="9">
                  <c:v>37469</c:v>
                </c:pt>
                <c:pt idx="10">
                  <c:v>37500</c:v>
                </c:pt>
                <c:pt idx="11">
                  <c:v>37530</c:v>
                </c:pt>
              </c:numCache>
            </c:numRef>
          </c:cat>
          <c:val>
            <c:numRef>
              <c:f>'[1]Summary'!$H$83:$S$83</c:f>
              <c:numCache>
                <c:ptCount val="12"/>
                <c:pt idx="0">
                  <c:v>0.11957507148435244</c:v>
                </c:pt>
                <c:pt idx="1">
                  <c:v>0.11957507148435244</c:v>
                </c:pt>
                <c:pt idx="2">
                  <c:v>0.11957507148435244</c:v>
                </c:pt>
                <c:pt idx="3">
                  <c:v>0.11957507148435244</c:v>
                </c:pt>
                <c:pt idx="4">
                  <c:v>0.11957507148435244</c:v>
                </c:pt>
                <c:pt idx="5">
                  <c:v>0.11957507148435244</c:v>
                </c:pt>
                <c:pt idx="6">
                  <c:v>0.11957507148435244</c:v>
                </c:pt>
                <c:pt idx="7">
                  <c:v>0.11957507148435244</c:v>
                </c:pt>
                <c:pt idx="8">
                  <c:v>0.11957507148435244</c:v>
                </c:pt>
                <c:pt idx="9">
                  <c:v>0.11957507148435244</c:v>
                </c:pt>
                <c:pt idx="10">
                  <c:v>0.11957507148435244</c:v>
                </c:pt>
                <c:pt idx="11">
                  <c:v>0.11957507148435244</c:v>
                </c:pt>
              </c:numCache>
            </c:numRef>
          </c:val>
        </c:ser>
        <c:ser>
          <c:idx val="1"/>
          <c:order val="1"/>
          <c:tx>
            <c:strRef>
              <c:f>'[1]Summary'!$F$87</c:f>
              <c:strCache>
                <c:ptCount val="1"/>
                <c:pt idx="0">
                  <c:v>Mo.Commodity(Total Rate)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'[1]Summary'!$H$86:$S$86</c:f>
              <c:numCache>
                <c:ptCount val="12"/>
                <c:pt idx="0">
                  <c:v>0.35633676837666406</c:v>
                </c:pt>
                <c:pt idx="1">
                  <c:v>0.3959141555175212</c:v>
                </c:pt>
                <c:pt idx="2">
                  <c:v>0.38029197055423547</c:v>
                </c:pt>
                <c:pt idx="3">
                  <c:v>0.35981014702594105</c:v>
                </c:pt>
                <c:pt idx="4">
                  <c:v>0.3429861365957832</c:v>
                </c:pt>
                <c:pt idx="5">
                  <c:v>0.2524104175139237</c:v>
                </c:pt>
                <c:pt idx="6">
                  <c:v>0.24426550093929</c:v>
                </c:pt>
                <c:pt idx="7">
                  <c:v>0.2141009166537354</c:v>
                </c:pt>
                <c:pt idx="8">
                  <c:v>0.11357519736998321</c:v>
                </c:pt>
                <c:pt idx="9">
                  <c:v>0.07085262137779506</c:v>
                </c:pt>
                <c:pt idx="10">
                  <c:v>0.13371075851965056</c:v>
                </c:pt>
                <c:pt idx="11">
                  <c:v>0.2341073838383067</c:v>
                </c:pt>
              </c:numCache>
            </c:numRef>
          </c:val>
        </c:ser>
        <c:ser>
          <c:idx val="2"/>
          <c:order val="2"/>
          <c:tx>
            <c:strRef>
              <c:f>'[1]Summary'!$F$93</c:f>
              <c:strCache>
                <c:ptCount val="1"/>
                <c:pt idx="0">
                  <c:v>Effect of Secondary Credit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25400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'[1]Summary'!$H$93:$S$93</c:f>
              <c:numCache>
                <c:ptCount val="12"/>
                <c:pt idx="0">
                  <c:v>0.008476521921314754</c:v>
                </c:pt>
                <c:pt idx="1">
                  <c:v>0.004787316107583128</c:v>
                </c:pt>
                <c:pt idx="2">
                  <c:v>0.005816833801137565</c:v>
                </c:pt>
                <c:pt idx="3">
                  <c:v>0.009610645789449396</c:v>
                </c:pt>
                <c:pt idx="4">
                  <c:v>0.008539310007159311</c:v>
                </c:pt>
                <c:pt idx="5">
                  <c:v>0.00775897912211169</c:v>
                </c:pt>
                <c:pt idx="6">
                  <c:v>0.010846169078746032</c:v>
                </c:pt>
                <c:pt idx="7">
                  <c:v>0.031035873163036753</c:v>
                </c:pt>
                <c:pt idx="8">
                  <c:v>0.04976818097204165</c:v>
                </c:pt>
                <c:pt idx="9">
                  <c:v>0.08528663463108309</c:v>
                </c:pt>
                <c:pt idx="10">
                  <c:v>0.04694278257429577</c:v>
                </c:pt>
                <c:pt idx="11">
                  <c:v>0.020050767391903604</c:v>
                </c:pt>
              </c:numCache>
            </c:numRef>
          </c:val>
        </c:ser>
        <c:overlap val="100"/>
        <c:gapWidth val="10"/>
        <c:axId val="33109543"/>
        <c:axId val="29550432"/>
      </c:barChart>
      <c:dateAx>
        <c:axId val="3310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50432"/>
        <c:crosses val="autoZero"/>
        <c:auto val="0"/>
        <c:noMultiLvlLbl val="0"/>
      </c:dateAx>
      <c:valAx>
        <c:axId val="29550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09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75"/>
          <c:y val="0.1505"/>
          <c:w val="0.259"/>
          <c:h val="0.0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5" right="0.25" top="0.75" bottom="0.5" header="0.25" footer="0.25"/>
  <pageSetup blackAndWhite="1" horizontalDpi="600" verticalDpi="600" orientation="landscape"/>
  <headerFooter>
    <oddHeader>&amp;C&amp;12Puget Sound Energy - Gas
Comparison of Gas Cost Recovery
12 Months Ended June 30, 2001&amp;R&amp;12Docket No. _____
Exhibit No.______(RJA-6)
Page 3 of 4</oddHeader>
    <oddFooter>&amp;L&amp;F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5" right="0.25" top="0.75" bottom="0.5" header="0.25" footer="0.25"/>
  <pageSetup blackAndWhite="1" horizontalDpi="600" verticalDpi="600" orientation="landscape"/>
  <headerFooter>
    <oddHeader>&amp;C&amp;"Arial,Regular"&amp;12Puget Sound Energy - Gas
Demonstration of Monthly PGA Rate
12 Months Ended June 30, 2001&amp;R&amp;"Arial,Regular"&amp;12Docket No. _____
Exhibit No. _____(RJA-6)
Page 4 of 4</oddHeader>
    <oddFooter>&amp;L&amp;"Arial,Regular"&amp;F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610350"/>
    <xdr:graphicFrame>
      <xdr:nvGraphicFramePr>
        <xdr:cNvPr id="1" name="Shape 1025"/>
        <xdr:cNvGraphicFramePr/>
      </xdr:nvGraphicFramePr>
      <xdr:xfrm>
        <a:off x="0" y="0"/>
        <a:ext cx="95535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610350"/>
    <xdr:graphicFrame>
      <xdr:nvGraphicFramePr>
        <xdr:cNvPr id="1" name="Shape 1025"/>
        <xdr:cNvGraphicFramePr/>
      </xdr:nvGraphicFramePr>
      <xdr:xfrm>
        <a:off x="0" y="0"/>
        <a:ext cx="95535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#GRC%20Ratecase\Gas%20Cost%20Support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#GRC%20Ratecase\Gas%20Cost%20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uget%20Sound\COS%20Model\PSE%20Model%2011-18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rpRates\Public\Pga2001\Filing\ConfidentialWKPapers\pga%20070301-9mo-Amort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JA-6 (4of4)"/>
      <sheetName val="DemoRateChart (2)"/>
      <sheetName val="Summary"/>
      <sheetName val="KDetail"/>
      <sheetName val="Monthly Cost Detail"/>
      <sheetName val="Adjust to PGA"/>
      <sheetName val="(2) monthly pipeline cost"/>
      <sheetName val="(3) monthly gas storage"/>
      <sheetName val="(4) monthly gas inventory"/>
      <sheetName val="Volumes (PGA)"/>
      <sheetName val="Volumes (NormTestYr)"/>
      <sheetName val="Chart4"/>
      <sheetName val="Est-191"/>
      <sheetName val="Volume Diff"/>
      <sheetName val="TF - 2 Worksheet"/>
      <sheetName val="compare"/>
      <sheetName val="Sheet3"/>
    </sheetNames>
    <sheetDataSet>
      <sheetData sheetId="2">
        <row r="2">
          <cell r="H2">
            <v>37196</v>
          </cell>
          <cell r="I2">
            <v>37226</v>
          </cell>
          <cell r="J2">
            <v>37257</v>
          </cell>
          <cell r="K2">
            <v>37288</v>
          </cell>
          <cell r="L2">
            <v>37316</v>
          </cell>
          <cell r="M2">
            <v>37347</v>
          </cell>
          <cell r="N2">
            <v>37377</v>
          </cell>
          <cell r="O2">
            <v>37408</v>
          </cell>
          <cell r="P2">
            <v>37438</v>
          </cell>
          <cell r="Q2">
            <v>37469</v>
          </cell>
          <cell r="R2">
            <v>37500</v>
          </cell>
          <cell r="S2">
            <v>37530</v>
          </cell>
        </row>
        <row r="83">
          <cell r="F83" t="str">
            <v>Ann.Demand</v>
          </cell>
          <cell r="H83">
            <v>0.11957507148435244</v>
          </cell>
          <cell r="I83">
            <v>0.11957507148435244</v>
          </cell>
          <cell r="J83">
            <v>0.11957507148435244</v>
          </cell>
          <cell r="K83">
            <v>0.11957507148435244</v>
          </cell>
          <cell r="L83">
            <v>0.11957507148435244</v>
          </cell>
          <cell r="M83">
            <v>0.11957507148435244</v>
          </cell>
          <cell r="N83">
            <v>0.11957507148435244</v>
          </cell>
          <cell r="O83">
            <v>0.11957507148435244</v>
          </cell>
          <cell r="P83">
            <v>0.11957507148435244</v>
          </cell>
          <cell r="Q83">
            <v>0.11957507148435244</v>
          </cell>
          <cell r="R83">
            <v>0.11957507148435244</v>
          </cell>
          <cell r="S83">
            <v>0.11957507148435244</v>
          </cell>
        </row>
        <row r="86">
          <cell r="H86">
            <v>0.35633676837666406</v>
          </cell>
          <cell r="I86">
            <v>0.3959141555175212</v>
          </cell>
          <cell r="J86">
            <v>0.38029197055423547</v>
          </cell>
          <cell r="K86">
            <v>0.35981014702594105</v>
          </cell>
          <cell r="L86">
            <v>0.3429861365957832</v>
          </cell>
          <cell r="M86">
            <v>0.2524104175139237</v>
          </cell>
          <cell r="N86">
            <v>0.24426550093929</v>
          </cell>
          <cell r="O86">
            <v>0.2141009166537354</v>
          </cell>
          <cell r="P86">
            <v>0.11357519736998321</v>
          </cell>
          <cell r="Q86">
            <v>0.07085262137779506</v>
          </cell>
          <cell r="R86">
            <v>0.13371075851965056</v>
          </cell>
          <cell r="S86">
            <v>0.2341073838383067</v>
          </cell>
        </row>
        <row r="87">
          <cell r="F87" t="str">
            <v>Mo.Commodity(Total Rate)</v>
          </cell>
        </row>
        <row r="93">
          <cell r="F93" t="str">
            <v>Effect of Secondary Credit</v>
          </cell>
          <cell r="H93">
            <v>0.008476521921314754</v>
          </cell>
          <cell r="I93">
            <v>0.004787316107583128</v>
          </cell>
          <cell r="J93">
            <v>0.005816833801137565</v>
          </cell>
          <cell r="K93">
            <v>0.009610645789449396</v>
          </cell>
          <cell r="L93">
            <v>0.008539310007159311</v>
          </cell>
          <cell r="M93">
            <v>0.00775897912211169</v>
          </cell>
          <cell r="N93">
            <v>0.010846169078746032</v>
          </cell>
          <cell r="O93">
            <v>0.031035873163036753</v>
          </cell>
          <cell r="P93">
            <v>0.04976818097204165</v>
          </cell>
          <cell r="Q93">
            <v>0.08528663463108309</v>
          </cell>
          <cell r="R93">
            <v>0.04694278257429577</v>
          </cell>
          <cell r="S93">
            <v>0.020050767391903604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ak Day Calculation"/>
      <sheetName val="47 DDS 6-01 Proforma"/>
      <sheetName val="Allocators"/>
      <sheetName val="Accounts"/>
      <sheetName val="ChartComm"/>
      <sheetName val="RJA-6 (3 of 4)"/>
      <sheetName val="RJA-6 (1,2 of 4)"/>
      <sheetName val="SubReport"/>
      <sheetName val="MoCommRates"/>
      <sheetName val="Gas Cost History"/>
    </sheetNames>
    <sheetDataSet>
      <sheetData sheetId="0">
        <row r="22">
          <cell r="I22">
            <v>7695</v>
          </cell>
        </row>
        <row r="23">
          <cell r="I23">
            <v>20732</v>
          </cell>
        </row>
        <row r="24">
          <cell r="I24">
            <v>2778</v>
          </cell>
        </row>
        <row r="31">
          <cell r="I31">
            <v>1984</v>
          </cell>
        </row>
        <row r="32">
          <cell r="I32">
            <v>656</v>
          </cell>
        </row>
        <row r="33">
          <cell r="I33">
            <v>166</v>
          </cell>
        </row>
        <row r="40">
          <cell r="R40">
            <v>5114196.768446999</v>
          </cell>
        </row>
        <row r="41">
          <cell r="R41">
            <v>1701615.0641064306</v>
          </cell>
        </row>
        <row r="43">
          <cell r="R43">
            <v>81284.0351917714</v>
          </cell>
        </row>
        <row r="44">
          <cell r="R44">
            <v>150873.3906954342</v>
          </cell>
        </row>
        <row r="45">
          <cell r="R45">
            <v>119628.43417748429</v>
          </cell>
        </row>
        <row r="46">
          <cell r="R46">
            <v>165.44849268357424</v>
          </cell>
        </row>
      </sheetData>
      <sheetData sheetId="2">
        <row r="7">
          <cell r="E7">
            <v>471059343.63216907</v>
          </cell>
          <cell r="F7">
            <v>199119941.0219289</v>
          </cell>
          <cell r="G7">
            <v>53061651.88919854</v>
          </cell>
          <cell r="H7">
            <v>23062430.740914688</v>
          </cell>
          <cell r="I7">
            <v>25430721.772655204</v>
          </cell>
          <cell r="J7">
            <v>61039919.89773272</v>
          </cell>
          <cell r="K7">
            <v>142657890.31949997</v>
          </cell>
          <cell r="L7">
            <v>46821465.1804</v>
          </cell>
          <cell r="M7">
            <v>64632.22</v>
          </cell>
        </row>
      </sheetData>
      <sheetData sheetId="6">
        <row r="2">
          <cell r="F2" t="str">
            <v>Residential</v>
          </cell>
          <cell r="G2" t="str">
            <v>C &amp; I Heating</v>
          </cell>
          <cell r="H2" t="str">
            <v>C &amp; I - 41</v>
          </cell>
          <cell r="I2" t="str">
            <v>Rate 85</v>
          </cell>
          <cell r="J2" t="str">
            <v>Rate 86</v>
          </cell>
          <cell r="K2" t="str">
            <v>Rate 87</v>
          </cell>
          <cell r="N2" t="str">
            <v>CNG Service</v>
          </cell>
        </row>
        <row r="61">
          <cell r="C61" t="str">
            <v>COSS Dem &amp; Comm (incl CD)</v>
          </cell>
          <cell r="F61">
            <v>0.4738048549232849</v>
          </cell>
          <cell r="G61">
            <v>0.4362925463102479</v>
          </cell>
          <cell r="H61">
            <v>0.28750384391416667</v>
          </cell>
          <cell r="I61">
            <v>0.2723960681466483</v>
          </cell>
          <cell r="J61">
            <v>0.3595766645006812</v>
          </cell>
          <cell r="K61">
            <v>0.27156865845883893</v>
          </cell>
          <cell r="N61">
            <v>0.3336726889746322</v>
          </cell>
        </row>
        <row r="64">
          <cell r="C64" t="str">
            <v>Current  Dem &amp; Comm (incl CD)</v>
          </cell>
          <cell r="F64">
            <v>0.44416721737572157</v>
          </cell>
          <cell r="G64">
            <v>0.43087937988072156</v>
          </cell>
          <cell r="H64">
            <v>0.3775100178007216</v>
          </cell>
          <cell r="I64">
            <v>0.4080863780823586</v>
          </cell>
          <cell r="J64">
            <v>0.41314249534759345</v>
          </cell>
          <cell r="K64">
            <v>0.3663924374162047</v>
          </cell>
          <cell r="N64">
            <v>0.35317986744072155</v>
          </cell>
        </row>
        <row r="67">
          <cell r="C67" t="str">
            <v>Proposed Dem &amp; Comm (incl CD) using Mo.PGA</v>
          </cell>
          <cell r="F67">
            <v>0.4615907855544285</v>
          </cell>
          <cell r="G67">
            <v>0.43248861888351303</v>
          </cell>
          <cell r="H67">
            <v>0.33294964564482693</v>
          </cell>
          <cell r="I67">
            <v>0.3225783724004229</v>
          </cell>
          <cell r="J67">
            <v>0.36592322337830474</v>
          </cell>
          <cell r="K67">
            <v>0.31710379285057927</v>
          </cell>
          <cell r="N67">
            <v>0.35495367917867837</v>
          </cell>
        </row>
      </sheetData>
      <sheetData sheetId="7">
        <row r="88">
          <cell r="G88">
            <v>158181196.29855394</v>
          </cell>
        </row>
        <row r="89">
          <cell r="G89">
            <v>40795049.708232746</v>
          </cell>
        </row>
        <row r="90">
          <cell r="G90">
            <v>143695</v>
          </cell>
        </row>
        <row r="117">
          <cell r="G117">
            <v>150814729.50002873</v>
          </cell>
        </row>
        <row r="118">
          <cell r="G118">
            <v>49694533.16238341</v>
          </cell>
        </row>
        <row r="119">
          <cell r="G119">
            <v>12378087.704560284</v>
          </cell>
        </row>
        <row r="120">
          <cell r="G120">
            <v>38587.32819313735</v>
          </cell>
        </row>
        <row r="121">
          <cell r="G121">
            <v>62111208.19513685</v>
          </cell>
        </row>
        <row r="122">
          <cell r="G122">
            <v>13977960.311257832</v>
          </cell>
        </row>
        <row r="123">
          <cell r="G123">
            <v>6351211.916272186</v>
          </cell>
        </row>
        <row r="124">
          <cell r="G124">
            <v>7871847.573030618</v>
          </cell>
        </row>
        <row r="125">
          <cell r="G125">
            <v>16709674.955804322</v>
          </cell>
        </row>
        <row r="126">
          <cell r="G126">
            <v>18663.43764068576</v>
          </cell>
        </row>
      </sheetData>
      <sheetData sheetId="8">
        <row r="65">
          <cell r="H65">
            <v>0.36481</v>
          </cell>
          <cell r="I65">
            <v>0.4007</v>
          </cell>
          <cell r="J65">
            <v>0.38611</v>
          </cell>
          <cell r="K65">
            <v>0.36942</v>
          </cell>
          <cell r="L65">
            <v>0.35153</v>
          </cell>
          <cell r="M65">
            <v>0.26017</v>
          </cell>
          <cell r="N65">
            <v>0.25511</v>
          </cell>
          <cell r="O65">
            <v>0.24514</v>
          </cell>
          <cell r="P65">
            <v>0.16334</v>
          </cell>
          <cell r="Q65">
            <v>0.15614</v>
          </cell>
          <cell r="R65">
            <v>0.18065</v>
          </cell>
          <cell r="S65">
            <v>0.25416</v>
          </cell>
        </row>
        <row r="66">
          <cell r="H66">
            <v>-0.00848</v>
          </cell>
          <cell r="I66">
            <v>-0.00479</v>
          </cell>
          <cell r="J66">
            <v>-0.00582</v>
          </cell>
          <cell r="K66">
            <v>-0.00961</v>
          </cell>
          <cell r="L66">
            <v>-0.00854</v>
          </cell>
          <cell r="M66">
            <v>-0.00776</v>
          </cell>
          <cell r="N66">
            <v>-0.01085</v>
          </cell>
          <cell r="O66">
            <v>-0.03104</v>
          </cell>
          <cell r="P66">
            <v>-0.04977</v>
          </cell>
          <cell r="Q66">
            <v>-0.08529</v>
          </cell>
          <cell r="R66">
            <v>-0.04694</v>
          </cell>
          <cell r="S66">
            <v>-0.02005</v>
          </cell>
        </row>
        <row r="67">
          <cell r="H67">
            <v>0.35633000000000004</v>
          </cell>
          <cell r="I67">
            <v>0.39591</v>
          </cell>
          <cell r="J67">
            <v>0.38029</v>
          </cell>
          <cell r="K67">
            <v>0.35981</v>
          </cell>
          <cell r="L67">
            <v>0.34299</v>
          </cell>
          <cell r="M67">
            <v>0.25241</v>
          </cell>
          <cell r="N67">
            <v>0.24426</v>
          </cell>
          <cell r="O67">
            <v>0.21409999999999998</v>
          </cell>
          <cell r="P67">
            <v>0.11357</v>
          </cell>
          <cell r="Q67">
            <v>0.07085</v>
          </cell>
          <cell r="R67">
            <v>0.13371</v>
          </cell>
          <cell r="S67">
            <v>0.23410999999999998</v>
          </cell>
        </row>
        <row r="68">
          <cell r="H68">
            <v>6.93</v>
          </cell>
          <cell r="I68">
            <v>7.61</v>
          </cell>
          <cell r="J68">
            <v>7.34</v>
          </cell>
          <cell r="K68">
            <v>7.02</v>
          </cell>
          <cell r="L68">
            <v>6.68</v>
          </cell>
          <cell r="M68">
            <v>4.94</v>
          </cell>
          <cell r="N68">
            <v>4.85</v>
          </cell>
          <cell r="O68">
            <v>4.66</v>
          </cell>
          <cell r="P68">
            <v>3.1</v>
          </cell>
          <cell r="Q68">
            <v>2.97</v>
          </cell>
          <cell r="R68">
            <v>3.43</v>
          </cell>
          <cell r="S68">
            <v>4.83</v>
          </cell>
        </row>
        <row r="69">
          <cell r="H69">
            <v>-0.16</v>
          </cell>
          <cell r="I69">
            <v>-0.09</v>
          </cell>
          <cell r="J69">
            <v>-0.11</v>
          </cell>
          <cell r="K69">
            <v>-0.18</v>
          </cell>
          <cell r="L69">
            <v>-0.16</v>
          </cell>
          <cell r="M69">
            <v>-0.15</v>
          </cell>
          <cell r="N69">
            <v>-0.21</v>
          </cell>
          <cell r="O69">
            <v>-0.59</v>
          </cell>
          <cell r="P69">
            <v>-0.95</v>
          </cell>
          <cell r="Q69">
            <v>-1.62</v>
          </cell>
          <cell r="R69">
            <v>-0.89</v>
          </cell>
          <cell r="S69">
            <v>-0.38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INTERNAL"/>
      <sheetName val="ACCOUNTS"/>
      <sheetName val="REVENUE"/>
      <sheetName val="CLASS"/>
      <sheetName val="FUNCALLOC"/>
      <sheetName val="ACCOUNTALLOC"/>
      <sheetName val="CLASSALLOC"/>
      <sheetName val="ALLOC"/>
      <sheetName val="REV REQ"/>
      <sheetName val="REV REPORT"/>
      <sheetName val="REV REQ REPORT"/>
      <sheetName val="ErrorCheck"/>
    </sheetNames>
    <sheetDataSet>
      <sheetData sheetId="1">
        <row r="8">
          <cell r="C8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1 Accts"/>
      <sheetName val="Cust Ct"/>
      <sheetName val="Volumes"/>
      <sheetName val="TotalAmort"/>
      <sheetName val="CommodAmort"/>
      <sheetName val="DemAmort"/>
      <sheetName val="Amort Exh. (B)"/>
      <sheetName val="Amort Exh. (A)"/>
      <sheetName val="Chart1"/>
      <sheetName val="Chart1A"/>
      <sheetName val="TotalGasCost"/>
      <sheetName val="DemGasCost"/>
      <sheetName val="CommodGasCost"/>
      <sheetName val="Chart2"/>
      <sheetName val="PGADemCommRate=%"/>
      <sheetName val="PGARate=%"/>
      <sheetName val="ResRateChart"/>
      <sheetName val="RS31RateChart"/>
      <sheetName val="RS87RateChart"/>
      <sheetName val="Total Rate"/>
      <sheetName val="pga&amp;amort comparison"/>
      <sheetName val="Impact(PGA)"/>
      <sheetName val="Impact (Amort9mo)"/>
      <sheetName val="Impact (Amort3mo)"/>
      <sheetName val="9-ImpactperCust"/>
      <sheetName val="3-ImpactperCust"/>
      <sheetName val="ImpactperCust"/>
      <sheetName val="RevImpact"/>
      <sheetName val="Rate Decr%"/>
      <sheetName val="comparison"/>
    </sheetNames>
    <sheetDataSet>
      <sheetData sheetId="14">
        <row r="12">
          <cell r="D12">
            <v>0.12344</v>
          </cell>
          <cell r="F12">
            <v>0.11125</v>
          </cell>
          <cell r="G12">
            <v>0.06229</v>
          </cell>
          <cell r="I12">
            <v>0.03997</v>
          </cell>
          <cell r="J12">
            <v>0.08572</v>
          </cell>
          <cell r="K12">
            <v>0.08572</v>
          </cell>
          <cell r="L12">
            <v>0.05156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99"/>
  <sheetViews>
    <sheetView tabSelected="1" zoomScale="75" zoomScaleNormal="75" workbookViewId="0" topLeftCell="A68">
      <selection activeCell="C92" sqref="C92"/>
    </sheetView>
  </sheetViews>
  <sheetFormatPr defaultColWidth="9.33203125" defaultRowHeight="12.75"/>
  <cols>
    <col min="1" max="1" width="5" style="1" customWidth="1"/>
    <col min="2" max="2" width="1.83203125" style="2" customWidth="1"/>
    <col min="3" max="4" width="18.33203125" style="2" customWidth="1"/>
    <col min="5" max="5" width="17" style="2" bestFit="1" customWidth="1"/>
    <col min="6" max="6" width="18.66015625" style="2" bestFit="1" customWidth="1"/>
    <col min="7" max="8" width="17.5" style="2" bestFit="1" customWidth="1"/>
    <col min="9" max="9" width="16.5" style="2" bestFit="1" customWidth="1"/>
    <col min="10" max="10" width="16.33203125" style="2" bestFit="1" customWidth="1"/>
    <col min="11" max="11" width="17.5" style="2" bestFit="1" customWidth="1"/>
    <col min="12" max="14" width="14.83203125" style="2" bestFit="1" customWidth="1"/>
    <col min="15" max="15" width="10.66015625" style="2" customWidth="1"/>
    <col min="16" max="16" width="14.33203125" style="2" bestFit="1" customWidth="1"/>
    <col min="17" max="16384" width="10.66015625" style="2" customWidth="1"/>
  </cols>
  <sheetData>
    <row r="1" ht="28.5" customHeight="1" thickBot="1"/>
    <row r="2" spans="1:14" s="8" customFormat="1" ht="38.25">
      <c r="A2" s="3"/>
      <c r="B2" s="4"/>
      <c r="C2" s="5" t="s">
        <v>0</v>
      </c>
      <c r="D2" s="4"/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7" t="s">
        <v>10</v>
      </c>
    </row>
    <row r="3" spans="1:14" s="8" customFormat="1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75">
      <c r="A4" s="12" t="s">
        <v>11</v>
      </c>
      <c r="B4" s="13" t="s">
        <v>12</v>
      </c>
      <c r="C4" s="14"/>
      <c r="D4" s="14"/>
      <c r="E4" s="15"/>
      <c r="F4" s="15"/>
      <c r="G4" s="15"/>
      <c r="H4" s="16"/>
      <c r="I4" s="15"/>
      <c r="J4" s="15"/>
      <c r="K4" s="15"/>
      <c r="L4" s="15"/>
      <c r="M4" s="15"/>
      <c r="N4" s="17"/>
    </row>
    <row r="5" spans="1:16" ht="12.75">
      <c r="A5" s="12">
        <v>1</v>
      </c>
      <c r="B5" s="14"/>
      <c r="C5" s="14" t="s">
        <v>13</v>
      </c>
      <c r="D5" s="14"/>
      <c r="E5" s="15">
        <f>SUM(F5:N5)</f>
        <v>99586740</v>
      </c>
      <c r="F5" s="15">
        <v>66621519</v>
      </c>
      <c r="G5" s="15">
        <v>24005145</v>
      </c>
      <c r="H5" s="15">
        <v>3688742</v>
      </c>
      <c r="I5" s="15">
        <v>1088142</v>
      </c>
      <c r="J5" s="15">
        <v>1433856</v>
      </c>
      <c r="K5" s="15">
        <v>2646575</v>
      </c>
      <c r="L5" s="15">
        <v>74147</v>
      </c>
      <c r="M5" s="15">
        <v>24336</v>
      </c>
      <c r="N5" s="17">
        <v>4278</v>
      </c>
      <c r="P5" s="2">
        <v>1000</v>
      </c>
    </row>
    <row r="6" spans="1:14" ht="12.75">
      <c r="A6" s="12">
        <v>2</v>
      </c>
      <c r="B6" s="14"/>
      <c r="C6" s="14" t="s">
        <v>14</v>
      </c>
      <c r="D6" s="14"/>
      <c r="E6" s="15">
        <f>SUM(F6:N6)</f>
        <v>269571588</v>
      </c>
      <c r="F6" s="15">
        <v>163526709</v>
      </c>
      <c r="G6" s="15">
        <v>65678713</v>
      </c>
      <c r="H6" s="15">
        <v>12216236</v>
      </c>
      <c r="I6" s="15">
        <v>5462582</v>
      </c>
      <c r="J6" s="15">
        <v>8022182</v>
      </c>
      <c r="K6" s="15">
        <v>14635661</v>
      </c>
      <c r="L6" s="15">
        <v>8596</v>
      </c>
      <c r="M6" s="15">
        <v>2821</v>
      </c>
      <c r="N6" s="17">
        <v>18088</v>
      </c>
    </row>
    <row r="7" spans="1:14" ht="12.75">
      <c r="A7" s="12">
        <v>3</v>
      </c>
      <c r="B7" s="14"/>
      <c r="C7" s="14" t="s">
        <v>15</v>
      </c>
      <c r="D7" s="14"/>
      <c r="E7" s="15">
        <f>SUM(F7:N7)</f>
        <v>-11704875</v>
      </c>
      <c r="F7" s="15">
        <f>-146449096+142119499-1722427-906404</f>
        <v>-6958428</v>
      </c>
      <c r="G7" s="15">
        <f>-61905014+60074864-615219-364698</f>
        <v>-2810067</v>
      </c>
      <c r="H7" s="15">
        <f>-16496501+16008801-95237-66768</f>
        <v>-649705</v>
      </c>
      <c r="I7" s="15">
        <f>-7169950+6957979-26483-30242</f>
        <v>-268696</v>
      </c>
      <c r="J7" s="15">
        <f>-7906236+7672497-32688-45305</f>
        <v>-311732</v>
      </c>
      <c r="K7" s="15">
        <f>-18976889+18415860-63165-81253</f>
        <v>-705447</v>
      </c>
      <c r="L7" s="15">
        <v>0</v>
      </c>
      <c r="M7" s="15">
        <v>0</v>
      </c>
      <c r="N7" s="17">
        <f>-20094+19500-105-101</f>
        <v>-800</v>
      </c>
    </row>
    <row r="8" spans="1:49" s="24" customFormat="1" ht="13.5" thickBot="1">
      <c r="A8" s="18">
        <v>4</v>
      </c>
      <c r="B8" s="19"/>
      <c r="C8" s="19" t="s">
        <v>16</v>
      </c>
      <c r="D8" s="19"/>
      <c r="E8" s="20">
        <f aca="true" t="shared" si="0" ref="E8:N8">SUM(E5:E7)</f>
        <v>357453453</v>
      </c>
      <c r="F8" s="20">
        <f t="shared" si="0"/>
        <v>223189800</v>
      </c>
      <c r="G8" s="20">
        <f t="shared" si="0"/>
        <v>86873791</v>
      </c>
      <c r="H8" s="20">
        <f t="shared" si="0"/>
        <v>15255273</v>
      </c>
      <c r="I8" s="20">
        <f t="shared" si="0"/>
        <v>6282028</v>
      </c>
      <c r="J8" s="20">
        <f t="shared" si="0"/>
        <v>9144306</v>
      </c>
      <c r="K8" s="20">
        <f t="shared" si="0"/>
        <v>16576789</v>
      </c>
      <c r="L8" s="20">
        <f t="shared" si="0"/>
        <v>82743</v>
      </c>
      <c r="M8" s="20">
        <f t="shared" si="0"/>
        <v>27157</v>
      </c>
      <c r="N8" s="21">
        <f t="shared" si="0"/>
        <v>21566</v>
      </c>
      <c r="O8" s="22"/>
      <c r="P8" s="22"/>
      <c r="Q8" s="22"/>
      <c r="R8" s="22"/>
      <c r="S8" s="22"/>
      <c r="T8" s="22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</row>
    <row r="9" spans="1:49" s="24" customFormat="1" ht="14.25" thickBot="1" thickTop="1">
      <c r="A9" s="25"/>
      <c r="B9" s="26"/>
      <c r="C9" s="26"/>
      <c r="D9" s="26"/>
      <c r="E9" s="27"/>
      <c r="F9" s="27"/>
      <c r="G9" s="27"/>
      <c r="H9" s="27"/>
      <c r="I9" s="27"/>
      <c r="J9" s="27"/>
      <c r="K9" s="27"/>
      <c r="L9" s="27"/>
      <c r="M9" s="27"/>
      <c r="N9" s="28"/>
      <c r="O9" s="22"/>
      <c r="P9" s="22"/>
      <c r="Q9" s="22"/>
      <c r="R9" s="22"/>
      <c r="S9" s="22"/>
      <c r="T9" s="22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</row>
    <row r="10" spans="1:49" s="24" customFormat="1" ht="31.5" customHeight="1" thickBot="1">
      <c r="A10" s="29"/>
      <c r="B10" s="19"/>
      <c r="C10" s="19"/>
      <c r="D10" s="1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</row>
    <row r="11" spans="1:14" ht="30" customHeight="1">
      <c r="A11" s="31"/>
      <c r="B11" s="32"/>
      <c r="C11" s="33" t="s">
        <v>17</v>
      </c>
      <c r="D11" s="33"/>
      <c r="E11" s="6" t="s">
        <v>1</v>
      </c>
      <c r="F11" s="6" t="s">
        <v>2</v>
      </c>
      <c r="G11" s="6" t="s">
        <v>3</v>
      </c>
      <c r="H11" s="6" t="s">
        <v>4</v>
      </c>
      <c r="I11" s="6" t="s">
        <v>5</v>
      </c>
      <c r="J11" s="6" t="s">
        <v>6</v>
      </c>
      <c r="K11" s="6" t="s">
        <v>7</v>
      </c>
      <c r="L11" s="6" t="s">
        <v>8</v>
      </c>
      <c r="M11" s="6" t="s">
        <v>9</v>
      </c>
      <c r="N11" s="7" t="s">
        <v>10</v>
      </c>
    </row>
    <row r="12" spans="1:14" ht="13.5" thickBot="1">
      <c r="A12" s="12">
        <v>5</v>
      </c>
      <c r="B12" s="14"/>
      <c r="C12" s="14" t="s">
        <v>18</v>
      </c>
      <c r="D12" s="14"/>
      <c r="E12" s="34">
        <f>SUM(F12:N12)</f>
        <v>1022317996.6744993</v>
      </c>
      <c r="F12" s="34">
        <f>'[2]Allocators'!E7</f>
        <v>471059343.63216907</v>
      </c>
      <c r="G12" s="34">
        <f>'[2]Allocators'!F7</f>
        <v>199119941.0219289</v>
      </c>
      <c r="H12" s="34">
        <f>'[2]Allocators'!G7</f>
        <v>53061651.88919854</v>
      </c>
      <c r="I12" s="34">
        <f>'[2]Allocators'!H7</f>
        <v>23062430.740914688</v>
      </c>
      <c r="J12" s="34">
        <f>'[2]Allocators'!I7</f>
        <v>25430721.772655204</v>
      </c>
      <c r="K12" s="34">
        <f>'[2]Allocators'!J7</f>
        <v>61039919.89773272</v>
      </c>
      <c r="L12" s="34">
        <f>'[2]Allocators'!K7</f>
        <v>142657890.31949997</v>
      </c>
      <c r="M12" s="34">
        <f>'[2]Allocators'!L7</f>
        <v>46821465.1804</v>
      </c>
      <c r="N12" s="35">
        <f>'[2]Allocators'!M7</f>
        <v>64632.22</v>
      </c>
    </row>
    <row r="13" spans="1:14" ht="13.5" thickBot="1">
      <c r="A13" s="12">
        <v>6</v>
      </c>
      <c r="B13" s="14"/>
      <c r="C13" s="14" t="s">
        <v>19</v>
      </c>
      <c r="D13" s="14"/>
      <c r="E13" s="36">
        <f>SUM(F13:N13)</f>
        <v>34011</v>
      </c>
      <c r="F13" s="36"/>
      <c r="G13" s="36"/>
      <c r="H13" s="36"/>
      <c r="I13" s="37">
        <f>'[2]Peak Day Calculation'!I22+'[2]Peak Day Calculation'!I31</f>
        <v>9679</v>
      </c>
      <c r="J13" s="38">
        <f>'[2]Peak Day Calculation'!I23+'[2]Peak Day Calculation'!I32</f>
        <v>21388</v>
      </c>
      <c r="K13" s="39">
        <f>'[2]Peak Day Calculation'!I24+'[2]Peak Day Calculation'!I33</f>
        <v>2944</v>
      </c>
      <c r="L13" s="36"/>
      <c r="M13" s="36"/>
      <c r="N13" s="40"/>
    </row>
    <row r="14" spans="1:14" ht="13.5" thickBot="1">
      <c r="A14" s="12">
        <v>7</v>
      </c>
      <c r="B14" s="14"/>
      <c r="C14" s="14" t="s">
        <v>20</v>
      </c>
      <c r="D14" s="14"/>
      <c r="E14" s="14"/>
      <c r="F14" s="36">
        <f>'[2]Peak Day Calculation'!R40</f>
        <v>5114196.768446999</v>
      </c>
      <c r="G14" s="36">
        <f>'[2]Peak Day Calculation'!R41</f>
        <v>1701615.0641064306</v>
      </c>
      <c r="H14" s="41">
        <v>163406</v>
      </c>
      <c r="I14" s="36">
        <f>'[2]Peak Day Calculation'!R43</f>
        <v>81284.0351917714</v>
      </c>
      <c r="J14" s="36">
        <f>'[2]Peak Day Calculation'!R44</f>
        <v>150873.3906954342</v>
      </c>
      <c r="K14" s="36">
        <f>'[2]Peak Day Calculation'!R45</f>
        <v>119628.43417748429</v>
      </c>
      <c r="L14" s="14"/>
      <c r="M14" s="14"/>
      <c r="N14" s="40">
        <f>'[2]Peak Day Calculation'!R46</f>
        <v>165.44849268357424</v>
      </c>
    </row>
    <row r="15" spans="1:14" ht="13.5" thickBot="1">
      <c r="A15" s="12">
        <v>8</v>
      </c>
      <c r="B15" s="14"/>
      <c r="C15" s="14" t="s">
        <v>21</v>
      </c>
      <c r="D15" s="14"/>
      <c r="E15" s="14"/>
      <c r="F15" s="42">
        <f aca="true" t="shared" si="1" ref="F15:K15">F12/365/F14</f>
        <v>0.25235117118687345</v>
      </c>
      <c r="G15" s="42">
        <f t="shared" si="1"/>
        <v>0.3205978229148215</v>
      </c>
      <c r="H15" s="42">
        <f t="shared" si="1"/>
        <v>0.8896514738597741</v>
      </c>
      <c r="I15" s="42">
        <f t="shared" si="1"/>
        <v>0.7773327395331747</v>
      </c>
      <c r="J15" s="42">
        <f t="shared" si="1"/>
        <v>0.46179919477444425</v>
      </c>
      <c r="K15" s="42">
        <f t="shared" si="1"/>
        <v>1.3979340146336021</v>
      </c>
      <c r="L15" s="43"/>
      <c r="M15" s="43"/>
      <c r="N15" s="44">
        <f>N12/365/N14</f>
        <v>1.0702701032225588</v>
      </c>
    </row>
    <row r="16" spans="1:14" s="52" customFormat="1" ht="25.5" customHeight="1" thickBot="1">
      <c r="A16" s="45">
        <v>9</v>
      </c>
      <c r="B16" s="46"/>
      <c r="C16" s="47" t="s">
        <v>22</v>
      </c>
      <c r="D16" s="47"/>
      <c r="E16" s="46"/>
      <c r="F16" s="46"/>
      <c r="G16" s="46"/>
      <c r="H16" s="48">
        <v>1.3</v>
      </c>
      <c r="I16" s="49">
        <v>1</v>
      </c>
      <c r="J16" s="49">
        <v>1</v>
      </c>
      <c r="K16" s="50">
        <v>5</v>
      </c>
      <c r="L16" s="46"/>
      <c r="M16" s="46"/>
      <c r="N16" s="51"/>
    </row>
    <row r="17" spans="1:14" ht="12.75">
      <c r="A17" s="12">
        <v>10</v>
      </c>
      <c r="B17" s="14"/>
      <c r="C17" s="14" t="s">
        <v>23</v>
      </c>
      <c r="D17" s="14"/>
      <c r="E17" s="15">
        <f>SUM(F17:N17)</f>
        <v>3098577.6</v>
      </c>
      <c r="F17" s="14">
        <v>0</v>
      </c>
      <c r="G17" s="14">
        <v>0</v>
      </c>
      <c r="H17" s="15">
        <f>H16*12*H14</f>
        <v>2549133.6</v>
      </c>
      <c r="I17" s="15">
        <f>I16*12*I13</f>
        <v>116148</v>
      </c>
      <c r="J17" s="15">
        <f>J16*12*J13</f>
        <v>256656</v>
      </c>
      <c r="K17" s="15">
        <f>K16*12*K13</f>
        <v>176640</v>
      </c>
      <c r="L17" s="14">
        <v>0</v>
      </c>
      <c r="M17" s="14">
        <v>0</v>
      </c>
      <c r="N17" s="53">
        <v>0</v>
      </c>
    </row>
    <row r="18" spans="1:14" ht="12.75">
      <c r="A18" s="12">
        <v>11</v>
      </c>
      <c r="B18" s="14"/>
      <c r="C18" s="14" t="s">
        <v>24</v>
      </c>
      <c r="D18" s="14"/>
      <c r="E18" s="14"/>
      <c r="F18" s="14"/>
      <c r="G18" s="14"/>
      <c r="H18" s="54">
        <f>H17/H12</f>
        <v>0.04804097703786174</v>
      </c>
      <c r="I18" s="54">
        <f>I17/I12</f>
        <v>0.0050362427666370705</v>
      </c>
      <c r="J18" s="54">
        <f>J17/J12</f>
        <v>0.010092360031871904</v>
      </c>
      <c r="K18" s="54">
        <f>K17/K12</f>
        <v>0.002893843902415756</v>
      </c>
      <c r="L18" s="14"/>
      <c r="M18" s="14"/>
      <c r="N18" s="53"/>
    </row>
    <row r="19" spans="1:14" ht="12.75">
      <c r="A19" s="1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53"/>
    </row>
    <row r="20" spans="1:14" ht="12.75">
      <c r="A20" s="12">
        <v>12</v>
      </c>
      <c r="B20" s="14"/>
      <c r="C20" s="14" t="s">
        <v>25</v>
      </c>
      <c r="D20" s="14"/>
      <c r="E20" s="15">
        <f>SUM(F20:N20)</f>
        <v>96488162.4</v>
      </c>
      <c r="F20" s="15">
        <f aca="true" t="shared" si="2" ref="F20:N20">F5-F17</f>
        <v>66621519</v>
      </c>
      <c r="G20" s="15">
        <f t="shared" si="2"/>
        <v>24005145</v>
      </c>
      <c r="H20" s="15">
        <f t="shared" si="2"/>
        <v>1139608.4</v>
      </c>
      <c r="I20" s="15">
        <f t="shared" si="2"/>
        <v>971994</v>
      </c>
      <c r="J20" s="15">
        <f t="shared" si="2"/>
        <v>1177200</v>
      </c>
      <c r="K20" s="15">
        <f t="shared" si="2"/>
        <v>2469935</v>
      </c>
      <c r="L20" s="15">
        <f t="shared" si="2"/>
        <v>74147</v>
      </c>
      <c r="M20" s="15">
        <f t="shared" si="2"/>
        <v>24336</v>
      </c>
      <c r="N20" s="17">
        <f t="shared" si="2"/>
        <v>4278</v>
      </c>
    </row>
    <row r="21" spans="1:14" ht="12.75">
      <c r="A21" s="1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53"/>
    </row>
    <row r="22" spans="1:14" s="59" customFormat="1" ht="13.5" thickBot="1">
      <c r="A22" s="55">
        <v>13</v>
      </c>
      <c r="B22" s="56"/>
      <c r="C22" s="56" t="s">
        <v>26</v>
      </c>
      <c r="D22" s="56"/>
      <c r="E22" s="57">
        <f>SUM(F22:N22)</f>
        <v>99586740</v>
      </c>
      <c r="F22" s="57">
        <f aca="true" t="shared" si="3" ref="F22:N22">F20+F17</f>
        <v>66621519</v>
      </c>
      <c r="G22" s="57">
        <f t="shared" si="3"/>
        <v>24005145</v>
      </c>
      <c r="H22" s="57">
        <f t="shared" si="3"/>
        <v>3688742</v>
      </c>
      <c r="I22" s="57">
        <f t="shared" si="3"/>
        <v>1088142</v>
      </c>
      <c r="J22" s="57">
        <f t="shared" si="3"/>
        <v>1433856</v>
      </c>
      <c r="K22" s="57">
        <f t="shared" si="3"/>
        <v>2646575</v>
      </c>
      <c r="L22" s="57">
        <f t="shared" si="3"/>
        <v>74147</v>
      </c>
      <c r="M22" s="57">
        <f t="shared" si="3"/>
        <v>24336</v>
      </c>
      <c r="N22" s="58">
        <f t="shared" si="3"/>
        <v>4278</v>
      </c>
    </row>
    <row r="23" spans="1:16" s="52" customFormat="1" ht="24.75" customHeight="1">
      <c r="A23" s="45">
        <v>14</v>
      </c>
      <c r="B23" s="46"/>
      <c r="C23" s="60" t="s">
        <v>27</v>
      </c>
      <c r="D23" s="61"/>
      <c r="E23" s="62"/>
      <c r="F23" s="63">
        <f aca="true" t="shared" si="4" ref="F23:N23">ROUND(F20/F12,5)</f>
        <v>0.14143</v>
      </c>
      <c r="G23" s="63">
        <f t="shared" si="4"/>
        <v>0.12056</v>
      </c>
      <c r="H23" s="63">
        <f t="shared" si="4"/>
        <v>0.02148</v>
      </c>
      <c r="I23" s="63">
        <f t="shared" si="4"/>
        <v>0.04215</v>
      </c>
      <c r="J23" s="63">
        <f t="shared" si="4"/>
        <v>0.04629</v>
      </c>
      <c r="K23" s="63">
        <f t="shared" si="4"/>
        <v>0.04046</v>
      </c>
      <c r="L23" s="63">
        <f t="shared" si="4"/>
        <v>0.00052</v>
      </c>
      <c r="M23" s="63">
        <f t="shared" si="4"/>
        <v>0.00052</v>
      </c>
      <c r="N23" s="64">
        <f t="shared" si="4"/>
        <v>0.06619</v>
      </c>
      <c r="P23" s="65"/>
    </row>
    <row r="24" spans="1:14" ht="13.5" thickBot="1">
      <c r="A24" s="12">
        <v>15</v>
      </c>
      <c r="B24" s="14"/>
      <c r="C24" s="66" t="s">
        <v>28</v>
      </c>
      <c r="D24" s="67"/>
      <c r="E24" s="68"/>
      <c r="F24" s="69">
        <f aca="true" t="shared" si="5" ref="F24:K24">F23/$F$23</f>
        <v>1</v>
      </c>
      <c r="G24" s="69">
        <f t="shared" si="5"/>
        <v>0.8524358339814749</v>
      </c>
      <c r="H24" s="68">
        <f t="shared" si="5"/>
        <v>0.1518772537651135</v>
      </c>
      <c r="I24" s="68">
        <f t="shared" si="5"/>
        <v>0.29802729265360955</v>
      </c>
      <c r="J24" s="68">
        <f t="shared" si="5"/>
        <v>0.32729972424520964</v>
      </c>
      <c r="K24" s="68">
        <f t="shared" si="5"/>
        <v>0.28607791840486463</v>
      </c>
      <c r="L24" s="70"/>
      <c r="M24" s="70"/>
      <c r="N24" s="71">
        <f>N23/$F$23</f>
        <v>0.4680053736830941</v>
      </c>
    </row>
    <row r="25" spans="1:14" ht="12.75">
      <c r="A25" s="12">
        <v>16</v>
      </c>
      <c r="B25" s="14"/>
      <c r="C25" s="14" t="s">
        <v>29</v>
      </c>
      <c r="D25" s="14"/>
      <c r="E25" s="14"/>
      <c r="F25" s="14"/>
      <c r="G25" s="14"/>
      <c r="H25" s="72">
        <f>H23+H18</f>
        <v>0.06952097703786174</v>
      </c>
      <c r="I25" s="72">
        <f>I23+I18</f>
        <v>0.04718624276663707</v>
      </c>
      <c r="J25" s="72">
        <f>J23+J18</f>
        <v>0.0563823600318719</v>
      </c>
      <c r="K25" s="72">
        <f>K23+K18</f>
        <v>0.043353843902415756</v>
      </c>
      <c r="L25" s="14"/>
      <c r="M25" s="14"/>
      <c r="N25" s="53"/>
    </row>
    <row r="26" spans="1:14" s="59" customFormat="1" ht="13.5" thickBot="1">
      <c r="A26" s="55">
        <v>17</v>
      </c>
      <c r="B26" s="56"/>
      <c r="C26" s="56" t="s">
        <v>30</v>
      </c>
      <c r="D26" s="56"/>
      <c r="E26" s="56"/>
      <c r="F26" s="14"/>
      <c r="G26" s="14"/>
      <c r="H26" s="69">
        <f>H25/$F$23</f>
        <v>0.49155749867681353</v>
      </c>
      <c r="I26" s="69">
        <f>I25/$F$23</f>
        <v>0.3336367303021783</v>
      </c>
      <c r="J26" s="69">
        <f>J25/$F$23</f>
        <v>0.39865912488066113</v>
      </c>
      <c r="K26" s="69">
        <f>K25/$F$23</f>
        <v>0.30653923426724</v>
      </c>
      <c r="L26" s="56"/>
      <c r="M26" s="56"/>
      <c r="N26" s="53"/>
    </row>
    <row r="27" spans="1:14" s="59" customFormat="1" ht="12.75">
      <c r="A27" s="55"/>
      <c r="B27" s="56"/>
      <c r="C27" s="56"/>
      <c r="D27" s="56"/>
      <c r="E27" s="56"/>
      <c r="F27" s="14"/>
      <c r="G27" s="14"/>
      <c r="H27" s="73"/>
      <c r="I27" s="73"/>
      <c r="J27" s="73"/>
      <c r="K27" s="73"/>
      <c r="L27" s="56"/>
      <c r="M27" s="56"/>
      <c r="N27" s="53"/>
    </row>
    <row r="28" spans="1:14" ht="14.25">
      <c r="A28" s="12"/>
      <c r="B28" s="14"/>
      <c r="C28" s="74" t="s">
        <v>31</v>
      </c>
      <c r="D28" s="74"/>
      <c r="E28" s="14"/>
      <c r="F28" s="14"/>
      <c r="G28" s="14"/>
      <c r="H28" s="56"/>
      <c r="I28" s="56"/>
      <c r="J28" s="56"/>
      <c r="K28" s="56"/>
      <c r="L28" s="14"/>
      <c r="M28" s="14"/>
      <c r="N28" s="53"/>
    </row>
    <row r="29" spans="1:16" ht="13.5" thickBot="1">
      <c r="A29" s="12">
        <v>18</v>
      </c>
      <c r="B29" s="75">
        <v>1.0900605</v>
      </c>
      <c r="C29" s="14" t="s">
        <v>32</v>
      </c>
      <c r="D29" s="14"/>
      <c r="E29" s="76">
        <f>SUM(F29:N29)</f>
        <v>99586752.5802784</v>
      </c>
      <c r="F29" s="15">
        <f>F30*F12</f>
        <v>63384364.18967627</v>
      </c>
      <c r="G29" s="15">
        <f>G30*G12</f>
        <v>24147122.049824696</v>
      </c>
      <c r="H29" s="15">
        <f>H30*H12</f>
        <v>3602879.188057132</v>
      </c>
      <c r="I29" s="15">
        <f>I30*I12+(I13*1*12)</f>
        <v>2271101.206940784</v>
      </c>
      <c r="J29" s="15">
        <f>J30*J12+(J13*1*12)</f>
        <v>2632902.287932641</v>
      </c>
      <c r="K29" s="15">
        <f>K30*K12+(K13*1*12)</f>
        <v>3465986.3209258686</v>
      </c>
      <c r="L29" s="77">
        <f>0.00042*L12</f>
        <v>59916.31393418999</v>
      </c>
      <c r="M29" s="77">
        <f>0.00042*M12</f>
        <v>19665.015375768002</v>
      </c>
      <c r="N29" s="17">
        <f>N30*N12</f>
        <v>2816.007611070921</v>
      </c>
      <c r="P29" s="78"/>
    </row>
    <row r="30" spans="1:16" ht="12.75">
      <c r="A30" s="12">
        <v>19</v>
      </c>
      <c r="B30" s="14"/>
      <c r="C30" s="79" t="s">
        <v>33</v>
      </c>
      <c r="D30" s="32"/>
      <c r="E30" s="32"/>
      <c r="F30" s="80">
        <f>'[4]PGADemCommRate=%'!$D$12*$B$29</f>
        <v>0.13455706812</v>
      </c>
      <c r="G30" s="80">
        <f>'[4]PGADemCommRate=%'!$F$12*$B$29</f>
        <v>0.12126923062500002</v>
      </c>
      <c r="H30" s="80">
        <f>'[4]PGADemCommRate=%'!$G$12*$B$29</f>
        <v>0.067899868545</v>
      </c>
      <c r="I30" s="80">
        <f>'[4]PGADemCommRate=%'!$J$12*$B$29</f>
        <v>0.09343998606000001</v>
      </c>
      <c r="J30" s="80">
        <f>'[4]PGADemCommRate=%'!$K$12*$B$29</f>
        <v>0.09343998606000001</v>
      </c>
      <c r="K30" s="80">
        <f>'[4]PGADemCommRate=%'!$L$12*$B$29</f>
        <v>0.056203519380000004</v>
      </c>
      <c r="L30" s="80">
        <f>L29/L12</f>
        <v>0.00042</v>
      </c>
      <c r="M30" s="80">
        <f>M29/M12</f>
        <v>0.00042000000000000007</v>
      </c>
      <c r="N30" s="81">
        <f>'[4]PGADemCommRate=%'!$I$12*$B$29</f>
        <v>0.043569718185</v>
      </c>
      <c r="P30" s="82"/>
    </row>
    <row r="31" spans="1:14" ht="13.5" thickBot="1">
      <c r="A31" s="12">
        <v>20</v>
      </c>
      <c r="B31" s="14"/>
      <c r="C31" s="66" t="s">
        <v>34</v>
      </c>
      <c r="D31" s="67"/>
      <c r="E31" s="68"/>
      <c r="F31" s="69">
        <f aca="true" t="shared" si="6" ref="F31:K31">F30/$F$30</f>
        <v>1</v>
      </c>
      <c r="G31" s="69">
        <f t="shared" si="6"/>
        <v>0.9012475696694751</v>
      </c>
      <c r="H31" s="69">
        <f t="shared" si="6"/>
        <v>0.5046176279974076</v>
      </c>
      <c r="I31" s="68">
        <f t="shared" si="6"/>
        <v>0.6944264419961115</v>
      </c>
      <c r="J31" s="68">
        <f t="shared" si="6"/>
        <v>0.6944264419961115</v>
      </c>
      <c r="K31" s="68">
        <f t="shared" si="6"/>
        <v>0.4176928062216461</v>
      </c>
      <c r="L31" s="67"/>
      <c r="M31" s="67"/>
      <c r="N31" s="71">
        <f>N30/$F$30</f>
        <v>0.32380103694102397</v>
      </c>
    </row>
    <row r="32" spans="1:14" ht="12.75" customHeight="1">
      <c r="A32" s="12">
        <v>21</v>
      </c>
      <c r="B32" s="14"/>
      <c r="C32" s="14" t="s">
        <v>29</v>
      </c>
      <c r="D32" s="14"/>
      <c r="E32" s="14"/>
      <c r="F32" s="14"/>
      <c r="G32" s="14"/>
      <c r="H32" s="14"/>
      <c r="I32" s="72">
        <f>((I29-(I30*I12))/I12)+I30</f>
        <v>0.09847622882663708</v>
      </c>
      <c r="J32" s="72">
        <f>((J29-(J30*J12))/J12)+J30</f>
        <v>0.10353234609187191</v>
      </c>
      <c r="K32" s="72">
        <f>((K29-(K30*K12))/K12)+K30</f>
        <v>0.056782288160483155</v>
      </c>
      <c r="L32" s="14"/>
      <c r="M32" s="14"/>
      <c r="N32" s="53"/>
    </row>
    <row r="33" spans="1:14" ht="13.5" thickBot="1">
      <c r="A33" s="12">
        <v>22</v>
      </c>
      <c r="B33" s="14"/>
      <c r="C33" s="56" t="s">
        <v>30</v>
      </c>
      <c r="D33" s="56"/>
      <c r="E33" s="14"/>
      <c r="F33" s="14"/>
      <c r="G33" s="14"/>
      <c r="H33" s="14"/>
      <c r="I33" s="69">
        <f>I32/$F$30</f>
        <v>0.7318547453695595</v>
      </c>
      <c r="J33" s="69">
        <f>J32/$F$30</f>
        <v>0.7694307518616578</v>
      </c>
      <c r="K33" s="69">
        <f>K32/$F$30</f>
        <v>0.4219940948017971</v>
      </c>
      <c r="L33" s="14"/>
      <c r="M33" s="14"/>
      <c r="N33" s="53"/>
    </row>
    <row r="34" spans="1:14" ht="12.75">
      <c r="A34" s="12"/>
      <c r="B34" s="14"/>
      <c r="C34" s="56"/>
      <c r="D34" s="56"/>
      <c r="E34" s="14"/>
      <c r="F34" s="14"/>
      <c r="G34" s="14"/>
      <c r="H34" s="14"/>
      <c r="I34" s="73"/>
      <c r="J34" s="73"/>
      <c r="K34" s="73"/>
      <c r="L34" s="14"/>
      <c r="M34" s="14"/>
      <c r="N34" s="53"/>
    </row>
    <row r="35" spans="1:14" ht="15" thickBot="1">
      <c r="A35" s="83"/>
      <c r="B35" s="67"/>
      <c r="C35" s="84" t="s">
        <v>35</v>
      </c>
      <c r="D35" s="84"/>
      <c r="E35" s="67"/>
      <c r="F35" s="67"/>
      <c r="G35" s="67"/>
      <c r="H35" s="67"/>
      <c r="I35" s="68"/>
      <c r="J35" s="68"/>
      <c r="K35" s="68"/>
      <c r="L35" s="67"/>
      <c r="M35" s="67"/>
      <c r="N35" s="85"/>
    </row>
    <row r="36" spans="1:11" s="14" customFormat="1" ht="15" thickBot="1">
      <c r="A36" s="86"/>
      <c r="C36" s="87"/>
      <c r="D36" s="87"/>
      <c r="I36" s="73"/>
      <c r="J36" s="73"/>
      <c r="K36" s="73"/>
    </row>
    <row r="37" spans="1:14" s="59" customFormat="1" ht="25.5">
      <c r="A37" s="88"/>
      <c r="B37" s="56"/>
      <c r="C37" s="89" t="s">
        <v>36</v>
      </c>
      <c r="D37" s="90"/>
      <c r="E37" s="90"/>
      <c r="F37" s="91" t="s">
        <v>2</v>
      </c>
      <c r="G37" s="91" t="s">
        <v>3</v>
      </c>
      <c r="H37" s="91" t="s">
        <v>4</v>
      </c>
      <c r="I37" s="91" t="s">
        <v>5</v>
      </c>
      <c r="J37" s="91" t="s">
        <v>6</v>
      </c>
      <c r="K37" s="91" t="s">
        <v>7</v>
      </c>
      <c r="L37" s="91" t="s">
        <v>8</v>
      </c>
      <c r="M37" s="91" t="s">
        <v>9</v>
      </c>
      <c r="N37" s="92" t="s">
        <v>10</v>
      </c>
    </row>
    <row r="38" spans="1:14" s="59" customFormat="1" ht="12.75">
      <c r="A38" s="88"/>
      <c r="B38" s="56"/>
      <c r="C38" s="93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94"/>
    </row>
    <row r="39" spans="1:14" s="59" customFormat="1" ht="15">
      <c r="A39" s="88">
        <v>23</v>
      </c>
      <c r="B39" s="56"/>
      <c r="C39" s="93" t="s">
        <v>37</v>
      </c>
      <c r="D39" s="56"/>
      <c r="E39" s="56"/>
      <c r="F39" s="95" t="s">
        <v>38</v>
      </c>
      <c r="G39" s="95" t="s">
        <v>38</v>
      </c>
      <c r="H39" s="96">
        <f>H16</f>
        <v>1.3</v>
      </c>
      <c r="I39" s="96">
        <f>I16</f>
        <v>1</v>
      </c>
      <c r="J39" s="96">
        <f>J16</f>
        <v>1</v>
      </c>
      <c r="K39" s="96">
        <f>K16</f>
        <v>5</v>
      </c>
      <c r="L39" s="95" t="s">
        <v>38</v>
      </c>
      <c r="M39" s="95" t="s">
        <v>38</v>
      </c>
      <c r="N39" s="97" t="s">
        <v>38</v>
      </c>
    </row>
    <row r="40" spans="1:14" s="59" customFormat="1" ht="15">
      <c r="A40" s="88">
        <v>24</v>
      </c>
      <c r="B40" s="56"/>
      <c r="C40" s="93" t="s">
        <v>39</v>
      </c>
      <c r="D40" s="56"/>
      <c r="E40" s="56"/>
      <c r="F40" s="98">
        <f aca="true" t="shared" si="7" ref="F40:N40">F23</f>
        <v>0.14143</v>
      </c>
      <c r="G40" s="98">
        <f t="shared" si="7"/>
        <v>0.12056</v>
      </c>
      <c r="H40" s="98">
        <f t="shared" si="7"/>
        <v>0.02148</v>
      </c>
      <c r="I40" s="98">
        <f t="shared" si="7"/>
        <v>0.04215</v>
      </c>
      <c r="J40" s="98">
        <f t="shared" si="7"/>
        <v>0.04629</v>
      </c>
      <c r="K40" s="98">
        <f t="shared" si="7"/>
        <v>0.04046</v>
      </c>
      <c r="L40" s="98">
        <f t="shared" si="7"/>
        <v>0.00052</v>
      </c>
      <c r="M40" s="98">
        <f t="shared" si="7"/>
        <v>0.00052</v>
      </c>
      <c r="N40" s="99">
        <f t="shared" si="7"/>
        <v>0.06619</v>
      </c>
    </row>
    <row r="41" spans="1:14" s="59" customFormat="1" ht="15.75" thickBot="1">
      <c r="A41" s="88">
        <v>25</v>
      </c>
      <c r="B41" s="56"/>
      <c r="C41" s="100" t="s">
        <v>40</v>
      </c>
      <c r="D41" s="101"/>
      <c r="E41" s="101"/>
      <c r="F41" s="102">
        <f>ROUND(F40*19,2)</f>
        <v>2.69</v>
      </c>
      <c r="G41" s="103"/>
      <c r="H41" s="103"/>
      <c r="I41" s="103"/>
      <c r="J41" s="103"/>
      <c r="K41" s="103"/>
      <c r="L41" s="103"/>
      <c r="M41" s="103"/>
      <c r="N41" s="104"/>
    </row>
    <row r="42" s="14" customFormat="1" ht="15.75" customHeight="1" thickBot="1">
      <c r="A42" s="86"/>
    </row>
    <row r="43" spans="1:14" ht="30.75" customHeight="1">
      <c r="A43" s="31"/>
      <c r="B43" s="32"/>
      <c r="C43" s="105" t="s">
        <v>41</v>
      </c>
      <c r="D43" s="105"/>
      <c r="E43" s="6" t="s">
        <v>1</v>
      </c>
      <c r="F43" s="6" t="s">
        <v>2</v>
      </c>
      <c r="G43" s="6" t="s">
        <v>3</v>
      </c>
      <c r="H43" s="6" t="s">
        <v>4</v>
      </c>
      <c r="I43" s="6" t="s">
        <v>5</v>
      </c>
      <c r="J43" s="6" t="s">
        <v>6</v>
      </c>
      <c r="K43" s="6" t="s">
        <v>7</v>
      </c>
      <c r="L43" s="6" t="s">
        <v>8</v>
      </c>
      <c r="M43" s="6" t="s">
        <v>9</v>
      </c>
      <c r="N43" s="7" t="s">
        <v>10</v>
      </c>
    </row>
    <row r="44" spans="1:14" ht="13.5" thickBot="1">
      <c r="A44" s="12">
        <v>1</v>
      </c>
      <c r="B44" s="14"/>
      <c r="C44" s="14" t="s">
        <v>42</v>
      </c>
      <c r="D44" s="14"/>
      <c r="E44" s="76">
        <f>SUM(F44:N44)</f>
        <v>257866713</v>
      </c>
      <c r="F44" s="15">
        <f aca="true" t="shared" si="8" ref="F44:N44">F45*F12</f>
        <v>156568281</v>
      </c>
      <c r="G44" s="15">
        <f t="shared" si="8"/>
        <v>62868645.99999999</v>
      </c>
      <c r="H44" s="15">
        <f t="shared" si="8"/>
        <v>11566531</v>
      </c>
      <c r="I44" s="15">
        <f t="shared" si="8"/>
        <v>5193886</v>
      </c>
      <c r="J44" s="15">
        <f t="shared" si="8"/>
        <v>7710449.999999999</v>
      </c>
      <c r="K44" s="15">
        <f t="shared" si="8"/>
        <v>13930214</v>
      </c>
      <c r="L44" s="15">
        <f t="shared" si="8"/>
        <v>8596</v>
      </c>
      <c r="M44" s="15">
        <f t="shared" si="8"/>
        <v>2821</v>
      </c>
      <c r="N44" s="17">
        <f t="shared" si="8"/>
        <v>17288</v>
      </c>
    </row>
    <row r="45" spans="1:14" ht="12.75">
      <c r="A45" s="12">
        <v>2</v>
      </c>
      <c r="B45" s="14"/>
      <c r="C45" s="79" t="s">
        <v>43</v>
      </c>
      <c r="D45" s="32"/>
      <c r="E45" s="106">
        <f aca="true" t="shared" si="9" ref="E45:N45">(E6+E7)/E12</f>
        <v>0.2522372821752285</v>
      </c>
      <c r="F45" s="106">
        <f t="shared" si="9"/>
        <v>0.3323748549232849</v>
      </c>
      <c r="G45" s="106">
        <f t="shared" si="9"/>
        <v>0.3157325463102479</v>
      </c>
      <c r="H45" s="106">
        <f t="shared" si="9"/>
        <v>0.21798286687630494</v>
      </c>
      <c r="I45" s="106">
        <f t="shared" si="9"/>
        <v>0.22520982538001125</v>
      </c>
      <c r="J45" s="106">
        <f t="shared" si="9"/>
        <v>0.3031943044688093</v>
      </c>
      <c r="K45" s="106">
        <f t="shared" si="9"/>
        <v>0.2282148145564232</v>
      </c>
      <c r="L45" s="106">
        <f t="shared" si="9"/>
        <v>6.025604318659274E-05</v>
      </c>
      <c r="M45" s="106">
        <f t="shared" si="9"/>
        <v>6.0250143585444716E-05</v>
      </c>
      <c r="N45" s="107">
        <f t="shared" si="9"/>
        <v>0.2674826889746322</v>
      </c>
    </row>
    <row r="46" spans="1:14" ht="13.5" thickBot="1">
      <c r="A46" s="12">
        <v>3</v>
      </c>
      <c r="B46" s="14"/>
      <c r="C46" s="66" t="s">
        <v>44</v>
      </c>
      <c r="D46" s="67"/>
      <c r="E46" s="67"/>
      <c r="F46" s="69">
        <f aca="true" t="shared" si="10" ref="F46:K46">F45/$F$45</f>
        <v>1</v>
      </c>
      <c r="G46" s="69">
        <f t="shared" si="10"/>
        <v>0.9499290985267878</v>
      </c>
      <c r="H46" s="69">
        <f t="shared" si="10"/>
        <v>0.6558344099965605</v>
      </c>
      <c r="I46" s="69">
        <f t="shared" si="10"/>
        <v>0.6775778072381309</v>
      </c>
      <c r="J46" s="69">
        <f t="shared" si="10"/>
        <v>0.912205902395322</v>
      </c>
      <c r="K46" s="69">
        <f t="shared" si="10"/>
        <v>0.6866187714744463</v>
      </c>
      <c r="L46" s="67"/>
      <c r="M46" s="67"/>
      <c r="N46" s="71">
        <f>N45/$F$45</f>
        <v>0.804762108241821</v>
      </c>
    </row>
    <row r="47" spans="1:14" ht="12.75">
      <c r="A47" s="12"/>
      <c r="B47" s="14"/>
      <c r="C47" s="14"/>
      <c r="D47" s="14"/>
      <c r="E47" s="14"/>
      <c r="F47" s="73"/>
      <c r="G47" s="73"/>
      <c r="H47" s="73"/>
      <c r="I47" s="73"/>
      <c r="J47" s="73"/>
      <c r="K47" s="73"/>
      <c r="L47" s="14"/>
      <c r="M47" s="14"/>
      <c r="N47" s="108"/>
    </row>
    <row r="48" spans="1:14" ht="14.25">
      <c r="A48" s="12"/>
      <c r="B48" s="14"/>
      <c r="C48" s="74" t="s">
        <v>31</v>
      </c>
      <c r="D48" s="74"/>
      <c r="E48" s="14"/>
      <c r="F48" s="56"/>
      <c r="G48" s="56"/>
      <c r="H48" s="56"/>
      <c r="I48" s="56"/>
      <c r="J48" s="56"/>
      <c r="K48" s="56"/>
      <c r="L48" s="14"/>
      <c r="M48" s="14"/>
      <c r="N48" s="53"/>
    </row>
    <row r="49" spans="1:14" ht="13.5" thickBot="1">
      <c r="A49" s="12">
        <v>4</v>
      </c>
      <c r="B49" s="14"/>
      <c r="C49" s="14" t="s">
        <v>45</v>
      </c>
      <c r="D49" s="14"/>
      <c r="E49" s="76">
        <f>SUM(F49:N49)</f>
        <v>257866712.99999994</v>
      </c>
      <c r="F49" s="15">
        <f aca="true" t="shared" si="11" ref="F49:K49">F50*F12</f>
        <v>145844753.6902581</v>
      </c>
      <c r="G49" s="15">
        <f t="shared" si="11"/>
        <v>61649554.65958988</v>
      </c>
      <c r="H49" s="15">
        <f t="shared" si="11"/>
        <v>16428425.9611699</v>
      </c>
      <c r="I49" s="15">
        <f t="shared" si="11"/>
        <v>7140362.623894338</v>
      </c>
      <c r="J49" s="15">
        <f t="shared" si="11"/>
        <v>7873609.563712506</v>
      </c>
      <c r="K49" s="15">
        <f t="shared" si="11"/>
        <v>18898578.710094314</v>
      </c>
      <c r="L49" s="15">
        <v>8596</v>
      </c>
      <c r="M49" s="15">
        <v>2821</v>
      </c>
      <c r="N49" s="17">
        <f>N50*N12</f>
        <v>20010.79128092863</v>
      </c>
    </row>
    <row r="50" spans="1:14" ht="12.75">
      <c r="A50" s="12">
        <v>5</v>
      </c>
      <c r="B50" s="14"/>
      <c r="C50" s="79" t="s">
        <v>46</v>
      </c>
      <c r="D50" s="32"/>
      <c r="E50" s="32"/>
      <c r="F50" s="106">
        <f aca="true" t="shared" si="12" ref="F50:K50">($E$6+$E$7-$L$6-$M$6)/SUM($F$12:$K$12,$N$12)</f>
        <v>0.30961014925572156</v>
      </c>
      <c r="G50" s="106">
        <f t="shared" si="12"/>
        <v>0.30961014925572156</v>
      </c>
      <c r="H50" s="106">
        <f t="shared" si="12"/>
        <v>0.30961014925572156</v>
      </c>
      <c r="I50" s="106">
        <f t="shared" si="12"/>
        <v>0.30961014925572156</v>
      </c>
      <c r="J50" s="106">
        <f t="shared" si="12"/>
        <v>0.30961014925572156</v>
      </c>
      <c r="K50" s="106">
        <f t="shared" si="12"/>
        <v>0.30961014925572156</v>
      </c>
      <c r="L50" s="106">
        <f>L49/L12</f>
        <v>6.025604318659274E-05</v>
      </c>
      <c r="M50" s="106">
        <f>M49/M12</f>
        <v>6.0250143585444716E-05</v>
      </c>
      <c r="N50" s="107">
        <f>($E$6+$E$7-$L$6-$M$6)/SUM($F$12:$K$12,$N$12)</f>
        <v>0.30961014925572156</v>
      </c>
    </row>
    <row r="51" spans="1:14" ht="13.5" thickBot="1">
      <c r="A51" s="12">
        <v>6</v>
      </c>
      <c r="B51" s="14"/>
      <c r="C51" s="66" t="s">
        <v>47</v>
      </c>
      <c r="D51" s="67"/>
      <c r="E51" s="67"/>
      <c r="F51" s="69">
        <f aca="true" t="shared" si="13" ref="F51:K51">F50/$F$50</f>
        <v>1</v>
      </c>
      <c r="G51" s="69">
        <f t="shared" si="13"/>
        <v>1</v>
      </c>
      <c r="H51" s="69">
        <f t="shared" si="13"/>
        <v>1</v>
      </c>
      <c r="I51" s="69">
        <f t="shared" si="13"/>
        <v>1</v>
      </c>
      <c r="J51" s="69">
        <f t="shared" si="13"/>
        <v>1</v>
      </c>
      <c r="K51" s="69">
        <f t="shared" si="13"/>
        <v>1</v>
      </c>
      <c r="L51" s="67"/>
      <c r="M51" s="67"/>
      <c r="N51" s="71">
        <f>N50/$F$50</f>
        <v>1</v>
      </c>
    </row>
    <row r="52" spans="1:14" ht="12.75">
      <c r="A52" s="12"/>
      <c r="B52" s="14"/>
      <c r="C52" s="14"/>
      <c r="D52" s="14"/>
      <c r="E52" s="14"/>
      <c r="F52" s="73"/>
      <c r="G52" s="73"/>
      <c r="H52" s="73"/>
      <c r="I52" s="73"/>
      <c r="J52" s="73"/>
      <c r="K52" s="73"/>
      <c r="L52" s="14"/>
      <c r="M52" s="14"/>
      <c r="N52" s="108"/>
    </row>
    <row r="53" spans="1:14" ht="14.25">
      <c r="A53" s="12"/>
      <c r="B53" s="14"/>
      <c r="C53" s="74" t="s">
        <v>31</v>
      </c>
      <c r="D53" s="74"/>
      <c r="E53" s="14"/>
      <c r="F53" s="56"/>
      <c r="G53" s="56"/>
      <c r="H53" s="56"/>
      <c r="I53" s="56"/>
      <c r="J53" s="56"/>
      <c r="K53" s="56"/>
      <c r="L53" s="14"/>
      <c r="M53" s="14"/>
      <c r="N53" s="53"/>
    </row>
    <row r="54" spans="1:19" ht="13.5" thickBot="1">
      <c r="A54" s="12">
        <v>7</v>
      </c>
      <c r="B54" s="14"/>
      <c r="C54" s="14" t="s">
        <v>48</v>
      </c>
      <c r="D54" s="14"/>
      <c r="E54" s="76">
        <f>SUM(F54:N54)</f>
        <v>257866712.88917124</v>
      </c>
      <c r="F54" s="15">
        <f>'[2]SubReport'!G117</f>
        <v>150814729.50002873</v>
      </c>
      <c r="G54" s="15">
        <f>'[2]SubReport'!G121</f>
        <v>62111208.19513685</v>
      </c>
      <c r="H54" s="15">
        <f>'[2]SubReport'!G122</f>
        <v>13977960.311257832</v>
      </c>
      <c r="I54" s="15">
        <f>'[2]SubReport'!G123</f>
        <v>6351211.916272186</v>
      </c>
      <c r="J54" s="15">
        <f>'[2]SubReport'!G124</f>
        <v>7871847.573030618</v>
      </c>
      <c r="K54" s="15">
        <f>'[2]SubReport'!G125</f>
        <v>16709674.955804322</v>
      </c>
      <c r="L54" s="15">
        <v>8596</v>
      </c>
      <c r="M54" s="15">
        <v>2821</v>
      </c>
      <c r="N54" s="17">
        <f>'[2]SubReport'!G126</f>
        <v>18663.43764068576</v>
      </c>
      <c r="O54" s="109"/>
      <c r="P54" s="109"/>
      <c r="Q54" s="109"/>
      <c r="R54" s="109"/>
      <c r="S54" s="109"/>
    </row>
    <row r="55" spans="1:14" ht="12.75">
      <c r="A55" s="12">
        <v>8</v>
      </c>
      <c r="B55" s="14"/>
      <c r="C55" s="79" t="s">
        <v>49</v>
      </c>
      <c r="D55" s="32"/>
      <c r="E55" s="32"/>
      <c r="F55" s="106">
        <f aca="true" t="shared" si="14" ref="F55:N55">F54/F12</f>
        <v>0.3201607855544285</v>
      </c>
      <c r="G55" s="106">
        <f t="shared" si="14"/>
        <v>0.31192861888351303</v>
      </c>
      <c r="H55" s="106">
        <f t="shared" si="14"/>
        <v>0.2634286686069652</v>
      </c>
      <c r="I55" s="106">
        <f t="shared" si="14"/>
        <v>0.27539212963378584</v>
      </c>
      <c r="J55" s="106">
        <f t="shared" si="14"/>
        <v>0.3095408633464328</v>
      </c>
      <c r="K55" s="106">
        <f t="shared" si="14"/>
        <v>0.2737499489481635</v>
      </c>
      <c r="L55" s="106">
        <f t="shared" si="14"/>
        <v>6.025604318659274E-05</v>
      </c>
      <c r="M55" s="106">
        <f t="shared" si="14"/>
        <v>6.0250143585444716E-05</v>
      </c>
      <c r="N55" s="107">
        <f t="shared" si="14"/>
        <v>0.28876367917867835</v>
      </c>
    </row>
    <row r="56" spans="1:14" ht="13.5" thickBot="1">
      <c r="A56" s="12">
        <v>9</v>
      </c>
      <c r="B56" s="14"/>
      <c r="C56" s="66" t="s">
        <v>50</v>
      </c>
      <c r="D56" s="67"/>
      <c r="E56" s="67"/>
      <c r="F56" s="69">
        <f aca="true" t="shared" si="15" ref="F56:K56">F55/$F$55</f>
        <v>1</v>
      </c>
      <c r="G56" s="69">
        <f t="shared" si="15"/>
        <v>0.9742873985748765</v>
      </c>
      <c r="H56" s="69">
        <f t="shared" si="15"/>
        <v>0.8228011689525959</v>
      </c>
      <c r="I56" s="69">
        <f t="shared" si="15"/>
        <v>0.8601682094104188</v>
      </c>
      <c r="J56" s="69">
        <f t="shared" si="15"/>
        <v>0.9668294098241764</v>
      </c>
      <c r="K56" s="69">
        <f t="shared" si="15"/>
        <v>0.8550389719781126</v>
      </c>
      <c r="L56" s="67"/>
      <c r="M56" s="67"/>
      <c r="N56" s="71">
        <f>N55/$F$55</f>
        <v>0.901933316657194</v>
      </c>
    </row>
    <row r="57" spans="1:14" ht="12.75">
      <c r="A57" s="1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53"/>
    </row>
    <row r="58" spans="1:14" ht="15" thickBot="1">
      <c r="A58" s="83"/>
      <c r="B58" s="67"/>
      <c r="C58" s="84" t="s">
        <v>51</v>
      </c>
      <c r="D58" s="84"/>
      <c r="E58" s="67"/>
      <c r="F58" s="67"/>
      <c r="G58" s="67"/>
      <c r="H58" s="67"/>
      <c r="I58" s="67"/>
      <c r="J58" s="67"/>
      <c r="K58" s="67"/>
      <c r="L58" s="67"/>
      <c r="M58" s="67"/>
      <c r="N58" s="85"/>
    </row>
    <row r="59" spans="1:14" ht="9" customHeight="1" thickBot="1">
      <c r="A59" s="110"/>
      <c r="B59" s="14"/>
      <c r="C59" s="87"/>
      <c r="D59" s="87"/>
      <c r="E59" s="14"/>
      <c r="F59" s="14"/>
      <c r="G59" s="14"/>
      <c r="H59" s="14"/>
      <c r="I59" s="14"/>
      <c r="J59" s="14"/>
      <c r="K59" s="14"/>
      <c r="L59" s="14"/>
      <c r="M59" s="14"/>
      <c r="N59" s="32"/>
    </row>
    <row r="60" spans="1:14" ht="24" customHeight="1">
      <c r="A60" s="31"/>
      <c r="B60" s="32"/>
      <c r="C60" s="105" t="s">
        <v>52</v>
      </c>
      <c r="D60" s="105"/>
      <c r="E60" s="91"/>
      <c r="F60" s="91" t="s">
        <v>2</v>
      </c>
      <c r="G60" s="91" t="s">
        <v>3</v>
      </c>
      <c r="H60" s="91" t="s">
        <v>4</v>
      </c>
      <c r="I60" s="91" t="s">
        <v>5</v>
      </c>
      <c r="J60" s="91" t="s">
        <v>6</v>
      </c>
      <c r="K60" s="91" t="s">
        <v>7</v>
      </c>
      <c r="L60" s="91" t="s">
        <v>8</v>
      </c>
      <c r="M60" s="91" t="s">
        <v>9</v>
      </c>
      <c r="N60" s="92" t="s">
        <v>10</v>
      </c>
    </row>
    <row r="61" spans="1:14" ht="18.75" customHeight="1">
      <c r="A61" s="12">
        <v>10</v>
      </c>
      <c r="B61" s="14"/>
      <c r="C61" s="14" t="s">
        <v>53</v>
      </c>
      <c r="D61" s="14"/>
      <c r="E61" s="14"/>
      <c r="F61" s="54">
        <f>F23+F45</f>
        <v>0.4738048549232849</v>
      </c>
      <c r="G61" s="54">
        <f>G23+G45</f>
        <v>0.4362925463102479</v>
      </c>
      <c r="H61" s="54">
        <f>H25+H45</f>
        <v>0.28750384391416667</v>
      </c>
      <c r="I61" s="54">
        <f>I25+I45</f>
        <v>0.2723960681466483</v>
      </c>
      <c r="J61" s="54">
        <f>J25+J45</f>
        <v>0.3595766645006812</v>
      </c>
      <c r="K61" s="54">
        <f>K25+K45</f>
        <v>0.27156865845883893</v>
      </c>
      <c r="L61" s="54">
        <f>L23+L45</f>
        <v>0.0005802560431865927</v>
      </c>
      <c r="M61" s="54">
        <f>M23+M45</f>
        <v>0.0005802501435854447</v>
      </c>
      <c r="N61" s="111">
        <f>N23+N45</f>
        <v>0.3336726889746322</v>
      </c>
    </row>
    <row r="62" spans="1:14" ht="12.75">
      <c r="A62" s="12">
        <v>11</v>
      </c>
      <c r="B62" s="14"/>
      <c r="C62" s="14"/>
      <c r="D62" s="14"/>
      <c r="E62" s="14"/>
      <c r="F62" s="112">
        <f aca="true" t="shared" si="16" ref="F62:K62">F61/$F$61</f>
        <v>1</v>
      </c>
      <c r="G62" s="112">
        <f t="shared" si="16"/>
        <v>0.9208275132193174</v>
      </c>
      <c r="H62" s="112">
        <f t="shared" si="16"/>
        <v>0.6067980117272485</v>
      </c>
      <c r="I62" s="112">
        <f t="shared" si="16"/>
        <v>0.5749119396228068</v>
      </c>
      <c r="J62" s="112">
        <f t="shared" si="16"/>
        <v>0.758913001342929</v>
      </c>
      <c r="K62" s="112">
        <f t="shared" si="16"/>
        <v>0.5731656306113819</v>
      </c>
      <c r="L62" s="14"/>
      <c r="M62" s="14"/>
      <c r="N62" s="113">
        <f>N61/$F$61</f>
        <v>0.704240755465999</v>
      </c>
    </row>
    <row r="63" spans="1:14" s="59" customFormat="1" ht="14.25">
      <c r="A63" s="55"/>
      <c r="B63" s="56"/>
      <c r="C63" s="74" t="s">
        <v>31</v>
      </c>
      <c r="D63" s="74"/>
      <c r="E63" s="56"/>
      <c r="F63" s="73"/>
      <c r="G63" s="73"/>
      <c r="H63" s="73"/>
      <c r="I63" s="73"/>
      <c r="J63" s="73"/>
      <c r="K63" s="73"/>
      <c r="L63" s="56"/>
      <c r="M63" s="56"/>
      <c r="N63" s="108"/>
    </row>
    <row r="64" spans="1:14" ht="12.75">
      <c r="A64" s="12">
        <v>12</v>
      </c>
      <c r="B64" s="14"/>
      <c r="C64" s="14" t="s">
        <v>54</v>
      </c>
      <c r="D64" s="14"/>
      <c r="E64" s="14"/>
      <c r="F64" s="54">
        <f>F30+F50</f>
        <v>0.44416721737572157</v>
      </c>
      <c r="G64" s="54">
        <f>G30+G50</f>
        <v>0.43087937988072156</v>
      </c>
      <c r="H64" s="54">
        <f>H30+H50</f>
        <v>0.3775100178007216</v>
      </c>
      <c r="I64" s="54">
        <f>I30+I50+(I13*1*12/I12)</f>
        <v>0.4080863780823586</v>
      </c>
      <c r="J64" s="54">
        <f>J30+J50+(J13*1*12/J12)</f>
        <v>0.41314249534759345</v>
      </c>
      <c r="K64" s="54">
        <f>K30+K50+(K13*1*12/K12)</f>
        <v>0.3663924374162047</v>
      </c>
      <c r="L64" s="54">
        <f>L30+L50</f>
        <v>0.00048025604318659273</v>
      </c>
      <c r="M64" s="54">
        <f>M30+M50</f>
        <v>0.0004802501435854448</v>
      </c>
      <c r="N64" s="111">
        <f>N30+N50</f>
        <v>0.35317986744072155</v>
      </c>
    </row>
    <row r="65" spans="1:14" ht="12.75">
      <c r="A65" s="12">
        <v>13</v>
      </c>
      <c r="B65" s="14"/>
      <c r="C65" s="14"/>
      <c r="D65" s="14"/>
      <c r="E65" s="14"/>
      <c r="F65" s="112">
        <f aca="true" t="shared" si="17" ref="F65:K65">F64/$F$64</f>
        <v>1</v>
      </c>
      <c r="G65" s="112">
        <f t="shared" si="17"/>
        <v>0.9700837050210308</v>
      </c>
      <c r="H65" s="112">
        <f t="shared" si="17"/>
        <v>0.8499276917174763</v>
      </c>
      <c r="I65" s="112">
        <f t="shared" si="17"/>
        <v>0.9187674418960052</v>
      </c>
      <c r="J65" s="112">
        <f t="shared" si="17"/>
        <v>0.9301508062404248</v>
      </c>
      <c r="K65" s="112">
        <f t="shared" si="17"/>
        <v>0.8248975230116384</v>
      </c>
      <c r="L65" s="14"/>
      <c r="M65" s="14"/>
      <c r="N65" s="113">
        <f>N64/$F$64</f>
        <v>0.7951506856526205</v>
      </c>
    </row>
    <row r="66" spans="1:14" ht="14.25">
      <c r="A66" s="12"/>
      <c r="B66" s="14"/>
      <c r="C66" s="74" t="s">
        <v>31</v>
      </c>
      <c r="D66" s="74"/>
      <c r="E66" s="14"/>
      <c r="F66" s="14"/>
      <c r="G66" s="14"/>
      <c r="H66" s="14"/>
      <c r="I66" s="14"/>
      <c r="J66" s="14"/>
      <c r="K66" s="14"/>
      <c r="L66" s="14"/>
      <c r="M66" s="14"/>
      <c r="N66" s="53"/>
    </row>
    <row r="67" spans="1:14" ht="12.75">
      <c r="A67" s="12">
        <v>14</v>
      </c>
      <c r="B67" s="14"/>
      <c r="C67" s="14" t="s">
        <v>55</v>
      </c>
      <c r="D67" s="14"/>
      <c r="E67" s="14"/>
      <c r="F67" s="54">
        <f>F55+F23</f>
        <v>0.4615907855544285</v>
      </c>
      <c r="G67" s="54">
        <f>G55+G23</f>
        <v>0.43248861888351303</v>
      </c>
      <c r="H67" s="54">
        <f>H55+H25</f>
        <v>0.33294964564482693</v>
      </c>
      <c r="I67" s="54">
        <f>I55+I25</f>
        <v>0.3225783724004229</v>
      </c>
      <c r="J67" s="54">
        <f>J55+J25</f>
        <v>0.36592322337830474</v>
      </c>
      <c r="K67" s="54">
        <f>K55+K25</f>
        <v>0.31710379285057927</v>
      </c>
      <c r="L67" s="54">
        <f>L55+L23</f>
        <v>0.0005802560431865927</v>
      </c>
      <c r="M67" s="54">
        <f>M55+M23</f>
        <v>0.0005802501435854447</v>
      </c>
      <c r="N67" s="111">
        <f>N55+N23</f>
        <v>0.35495367917867837</v>
      </c>
    </row>
    <row r="68" spans="1:14" ht="12.75">
      <c r="A68" s="12">
        <v>15</v>
      </c>
      <c r="B68" s="14"/>
      <c r="C68" s="14"/>
      <c r="D68" s="14"/>
      <c r="E68" s="14"/>
      <c r="F68" s="112">
        <f aca="true" t="shared" si="18" ref="F68:K68">F67/$F$67</f>
        <v>1</v>
      </c>
      <c r="G68" s="112">
        <f t="shared" si="18"/>
        <v>0.9369524531648522</v>
      </c>
      <c r="H68" s="112">
        <f t="shared" si="18"/>
        <v>0.7213091250184134</v>
      </c>
      <c r="I68" s="112">
        <f t="shared" si="18"/>
        <v>0.6988405802186146</v>
      </c>
      <c r="J68" s="112">
        <f t="shared" si="18"/>
        <v>0.7927437783204121</v>
      </c>
      <c r="K68" s="112">
        <f t="shared" si="18"/>
        <v>0.6869803357744626</v>
      </c>
      <c r="L68" s="14"/>
      <c r="M68" s="14"/>
      <c r="N68" s="113">
        <f>N67/$F$67</f>
        <v>0.7689791267222426</v>
      </c>
    </row>
    <row r="69" spans="1:14" ht="19.5" customHeight="1" thickBot="1">
      <c r="A69" s="83"/>
      <c r="B69" s="67"/>
      <c r="C69" s="84" t="s">
        <v>56</v>
      </c>
      <c r="D69" s="84"/>
      <c r="E69" s="67"/>
      <c r="F69" s="67"/>
      <c r="G69" s="67"/>
      <c r="H69" s="67"/>
      <c r="I69" s="67"/>
      <c r="J69" s="67"/>
      <c r="K69" s="67"/>
      <c r="L69" s="67"/>
      <c r="M69" s="67"/>
      <c r="N69" s="85"/>
    </row>
    <row r="70" ht="13.5" thickBot="1"/>
    <row r="71" spans="3:14" ht="25.5" customHeight="1">
      <c r="C71" s="114" t="s">
        <v>57</v>
      </c>
      <c r="D71" s="115"/>
      <c r="E71" s="115"/>
      <c r="F71" s="115"/>
      <c r="G71" s="116"/>
      <c r="H71" s="116"/>
      <c r="I71" s="116"/>
      <c r="J71" s="116"/>
      <c r="K71" s="116"/>
      <c r="L71" s="116"/>
      <c r="M71" s="116"/>
      <c r="N71" s="117"/>
    </row>
    <row r="72" spans="3:14" ht="12.75">
      <c r="C72" s="118">
        <v>37196</v>
      </c>
      <c r="D72" s="119">
        <v>37226</v>
      </c>
      <c r="E72" s="119">
        <v>37257</v>
      </c>
      <c r="F72" s="119">
        <v>37288</v>
      </c>
      <c r="G72" s="119">
        <v>37316</v>
      </c>
      <c r="H72" s="119">
        <v>37347</v>
      </c>
      <c r="I72" s="119">
        <v>37377</v>
      </c>
      <c r="J72" s="119">
        <v>37408</v>
      </c>
      <c r="K72" s="119">
        <v>37438</v>
      </c>
      <c r="L72" s="119">
        <v>37469</v>
      </c>
      <c r="M72" s="119">
        <v>37500</v>
      </c>
      <c r="N72" s="120">
        <v>37530</v>
      </c>
    </row>
    <row r="73" spans="3:14" ht="15.75">
      <c r="C73" s="121" t="s">
        <v>14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20"/>
    </row>
    <row r="74" spans="1:14" ht="15.75">
      <c r="A74" s="1">
        <v>16</v>
      </c>
      <c r="C74" s="122">
        <f>'[2]MoCommRates'!H65</f>
        <v>0.36481</v>
      </c>
      <c r="D74" s="123">
        <f>'[2]MoCommRates'!I65</f>
        <v>0.4007</v>
      </c>
      <c r="E74" s="123">
        <f>'[2]MoCommRates'!J65</f>
        <v>0.38611</v>
      </c>
      <c r="F74" s="123">
        <f>'[2]MoCommRates'!K65</f>
        <v>0.36942</v>
      </c>
      <c r="G74" s="123">
        <f>'[2]MoCommRates'!L65</f>
        <v>0.35153</v>
      </c>
      <c r="H74" s="123">
        <f>'[2]MoCommRates'!M65</f>
        <v>0.26017</v>
      </c>
      <c r="I74" s="123">
        <f>'[2]MoCommRates'!N65</f>
        <v>0.25511</v>
      </c>
      <c r="J74" s="123">
        <f>'[2]MoCommRates'!O65</f>
        <v>0.24514</v>
      </c>
      <c r="K74" s="123">
        <f>'[2]MoCommRates'!P65</f>
        <v>0.16334</v>
      </c>
      <c r="L74" s="123">
        <f>'[2]MoCommRates'!Q65</f>
        <v>0.15614</v>
      </c>
      <c r="M74" s="123">
        <f>'[2]MoCommRates'!R65</f>
        <v>0.18065</v>
      </c>
      <c r="N74" s="124">
        <f>'[2]MoCommRates'!S65</f>
        <v>0.25416</v>
      </c>
    </row>
    <row r="75" spans="3:14" ht="15.75">
      <c r="C75" s="122" t="s">
        <v>58</v>
      </c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4"/>
    </row>
    <row r="76" spans="1:14" ht="15.75">
      <c r="A76" s="1">
        <v>17</v>
      </c>
      <c r="C76" s="122">
        <f>'[2]MoCommRates'!H66</f>
        <v>-0.00848</v>
      </c>
      <c r="D76" s="123">
        <f>'[2]MoCommRates'!I66</f>
        <v>-0.00479</v>
      </c>
      <c r="E76" s="123">
        <f>'[2]MoCommRates'!J66</f>
        <v>-0.00582</v>
      </c>
      <c r="F76" s="123">
        <f>'[2]MoCommRates'!K66</f>
        <v>-0.00961</v>
      </c>
      <c r="G76" s="123">
        <f>'[2]MoCommRates'!L66</f>
        <v>-0.00854</v>
      </c>
      <c r="H76" s="123">
        <f>'[2]MoCommRates'!M66</f>
        <v>-0.00776</v>
      </c>
      <c r="I76" s="123">
        <f>'[2]MoCommRates'!N66</f>
        <v>-0.01085</v>
      </c>
      <c r="J76" s="123">
        <f>'[2]MoCommRates'!O66</f>
        <v>-0.03104</v>
      </c>
      <c r="K76" s="123">
        <f>'[2]MoCommRates'!P66</f>
        <v>-0.04977</v>
      </c>
      <c r="L76" s="123">
        <f>'[2]MoCommRates'!Q66</f>
        <v>-0.08529</v>
      </c>
      <c r="M76" s="123">
        <f>'[2]MoCommRates'!R66</f>
        <v>-0.04694</v>
      </c>
      <c r="N76" s="124">
        <f>'[2]MoCommRates'!S66</f>
        <v>-0.02005</v>
      </c>
    </row>
    <row r="77" spans="1:14" ht="13.5" thickBot="1">
      <c r="A77" s="1">
        <v>18</v>
      </c>
      <c r="C77" s="125">
        <f>'[2]MoCommRates'!H67</f>
        <v>0.35633000000000004</v>
      </c>
      <c r="D77" s="126">
        <f>'[2]MoCommRates'!I67</f>
        <v>0.39591</v>
      </c>
      <c r="E77" s="126">
        <f>'[2]MoCommRates'!J67</f>
        <v>0.38029</v>
      </c>
      <c r="F77" s="126">
        <f>'[2]MoCommRates'!K67</f>
        <v>0.35981</v>
      </c>
      <c r="G77" s="126">
        <f>'[2]MoCommRates'!L67</f>
        <v>0.34299</v>
      </c>
      <c r="H77" s="126">
        <f>'[2]MoCommRates'!M67</f>
        <v>0.25241</v>
      </c>
      <c r="I77" s="126">
        <f>'[2]MoCommRates'!N67</f>
        <v>0.24426</v>
      </c>
      <c r="J77" s="126">
        <f>'[2]MoCommRates'!O67</f>
        <v>0.21409999999999998</v>
      </c>
      <c r="K77" s="126">
        <f>'[2]MoCommRates'!P67</f>
        <v>0.11357</v>
      </c>
      <c r="L77" s="126">
        <f>'[2]MoCommRates'!Q67</f>
        <v>0.07085</v>
      </c>
      <c r="M77" s="126">
        <f>'[2]MoCommRates'!R67</f>
        <v>0.13371</v>
      </c>
      <c r="N77" s="127">
        <f>'[2]MoCommRates'!S67</f>
        <v>0.23410999999999998</v>
      </c>
    </row>
    <row r="78" spans="3:14" ht="13.5" thickTop="1">
      <c r="C78" s="128" t="s">
        <v>59</v>
      </c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30"/>
    </row>
    <row r="79" spans="1:14" ht="12.75">
      <c r="A79" s="1">
        <v>19</v>
      </c>
      <c r="C79" s="131">
        <f>'[2]MoCommRates'!H68</f>
        <v>6.93</v>
      </c>
      <c r="D79" s="132">
        <f>'[2]MoCommRates'!I68</f>
        <v>7.61</v>
      </c>
      <c r="E79" s="132">
        <f>'[2]MoCommRates'!J68</f>
        <v>7.34</v>
      </c>
      <c r="F79" s="132">
        <f>'[2]MoCommRates'!K68</f>
        <v>7.02</v>
      </c>
      <c r="G79" s="132">
        <f>'[2]MoCommRates'!L68</f>
        <v>6.68</v>
      </c>
      <c r="H79" s="132">
        <f>'[2]MoCommRates'!M68</f>
        <v>4.94</v>
      </c>
      <c r="I79" s="132">
        <f>'[2]MoCommRates'!N68</f>
        <v>4.85</v>
      </c>
      <c r="J79" s="132">
        <f>'[2]MoCommRates'!O68</f>
        <v>4.66</v>
      </c>
      <c r="K79" s="132">
        <f>'[2]MoCommRates'!P68</f>
        <v>3.1</v>
      </c>
      <c r="L79" s="132">
        <f>'[2]MoCommRates'!Q68</f>
        <v>2.97</v>
      </c>
      <c r="M79" s="132">
        <f>'[2]MoCommRates'!R68</f>
        <v>3.43</v>
      </c>
      <c r="N79" s="133">
        <f>'[2]MoCommRates'!S68</f>
        <v>4.83</v>
      </c>
    </row>
    <row r="80" spans="1:14" ht="13.5" thickBot="1">
      <c r="A80" s="1">
        <v>20</v>
      </c>
      <c r="C80" s="134">
        <f>'[2]MoCommRates'!H69</f>
        <v>-0.16</v>
      </c>
      <c r="D80" s="135">
        <f>'[2]MoCommRates'!I69</f>
        <v>-0.09</v>
      </c>
      <c r="E80" s="135">
        <f>'[2]MoCommRates'!J69</f>
        <v>-0.11</v>
      </c>
      <c r="F80" s="135">
        <f>'[2]MoCommRates'!K69</f>
        <v>-0.18</v>
      </c>
      <c r="G80" s="135">
        <f>'[2]MoCommRates'!L69</f>
        <v>-0.16</v>
      </c>
      <c r="H80" s="135">
        <f>'[2]MoCommRates'!M69</f>
        <v>-0.15</v>
      </c>
      <c r="I80" s="135">
        <f>'[2]MoCommRates'!N69</f>
        <v>-0.21</v>
      </c>
      <c r="J80" s="135">
        <f>'[2]MoCommRates'!O69</f>
        <v>-0.59</v>
      </c>
      <c r="K80" s="135">
        <f>'[2]MoCommRates'!P69</f>
        <v>-0.95</v>
      </c>
      <c r="L80" s="135">
        <f>'[2]MoCommRates'!Q69</f>
        <v>-1.62</v>
      </c>
      <c r="M80" s="135">
        <f>'[2]MoCommRates'!R69</f>
        <v>-0.89</v>
      </c>
      <c r="N80" s="136">
        <f>'[2]MoCommRates'!S69</f>
        <v>-0.38</v>
      </c>
    </row>
    <row r="82" ht="6.75" customHeight="1" thickBot="1"/>
    <row r="83" spans="1:14" s="140" customFormat="1" ht="25.5">
      <c r="A83" s="137"/>
      <c r="B83" s="138" t="s">
        <v>60</v>
      </c>
      <c r="C83" s="139"/>
      <c r="D83" s="139"/>
      <c r="E83" s="91" t="s">
        <v>1</v>
      </c>
      <c r="F83" s="91" t="s">
        <v>2</v>
      </c>
      <c r="G83" s="91" t="s">
        <v>3</v>
      </c>
      <c r="H83" s="91" t="s">
        <v>4</v>
      </c>
      <c r="I83" s="91" t="s">
        <v>5</v>
      </c>
      <c r="J83" s="91" t="s">
        <v>6</v>
      </c>
      <c r="K83" s="91" t="s">
        <v>7</v>
      </c>
      <c r="L83" s="91" t="s">
        <v>8</v>
      </c>
      <c r="M83" s="91" t="s">
        <v>9</v>
      </c>
      <c r="N83" s="92" t="s">
        <v>10</v>
      </c>
    </row>
    <row r="84" spans="1:14" s="59" customFormat="1" ht="14.25">
      <c r="A84" s="55"/>
      <c r="B84" s="56"/>
      <c r="C84" s="56"/>
      <c r="D84" s="141"/>
      <c r="E84" s="56"/>
      <c r="F84" s="56"/>
      <c r="G84" s="56"/>
      <c r="H84" s="56"/>
      <c r="I84" s="56"/>
      <c r="J84" s="56"/>
      <c r="K84" s="56"/>
      <c r="L84" s="56"/>
      <c r="M84" s="56"/>
      <c r="N84" s="94"/>
    </row>
    <row r="85" spans="1:14" s="59" customFormat="1" ht="12.75">
      <c r="A85" s="55">
        <v>21</v>
      </c>
      <c r="B85" s="56"/>
      <c r="C85" s="142" t="s">
        <v>61</v>
      </c>
      <c r="D85" s="142"/>
      <c r="E85" s="57">
        <f>SUM(F85:N85)</f>
        <v>3098577.6</v>
      </c>
      <c r="F85" s="57">
        <f aca="true" t="shared" si="19" ref="F85:N85">F17</f>
        <v>0</v>
      </c>
      <c r="G85" s="57">
        <f t="shared" si="19"/>
        <v>0</v>
      </c>
      <c r="H85" s="57">
        <f t="shared" si="19"/>
        <v>2549133.6</v>
      </c>
      <c r="I85" s="57">
        <f t="shared" si="19"/>
        <v>116148</v>
      </c>
      <c r="J85" s="57">
        <f t="shared" si="19"/>
        <v>256656</v>
      </c>
      <c r="K85" s="57">
        <f t="shared" si="19"/>
        <v>176640</v>
      </c>
      <c r="L85" s="57">
        <f t="shared" si="19"/>
        <v>0</v>
      </c>
      <c r="M85" s="57">
        <f t="shared" si="19"/>
        <v>0</v>
      </c>
      <c r="N85" s="58">
        <f t="shared" si="19"/>
        <v>0</v>
      </c>
    </row>
    <row r="86" spans="1:14" s="59" customFormat="1" ht="12.75">
      <c r="A86" s="55">
        <v>22</v>
      </c>
      <c r="B86" s="56"/>
      <c r="C86" s="142" t="s">
        <v>62</v>
      </c>
      <c r="D86" s="142"/>
      <c r="E86" s="57">
        <f>SUM(F86:N86)</f>
        <v>96488162.4</v>
      </c>
      <c r="F86" s="57">
        <f aca="true" t="shared" si="20" ref="F86:N86">F20</f>
        <v>66621519</v>
      </c>
      <c r="G86" s="57">
        <f t="shared" si="20"/>
        <v>24005145</v>
      </c>
      <c r="H86" s="57">
        <f t="shared" si="20"/>
        <v>1139608.4</v>
      </c>
      <c r="I86" s="57">
        <f t="shared" si="20"/>
        <v>971994</v>
      </c>
      <c r="J86" s="57">
        <f t="shared" si="20"/>
        <v>1177200</v>
      </c>
      <c r="K86" s="57">
        <f t="shared" si="20"/>
        <v>2469935</v>
      </c>
      <c r="L86" s="57">
        <f t="shared" si="20"/>
        <v>74147</v>
      </c>
      <c r="M86" s="57">
        <f t="shared" si="20"/>
        <v>24336</v>
      </c>
      <c r="N86" s="58">
        <f t="shared" si="20"/>
        <v>4278</v>
      </c>
    </row>
    <row r="87" spans="1:14" s="59" customFormat="1" ht="12.75">
      <c r="A87" s="55">
        <v>23</v>
      </c>
      <c r="B87" s="56"/>
      <c r="C87" s="142" t="s">
        <v>63</v>
      </c>
      <c r="D87" s="142"/>
      <c r="E87" s="57">
        <f>SUM(F87:N87)</f>
        <v>257866712.88917124</v>
      </c>
      <c r="F87" s="57">
        <f aca="true" t="shared" si="21" ref="F87:N87">SUM(F54)</f>
        <v>150814729.50002873</v>
      </c>
      <c r="G87" s="57">
        <f t="shared" si="21"/>
        <v>62111208.19513685</v>
      </c>
      <c r="H87" s="57">
        <f t="shared" si="21"/>
        <v>13977960.311257832</v>
      </c>
      <c r="I87" s="57">
        <f t="shared" si="21"/>
        <v>6351211.916272186</v>
      </c>
      <c r="J87" s="57">
        <f t="shared" si="21"/>
        <v>7871847.573030618</v>
      </c>
      <c r="K87" s="57">
        <f t="shared" si="21"/>
        <v>16709674.955804322</v>
      </c>
      <c r="L87" s="57">
        <f t="shared" si="21"/>
        <v>8596</v>
      </c>
      <c r="M87" s="57">
        <f t="shared" si="21"/>
        <v>2821</v>
      </c>
      <c r="N87" s="58">
        <f t="shared" si="21"/>
        <v>18663.43764068576</v>
      </c>
    </row>
    <row r="88" spans="1:14" s="59" customFormat="1" ht="19.5" customHeight="1" thickBot="1">
      <c r="A88" s="55">
        <v>24</v>
      </c>
      <c r="B88" s="56"/>
      <c r="C88" s="56" t="s">
        <v>16</v>
      </c>
      <c r="D88" s="56"/>
      <c r="E88" s="143">
        <f aca="true" t="shared" si="22" ref="E88:N88">SUM(E85:E87)</f>
        <v>357453452.88917124</v>
      </c>
      <c r="F88" s="143">
        <f t="shared" si="22"/>
        <v>217436248.50002873</v>
      </c>
      <c r="G88" s="143">
        <f t="shared" si="22"/>
        <v>86116353.19513685</v>
      </c>
      <c r="H88" s="143">
        <f t="shared" si="22"/>
        <v>17666702.31125783</v>
      </c>
      <c r="I88" s="143">
        <f t="shared" si="22"/>
        <v>7439353.916272186</v>
      </c>
      <c r="J88" s="143">
        <f t="shared" si="22"/>
        <v>9305703.573030617</v>
      </c>
      <c r="K88" s="143">
        <f t="shared" si="22"/>
        <v>19356249.955804322</v>
      </c>
      <c r="L88" s="143">
        <f t="shared" si="22"/>
        <v>82743</v>
      </c>
      <c r="M88" s="143">
        <f t="shared" si="22"/>
        <v>27157</v>
      </c>
      <c r="N88" s="144">
        <f t="shared" si="22"/>
        <v>22941.43764068576</v>
      </c>
    </row>
    <row r="89" spans="1:14" s="59" customFormat="1" ht="14.25" thickBot="1" thickTop="1">
      <c r="A89" s="145"/>
      <c r="B89" s="101"/>
      <c r="C89" s="101"/>
      <c r="D89" s="101"/>
      <c r="E89" s="146"/>
      <c r="F89" s="146"/>
      <c r="G89" s="146"/>
      <c r="H89" s="146"/>
      <c r="I89" s="146"/>
      <c r="J89" s="146"/>
      <c r="K89" s="146"/>
      <c r="L89" s="146"/>
      <c r="M89" s="146"/>
      <c r="N89" s="147"/>
    </row>
    <row r="90" spans="1:14" s="59" customFormat="1" ht="12.75">
      <c r="A90" s="148"/>
      <c r="E90" s="57"/>
      <c r="F90" s="149"/>
      <c r="G90" s="57"/>
      <c r="H90" s="57"/>
      <c r="I90" s="57"/>
      <c r="J90" s="57"/>
      <c r="K90" s="57"/>
      <c r="L90" s="57"/>
      <c r="M90" s="57"/>
      <c r="N90" s="57"/>
    </row>
    <row r="91" ht="12.75">
      <c r="G91" s="14"/>
    </row>
    <row r="93" ht="13.5" thickBot="1"/>
    <row r="94" spans="6:14" ht="31.5">
      <c r="F94" s="152" t="s">
        <v>2</v>
      </c>
      <c r="G94" s="150" t="s">
        <v>3</v>
      </c>
      <c r="H94" s="150" t="s">
        <v>4</v>
      </c>
      <c r="I94" s="150" t="s">
        <v>5</v>
      </c>
      <c r="J94" s="150" t="s">
        <v>6</v>
      </c>
      <c r="K94" s="150" t="s">
        <v>7</v>
      </c>
      <c r="L94" s="150" t="s">
        <v>8</v>
      </c>
      <c r="M94" s="150" t="s">
        <v>9</v>
      </c>
      <c r="N94" s="151" t="s">
        <v>10</v>
      </c>
    </row>
    <row r="95" spans="6:14" ht="15">
      <c r="F95" s="153">
        <f>ROUND(1.04454*(F86+F87)/F12,5)</f>
        <v>0.48215</v>
      </c>
      <c r="G95" s="154">
        <f>ROUND(1.04454*((G86+G87)/G12),5)</f>
        <v>0.45175</v>
      </c>
      <c r="H95" s="154">
        <f aca="true" t="shared" si="23" ref="H95:N95">ROUND(1.04454*(H86+H87)/H12,5)</f>
        <v>0.2976</v>
      </c>
      <c r="I95" s="154">
        <f t="shared" si="23"/>
        <v>0.33168</v>
      </c>
      <c r="J95" s="154">
        <f t="shared" si="23"/>
        <v>0.37168</v>
      </c>
      <c r="K95" s="154">
        <f t="shared" si="23"/>
        <v>0.32821</v>
      </c>
      <c r="L95" s="154">
        <f t="shared" si="23"/>
        <v>0.00061</v>
      </c>
      <c r="M95" s="154">
        <f t="shared" si="23"/>
        <v>0.00061</v>
      </c>
      <c r="N95" s="155">
        <f t="shared" si="23"/>
        <v>0.37076</v>
      </c>
    </row>
    <row r="96" spans="6:14" ht="15">
      <c r="F96" s="156"/>
      <c r="G96" s="157"/>
      <c r="H96" s="157"/>
      <c r="I96" s="157"/>
      <c r="J96" s="157"/>
      <c r="K96" s="157"/>
      <c r="L96" s="157"/>
      <c r="M96" s="157"/>
      <c r="N96" s="158"/>
    </row>
    <row r="97" spans="6:14" ht="15">
      <c r="F97" s="156"/>
      <c r="G97" s="157">
        <f>ROUND(1.04454*(($G$86/$G$12)+('[2]SubReport'!G118/'[2]SubReport'!G88)),5)</f>
        <v>0.45408</v>
      </c>
      <c r="H97" s="157">
        <v>31</v>
      </c>
      <c r="I97" s="157"/>
      <c r="J97" s="157"/>
      <c r="K97" s="157"/>
      <c r="L97" s="157"/>
      <c r="M97" s="157"/>
      <c r="N97" s="158"/>
    </row>
    <row r="98" spans="6:14" ht="15">
      <c r="F98" s="159"/>
      <c r="G98" s="157">
        <f>ROUND(1.04454*(($G$86/$G$12)+('[2]SubReport'!G119/'[2]SubReport'!G89)),5)</f>
        <v>0.44286</v>
      </c>
      <c r="H98" s="157">
        <v>36</v>
      </c>
      <c r="I98" s="14"/>
      <c r="J98" s="14"/>
      <c r="K98" s="14"/>
      <c r="L98" s="14"/>
      <c r="M98" s="14"/>
      <c r="N98" s="53"/>
    </row>
    <row r="99" spans="6:14" ht="15.75" thickBot="1">
      <c r="F99" s="66"/>
      <c r="G99" s="160">
        <f>ROUND(1.04454*(($G$86/$G$12)+('[2]SubReport'!G120/'[2]SubReport'!G90)),5)</f>
        <v>0.40642</v>
      </c>
      <c r="H99" s="160">
        <v>51</v>
      </c>
      <c r="I99" s="67"/>
      <c r="J99" s="67"/>
      <c r="K99" s="67"/>
      <c r="L99" s="67"/>
      <c r="M99" s="67"/>
      <c r="N99" s="85"/>
    </row>
  </sheetData>
  <printOptions/>
  <pageMargins left="0.25" right="0.25" top="0.75" bottom="0.5" header="0.25" footer="0.25"/>
  <pageSetup horizontalDpi="600" verticalDpi="600" orientation="landscape" scale="70" r:id="rId3"/>
  <headerFooter alignWithMargins="0">
    <oddHeader xml:space="preserve">&amp;C&amp;12Puget Sound Energy
Pricing of PGA Rates
12 Months Ended June 30, 2001&amp;R&amp;12Docket No. ______
Exhibit No. ____(RJA-6)
Page  &amp;P of 4 &amp;10 </oddHeader>
    <oddFooter>&amp;L&amp;F</oddFooter>
  </headerFooter>
  <rowBreaks count="1" manualBreakCount="1">
    <brk id="41" max="255" man="1"/>
  </rowBreaks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</dc:creator>
  <cp:keywords/>
  <dc:description/>
  <cp:lastModifiedBy>PSE</cp:lastModifiedBy>
  <cp:lastPrinted>2001-11-22T10:59:46Z</cp:lastPrinted>
  <dcterms:created xsi:type="dcterms:W3CDTF">2001-11-22T07:39:21Z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011571</vt:lpwstr>
  </property>
  <property fmtid="{D5CDD505-2E9C-101B-9397-08002B2CF9AE}" pid="5" name="IsConfidential">
    <vt:lpwstr>0</vt:lpwstr>
  </property>
  <property fmtid="{D5CDD505-2E9C-101B-9397-08002B2CF9AE}" pid="6" name="Date1">
    <vt:lpwstr>2001-11-26T00:00:00Z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2001-11-26T00:00:00Z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