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nd\Desktop\PSE CCA Tariff - UE-230968\Direct Testimony\Mickelson\"/>
    </mc:Choice>
  </mc:AlternateContent>
  <xr:revisionPtr revIDLastSave="0" documentId="13_ncr:1_{427AFE32-E41A-4F2E-A69D-2A894EBA30BF}" xr6:coauthVersionLast="47" xr6:coauthVersionMax="47" xr10:uidLastSave="{00000000-0000-0000-0000-000000000000}"/>
  <bookViews>
    <workbookView xWindow="-120" yWindow="-120" windowWidth="25440" windowHeight="15390" tabRatio="880" xr2:uid="{00000000-000D-0000-FFFF-FFFF00000000}"/>
  </bookViews>
  <sheets>
    <sheet name="REDACTED" sheetId="26" r:id="rId1"/>
    <sheet name="Exh CTM-3C (CCA RSM Formulas)" sheetId="25" r:id="rId2"/>
    <sheet name="(R) Exh CTM-3C (Bands+Calc)" sheetId="22" r:id="rId3"/>
    <sheet name="Exh CTM-3C (Earnings Test)" sheetId="24" r:id="rId4"/>
    <sheet name="Exh CTM-3C (23 Vtg Statistics)" sheetId="23" r:id="rId5"/>
    <sheet name="Exh CTM-3C (23 Vtg Sec Prices)" sheetId="7" r:id="rId6"/>
    <sheet name="(R) Exh CTM-3C (23 CCA Auction)" sheetId="17" r:id="rId7"/>
    <sheet name="(R) Exh CTM-3C (PSE 2023 Trx)" sheetId="9" r:id="rId8"/>
  </sheets>
  <definedNames>
    <definedName name="_xlnm._FilterDatabase" localSheetId="5" hidden="1">'Exh CTM-3C (23 Vtg Sec Prices)'!$BD$6:$BE$255</definedName>
    <definedName name="_xlchart.v1.0" hidden="1">'Exh CTM-3C (23 Vtg Sec Prices)'!$BE$7:$BE$255</definedName>
    <definedName name="_xlchart.v1.1" hidden="1">'Exh CTM-3C (23 Vtg Statistics)'!$B$33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'(R) Exh CTM-3C (PSE 2023 Trx)'!$A$1:$K$36</definedName>
    <definedName name="_xlnm.Print_Area" localSheetId="5">'Exh CTM-3C (23 Vtg Sec Prices)'!$A$1:$BA$32</definedName>
    <definedName name="_xlnm.Print_Area" localSheetId="4">'Exh CTM-3C (23 Vtg Statistics)'!$A$1:$D$54</definedName>
    <definedName name="_xlnm.Print_Area" localSheetId="1">'Exh CTM-3C (CCA RSM Formulas)'!$A$1:$L$18</definedName>
    <definedName name="_xlnm.Print_Area" localSheetId="3">'Exh CTM-3C (Earnings Test)'!$A$1:$H$23</definedName>
    <definedName name="_xlnm.Print_Titles" localSheetId="6">'(R) Exh CTM-3C (23 CCA Auction)'!$1:$4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4" l="1"/>
  <c r="E11" i="22" l="1"/>
  <c r="F13" i="24" l="1"/>
  <c r="F15" i="24" s="1"/>
  <c r="H13" i="24"/>
  <c r="H15" i="24" s="1"/>
  <c r="H16" i="24" s="1"/>
  <c r="H18" i="24" s="1"/>
  <c r="H20" i="24" s="1"/>
  <c r="G13" i="24"/>
  <c r="A11" i="24"/>
  <c r="F16" i="24" l="1"/>
  <c r="F18" i="24" s="1"/>
  <c r="F20" i="24" s="1"/>
  <c r="G15" i="24"/>
  <c r="G16" i="24" s="1"/>
  <c r="G18" i="24" s="1"/>
  <c r="G20" i="24" s="1"/>
  <c r="D16" i="24"/>
  <c r="D18" i="24" s="1"/>
  <c r="D20" i="24" s="1"/>
  <c r="AL2" i="7" l="1"/>
  <c r="AU2" i="7" s="1"/>
  <c r="K3" i="7"/>
  <c r="T3" i="7" s="1"/>
  <c r="AC3" i="7" s="1"/>
  <c r="AL3" i="7" s="1"/>
  <c r="AU3" i="7" s="1"/>
  <c r="K1" i="7"/>
  <c r="T1" i="7" s="1"/>
  <c r="AC1" i="7" s="1"/>
  <c r="AL1" i="7" s="1"/>
  <c r="AU1" i="7" s="1"/>
  <c r="K11" i="22"/>
  <c r="A10" i="25"/>
  <c r="A11" i="25" s="1"/>
  <c r="A12" i="25" s="1"/>
  <c r="A13" i="25" s="1"/>
  <c r="A14" i="25" s="1"/>
  <c r="A15" i="25" s="1"/>
  <c r="A16" i="25" s="1"/>
  <c r="A17" i="25" s="1"/>
  <c r="A18" i="25" s="1"/>
  <c r="H9" i="22" l="1"/>
  <c r="A12" i="24" l="1"/>
  <c r="A13" i="24" l="1"/>
  <c r="A14" i="24" s="1"/>
  <c r="A15" i="24" s="1"/>
  <c r="C13" i="24"/>
  <c r="C29" i="23"/>
  <c r="C26" i="23"/>
  <c r="C28" i="23"/>
  <c r="C27" i="23"/>
  <c r="B10" i="22"/>
  <c r="B11" i="22" s="1"/>
  <c r="B12" i="22" s="1"/>
  <c r="B13" i="22" s="1"/>
  <c r="B14" i="22" s="1"/>
  <c r="B15" i="22" s="1"/>
  <c r="B16" i="22" s="1"/>
  <c r="B17" i="22" s="1"/>
  <c r="B18" i="22" s="1"/>
  <c r="A7" i="23"/>
  <c r="A8" i="23" s="1"/>
  <c r="K10" i="22"/>
  <c r="K9" i="22"/>
  <c r="C12" i="23"/>
  <c r="C13" i="23"/>
  <c r="D9" i="22"/>
  <c r="C14" i="23"/>
  <c r="C15" i="23"/>
  <c r="C16" i="23"/>
  <c r="C18" i="23"/>
  <c r="C19" i="23"/>
  <c r="C22" i="23"/>
  <c r="D22" i="23" s="1"/>
  <c r="C23" i="23"/>
  <c r="D23" i="23" s="1"/>
  <c r="C24" i="23"/>
  <c r="A16" i="24" l="1"/>
  <c r="C16" i="24"/>
  <c r="C20" i="23"/>
  <c r="D11" i="22"/>
  <c r="E10" i="22" s="1"/>
  <c r="C21" i="23"/>
  <c r="D10" i="22"/>
  <c r="E9" i="22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C25" i="23"/>
  <c r="D13" i="24"/>
  <c r="C17" i="23"/>
  <c r="C30" i="23"/>
  <c r="A17" i="24" l="1"/>
  <c r="A18" i="24" s="1"/>
  <c r="A19" i="24" s="1"/>
  <c r="A20" i="24" s="1"/>
  <c r="A21" i="24" s="1"/>
  <c r="A22" i="24" s="1"/>
  <c r="A23" i="24" s="1"/>
  <c r="A24" i="24" s="1"/>
  <c r="A25" i="24" s="1"/>
  <c r="C20" i="24"/>
  <c r="C18" i="24"/>
  <c r="E81" i="17"/>
  <c r="D81" i="17"/>
  <c r="D55" i="17"/>
  <c r="E29" i="17"/>
  <c r="D29" i="17"/>
  <c r="D15" i="17"/>
</calcChain>
</file>

<file path=xl/sharedStrings.xml><?xml version="1.0" encoding="utf-8"?>
<sst xmlns="http://schemas.openxmlformats.org/spreadsheetml/2006/main" count="430" uniqueCount="157">
  <si>
    <t>Trading
Date</t>
  </si>
  <si>
    <t>Vintage
Year</t>
  </si>
  <si>
    <t>Average
Price</t>
  </si>
  <si>
    <t>Climate Commitment Act Allowance
Secondary Market Prices
2023 Vintage</t>
  </si>
  <si>
    <t>CCA Allowance
Secondary Market Prices</t>
  </si>
  <si>
    <t>N/A</t>
  </si>
  <si>
    <t>Gas LDC Carbon Allowance Tracking</t>
  </si>
  <si>
    <t>Deal #</t>
  </si>
  <si>
    <t>Trade Date</t>
  </si>
  <si>
    <t>Delivery Date</t>
  </si>
  <si>
    <t>Vintage Year</t>
  </si>
  <si>
    <t>Counterparty</t>
  </si>
  <si>
    <t>Purchased Quantity</t>
  </si>
  <si>
    <t>WCA Unit Cost</t>
  </si>
  <si>
    <t>Total Cost</t>
  </si>
  <si>
    <t>Broker</t>
  </si>
  <si>
    <t>Broker Fee</t>
  </si>
  <si>
    <t>none</t>
  </si>
  <si>
    <t>PURCHASES</t>
  </si>
  <si>
    <t>CONSIGNMENT</t>
  </si>
  <si>
    <t>Floor</t>
  </si>
  <si>
    <t>Auction/Bilateral/
ICE/Broker</t>
  </si>
  <si>
    <t>Variance</t>
  </si>
  <si>
    <t>Trading Date</t>
  </si>
  <si>
    <t>2023 Vintage</t>
  </si>
  <si>
    <t>General Auction #1</t>
  </si>
  <si>
    <t>Date of Auction:</t>
  </si>
  <si>
    <t>Auction Report:</t>
  </si>
  <si>
    <t>Allowances Purchased:</t>
  </si>
  <si>
    <t>Total Cost:</t>
  </si>
  <si>
    <t>Description of Allowances</t>
  </si>
  <si>
    <t xml:space="preserve">Current Auction
Vintage 2023 </t>
  </si>
  <si>
    <t xml:space="preserve">Advance Auction
Vintage 2026 </t>
  </si>
  <si>
    <t xml:space="preserve">Total Allowances sold for
Washington Entity Consignment </t>
  </si>
  <si>
    <t>Allowances Sold for Ecology</t>
  </si>
  <si>
    <t>Total Allowances Sold at Auction</t>
  </si>
  <si>
    <t>Settlement Price</t>
  </si>
  <si>
    <t>General Auction #2</t>
  </si>
  <si>
    <t>APCR Auction #1</t>
  </si>
  <si>
    <t>Tier 1
Allowances</t>
  </si>
  <si>
    <t>Tier 2
Allowances</t>
  </si>
  <si>
    <t>General Auction #3</t>
  </si>
  <si>
    <t>APCR Auction #2</t>
  </si>
  <si>
    <t>General Auction #4</t>
  </si>
  <si>
    <t>Co Eff</t>
  </si>
  <si>
    <t>Skewness</t>
  </si>
  <si>
    <t>Kurtosis</t>
  </si>
  <si>
    <t>Band</t>
  </si>
  <si>
    <t>A2</t>
  </si>
  <si>
    <t>A1</t>
  </si>
  <si>
    <t>DB</t>
  </si>
  <si>
    <t>Line No.</t>
  </si>
  <si>
    <t>a</t>
  </si>
  <si>
    <t>b</t>
  </si>
  <si>
    <t>c</t>
  </si>
  <si>
    <t>d</t>
  </si>
  <si>
    <t>Market Ceiling</t>
  </si>
  <si>
    <t>Market Floor</t>
  </si>
  <si>
    <t>Description</t>
  </si>
  <si>
    <t>Amount</t>
  </si>
  <si>
    <t>Notes</t>
  </si>
  <si>
    <t>Median Price</t>
  </si>
  <si>
    <t>Mode Price</t>
  </si>
  <si>
    <t>Price Range</t>
  </si>
  <si>
    <t>Range (based on 2023 Values)</t>
  </si>
  <si>
    <t>Ceiling</t>
  </si>
  <si>
    <t>2023 Vintage Secondary Market Price</t>
  </si>
  <si>
    <t>Cap &amp; Invest Market Information</t>
  </si>
  <si>
    <t>Interquartile Range (IQR)</t>
  </si>
  <si>
    <t>e</t>
  </si>
  <si>
    <t>f</t>
  </si>
  <si>
    <t>g</t>
  </si>
  <si>
    <t>25th Percentile (Q1)</t>
  </si>
  <si>
    <t>75th Percentile (Q3)</t>
  </si>
  <si>
    <t>2.5th Percentile</t>
  </si>
  <si>
    <t>97.5th Percentile</t>
  </si>
  <si>
    <t>z-Score</t>
  </si>
  <si>
    <t>Distribution Shape</t>
  </si>
  <si>
    <t>Maximum Price</t>
  </si>
  <si>
    <t>Minimum Price</t>
  </si>
  <si>
    <t>Source</t>
  </si>
  <si>
    <t>PUGET SOUND ENERGY</t>
  </si>
  <si>
    <t xml:space="preserve">Restated Rate Base </t>
  </si>
  <si>
    <t>Maximum Net Operating Income</t>
  </si>
  <si>
    <t>h</t>
  </si>
  <si>
    <t>Total Allowances Paid</t>
  </si>
  <si>
    <t>Company*</t>
  </si>
  <si>
    <t>* - before financial earnings test</t>
  </si>
  <si>
    <t>Sample Size (n)</t>
  </si>
  <si>
    <t>Standard Deviation (σ)</t>
  </si>
  <si>
    <t>Mean Price (μ)</t>
  </si>
  <si>
    <t>(Z = 1.96)</t>
  </si>
  <si>
    <t>(Z = -1.96)</t>
  </si>
  <si>
    <t>Q3-Q1</t>
  </si>
  <si>
    <t>(Z = 0.675)</t>
  </si>
  <si>
    <t>(Z = -0.675)</t>
  </si>
  <si>
    <t>2023 Commission Basis Report</t>
  </si>
  <si>
    <t>FOR THE TWELVE MONTHS ENDED DECEMBER 31, 2023</t>
  </si>
  <si>
    <t>Actual Return</t>
  </si>
  <si>
    <t>$ pays / (receives)</t>
  </si>
  <si>
    <t>Sharing %</t>
  </si>
  <si>
    <t>Average Annual Compliance Price (AACP) [2023 Vintage]:</t>
  </si>
  <si>
    <t>Authorized Return</t>
  </si>
  <si>
    <t>Compliance Instruments Acquired (CIA):</t>
  </si>
  <si>
    <t>Range</t>
  </si>
  <si>
    <t>2023 Vintage Secondary Market Price Boxplot</t>
  </si>
  <si>
    <t>X = μ + (75th × σ)</t>
  </si>
  <si>
    <t>X = μ + (97.5th × σ)</t>
  </si>
  <si>
    <t>X = AACP × CIA</t>
  </si>
  <si>
    <t>X = Company's Sharing $ Amount + Customer's Sharing $ Amount</t>
  </si>
  <si>
    <t>X = 1 - Company's Sharing % Amount</t>
  </si>
  <si>
    <t>X = 2 × Company's Band A1 Sharing % Amount</t>
  </si>
  <si>
    <t>X = 10%</t>
  </si>
  <si>
    <t>X = 0%</t>
  </si>
  <si>
    <t>X = AFCP Max. Ceiling</t>
  </si>
  <si>
    <t>X = AFCP Min. Floor</t>
  </si>
  <si>
    <t>X = Deadband Ceiling + $0.01</t>
  </si>
  <si>
    <t>X = Band A1 Ceiling + $0.01</t>
  </si>
  <si>
    <t>Total CIA Paid (TCIAP):</t>
  </si>
  <si>
    <t>X = TCIAP - Company's Sharing $ Amount</t>
  </si>
  <si>
    <t>X = (AACP - DB Ceiling) × CIA × Company's Sharing % Amount</t>
  </si>
  <si>
    <t>X = TCIAP × Company's Sharing % Amount</t>
  </si>
  <si>
    <t>X = Sum of Entire CIA during 4-YR Compliance Period</t>
  </si>
  <si>
    <t>X = Sum of Entire CIA during 4-YR Compliance Period ÷ CIA</t>
  </si>
  <si>
    <t xml:space="preserve"> X = (AACP - Band A2 Floor) × CIA × Company's Band A2 Sharing % Amount + (Band A1 Ceiling - Deadband Ceiling) × CIA × Company's Band A1 Sharing % Amount</t>
  </si>
  <si>
    <t>2023 Vintage Secondary Market Prices</t>
  </si>
  <si>
    <t>2023 CCA Auctions Results</t>
  </si>
  <si>
    <t>i</t>
  </si>
  <si>
    <t>j</t>
  </si>
  <si>
    <t>k</t>
  </si>
  <si>
    <t>* Note that APCR awarded allowances are transferred from ECY directly to the Compliance Account</t>
  </si>
  <si>
    <t>PSE*</t>
  </si>
  <si>
    <t>XXXXXXXXXXXXXXX</t>
  </si>
  <si>
    <t>XXXXXX</t>
  </si>
  <si>
    <t>$XX.XX</t>
  </si>
  <si>
    <t>$XXXXXXXXX</t>
  </si>
  <si>
    <t>Earnings Test</t>
  </si>
  <si>
    <t>2023 Adjusted CBR Results (Earnings Test)</t>
  </si>
  <si>
    <t>Commission Basis Report Summary page</t>
  </si>
  <si>
    <t>Restated Net Operating Income</t>
  </si>
  <si>
    <r>
      <t xml:space="preserve">(Source: </t>
    </r>
    <r>
      <rPr>
        <sz val="10"/>
        <color rgb="FF0000FF"/>
        <rFont val="Times New Roman"/>
        <family val="1"/>
      </rPr>
      <t>UE-220066</t>
    </r>
    <r>
      <rPr>
        <sz val="10"/>
        <rFont val="Times New Roman"/>
        <family val="1"/>
      </rPr>
      <t xml:space="preserve"> and </t>
    </r>
    <r>
      <rPr>
        <sz val="10"/>
        <color rgb="FF0000FF"/>
        <rFont val="Times New Roman"/>
        <family val="1"/>
      </rPr>
      <t>UG-220067</t>
    </r>
    <r>
      <rPr>
        <sz val="10"/>
        <rFont val="Times New Roman"/>
        <family val="1"/>
      </rPr>
      <t>)</t>
    </r>
  </si>
  <si>
    <t>Gas Financial Earnings Test</t>
  </si>
  <si>
    <t>Maximum Allowed Sharing Amount*</t>
  </si>
  <si>
    <t>Hypotheticals</t>
  </si>
  <si>
    <t>Under-Earning</t>
  </si>
  <si>
    <t>Over-Earning in-between 50 bps Threshold</t>
  </si>
  <si>
    <t>Over-Earning above 50 bps Threshold</t>
  </si>
  <si>
    <t>XXXX</t>
  </si>
  <si>
    <t>xx/xx/xx</t>
  </si>
  <si>
    <t>$ pays</t>
  </si>
  <si>
    <t>Commission Basis Report Summary page**</t>
  </si>
  <si>
    <t xml:space="preserve">** = Adjusted to exclude recognition of deferrals and amortization of  existing earning's tests and CCA risk tests. </t>
  </si>
  <si>
    <t>CCA RSM Formulas</t>
  </si>
  <si>
    <t>RSM Band Information &amp; Calculations</t>
  </si>
  <si>
    <t>Customer*</t>
  </si>
  <si>
    <t>Docket UG-230968 - Exh. CTM-3C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</si>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</sst>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m/d/yyyy;@"/>
    <numFmt numFmtId="167" formatCode="0.0%"/>
    <numFmt numFmtId="168" formatCode="_(* #,##0_);_(* \(#,##0\);_(* &quot;-&quot;??_);_(@_)"/>
    <numFmt numFmtId="169" formatCode="_(&quot;$&quot;* #,##0_);_(&quot;$&quot;* \(#,##0\);_(&quot;$&quot;* &quot;-&quot;??_);_(@_)"/>
    <numFmt numFmtId="170" formatCode="[$-409]d\-mmm\-yy;@"/>
    <numFmt numFmtId="171" formatCode="_(* #,##0.0000_);_(* \(#,##0.0000\);_(* &quot;-&quot;??_);_(@_)"/>
    <numFmt numFmtId="172" formatCode="&quot;$&quot;#,##0"/>
    <numFmt numFmtId="173" formatCode="_(* #,##0.0_);_(* \(#,##0.0\);_(* &quot;-&quot;?_);_(@_)"/>
    <numFmt numFmtId="174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9644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00808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4" fillId="0" borderId="0" xfId="0" applyFont="1"/>
    <xf numFmtId="169" fontId="2" fillId="0" borderId="0" xfId="2" applyNumberFormat="1" applyFont="1"/>
    <xf numFmtId="43" fontId="2" fillId="0" borderId="0" xfId="0" applyNumberFormat="1" applyFont="1"/>
    <xf numFmtId="173" fontId="2" fillId="0" borderId="0" xfId="0" applyNumberFormat="1" applyFont="1"/>
    <xf numFmtId="43" fontId="2" fillId="0" borderId="0" xfId="1" applyFont="1"/>
    <xf numFmtId="0" fontId="7" fillId="0" borderId="0" xfId="0" applyFont="1"/>
    <xf numFmtId="43" fontId="7" fillId="0" borderId="0" xfId="1" applyFont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7" fillId="0" borderId="0" xfId="0" applyNumberFormat="1" applyFont="1"/>
    <xf numFmtId="165" fontId="7" fillId="0" borderId="0" xfId="0" applyNumberFormat="1" applyFont="1"/>
    <xf numFmtId="0" fontId="7" fillId="0" borderId="0" xfId="0" applyFont="1" applyBorder="1" applyAlignment="1">
      <alignment horizontal="center"/>
    </xf>
    <xf numFmtId="44" fontId="11" fillId="0" borderId="0" xfId="2" quotePrefix="1" applyFont="1" applyBorder="1"/>
    <xf numFmtId="44" fontId="7" fillId="0" borderId="0" xfId="2" quotePrefix="1" applyFont="1" applyBorder="1"/>
    <xf numFmtId="167" fontId="7" fillId="0" borderId="0" xfId="0" applyNumberFormat="1" applyFont="1" applyBorder="1"/>
    <xf numFmtId="173" fontId="7" fillId="0" borderId="0" xfId="0" applyNumberFormat="1" applyFont="1"/>
    <xf numFmtId="167" fontId="12" fillId="0" borderId="0" xfId="0" applyNumberFormat="1" applyFont="1" applyBorder="1"/>
    <xf numFmtId="44" fontId="7" fillId="0" borderId="0" xfId="0" applyNumberFormat="1" applyFont="1"/>
    <xf numFmtId="169" fontId="7" fillId="0" borderId="0" xfId="2" applyNumberFormat="1" applyFont="1"/>
    <xf numFmtId="0" fontId="10" fillId="0" borderId="0" xfId="0" quotePrefix="1" applyFont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Continuous"/>
    </xf>
    <xf numFmtId="0" fontId="14" fillId="0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4" fontId="7" fillId="0" borderId="0" xfId="2" quotePrefix="1" applyFont="1" applyBorder="1" applyAlignment="1">
      <alignment horizontal="center" vertical="center" wrapText="1"/>
    </xf>
    <xf numFmtId="172" fontId="7" fillId="0" borderId="0" xfId="2" quotePrefix="1" applyNumberFormat="1" applyFont="1" applyFill="1" applyBorder="1" applyAlignment="1">
      <alignment horizontal="center" vertical="center" wrapText="1"/>
    </xf>
    <xf numFmtId="167" fontId="7" fillId="0" borderId="0" xfId="0" quotePrefix="1" applyNumberFormat="1" applyFont="1" applyBorder="1" applyAlignment="1">
      <alignment horizontal="center" vertical="center" wrapText="1"/>
    </xf>
    <xf numFmtId="0" fontId="7" fillId="0" borderId="0" xfId="2" quotePrefix="1" applyNumberFormat="1" applyFont="1" applyFill="1" applyBorder="1" applyAlignment="1">
      <alignment horizontal="center" vertical="center" wrapText="1"/>
    </xf>
    <xf numFmtId="167" fontId="12" fillId="0" borderId="0" xfId="0" quotePrefix="1" applyNumberFormat="1" applyFont="1" applyBorder="1" applyAlignment="1">
      <alignment horizontal="center" vertical="center" wrapText="1"/>
    </xf>
    <xf numFmtId="168" fontId="7" fillId="0" borderId="0" xfId="1" quotePrefix="1" applyNumberFormat="1" applyFont="1" applyFill="1" applyBorder="1"/>
    <xf numFmtId="172" fontId="7" fillId="0" borderId="0" xfId="2" quotePrefix="1" applyNumberFormat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NumberFormat="1" applyFont="1" applyAlignment="1">
      <alignment horizontal="centerContinuous"/>
    </xf>
    <xf numFmtId="0" fontId="16" fillId="0" borderId="0" xfId="0" applyNumberFormat="1" applyFont="1" applyAlignment="1">
      <alignment horizontal="centerContinuous"/>
    </xf>
    <xf numFmtId="0" fontId="17" fillId="0" borderId="0" xfId="0" applyNumberFormat="1" applyFont="1" applyAlignment="1"/>
    <xf numFmtId="0" fontId="15" fillId="0" borderId="0" xfId="0" applyNumberFormat="1" applyFont="1" applyAlignment="1"/>
    <xf numFmtId="0" fontId="17" fillId="0" borderId="0" xfId="0" applyNumberFormat="1" applyFont="1" applyFill="1" applyAlignment="1"/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4" xfId="0" applyNumberFormat="1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Continuous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/>
    </xf>
    <xf numFmtId="42" fontId="17" fillId="0" borderId="0" xfId="0" applyNumberFormat="1" applyFont="1" applyFill="1" applyBorder="1" applyAlignment="1"/>
    <xf numFmtId="42" fontId="17" fillId="0" borderId="0" xfId="0" applyNumberFormat="1" applyFont="1" applyBorder="1" applyAlignment="1"/>
    <xf numFmtId="10" fontId="12" fillId="0" borderId="4" xfId="0" applyNumberFormat="1" applyFont="1" applyFill="1" applyBorder="1" applyAlignment="1"/>
    <xf numFmtId="0" fontId="13" fillId="0" borderId="0" xfId="0" applyNumberFormat="1" applyFont="1" applyAlignment="1">
      <alignment horizontal="center"/>
    </xf>
    <xf numFmtId="42" fontId="13" fillId="0" borderId="0" xfId="0" applyNumberFormat="1" applyFont="1" applyAlignment="1">
      <alignment horizontal="center"/>
    </xf>
    <xf numFmtId="10" fontId="17" fillId="0" borderId="0" xfId="0" applyNumberFormat="1" applyFont="1" applyBorder="1" applyAlignment="1"/>
    <xf numFmtId="10" fontId="17" fillId="0" borderId="0" xfId="0" applyNumberFormat="1" applyFont="1" applyAlignment="1"/>
    <xf numFmtId="0" fontId="7" fillId="0" borderId="0" xfId="0" applyFont="1" applyFill="1"/>
    <xf numFmtId="10" fontId="7" fillId="0" borderId="0" xfId="0" applyNumberFormat="1" applyFont="1"/>
    <xf numFmtId="0" fontId="6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Border="1"/>
    <xf numFmtId="165" fontId="7" fillId="0" borderId="0" xfId="0" applyNumberFormat="1" applyFont="1" applyBorder="1"/>
    <xf numFmtId="9" fontId="7" fillId="0" borderId="0" xfId="3" applyFont="1" applyBorder="1"/>
    <xf numFmtId="0" fontId="7" fillId="0" borderId="0" xfId="0" applyFont="1" applyBorder="1" applyAlignment="1">
      <alignment horizontal="right"/>
    </xf>
    <xf numFmtId="171" fontId="7" fillId="0" borderId="0" xfId="1" applyNumberFormat="1" applyFont="1" applyBorder="1"/>
    <xf numFmtId="174" fontId="7" fillId="0" borderId="0" xfId="1" applyNumberFormat="1" applyFont="1" applyBorder="1"/>
    <xf numFmtId="165" fontId="12" fillId="0" borderId="0" xfId="0" applyNumberFormat="1" applyFont="1" applyBorder="1"/>
    <xf numFmtId="0" fontId="7" fillId="0" borderId="0" xfId="0" applyFont="1" applyAlignment="1">
      <alignment horizontal="right" indent="1"/>
    </xf>
    <xf numFmtId="0" fontId="6" fillId="0" borderId="0" xfId="0" applyFont="1" applyBorder="1"/>
    <xf numFmtId="0" fontId="6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left" indent="1"/>
    </xf>
    <xf numFmtId="165" fontId="7" fillId="0" borderId="1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left" indent="1"/>
    </xf>
    <xf numFmtId="164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right" inden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8" fontId="7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8" fontId="7" fillId="0" borderId="1" xfId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8" fontId="7" fillId="0" borderId="1" xfId="0" applyNumberFormat="1" applyFont="1" applyBorder="1" applyAlignment="1">
      <alignment horizontal="right" vertical="center"/>
    </xf>
    <xf numFmtId="0" fontId="13" fillId="0" borderId="0" xfId="0" applyFont="1"/>
    <xf numFmtId="14" fontId="7" fillId="0" borderId="0" xfId="0" applyNumberFormat="1" applyFont="1"/>
    <xf numFmtId="168" fontId="7" fillId="0" borderId="0" xfId="1" applyNumberFormat="1" applyFont="1"/>
    <xf numFmtId="44" fontId="7" fillId="0" borderId="0" xfId="2" applyFont="1"/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0" xfId="2" applyNumberFormat="1" applyFont="1" applyFill="1" applyBorder="1"/>
    <xf numFmtId="169" fontId="7" fillId="0" borderId="0" xfId="0" applyNumberFormat="1" applyFont="1"/>
    <xf numFmtId="0" fontId="18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3" borderId="0" xfId="4" applyFont="1" applyFill="1"/>
    <xf numFmtId="0" fontId="7" fillId="0" borderId="0" xfId="0" applyFont="1" applyBorder="1" applyAlignment="1">
      <alignment horizontal="center" vertical="center" wrapText="1"/>
    </xf>
    <xf numFmtId="168" fontId="7" fillId="2" borderId="9" xfId="1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42" fontId="12" fillId="0" borderId="0" xfId="0" applyNumberFormat="1" applyFont="1" applyFill="1" applyBorder="1" applyAlignment="1"/>
    <xf numFmtId="42" fontId="12" fillId="0" borderId="4" xfId="0" applyNumberFormat="1" applyFont="1" applyFill="1" applyBorder="1" applyAlignment="1"/>
    <xf numFmtId="0" fontId="17" fillId="0" borderId="0" xfId="0" applyFont="1" applyBorder="1" applyAlignment="1">
      <alignment wrapText="1"/>
    </xf>
    <xf numFmtId="0" fontId="17" fillId="0" borderId="0" xfId="0" applyNumberFormat="1" applyFont="1" applyBorder="1" applyAlignment="1">
      <alignment wrapText="1"/>
    </xf>
    <xf numFmtId="0" fontId="17" fillId="0" borderId="0" xfId="0" applyNumberFormat="1" applyFont="1" applyBorder="1" applyAlignment="1">
      <alignment vertical="top" wrapText="1"/>
    </xf>
    <xf numFmtId="167" fontId="19" fillId="0" borderId="13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172" fontId="7" fillId="2" borderId="10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2" borderId="14" xfId="0" applyFont="1" applyFill="1" applyBorder="1"/>
    <xf numFmtId="0" fontId="7" fillId="2" borderId="15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 applyBorder="1" applyAlignment="1">
      <alignment horizontal="center"/>
    </xf>
    <xf numFmtId="168" fontId="7" fillId="2" borderId="0" xfId="1" applyNumberFormat="1" applyFont="1" applyFill="1" applyBorder="1"/>
    <xf numFmtId="0" fontId="7" fillId="2" borderId="17" xfId="0" applyFont="1" applyFill="1" applyBorder="1"/>
    <xf numFmtId="0" fontId="7" fillId="2" borderId="18" xfId="0" applyFont="1" applyFill="1" applyBorder="1" applyAlignment="1">
      <alignment horizontal="center"/>
    </xf>
    <xf numFmtId="168" fontId="7" fillId="2" borderId="18" xfId="1" applyNumberFormat="1" applyFont="1" applyFill="1" applyBorder="1"/>
    <xf numFmtId="168" fontId="7" fillId="2" borderId="15" xfId="1" applyNumberFormat="1" applyFont="1" applyFill="1" applyBorder="1"/>
    <xf numFmtId="165" fontId="7" fillId="2" borderId="15" xfId="2" applyNumberFormat="1" applyFont="1" applyFill="1" applyBorder="1"/>
    <xf numFmtId="165" fontId="7" fillId="2" borderId="16" xfId="2" applyNumberFormat="1" applyFont="1" applyFill="1" applyBorder="1"/>
    <xf numFmtId="165" fontId="7" fillId="2" borderId="0" xfId="2" applyNumberFormat="1" applyFont="1" applyFill="1" applyBorder="1"/>
    <xf numFmtId="165" fontId="7" fillId="2" borderId="12" xfId="2" applyNumberFormat="1" applyFont="1" applyFill="1" applyBorder="1"/>
    <xf numFmtId="165" fontId="7" fillId="2" borderId="12" xfId="1" applyNumberFormat="1" applyFont="1" applyFill="1" applyBorder="1"/>
    <xf numFmtId="165" fontId="7" fillId="2" borderId="18" xfId="2" applyNumberFormat="1" applyFont="1" applyFill="1" applyBorder="1"/>
    <xf numFmtId="165" fontId="7" fillId="2" borderId="19" xfId="2" applyNumberFormat="1" applyFont="1" applyFill="1" applyBorder="1"/>
    <xf numFmtId="7" fontId="7" fillId="2" borderId="16" xfId="2" applyNumberFormat="1" applyFont="1" applyFill="1" applyBorder="1"/>
    <xf numFmtId="7" fontId="7" fillId="2" borderId="19" xfId="2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/>
    </xf>
    <xf numFmtId="14" fontId="7" fillId="2" borderId="16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7" fillId="2" borderId="17" xfId="0" applyNumberFormat="1" applyFont="1" applyFill="1" applyBorder="1" applyAlignment="1">
      <alignment horizontal="center"/>
    </xf>
    <xf numFmtId="14" fontId="7" fillId="2" borderId="19" xfId="0" applyNumberFormat="1" applyFont="1" applyFill="1" applyBorder="1" applyAlignment="1">
      <alignment horizontal="center"/>
    </xf>
    <xf numFmtId="0" fontId="10" fillId="0" borderId="0" xfId="0" quotePrefix="1" applyFont="1" applyFill="1" applyAlignment="1">
      <alignment vertical="center"/>
    </xf>
    <xf numFmtId="0" fontId="2" fillId="3" borderId="7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2" fillId="3" borderId="8" xfId="4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quotePrefix="1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6" fontId="6" fillId="2" borderId="9" xfId="2" applyNumberFormat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0000FF"/>
      <color rgb="FF00D05E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plotArea>
      <cx:plotAreaRegion>
        <cx:series layoutId="boxWhisker" uniqueId="{075D300C-6E88-4588-9420-4BB7810DCED8}" formatIdx="3">
          <cx:tx>
            <cx:txData>
              <cx:f>_xlchart.v1.1</cx:f>
              <cx:v>2023 Vintage Secondary Market Price Boxplot</cx:v>
            </cx:txData>
          </cx:tx>
          <cx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2"/>
              </a:solidFill>
            </a:ln>
          </cx:spPr>
          <cx:dataLabels pos="r">
            <cx:txPr>
              <a:bodyPr spcFirstLastPara="1" vertOverflow="ellipsis" wrap="square" lIns="0" tIns="0" rIns="0" bIns="0" anchor="ctr" anchorCtr="1"/>
              <a:lstStyle/>
              <a:p>
                <a:pPr>
                  <a:defRPr lang="en-US" sz="1000" b="0" i="0" u="none" strike="noStrike" baseline="0">
                    <a:solidFill>
                      <a:srgbClr val="C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 sz="1000">
                  <a:solidFill>
                    <a:srgbClr val="C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x:txPr>
            <cx:visibility seriesName="0" categoryName="0" value="1"/>
          </cx:dataLabels>
          <cx:dataId val="0"/>
          <cx:layoutPr>
            <cx:visibility meanLine="1" meanMarker="1" nonoutliers="0" outliers="1"/>
            <cx:statistics quartileMethod="exclusive"/>
          </cx:layoutPr>
        </cx:series>
      </cx:plotAreaRegion>
      <cx:axis id="0" hidden="1">
        <cx:catScaling gapWidth="1.5"/>
        <cx:tickLabels/>
      </cx:axis>
      <cx:axis id="1">
        <cx:valScaling max="90" min="20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sz="10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x:txPr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baseline="0"/>
    <cs:bodyPr rot="-60000000" vert="horz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/>
    <cs:fillRef idx="0"/>
    <cs:effectRef idx="0"/>
    <cs:fontRef idx="minor">
      <a:schemeClr val="dk1"/>
    </cs:fontRef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lumMod val="60000"/>
        </a:schemeClr>
      </a:solidFill>
      <a:ln w="9525" cap="flat" cmpd="sng" algn="ctr">
        <a:solidFill>
          <a:schemeClr val="phClr">
            <a:lumMod val="6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25400" cap="sq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ajor">
      <a:schemeClr val="tx1">
        <a:lumMod val="50000"/>
        <a:lumOff val="50000"/>
      </a:schemeClr>
    </cs:fontRef>
    <cs:defRPr sz="1400" b="1" i="0" kern="1200" spc="20" baseline="0"/>
    <cs:bodyPr rot="0" vert="horz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  <cs:bodyPr rot="-60000000" vert="horz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7</xdr:col>
      <xdr:colOff>548640</xdr:colOff>
      <xdr:row>12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944880"/>
          <a:ext cx="237744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12</xdr:col>
      <xdr:colOff>541020</xdr:colOff>
      <xdr:row>17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2872740"/>
          <a:ext cx="237744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3" name="Picture 2" descr="https://sphweb.bumc.bu.edu/otlt/mph-modules/bs/bs704_probability/ada-reference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537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219074</xdr:colOff>
      <xdr:row>33</xdr:row>
      <xdr:rowOff>114299</xdr:rowOff>
    </xdr:from>
    <xdr:to>
      <xdr:col>2</xdr:col>
      <xdr:colOff>714374</xdr:colOff>
      <xdr:row>53</xdr:row>
      <xdr:rowOff>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7699" y="5619749"/>
              <a:ext cx="3476625" cy="31242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1247775</xdr:colOff>
      <xdr:row>83</xdr:row>
      <xdr:rowOff>152400</xdr:rowOff>
    </xdr:from>
    <xdr:to>
      <xdr:col>3</xdr:col>
      <xdr:colOff>758190</xdr:colOff>
      <xdr:row>88</xdr:row>
      <xdr:rowOff>13335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5344775"/>
          <a:ext cx="2282190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1264920</xdr:colOff>
      <xdr:row>31</xdr:row>
      <xdr:rowOff>45720</xdr:rowOff>
    </xdr:from>
    <xdr:to>
      <xdr:col>6</xdr:col>
      <xdr:colOff>175260</xdr:colOff>
      <xdr:row>35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5638800"/>
          <a:ext cx="237744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1"/>
  <sheetViews>
    <sheetView tabSelected="1" workbookViewId="0">
      <selection activeCell="G4" sqref="G4"/>
    </sheetView>
  </sheetViews>
  <sheetFormatPr defaultColWidth="8.85546875" defaultRowHeight="11.25" x14ac:dyDescent="0.2"/>
  <cols>
    <col min="1" max="1" width="11.140625" style="125" customWidth="1"/>
    <col min="2" max="16384" width="8.85546875" style="125"/>
  </cols>
  <sheetData>
    <row r="1" spans="1:13" ht="12" thickBot="1" x14ac:dyDescent="0.2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</sheetData>
  <mergeCells count="1">
    <mergeCell ref="A1:M1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zoomScaleNormal="100" workbookViewId="0">
      <pane ySplit="8" topLeftCell="A9" activePane="bottomLeft" state="frozen"/>
      <selection pane="bottomLeft" activeCell="F4" sqref="F4"/>
    </sheetView>
  </sheetViews>
  <sheetFormatPr defaultColWidth="9.140625" defaultRowHeight="11.25" x14ac:dyDescent="0.2"/>
  <cols>
    <col min="1" max="1" width="6" style="1" customWidth="1"/>
    <col min="2" max="2" width="9.42578125" style="1" customWidth="1"/>
    <col min="3" max="3" width="19.42578125" style="1" bestFit="1" customWidth="1"/>
    <col min="4" max="4" width="17.5703125" style="1" bestFit="1" customWidth="1"/>
    <col min="5" max="5" width="1.85546875" style="1" customWidth="1"/>
    <col min="6" max="6" width="42.140625" style="1" customWidth="1"/>
    <col min="7" max="7" width="23.85546875" style="1" bestFit="1" customWidth="1"/>
    <col min="8" max="8" width="1.85546875" style="1" customWidth="1"/>
    <col min="9" max="9" width="24.28515625" style="1" bestFit="1" customWidth="1"/>
    <col min="10" max="10" width="21.85546875" style="1" bestFit="1" customWidth="1"/>
    <col min="11" max="11" width="1.85546875" style="1" customWidth="1"/>
    <col min="12" max="12" width="25.85546875" style="1" bestFit="1" customWidth="1"/>
    <col min="13" max="13" width="9.140625" style="1"/>
    <col min="14" max="14" width="14.7109375" style="1" bestFit="1" customWidth="1"/>
    <col min="15" max="15" width="9.140625" style="1"/>
    <col min="16" max="16" width="12.85546875" style="1" bestFit="1" customWidth="1"/>
    <col min="17" max="17" width="9.140625" style="1"/>
    <col min="18" max="18" width="14.7109375" style="1" bestFit="1" customWidth="1"/>
    <col min="19" max="19" width="7.28515625" style="1" bestFit="1" customWidth="1"/>
    <col min="20" max="16384" width="9.140625" style="1"/>
  </cols>
  <sheetData>
    <row r="1" spans="1:20" ht="12.75" x14ac:dyDescent="0.2">
      <c r="A1" s="175" t="s">
        <v>81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3"/>
      <c r="N1" s="3"/>
      <c r="O1" s="3"/>
      <c r="P1" s="3"/>
      <c r="Q1" s="3"/>
      <c r="R1" s="3"/>
      <c r="S1" s="3"/>
    </row>
    <row r="2" spans="1:20" ht="12.75" x14ac:dyDescent="0.2">
      <c r="A2" s="175" t="s">
        <v>155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3"/>
      <c r="N2" s="3"/>
      <c r="O2" s="3"/>
      <c r="P2" s="3"/>
      <c r="Q2" s="3"/>
      <c r="R2" s="3"/>
      <c r="S2" s="3"/>
    </row>
    <row r="3" spans="1:20" ht="12.75" x14ac:dyDescent="0.2">
      <c r="A3" s="175" t="s">
        <v>152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20" ht="12.75" x14ac:dyDescent="0.2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0" ht="12.75" x14ac:dyDescent="0.2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0" s="3" customFormat="1" ht="12.75" x14ac:dyDescent="0.2">
      <c r="A6" s="34"/>
      <c r="B6" s="35"/>
      <c r="C6" s="36" t="s">
        <v>104</v>
      </c>
      <c r="D6" s="36"/>
      <c r="E6" s="16"/>
      <c r="F6" s="36" t="s">
        <v>86</v>
      </c>
      <c r="G6" s="36"/>
      <c r="H6" s="15"/>
      <c r="I6" s="36" t="s">
        <v>154</v>
      </c>
      <c r="J6" s="36"/>
      <c r="K6" s="15"/>
      <c r="L6" s="13"/>
    </row>
    <row r="7" spans="1:20" s="3" customFormat="1" ht="27" x14ac:dyDescent="0.25">
      <c r="A7" s="37" t="s">
        <v>51</v>
      </c>
      <c r="B7" s="38" t="s">
        <v>47</v>
      </c>
      <c r="C7" s="38" t="s">
        <v>65</v>
      </c>
      <c r="D7" s="38" t="s">
        <v>20</v>
      </c>
      <c r="E7" s="38"/>
      <c r="F7" s="37" t="s">
        <v>99</v>
      </c>
      <c r="G7" s="37" t="s">
        <v>100</v>
      </c>
      <c r="H7" s="38"/>
      <c r="I7" s="37" t="s">
        <v>99</v>
      </c>
      <c r="J7" s="37" t="s">
        <v>100</v>
      </c>
      <c r="K7" s="38"/>
      <c r="L7" s="37" t="s">
        <v>85</v>
      </c>
    </row>
    <row r="8" spans="1:20" ht="12.75" x14ac:dyDescent="0.2">
      <c r="A8" s="20"/>
      <c r="B8" s="21" t="s">
        <v>52</v>
      </c>
      <c r="C8" s="21" t="s">
        <v>53</v>
      </c>
      <c r="D8" s="21" t="s">
        <v>54</v>
      </c>
      <c r="E8" s="21"/>
      <c r="F8" s="21" t="s">
        <v>55</v>
      </c>
      <c r="G8" s="21" t="s">
        <v>69</v>
      </c>
      <c r="H8" s="21"/>
      <c r="I8" s="21" t="s">
        <v>70</v>
      </c>
      <c r="J8" s="21" t="s">
        <v>71</v>
      </c>
      <c r="K8" s="21"/>
      <c r="L8" s="39" t="s">
        <v>84</v>
      </c>
      <c r="N8" s="5"/>
      <c r="O8" s="2"/>
      <c r="R8" s="5"/>
    </row>
    <row r="9" spans="1:20" ht="51" x14ac:dyDescent="0.2">
      <c r="A9" s="47">
        <v>1</v>
      </c>
      <c r="B9" s="48" t="s">
        <v>48</v>
      </c>
      <c r="C9" s="40" t="s">
        <v>114</v>
      </c>
      <c r="D9" s="40" t="s">
        <v>117</v>
      </c>
      <c r="E9" s="27"/>
      <c r="F9" s="41" t="s">
        <v>124</v>
      </c>
      <c r="G9" s="42" t="s">
        <v>111</v>
      </c>
      <c r="H9" s="27"/>
      <c r="I9" s="41" t="s">
        <v>119</v>
      </c>
      <c r="J9" s="42" t="s">
        <v>110</v>
      </c>
      <c r="K9" s="27"/>
      <c r="L9" s="41" t="s">
        <v>109</v>
      </c>
      <c r="N9" s="5"/>
      <c r="O9" s="2"/>
      <c r="P9" s="2"/>
      <c r="R9" s="6"/>
      <c r="S9" s="2"/>
      <c r="T9" s="2"/>
    </row>
    <row r="10" spans="1:20" ht="38.25" x14ac:dyDescent="0.2">
      <c r="A10" s="47">
        <f>A9+1</f>
        <v>2</v>
      </c>
      <c r="B10" s="48" t="s">
        <v>49</v>
      </c>
      <c r="C10" s="40" t="s">
        <v>107</v>
      </c>
      <c r="D10" s="40" t="s">
        <v>116</v>
      </c>
      <c r="E10" s="27"/>
      <c r="F10" s="43" t="s">
        <v>120</v>
      </c>
      <c r="G10" s="44" t="s">
        <v>112</v>
      </c>
      <c r="H10" s="27"/>
      <c r="I10" s="41" t="s">
        <v>119</v>
      </c>
      <c r="J10" s="42" t="s">
        <v>110</v>
      </c>
      <c r="K10" s="27"/>
      <c r="L10" s="41" t="s">
        <v>109</v>
      </c>
      <c r="N10" s="5"/>
      <c r="O10" s="2"/>
      <c r="P10" s="5"/>
      <c r="Q10" s="2"/>
      <c r="R10" s="6"/>
      <c r="S10" s="2"/>
    </row>
    <row r="11" spans="1:20" ht="38.25" x14ac:dyDescent="0.2">
      <c r="A11" s="47">
        <f>A10+1</f>
        <v>3</v>
      </c>
      <c r="B11" s="48" t="s">
        <v>50</v>
      </c>
      <c r="C11" s="40" t="s">
        <v>106</v>
      </c>
      <c r="D11" s="40" t="s">
        <v>115</v>
      </c>
      <c r="E11" s="27"/>
      <c r="F11" s="43" t="s">
        <v>121</v>
      </c>
      <c r="G11" s="44" t="s">
        <v>113</v>
      </c>
      <c r="H11" s="27"/>
      <c r="I11" s="41" t="s">
        <v>119</v>
      </c>
      <c r="J11" s="42" t="s">
        <v>110</v>
      </c>
      <c r="K11" s="27"/>
      <c r="L11" s="41" t="s">
        <v>109</v>
      </c>
    </row>
    <row r="12" spans="1:20" ht="12.75" x14ac:dyDescent="0.2">
      <c r="A12" s="145">
        <f t="shared" ref="A12:A18" si="0">A11+1</f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N12" s="5"/>
      <c r="O12" s="2"/>
      <c r="R12" s="5"/>
    </row>
    <row r="13" spans="1:20" ht="12.75" x14ac:dyDescent="0.2">
      <c r="A13" s="145">
        <f t="shared" si="0"/>
        <v>5</v>
      </c>
      <c r="B13" s="10" t="s">
        <v>67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20" ht="12.75" x14ac:dyDescent="0.2">
      <c r="A14" s="145">
        <f t="shared" si="0"/>
        <v>6</v>
      </c>
      <c r="B14" s="8" t="s">
        <v>101</v>
      </c>
      <c r="C14" s="8"/>
      <c r="D14" s="8"/>
      <c r="E14" s="8"/>
      <c r="F14" s="45" t="s">
        <v>123</v>
      </c>
      <c r="G14" s="8"/>
      <c r="H14" s="8"/>
      <c r="I14" s="31"/>
      <c r="J14" s="8"/>
      <c r="K14" s="8"/>
      <c r="L14" s="31"/>
      <c r="N14" s="5"/>
      <c r="O14" s="2"/>
      <c r="P14" s="2"/>
    </row>
    <row r="15" spans="1:20" ht="12.75" x14ac:dyDescent="0.2">
      <c r="A15" s="145">
        <f t="shared" si="0"/>
        <v>7</v>
      </c>
      <c r="B15" s="8" t="s">
        <v>103</v>
      </c>
      <c r="C15" s="8"/>
      <c r="D15" s="8"/>
      <c r="E15" s="8"/>
      <c r="F15" s="45" t="s">
        <v>122</v>
      </c>
      <c r="G15" s="8"/>
      <c r="H15" s="8"/>
      <c r="I15" s="31"/>
      <c r="J15" s="8"/>
      <c r="K15" s="8"/>
      <c r="L15" s="8"/>
    </row>
    <row r="16" spans="1:20" ht="12.75" x14ac:dyDescent="0.2">
      <c r="A16" s="145">
        <f t="shared" si="0"/>
        <v>8</v>
      </c>
      <c r="B16" s="8" t="s">
        <v>118</v>
      </c>
      <c r="C16" s="8"/>
      <c r="D16" s="8"/>
      <c r="E16" s="8"/>
      <c r="F16" s="46" t="s">
        <v>108</v>
      </c>
      <c r="G16" s="8"/>
      <c r="H16" s="8"/>
      <c r="I16" s="31"/>
      <c r="J16" s="8"/>
      <c r="K16" s="8"/>
      <c r="L16" s="8"/>
    </row>
    <row r="17" spans="1:14" ht="12.75" x14ac:dyDescent="0.2">
      <c r="A17" s="145">
        <f t="shared" si="0"/>
        <v>9</v>
      </c>
      <c r="B17" s="8"/>
      <c r="C17" s="8"/>
      <c r="D17" s="8"/>
      <c r="E17" s="8"/>
      <c r="F17" s="8"/>
      <c r="G17" s="24"/>
      <c r="H17" s="8"/>
      <c r="I17" s="24"/>
      <c r="J17" s="24"/>
      <c r="K17" s="8"/>
      <c r="L17" s="32"/>
      <c r="N17" s="7"/>
    </row>
    <row r="18" spans="1:14" ht="12.75" x14ac:dyDescent="0.2">
      <c r="A18" s="145">
        <f t="shared" si="0"/>
        <v>10</v>
      </c>
      <c r="B18" s="33" t="s">
        <v>87</v>
      </c>
      <c r="C18" s="8"/>
      <c r="D18" s="8"/>
      <c r="E18" s="8"/>
      <c r="F18" s="8"/>
      <c r="G18" s="24"/>
      <c r="H18" s="8"/>
      <c r="I18" s="8"/>
      <c r="J18" s="8"/>
      <c r="K18" s="8"/>
      <c r="L18" s="32"/>
      <c r="N18" s="7"/>
    </row>
    <row r="19" spans="1:14" x14ac:dyDescent="0.2">
      <c r="G19" s="2"/>
      <c r="I19" s="2"/>
      <c r="J19" s="2"/>
      <c r="L19" s="4"/>
      <c r="N19" s="7"/>
    </row>
    <row r="20" spans="1:14" x14ac:dyDescent="0.2">
      <c r="N20" s="7"/>
    </row>
    <row r="21" spans="1:14" x14ac:dyDescent="0.2">
      <c r="N21" s="7"/>
    </row>
    <row r="24" spans="1:14" x14ac:dyDescent="0.2">
      <c r="L24" s="4"/>
    </row>
    <row r="25" spans="1:14" x14ac:dyDescent="0.2">
      <c r="L25" s="4"/>
    </row>
    <row r="26" spans="1:14" x14ac:dyDescent="0.2">
      <c r="L26" s="4"/>
    </row>
  </sheetData>
  <mergeCells count="3">
    <mergeCell ref="A1:L1"/>
    <mergeCell ref="A2:L2"/>
    <mergeCell ref="A3:L3"/>
  </mergeCells>
  <printOptions horizontalCentered="1"/>
  <pageMargins left="0.7" right="0.7" top="0.75" bottom="0.75" header="0.3" footer="0.3"/>
  <pageSetup scale="62" orientation="landscape" horizontalDpi="360" verticalDpi="360" r:id="rId1"/>
  <headerFooter>
    <oddFooter>&amp;R&amp;F
&amp;A
Page 1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T26"/>
  <sheetViews>
    <sheetView zoomScaleNormal="100" workbookViewId="0">
      <selection activeCell="P23" sqref="P23"/>
    </sheetView>
  </sheetViews>
  <sheetFormatPr defaultColWidth="9.140625" defaultRowHeight="12.75" x14ac:dyDescent="0.2"/>
  <cols>
    <col min="1" max="1" width="5.42578125" style="8" customWidth="1"/>
    <col min="2" max="2" width="5" style="8" customWidth="1"/>
    <col min="3" max="5" width="17.28515625" style="8" customWidth="1"/>
    <col min="6" max="6" width="1.85546875" style="8" customWidth="1"/>
    <col min="7" max="7" width="15.85546875" style="8" customWidth="1"/>
    <col min="8" max="8" width="9.28515625" style="8" bestFit="1" customWidth="1"/>
    <col min="9" max="9" width="1.85546875" style="8" customWidth="1"/>
    <col min="10" max="10" width="13.7109375" style="8" bestFit="1" customWidth="1"/>
    <col min="11" max="11" width="9.28515625" style="8" bestFit="1" customWidth="1"/>
    <col min="12" max="12" width="1.85546875" style="8" customWidth="1"/>
    <col min="13" max="13" width="13.85546875" style="8" customWidth="1"/>
    <col min="14" max="14" width="14.7109375" style="8" bestFit="1" customWidth="1"/>
    <col min="15" max="15" width="9.140625" style="8"/>
    <col min="16" max="16" width="12.85546875" style="8" bestFit="1" customWidth="1"/>
    <col min="17" max="17" width="9.140625" style="8"/>
    <col min="18" max="18" width="14.7109375" style="8" bestFit="1" customWidth="1"/>
    <col min="19" max="19" width="7.28515625" style="8" bestFit="1" customWidth="1"/>
    <col min="20" max="16384" width="9.140625" style="8"/>
  </cols>
  <sheetData>
    <row r="1" spans="1:20" x14ac:dyDescent="0.2">
      <c r="A1" s="175" t="s">
        <v>81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0" x14ac:dyDescent="0.2">
      <c r="A2" s="175" t="s">
        <v>155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20" x14ac:dyDescent="0.2">
      <c r="A3" s="175" t="s">
        <v>153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5" spans="1:20" x14ac:dyDescent="0.2">
      <c r="B5" s="11"/>
      <c r="D5" s="11"/>
      <c r="E5" s="11"/>
      <c r="F5" s="11"/>
      <c r="G5" s="11"/>
      <c r="H5" s="11"/>
      <c r="I5" s="11"/>
      <c r="J5" s="11"/>
      <c r="K5" s="11"/>
      <c r="L5" s="11"/>
    </row>
    <row r="6" spans="1:20" x14ac:dyDescent="0.2">
      <c r="B6" s="12"/>
      <c r="C6" s="13"/>
      <c r="D6" s="14" t="s">
        <v>64</v>
      </c>
      <c r="E6" s="15"/>
      <c r="F6" s="16"/>
      <c r="G6" s="14" t="s">
        <v>131</v>
      </c>
      <c r="H6" s="15"/>
      <c r="I6" s="15"/>
      <c r="J6" s="14" t="s">
        <v>154</v>
      </c>
      <c r="K6" s="15"/>
      <c r="L6" s="15"/>
      <c r="M6" s="13"/>
    </row>
    <row r="7" spans="1:20" ht="25.5" x14ac:dyDescent="0.2">
      <c r="B7" s="17" t="s">
        <v>51</v>
      </c>
      <c r="C7" s="18" t="s">
        <v>47</v>
      </c>
      <c r="D7" s="18" t="s">
        <v>65</v>
      </c>
      <c r="E7" s="18" t="s">
        <v>20</v>
      </c>
      <c r="F7" s="18"/>
      <c r="G7" s="19" t="s">
        <v>149</v>
      </c>
      <c r="H7" s="19" t="s">
        <v>100</v>
      </c>
      <c r="I7" s="18"/>
      <c r="J7" s="19" t="s">
        <v>149</v>
      </c>
      <c r="K7" s="19" t="s">
        <v>100</v>
      </c>
      <c r="L7" s="18"/>
      <c r="M7" s="19" t="s">
        <v>85</v>
      </c>
    </row>
    <row r="8" spans="1:20" ht="13.5" thickBot="1" x14ac:dyDescent="0.25">
      <c r="B8" s="20"/>
      <c r="C8" s="21" t="s">
        <v>52</v>
      </c>
      <c r="D8" s="21" t="s">
        <v>53</v>
      </c>
      <c r="E8" s="21" t="s">
        <v>54</v>
      </c>
      <c r="F8" s="21"/>
      <c r="G8" s="22" t="s">
        <v>55</v>
      </c>
      <c r="H8" s="21" t="s">
        <v>69</v>
      </c>
      <c r="I8" s="21"/>
      <c r="J8" s="22" t="s">
        <v>70</v>
      </c>
      <c r="K8" s="21" t="s">
        <v>71</v>
      </c>
      <c r="L8" s="21"/>
      <c r="M8" s="22" t="s">
        <v>84</v>
      </c>
      <c r="N8" s="23"/>
      <c r="O8" s="24"/>
      <c r="R8" s="23"/>
    </row>
    <row r="9" spans="1:20" ht="13.5" thickBot="1" x14ac:dyDescent="0.25">
      <c r="B9" s="11">
        <v>1</v>
      </c>
      <c r="C9" s="25" t="s">
        <v>48</v>
      </c>
      <c r="D9" s="26">
        <f>'Exh CTM-3C (23 Vtg Statistics)'!C7</f>
        <v>81.47</v>
      </c>
      <c r="E9" s="27">
        <f>D10+0.01</f>
        <v>69.010000000000005</v>
      </c>
      <c r="F9" s="27"/>
      <c r="G9" s="185" t="s">
        <v>156</v>
      </c>
      <c r="H9" s="28">
        <f>H10*2</f>
        <v>0.2</v>
      </c>
      <c r="I9" s="27"/>
      <c r="J9" s="185" t="s">
        <v>156</v>
      </c>
      <c r="K9" s="28">
        <f t="shared" ref="K9:K11" si="0">1-H9</f>
        <v>0.8</v>
      </c>
      <c r="L9" s="27"/>
      <c r="M9" s="185" t="s">
        <v>156</v>
      </c>
      <c r="N9" s="23"/>
      <c r="O9" s="24"/>
      <c r="P9" s="24"/>
      <c r="R9" s="29"/>
      <c r="S9" s="24"/>
      <c r="T9" s="24"/>
    </row>
    <row r="10" spans="1:20" ht="13.5" thickBot="1" x14ac:dyDescent="0.25">
      <c r="B10" s="11">
        <f>B9+1</f>
        <v>2</v>
      </c>
      <c r="C10" s="25" t="s">
        <v>49</v>
      </c>
      <c r="D10" s="26">
        <f>'Exh CTM-3C (23 Vtg Statistics)'!C29</f>
        <v>69</v>
      </c>
      <c r="E10" s="27">
        <f>D11+0.01</f>
        <v>65.260000000000005</v>
      </c>
      <c r="F10" s="27"/>
      <c r="G10" s="185" t="s">
        <v>156</v>
      </c>
      <c r="H10" s="30">
        <v>0.1</v>
      </c>
      <c r="I10" s="27"/>
      <c r="J10" s="185" t="s">
        <v>156</v>
      </c>
      <c r="K10" s="28">
        <f t="shared" si="0"/>
        <v>0.9</v>
      </c>
      <c r="L10" s="27"/>
      <c r="M10" s="185" t="s">
        <v>156</v>
      </c>
      <c r="N10" s="23"/>
      <c r="O10" s="24"/>
      <c r="P10" s="23"/>
      <c r="Q10" s="24"/>
      <c r="R10" s="29"/>
      <c r="S10" s="24"/>
    </row>
    <row r="11" spans="1:20" x14ac:dyDescent="0.2">
      <c r="B11" s="11">
        <f>B10+1</f>
        <v>3</v>
      </c>
      <c r="C11" s="25" t="s">
        <v>50</v>
      </c>
      <c r="D11" s="26">
        <f>'Exh CTM-3C (23 Vtg Statistics)'!C28</f>
        <v>65.25</v>
      </c>
      <c r="E11" s="26">
        <f>'Exh CTM-3C (23 Vtg Statistics)'!C8</f>
        <v>22.2</v>
      </c>
      <c r="F11" s="27"/>
      <c r="G11" s="185" t="s">
        <v>156</v>
      </c>
      <c r="H11" s="30">
        <v>0</v>
      </c>
      <c r="I11" s="27"/>
      <c r="J11" s="185" t="s">
        <v>156</v>
      </c>
      <c r="K11" s="28">
        <f t="shared" si="0"/>
        <v>1</v>
      </c>
      <c r="L11" s="27"/>
      <c r="M11" s="185" t="s">
        <v>156</v>
      </c>
      <c r="N11" s="23"/>
    </row>
    <row r="12" spans="1:20" x14ac:dyDescent="0.2">
      <c r="B12" s="11">
        <f t="shared" ref="B12:B18" si="1">B11+1</f>
        <v>4</v>
      </c>
      <c r="N12" s="23"/>
      <c r="O12" s="24"/>
      <c r="R12" s="23"/>
    </row>
    <row r="13" spans="1:20" x14ac:dyDescent="0.2">
      <c r="B13" s="11">
        <f t="shared" si="1"/>
        <v>5</v>
      </c>
      <c r="C13" s="10" t="s">
        <v>67</v>
      </c>
    </row>
    <row r="14" spans="1:20" ht="13.5" thickBot="1" x14ac:dyDescent="0.25">
      <c r="B14" s="11">
        <f t="shared" si="1"/>
        <v>6</v>
      </c>
      <c r="C14" s="8" t="s">
        <v>101</v>
      </c>
      <c r="G14" s="119">
        <v>55.59</v>
      </c>
      <c r="J14" s="31"/>
      <c r="M14" s="31"/>
      <c r="N14" s="23"/>
      <c r="O14" s="24"/>
      <c r="P14" s="24"/>
    </row>
    <row r="15" spans="1:20" ht="13.5" thickBot="1" x14ac:dyDescent="0.25">
      <c r="B15" s="11">
        <f t="shared" si="1"/>
        <v>7</v>
      </c>
      <c r="C15" s="8" t="s">
        <v>103</v>
      </c>
      <c r="G15" s="185" t="s">
        <v>156</v>
      </c>
      <c r="J15" s="31"/>
    </row>
    <row r="16" spans="1:20" x14ac:dyDescent="0.2">
      <c r="B16" s="11">
        <f t="shared" si="1"/>
        <v>8</v>
      </c>
      <c r="C16" s="8" t="s">
        <v>118</v>
      </c>
      <c r="G16" s="185" t="s">
        <v>156</v>
      </c>
      <c r="J16" s="31"/>
    </row>
    <row r="17" spans="2:14" x14ac:dyDescent="0.2">
      <c r="B17" s="11">
        <f t="shared" si="1"/>
        <v>9</v>
      </c>
      <c r="H17" s="24"/>
      <c r="J17" s="24"/>
      <c r="K17" s="24"/>
      <c r="M17" s="32"/>
      <c r="N17" s="9"/>
    </row>
    <row r="18" spans="2:14" x14ac:dyDescent="0.2">
      <c r="B18" s="11">
        <f t="shared" si="1"/>
        <v>10</v>
      </c>
      <c r="C18" s="33" t="s">
        <v>87</v>
      </c>
      <c r="H18" s="24"/>
      <c r="M18" s="32"/>
      <c r="N18" s="9"/>
    </row>
    <row r="19" spans="2:14" x14ac:dyDescent="0.2">
      <c r="H19" s="24"/>
      <c r="J19" s="24"/>
      <c r="K19" s="24"/>
      <c r="M19" s="32"/>
      <c r="N19" s="9"/>
    </row>
    <row r="20" spans="2:14" x14ac:dyDescent="0.2">
      <c r="N20" s="9"/>
    </row>
    <row r="24" spans="2:14" x14ac:dyDescent="0.2">
      <c r="M24" s="32"/>
    </row>
    <row r="25" spans="2:14" x14ac:dyDescent="0.2">
      <c r="M25" s="32"/>
    </row>
    <row r="26" spans="2:14" x14ac:dyDescent="0.2">
      <c r="M26" s="32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94" orientation="landscape" r:id="rId1"/>
  <headerFooter>
    <oddFooter>&amp;R&amp;F
&amp;A
Page 1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zoomScaleNormal="100" workbookViewId="0">
      <pane ySplit="9" topLeftCell="A10" activePane="bottomLeft" state="frozen"/>
      <selection activeCell="F9" sqref="F9"/>
      <selection pane="bottomLeft" activeCell="A2" sqref="A2"/>
    </sheetView>
  </sheetViews>
  <sheetFormatPr defaultColWidth="9.140625" defaultRowHeight="12.75" x14ac:dyDescent="0.2"/>
  <cols>
    <col min="1" max="1" width="4.5703125" style="8" bestFit="1" customWidth="1"/>
    <col min="2" max="2" width="29.85546875" style="8" bestFit="1" customWidth="1"/>
    <col min="3" max="3" width="61.7109375" style="8" customWidth="1"/>
    <col min="4" max="4" width="13.28515625" style="8" bestFit="1" customWidth="1"/>
    <col min="5" max="5" width="5.5703125" style="8" customWidth="1"/>
    <col min="6" max="8" width="13.28515625" style="8" bestFit="1" customWidth="1"/>
    <col min="9" max="16384" width="9.140625" style="8"/>
  </cols>
  <sheetData>
    <row r="1" spans="1:8" s="51" customFormat="1" x14ac:dyDescent="0.2">
      <c r="A1" s="49" t="s">
        <v>81</v>
      </c>
      <c r="B1" s="50"/>
      <c r="C1" s="50"/>
      <c r="D1" s="50"/>
      <c r="E1" s="137"/>
      <c r="F1" s="50"/>
      <c r="G1" s="50"/>
      <c r="H1" s="50"/>
    </row>
    <row r="2" spans="1:8" s="51" customFormat="1" x14ac:dyDescent="0.2">
      <c r="A2" s="49" t="s">
        <v>155</v>
      </c>
      <c r="B2" s="50"/>
      <c r="C2" s="50"/>
      <c r="D2" s="50"/>
      <c r="E2" s="137"/>
      <c r="F2" s="137"/>
      <c r="G2" s="137"/>
      <c r="H2" s="137"/>
    </row>
    <row r="3" spans="1:8" s="51" customFormat="1" x14ac:dyDescent="0.2">
      <c r="A3" s="49" t="s">
        <v>141</v>
      </c>
      <c r="B3" s="50"/>
      <c r="C3" s="50"/>
      <c r="D3" s="50"/>
      <c r="E3" s="137"/>
      <c r="F3" s="50"/>
      <c r="G3" s="50"/>
      <c r="H3" s="50"/>
    </row>
    <row r="4" spans="1:8" s="51" customFormat="1" x14ac:dyDescent="0.2">
      <c r="A4" s="49" t="s">
        <v>96</v>
      </c>
      <c r="B4" s="50"/>
      <c r="C4" s="50"/>
      <c r="D4" s="50"/>
      <c r="E4" s="137"/>
      <c r="F4" s="50"/>
      <c r="G4" s="50"/>
      <c r="H4" s="50"/>
    </row>
    <row r="5" spans="1:8" s="51" customFormat="1" x14ac:dyDescent="0.2">
      <c r="A5" s="49" t="s">
        <v>97</v>
      </c>
      <c r="B5" s="50"/>
      <c r="C5" s="50"/>
      <c r="D5" s="50"/>
      <c r="E5" s="137"/>
      <c r="F5" s="50"/>
      <c r="G5" s="50"/>
      <c r="H5" s="50"/>
    </row>
    <row r="6" spans="1:8" s="51" customFormat="1" x14ac:dyDescent="0.2">
      <c r="B6" s="52"/>
      <c r="C6" s="52"/>
    </row>
    <row r="7" spans="1:8" s="51" customFormat="1" x14ac:dyDescent="0.2">
      <c r="D7" s="53"/>
      <c r="F7" s="136" t="s">
        <v>143</v>
      </c>
      <c r="G7" s="136"/>
      <c r="H7" s="136"/>
    </row>
    <row r="8" spans="1:8" s="51" customFormat="1" ht="38.25" x14ac:dyDescent="0.2">
      <c r="A8" s="54" t="s">
        <v>51</v>
      </c>
      <c r="B8" s="55" t="s">
        <v>58</v>
      </c>
      <c r="C8" s="55" t="s">
        <v>80</v>
      </c>
      <c r="D8" s="56" t="s">
        <v>137</v>
      </c>
      <c r="E8" s="56"/>
      <c r="F8" s="56" t="s">
        <v>146</v>
      </c>
      <c r="G8" s="56" t="s">
        <v>145</v>
      </c>
      <c r="H8" s="56" t="s">
        <v>144</v>
      </c>
    </row>
    <row r="9" spans="1:8" s="51" customFormat="1" x14ac:dyDescent="0.2">
      <c r="A9" s="57"/>
      <c r="B9" s="58" t="s">
        <v>52</v>
      </c>
      <c r="C9" s="59" t="s">
        <v>53</v>
      </c>
      <c r="D9" s="60" t="s">
        <v>54</v>
      </c>
      <c r="F9" s="60" t="s">
        <v>55</v>
      </c>
      <c r="G9" s="60" t="s">
        <v>69</v>
      </c>
      <c r="H9" s="60" t="s">
        <v>70</v>
      </c>
    </row>
    <row r="10" spans="1:8" s="51" customFormat="1" x14ac:dyDescent="0.2">
      <c r="A10" s="61">
        <v>1</v>
      </c>
      <c r="B10" s="128"/>
      <c r="C10" s="122"/>
      <c r="D10" s="62"/>
      <c r="F10" s="62"/>
      <c r="G10" s="62"/>
      <c r="H10" s="62"/>
    </row>
    <row r="11" spans="1:8" s="51" customFormat="1" x14ac:dyDescent="0.2">
      <c r="A11" s="129">
        <f t="shared" ref="A11:A14" si="0">+A10+1</f>
        <v>2</v>
      </c>
      <c r="B11" s="128" t="s">
        <v>82</v>
      </c>
      <c r="C11" s="132" t="s">
        <v>138</v>
      </c>
      <c r="D11" s="130">
        <v>2920839628.252717</v>
      </c>
      <c r="F11" s="130">
        <v>2920839628.252717</v>
      </c>
      <c r="G11" s="130">
        <v>2920839628.252717</v>
      </c>
      <c r="H11" s="130">
        <v>2920839628.252717</v>
      </c>
    </row>
    <row r="12" spans="1:8" s="51" customFormat="1" x14ac:dyDescent="0.2">
      <c r="A12" s="129">
        <f t="shared" si="0"/>
        <v>3</v>
      </c>
      <c r="B12" s="128" t="s">
        <v>102</v>
      </c>
      <c r="C12" s="132" t="s">
        <v>140</v>
      </c>
      <c r="D12" s="64">
        <v>7.1599999999999997E-2</v>
      </c>
      <c r="F12" s="64">
        <v>7.1599999999999997E-2</v>
      </c>
      <c r="G12" s="64">
        <v>7.1599999999999997E-2</v>
      </c>
      <c r="H12" s="64">
        <v>7.1599999999999997E-2</v>
      </c>
    </row>
    <row r="13" spans="1:8" s="51" customFormat="1" x14ac:dyDescent="0.2">
      <c r="A13" s="129">
        <f t="shared" si="0"/>
        <v>4</v>
      </c>
      <c r="B13" s="128" t="s">
        <v>83</v>
      </c>
      <c r="C13" s="133" t="str">
        <f>"Line "&amp;A11&amp;" x Line "&amp;A12</f>
        <v>Line 2 x Line 3</v>
      </c>
      <c r="D13" s="63">
        <f t="shared" ref="D13:H13" si="1">D12*D11</f>
        <v>209132117.38289452</v>
      </c>
      <c r="F13" s="63">
        <f>F12*F11</f>
        <v>209132117.38289452</v>
      </c>
      <c r="G13" s="63">
        <f t="shared" si="1"/>
        <v>209132117.38289452</v>
      </c>
      <c r="H13" s="63">
        <f t="shared" si="1"/>
        <v>209132117.38289452</v>
      </c>
    </row>
    <row r="14" spans="1:8" s="51" customFormat="1" x14ac:dyDescent="0.2">
      <c r="A14" s="129">
        <f t="shared" si="0"/>
        <v>5</v>
      </c>
      <c r="B14" s="128"/>
      <c r="C14" s="132"/>
      <c r="D14" s="62"/>
      <c r="E14" s="65"/>
      <c r="F14" s="62"/>
      <c r="G14" s="62"/>
      <c r="H14" s="62"/>
    </row>
    <row r="15" spans="1:8" s="51" customFormat="1" x14ac:dyDescent="0.2">
      <c r="A15" s="129">
        <f>+A14+1</f>
        <v>6</v>
      </c>
      <c r="B15" s="128" t="s">
        <v>139</v>
      </c>
      <c r="C15" s="132" t="s">
        <v>150</v>
      </c>
      <c r="D15" s="131">
        <v>189728101.13289365</v>
      </c>
      <c r="E15" s="66"/>
      <c r="F15" s="131">
        <f>F13+20000000</f>
        <v>229132117.38289452</v>
      </c>
      <c r="G15" s="131">
        <f>F15-12000000</f>
        <v>217132117.38289452</v>
      </c>
      <c r="H15" s="131">
        <f>H13-10000000</f>
        <v>199132117.38289452</v>
      </c>
    </row>
    <row r="16" spans="1:8" s="51" customFormat="1" x14ac:dyDescent="0.2">
      <c r="A16" s="129">
        <f t="shared" ref="A16:A25" si="2">+A15+1</f>
        <v>7</v>
      </c>
      <c r="B16" s="128" t="s">
        <v>98</v>
      </c>
      <c r="C16" s="133" t="str">
        <f>"Line "&amp;A15&amp;" / Line "&amp;A11</f>
        <v>Line 6 / Line 2</v>
      </c>
      <c r="D16" s="67">
        <f>ROUND(D15/D11, 4)</f>
        <v>6.5000000000000002E-2</v>
      </c>
      <c r="E16" s="68"/>
      <c r="F16" s="67">
        <f t="shared" ref="F16:H16" si="3">ROUND(F15/F11, 4)</f>
        <v>7.8399999999999997E-2</v>
      </c>
      <c r="G16" s="67">
        <f t="shared" si="3"/>
        <v>7.4300000000000005E-2</v>
      </c>
      <c r="H16" s="67">
        <f t="shared" si="3"/>
        <v>6.8199999999999997E-2</v>
      </c>
    </row>
    <row r="17" spans="1:8" s="51" customFormat="1" ht="13.5" thickBot="1" x14ac:dyDescent="0.25">
      <c r="A17" s="129">
        <f t="shared" si="2"/>
        <v>8</v>
      </c>
      <c r="B17" s="128"/>
      <c r="C17" s="133"/>
      <c r="D17" s="67"/>
      <c r="E17" s="68"/>
      <c r="F17" s="67"/>
      <c r="G17" s="67"/>
      <c r="H17" s="67"/>
    </row>
    <row r="18" spans="1:8" s="123" customFormat="1" ht="27" thickTop="1" thickBot="1" x14ac:dyDescent="0.3">
      <c r="A18" s="129">
        <f t="shared" si="2"/>
        <v>9</v>
      </c>
      <c r="B18" s="128" t="s">
        <v>136</v>
      </c>
      <c r="C18" s="134" t="str">
        <f>"Line "&amp;A16&amp;" (Actual Return) &gt; Line "&amp;A12&amp;" (Authorized Return) = Sharing; 
Line "&amp;A16&amp;" (Actual Return) &lt;= Line "&amp;A12&amp;" (Authorized Return) = No Sharing"</f>
        <v>Line 7 (Actual Return) &gt; Line 3 (Authorized Return) = Sharing; 
Line 7 (Actual Return) &lt;= Line 3 (Authorized Return) = No Sharing</v>
      </c>
      <c r="D18" s="135" t="str">
        <f>IF(D16&gt;D12, "Sharing", "No Sharing")</f>
        <v>No Sharing</v>
      </c>
      <c r="F18" s="135" t="str">
        <f>IF(F16&gt;F12, "Sharing", "No Sharing")</f>
        <v>Sharing</v>
      </c>
      <c r="G18" s="135" t="str">
        <f t="shared" ref="G18:H18" si="4">IF(G16&gt;G12, "Sharing", "No Sharing")</f>
        <v>Sharing</v>
      </c>
      <c r="H18" s="135" t="str">
        <f t="shared" si="4"/>
        <v>No Sharing</v>
      </c>
    </row>
    <row r="19" spans="1:8" ht="13.5" thickTop="1" x14ac:dyDescent="0.2">
      <c r="A19" s="129">
        <f t="shared" si="2"/>
        <v>10</v>
      </c>
      <c r="B19" s="138"/>
      <c r="C19" s="69"/>
    </row>
    <row r="20" spans="1:8" ht="28.5" customHeight="1" x14ac:dyDescent="0.2">
      <c r="A20" s="129">
        <f t="shared" si="2"/>
        <v>11</v>
      </c>
      <c r="B20" s="138" t="s">
        <v>142</v>
      </c>
      <c r="C20" s="134" t="str">
        <f>"If Sharing, then Line "&amp;A16&amp;" (Actual Return) - Line "&amp;A12&amp;" (Authorized Return) × Line "&amp;A11&amp;";
Maximum Allowed Sharing Amount is Line "&amp;A11&amp;"× 50 basis points"</f>
        <v>If Sharing, then Line 7 (Actual Return) - Line 3 (Authorized Return) × Line 2;
Maximum Allowed Sharing Amount is Line 2× 50 basis points</v>
      </c>
      <c r="D20" s="63">
        <f>IF(D18="Sharing", IF(D16&gt;(D12+0.5%), D11*0.5%, (D16-D12)*D11), 0)</f>
        <v>0</v>
      </c>
      <c r="F20" s="63">
        <f>IF(F18="Sharing", IF(F16&gt;(F12+0.5%), F11*0.5%, (F16-F12)*F11), 0)</f>
        <v>14604198.141263586</v>
      </c>
      <c r="G20" s="63">
        <f>IF(G18="Sharing", IF(G16&gt;(G12+0.5%), G11*0.5%, (G16-G12)*G11), 0)</f>
        <v>7886266.9962823596</v>
      </c>
      <c r="H20" s="63">
        <f>IF(H18="Sharing", IF(H16&gt;(H12+0.5%), H11*0.5%, (H16-H12)*H11), 0)</f>
        <v>0</v>
      </c>
    </row>
    <row r="21" spans="1:8" x14ac:dyDescent="0.2">
      <c r="A21" s="129">
        <f t="shared" si="2"/>
        <v>12</v>
      </c>
      <c r="B21" s="138"/>
      <c r="C21" s="69"/>
      <c r="D21" s="70"/>
      <c r="E21" s="70"/>
      <c r="F21" s="70"/>
      <c r="G21" s="70"/>
      <c r="H21" s="70"/>
    </row>
    <row r="22" spans="1:8" ht="12.75" customHeight="1" x14ac:dyDescent="0.2">
      <c r="A22" s="129">
        <f t="shared" si="2"/>
        <v>13</v>
      </c>
      <c r="B22" s="177" t="str">
        <f>"* = Maximum Allowed Sharing Amount is limited to a range of 50 basis points above the Authorized Return (i.e., between "&amp;D12*100&amp;"% and "&amp;(D12+0.5%)*100&amp;"%), as PSE will have deferred anything in excess of 50 basis points above its authorized return per RCW 80.28.425(6) which results in those over-earnings being unavailable to distribute back to customers through CCA risk sharing."</f>
        <v>* = Maximum Allowed Sharing Amount is limited to a range of 50 basis points above the Authorized Return (i.e., between 7.16% and 7.66%), as PSE will have deferred anything in excess of 50 basis points above its authorized return per RCW 80.28.425(6) which results in those over-earnings being unavailable to distribute back to customers through CCA risk sharing.</v>
      </c>
      <c r="C22" s="177"/>
      <c r="D22" s="177"/>
      <c r="E22" s="177"/>
      <c r="F22" s="177"/>
      <c r="G22" s="177"/>
      <c r="H22" s="177"/>
    </row>
    <row r="23" spans="1:8" x14ac:dyDescent="0.2">
      <c r="A23" s="129">
        <f t="shared" si="2"/>
        <v>14</v>
      </c>
      <c r="B23" s="177"/>
      <c r="C23" s="177"/>
      <c r="D23" s="177"/>
      <c r="E23" s="177"/>
      <c r="F23" s="177"/>
      <c r="G23" s="177"/>
      <c r="H23" s="177"/>
    </row>
    <row r="24" spans="1:8" x14ac:dyDescent="0.2">
      <c r="A24" s="129">
        <f t="shared" si="2"/>
        <v>15</v>
      </c>
      <c r="B24" s="69"/>
      <c r="C24" s="69"/>
    </row>
    <row r="25" spans="1:8" x14ac:dyDescent="0.2">
      <c r="A25" s="129">
        <f t="shared" si="2"/>
        <v>16</v>
      </c>
      <c r="B25" s="171" t="s">
        <v>151</v>
      </c>
      <c r="C25" s="69"/>
    </row>
    <row r="26" spans="1:8" x14ac:dyDescent="0.2">
      <c r="A26" s="69"/>
      <c r="B26" s="69"/>
      <c r="C26" s="69"/>
    </row>
    <row r="27" spans="1:8" x14ac:dyDescent="0.2">
      <c r="A27" s="69"/>
      <c r="B27" s="69"/>
      <c r="C27" s="69"/>
    </row>
    <row r="28" spans="1:8" x14ac:dyDescent="0.2">
      <c r="A28" s="69"/>
      <c r="B28" s="69"/>
      <c r="C28" s="69"/>
    </row>
    <row r="29" spans="1:8" x14ac:dyDescent="0.2">
      <c r="A29" s="69"/>
      <c r="B29" s="69"/>
      <c r="C29" s="69"/>
    </row>
    <row r="30" spans="1:8" x14ac:dyDescent="0.2">
      <c r="A30" s="69"/>
      <c r="B30" s="69"/>
      <c r="C30" s="69"/>
    </row>
    <row r="31" spans="1:8" x14ac:dyDescent="0.2">
      <c r="A31" s="69"/>
      <c r="B31" s="69"/>
      <c r="C31" s="69"/>
    </row>
    <row r="32" spans="1:8" x14ac:dyDescent="0.2">
      <c r="A32" s="69"/>
      <c r="B32" s="69"/>
      <c r="C32" s="69"/>
    </row>
    <row r="33" spans="1:3" x14ac:dyDescent="0.2">
      <c r="A33" s="69"/>
      <c r="B33" s="69"/>
      <c r="C33" s="69"/>
    </row>
  </sheetData>
  <mergeCells count="1">
    <mergeCell ref="B22:H23"/>
  </mergeCells>
  <printOptions horizontalCentered="1"/>
  <pageMargins left="0.7" right="0.7" top="0.75" bottom="0.75" header="0.3" footer="0.3"/>
  <pageSetup scale="79" fitToHeight="0" orientation="landscape" blackAndWhite="1" r:id="rId1"/>
  <headerFooter>
    <oddFooter>&amp;R&amp;F
&amp;A
Page 1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0"/>
  <sheetViews>
    <sheetView zoomScaleNormal="100" workbookViewId="0">
      <selection activeCell="A2" sqref="A2:D2"/>
    </sheetView>
  </sheetViews>
  <sheetFormatPr defaultColWidth="9.140625" defaultRowHeight="12.75" x14ac:dyDescent="0.2"/>
  <cols>
    <col min="1" max="1" width="6.42578125" style="8" customWidth="1"/>
    <col min="2" max="2" width="44.7109375" style="8" bestFit="1" customWidth="1"/>
    <col min="3" max="3" width="12.140625" style="8" customWidth="1"/>
    <col min="4" max="4" width="17.42578125" style="8" bestFit="1" customWidth="1"/>
    <col min="5" max="16384" width="9.140625" style="8"/>
  </cols>
  <sheetData>
    <row r="1" spans="1:4" x14ac:dyDescent="0.2">
      <c r="A1" s="175" t="s">
        <v>81</v>
      </c>
      <c r="B1" s="176"/>
      <c r="C1" s="176"/>
      <c r="D1" s="176"/>
    </row>
    <row r="2" spans="1:4" x14ac:dyDescent="0.2">
      <c r="A2" s="175" t="s">
        <v>155</v>
      </c>
      <c r="B2" s="176"/>
      <c r="C2" s="176"/>
      <c r="D2" s="176"/>
    </row>
    <row r="3" spans="1:4" x14ac:dyDescent="0.2">
      <c r="A3" s="175" t="s">
        <v>105</v>
      </c>
      <c r="B3" s="176"/>
      <c r="C3" s="176"/>
      <c r="D3" s="176"/>
    </row>
    <row r="4" spans="1:4" s="13" customFormat="1" ht="25.5" x14ac:dyDescent="0.2">
      <c r="A4" s="71" t="s">
        <v>51</v>
      </c>
      <c r="B4" s="34" t="s">
        <v>58</v>
      </c>
      <c r="C4" s="34" t="s">
        <v>59</v>
      </c>
      <c r="D4" s="34" t="s">
        <v>60</v>
      </c>
    </row>
    <row r="5" spans="1:4" x14ac:dyDescent="0.2">
      <c r="A5" s="72"/>
      <c r="B5" s="72" t="s">
        <v>52</v>
      </c>
      <c r="C5" s="72" t="s">
        <v>53</v>
      </c>
      <c r="D5" s="72" t="s">
        <v>54</v>
      </c>
    </row>
    <row r="6" spans="1:4" x14ac:dyDescent="0.2">
      <c r="A6" s="25">
        <v>1</v>
      </c>
      <c r="B6" s="10" t="s">
        <v>67</v>
      </c>
      <c r="C6" s="25"/>
      <c r="D6" s="25"/>
    </row>
    <row r="7" spans="1:4" x14ac:dyDescent="0.2">
      <c r="A7" s="11">
        <f>A6+1</f>
        <v>2</v>
      </c>
      <c r="B7" s="73" t="s">
        <v>56</v>
      </c>
      <c r="C7" s="74">
        <v>81.47</v>
      </c>
    </row>
    <row r="8" spans="1:4" x14ac:dyDescent="0.2">
      <c r="A8" s="11">
        <f>A7+1</f>
        <v>3</v>
      </c>
      <c r="B8" s="73" t="s">
        <v>57</v>
      </c>
      <c r="C8" s="74">
        <v>22.2</v>
      </c>
    </row>
    <row r="9" spans="1:4" x14ac:dyDescent="0.2">
      <c r="A9" s="11">
        <f t="shared" ref="A9:A12" si="0">A8+1</f>
        <v>4</v>
      </c>
      <c r="B9" s="73"/>
      <c r="C9" s="74"/>
    </row>
    <row r="10" spans="1:4" x14ac:dyDescent="0.2">
      <c r="A10" s="11">
        <f t="shared" si="0"/>
        <v>5</v>
      </c>
    </row>
    <row r="11" spans="1:4" x14ac:dyDescent="0.2">
      <c r="A11" s="11">
        <f t="shared" si="0"/>
        <v>6</v>
      </c>
      <c r="B11" s="10" t="s">
        <v>66</v>
      </c>
    </row>
    <row r="12" spans="1:4" x14ac:dyDescent="0.2">
      <c r="A12" s="11">
        <f t="shared" si="0"/>
        <v>7</v>
      </c>
      <c r="B12" s="8" t="s">
        <v>78</v>
      </c>
      <c r="C12" s="24">
        <f>MAX('Exh CTM-3C (23 Vtg Sec Prices)'!BE7:BE255)</f>
        <v>70.5</v>
      </c>
    </row>
    <row r="13" spans="1:4" x14ac:dyDescent="0.2">
      <c r="A13" s="11">
        <f t="shared" ref="A13:A54" si="1">A12+1</f>
        <v>8</v>
      </c>
      <c r="B13" s="73" t="s">
        <v>79</v>
      </c>
      <c r="C13" s="74">
        <f>MIN('Exh CTM-3C (23 Vtg Sec Prices)'!BE7:BE255)</f>
        <v>42</v>
      </c>
    </row>
    <row r="14" spans="1:4" x14ac:dyDescent="0.2">
      <c r="A14" s="11">
        <f t="shared" si="1"/>
        <v>9</v>
      </c>
      <c r="B14" s="73" t="s">
        <v>61</v>
      </c>
      <c r="C14" s="74">
        <f>MEDIAN('Exh CTM-3C (23 Vtg Sec Prices)'!BE7:BE255)</f>
        <v>55.89</v>
      </c>
    </row>
    <row r="15" spans="1:4" x14ac:dyDescent="0.2">
      <c r="A15" s="11">
        <f t="shared" si="1"/>
        <v>10</v>
      </c>
      <c r="B15" s="73" t="s">
        <v>90</v>
      </c>
      <c r="C15" s="74">
        <f>AVERAGE('Exh CTM-3C (23 Vtg Sec Prices)'!BE7:BE255)</f>
        <v>56.911927710843372</v>
      </c>
    </row>
    <row r="16" spans="1:4" x14ac:dyDescent="0.2">
      <c r="A16" s="11">
        <f t="shared" si="1"/>
        <v>11</v>
      </c>
      <c r="B16" s="73" t="s">
        <v>62</v>
      </c>
      <c r="C16" s="74">
        <f>_xlfn.MODE.MULT('Exh CTM-3C (23 Vtg Sec Prices)'!BE7:BE255)</f>
        <v>43</v>
      </c>
    </row>
    <row r="17" spans="1:4" x14ac:dyDescent="0.2">
      <c r="A17" s="11">
        <f t="shared" si="1"/>
        <v>12</v>
      </c>
      <c r="B17" s="73" t="s">
        <v>63</v>
      </c>
      <c r="C17" s="74">
        <f>C12-C13</f>
        <v>28.5</v>
      </c>
    </row>
    <row r="18" spans="1:4" x14ac:dyDescent="0.2">
      <c r="A18" s="11">
        <f t="shared" si="1"/>
        <v>13</v>
      </c>
      <c r="B18" s="73" t="s">
        <v>22</v>
      </c>
      <c r="C18" s="74">
        <f>_xlfn.VAR.S('Exh CTM-3C (23 Vtg Sec Prices)'!BE7:BE255)</f>
        <v>75.078447075398273</v>
      </c>
    </row>
    <row r="19" spans="1:4" x14ac:dyDescent="0.2">
      <c r="A19" s="11">
        <f t="shared" si="1"/>
        <v>14</v>
      </c>
      <c r="B19" s="73" t="s">
        <v>89</v>
      </c>
      <c r="C19" s="74">
        <f>_xlfn.STDEV.S('Exh CTM-3C (23 Vtg Sec Prices)'!BE7:BE255)</f>
        <v>8.6647819981461893</v>
      </c>
    </row>
    <row r="20" spans="1:4" x14ac:dyDescent="0.2">
      <c r="A20" s="11">
        <f t="shared" si="1"/>
        <v>15</v>
      </c>
      <c r="B20" s="73" t="s">
        <v>44</v>
      </c>
      <c r="C20" s="75">
        <f>C19/C15</f>
        <v>0.15224896338373892</v>
      </c>
      <c r="D20" s="73"/>
    </row>
    <row r="21" spans="1:4" x14ac:dyDescent="0.2">
      <c r="A21" s="11">
        <f t="shared" si="1"/>
        <v>16</v>
      </c>
      <c r="B21" s="73" t="s">
        <v>77</v>
      </c>
      <c r="C21" s="76" t="str">
        <f>IF(AND(C16&lt;C14,C14,C15),"positive","negative")</f>
        <v>positive</v>
      </c>
      <c r="D21" s="73"/>
    </row>
    <row r="22" spans="1:4" x14ac:dyDescent="0.2">
      <c r="A22" s="11">
        <f t="shared" si="1"/>
        <v>17</v>
      </c>
      <c r="B22" s="73" t="s">
        <v>45</v>
      </c>
      <c r="C22" s="77">
        <f>SKEW('Exh CTM-3C (23 Vtg Sec Prices)'!BE7:BE255)</f>
        <v>-0.22303677889417789</v>
      </c>
      <c r="D22" s="76" t="str">
        <f>IF(C22&lt;0, "neg (left)", IF(C22=0, "symmetric", "pos (right)"))</f>
        <v>neg (left)</v>
      </c>
    </row>
    <row r="23" spans="1:4" x14ac:dyDescent="0.2">
      <c r="A23" s="11">
        <f t="shared" si="1"/>
        <v>18</v>
      </c>
      <c r="B23" s="73" t="s">
        <v>46</v>
      </c>
      <c r="C23" s="77">
        <f>KURT('Exh CTM-3C (23 Vtg Sec Prices)'!BE7:BE255)</f>
        <v>-1.1542238675711183</v>
      </c>
      <c r="D23" s="76" t="str">
        <f>"size of tail ("&amp;IF(C23&lt;0, "thinner)", IF(C23=0, "mesokurtic)", "fatter)"))</f>
        <v>size of tail (thinner)</v>
      </c>
    </row>
    <row r="24" spans="1:4" x14ac:dyDescent="0.2">
      <c r="A24" s="11">
        <f t="shared" si="1"/>
        <v>19</v>
      </c>
      <c r="B24" s="73" t="s">
        <v>88</v>
      </c>
      <c r="C24" s="73">
        <f>COUNT('Exh CTM-3C (23 Vtg Sec Prices)'!BE7:BE255)</f>
        <v>249</v>
      </c>
    </row>
    <row r="25" spans="1:4" x14ac:dyDescent="0.2">
      <c r="A25" s="11">
        <f t="shared" si="1"/>
        <v>20</v>
      </c>
      <c r="B25" s="73" t="s">
        <v>76</v>
      </c>
      <c r="C25" s="78">
        <f>(D25-C15)/C19</f>
        <v>-0.79770359050258433</v>
      </c>
      <c r="D25" s="79">
        <v>50</v>
      </c>
    </row>
    <row r="26" spans="1:4" x14ac:dyDescent="0.2">
      <c r="A26" s="11">
        <f t="shared" si="1"/>
        <v>21</v>
      </c>
      <c r="B26" s="73" t="s">
        <v>74</v>
      </c>
      <c r="C26" s="74">
        <f>_xlfn.PERCENTILE.INC('Exh CTM-3C (23 Vtg Sec Prices)'!$BE$7:$BE$255, 0.025)</f>
        <v>43</v>
      </c>
      <c r="D26" s="80" t="s">
        <v>92</v>
      </c>
    </row>
    <row r="27" spans="1:4" x14ac:dyDescent="0.2">
      <c r="A27" s="11">
        <f t="shared" si="1"/>
        <v>22</v>
      </c>
      <c r="B27" s="73" t="s">
        <v>72</v>
      </c>
      <c r="C27" s="74">
        <f>_xlfn.QUARTILE.INC('Exh CTM-3C (23 Vtg Sec Prices)'!$BE$7:$BE$255, 1)</f>
        <v>52</v>
      </c>
      <c r="D27" s="80" t="s">
        <v>95</v>
      </c>
    </row>
    <row r="28" spans="1:4" x14ac:dyDescent="0.2">
      <c r="A28" s="11">
        <f t="shared" si="1"/>
        <v>23</v>
      </c>
      <c r="B28" s="73" t="s">
        <v>73</v>
      </c>
      <c r="C28" s="74">
        <f>_xlfn.QUARTILE.INC('Exh CTM-3C (23 Vtg Sec Prices)'!$BE$7:$BE$255, 3)</f>
        <v>65.25</v>
      </c>
      <c r="D28" s="80" t="s">
        <v>94</v>
      </c>
    </row>
    <row r="29" spans="1:4" x14ac:dyDescent="0.2">
      <c r="A29" s="11">
        <f t="shared" si="1"/>
        <v>24</v>
      </c>
      <c r="B29" s="73" t="s">
        <v>75</v>
      </c>
      <c r="C29" s="74">
        <f>_xlfn.PERCENTILE.INC('Exh CTM-3C (23 Vtg Sec Prices)'!$BE$7:$BE$255, 0.975)</f>
        <v>69</v>
      </c>
      <c r="D29" s="80" t="s">
        <v>91</v>
      </c>
    </row>
    <row r="30" spans="1:4" x14ac:dyDescent="0.2">
      <c r="A30" s="11">
        <f t="shared" si="1"/>
        <v>25</v>
      </c>
      <c r="B30" s="73" t="s">
        <v>68</v>
      </c>
      <c r="C30" s="74">
        <f>C28-C27</f>
        <v>13.25</v>
      </c>
      <c r="D30" s="80" t="s">
        <v>93</v>
      </c>
    </row>
    <row r="31" spans="1:4" x14ac:dyDescent="0.2">
      <c r="A31" s="11">
        <f t="shared" si="1"/>
        <v>26</v>
      </c>
    </row>
    <row r="32" spans="1:4" x14ac:dyDescent="0.2">
      <c r="A32" s="11">
        <f t="shared" si="1"/>
        <v>27</v>
      </c>
    </row>
    <row r="33" spans="1:3" x14ac:dyDescent="0.2">
      <c r="A33" s="11">
        <f t="shared" si="1"/>
        <v>28</v>
      </c>
      <c r="B33" s="10" t="s">
        <v>105</v>
      </c>
    </row>
    <row r="34" spans="1:3" x14ac:dyDescent="0.2">
      <c r="A34" s="11">
        <f t="shared" si="1"/>
        <v>29</v>
      </c>
      <c r="C34" s="74"/>
    </row>
    <row r="35" spans="1:3" x14ac:dyDescent="0.2">
      <c r="A35" s="11">
        <f t="shared" si="1"/>
        <v>30</v>
      </c>
      <c r="C35" s="74"/>
    </row>
    <row r="36" spans="1:3" x14ac:dyDescent="0.2">
      <c r="A36" s="11">
        <f t="shared" si="1"/>
        <v>31</v>
      </c>
      <c r="C36" s="74"/>
    </row>
    <row r="37" spans="1:3" x14ac:dyDescent="0.2">
      <c r="A37" s="11">
        <f t="shared" si="1"/>
        <v>32</v>
      </c>
      <c r="C37" s="74"/>
    </row>
    <row r="38" spans="1:3" x14ac:dyDescent="0.2">
      <c r="A38" s="11">
        <f t="shared" si="1"/>
        <v>33</v>
      </c>
      <c r="C38" s="74"/>
    </row>
    <row r="39" spans="1:3" x14ac:dyDescent="0.2">
      <c r="A39" s="11">
        <f t="shared" si="1"/>
        <v>34</v>
      </c>
      <c r="C39" s="74"/>
    </row>
    <row r="40" spans="1:3" x14ac:dyDescent="0.2">
      <c r="A40" s="11">
        <f t="shared" si="1"/>
        <v>35</v>
      </c>
      <c r="C40" s="74"/>
    </row>
    <row r="41" spans="1:3" x14ac:dyDescent="0.2">
      <c r="A41" s="11">
        <f t="shared" si="1"/>
        <v>36</v>
      </c>
      <c r="C41" s="74"/>
    </row>
    <row r="42" spans="1:3" x14ac:dyDescent="0.2">
      <c r="A42" s="11">
        <f t="shared" si="1"/>
        <v>37</v>
      </c>
      <c r="C42" s="74"/>
    </row>
    <row r="43" spans="1:3" x14ac:dyDescent="0.2">
      <c r="A43" s="11">
        <f t="shared" si="1"/>
        <v>38</v>
      </c>
    </row>
    <row r="44" spans="1:3" x14ac:dyDescent="0.2">
      <c r="A44" s="11">
        <f t="shared" si="1"/>
        <v>39</v>
      </c>
      <c r="C44" s="24"/>
    </row>
    <row r="45" spans="1:3" x14ac:dyDescent="0.2">
      <c r="A45" s="11">
        <f t="shared" si="1"/>
        <v>40</v>
      </c>
      <c r="C45" s="24"/>
    </row>
    <row r="46" spans="1:3" x14ac:dyDescent="0.2">
      <c r="A46" s="11">
        <f t="shared" si="1"/>
        <v>41</v>
      </c>
      <c r="C46" s="24"/>
    </row>
    <row r="47" spans="1:3" x14ac:dyDescent="0.2">
      <c r="A47" s="11">
        <f t="shared" si="1"/>
        <v>42</v>
      </c>
      <c r="C47" s="24"/>
    </row>
    <row r="48" spans="1:3" x14ac:dyDescent="0.2">
      <c r="A48" s="11">
        <f t="shared" si="1"/>
        <v>43</v>
      </c>
      <c r="C48" s="24"/>
    </row>
    <row r="49" spans="1:4" x14ac:dyDescent="0.2">
      <c r="A49" s="11">
        <f t="shared" si="1"/>
        <v>44</v>
      </c>
      <c r="C49" s="24"/>
    </row>
    <row r="50" spans="1:4" x14ac:dyDescent="0.2">
      <c r="A50" s="11">
        <f t="shared" si="1"/>
        <v>45</v>
      </c>
      <c r="C50" s="24"/>
    </row>
    <row r="51" spans="1:4" x14ac:dyDescent="0.2">
      <c r="A51" s="11">
        <f t="shared" si="1"/>
        <v>46</v>
      </c>
      <c r="C51" s="24"/>
    </row>
    <row r="52" spans="1:4" x14ac:dyDescent="0.2">
      <c r="A52" s="11">
        <f t="shared" si="1"/>
        <v>47</v>
      </c>
      <c r="C52" s="24"/>
    </row>
    <row r="53" spans="1:4" x14ac:dyDescent="0.2">
      <c r="A53" s="11">
        <f t="shared" si="1"/>
        <v>48</v>
      </c>
    </row>
    <row r="54" spans="1:4" x14ac:dyDescent="0.2">
      <c r="A54" s="11">
        <f t="shared" si="1"/>
        <v>49</v>
      </c>
    </row>
    <row r="55" spans="1:4" x14ac:dyDescent="0.2">
      <c r="C55" s="24"/>
      <c r="D55" s="24"/>
    </row>
    <row r="56" spans="1:4" x14ac:dyDescent="0.2">
      <c r="C56" s="24"/>
      <c r="D56" s="24"/>
    </row>
    <row r="57" spans="1:4" x14ac:dyDescent="0.2">
      <c r="B57" s="73"/>
      <c r="C57" s="24"/>
      <c r="D57" s="24"/>
    </row>
    <row r="58" spans="1:4" x14ac:dyDescent="0.2">
      <c r="B58" s="73"/>
      <c r="C58" s="24"/>
      <c r="D58" s="24"/>
    </row>
    <row r="59" spans="1:4" x14ac:dyDescent="0.2">
      <c r="C59" s="24"/>
      <c r="D59" s="24"/>
    </row>
    <row r="60" spans="1:4" x14ac:dyDescent="0.2">
      <c r="C60" s="24"/>
      <c r="D60" s="24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94" orientation="portrait" horizontalDpi="360" verticalDpi="360" r:id="rId1"/>
  <headerFooter>
    <oddFooter>&amp;R&amp;F
&amp;A
Page 1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875"/>
  <sheetViews>
    <sheetView zoomScaleNormal="100" zoomScaleSheetLayoutView="100" workbookViewId="0">
      <pane ySplit="6" topLeftCell="A7" activePane="bottomLeft" state="frozen"/>
      <selection activeCell="F9" sqref="F9"/>
      <selection pane="bottomLeft" activeCell="AL2" sqref="AL2:AS2"/>
    </sheetView>
  </sheetViews>
  <sheetFormatPr defaultColWidth="11.7109375" defaultRowHeight="20.100000000000001" customHeight="1" x14ac:dyDescent="0.2"/>
  <cols>
    <col min="1" max="1" width="3.7109375" style="73" customWidth="1"/>
    <col min="2" max="4" width="12.7109375" style="48" customWidth="1"/>
    <col min="5" max="5" width="6.7109375" style="73" customWidth="1"/>
    <col min="6" max="8" width="12.7109375" style="73" customWidth="1"/>
    <col min="9" max="10" width="3.7109375" style="73" customWidth="1"/>
    <col min="11" max="13" width="12.7109375" style="48" customWidth="1"/>
    <col min="14" max="14" width="6.7109375" style="73" customWidth="1"/>
    <col min="15" max="17" width="12.7109375" style="73" customWidth="1"/>
    <col min="18" max="19" width="3.7109375" style="73" customWidth="1"/>
    <col min="20" max="22" width="12.7109375" style="73" customWidth="1"/>
    <col min="23" max="23" width="6.7109375" style="73" customWidth="1"/>
    <col min="24" max="26" width="12.7109375" style="73" customWidth="1"/>
    <col min="27" max="28" width="3.7109375" style="73" customWidth="1"/>
    <col min="29" max="31" width="12.7109375" style="73" customWidth="1"/>
    <col min="32" max="32" width="6.7109375" style="73" customWidth="1"/>
    <col min="33" max="35" width="12.7109375" style="73" customWidth="1"/>
    <col min="36" max="37" width="3.7109375" style="73" customWidth="1"/>
    <col min="38" max="40" width="12.7109375" style="73" customWidth="1"/>
    <col min="41" max="41" width="6.7109375" style="73" customWidth="1"/>
    <col min="42" max="44" width="12.7109375" style="73" customWidth="1"/>
    <col min="45" max="46" width="3.7109375" style="73" customWidth="1"/>
    <col min="47" max="49" width="12.7109375" style="73" customWidth="1"/>
    <col min="50" max="50" width="6.7109375" style="73" customWidth="1"/>
    <col min="51" max="53" width="12.7109375" style="73" customWidth="1"/>
    <col min="54" max="54" width="11.7109375" style="73"/>
    <col min="55" max="55" width="4.28515625" style="8" customWidth="1"/>
    <col min="56" max="57" width="16.7109375" style="8" customWidth="1"/>
    <col min="58" max="58" width="3.140625" style="8" customWidth="1"/>
    <col min="59" max="16384" width="11.7109375" style="73"/>
  </cols>
  <sheetData>
    <row r="1" spans="1:58" ht="20.100000000000001" customHeight="1" x14ac:dyDescent="0.2">
      <c r="A1" s="175" t="s">
        <v>81</v>
      </c>
      <c r="B1" s="176"/>
      <c r="C1" s="176"/>
      <c r="D1" s="176"/>
      <c r="E1" s="176"/>
      <c r="F1" s="176"/>
      <c r="G1" s="176"/>
      <c r="H1" s="176"/>
      <c r="I1" s="176"/>
      <c r="J1" s="124"/>
      <c r="K1" s="178" t="str">
        <f>A1</f>
        <v>PUGET SOUND ENERGY</v>
      </c>
      <c r="L1" s="176"/>
      <c r="M1" s="176"/>
      <c r="N1" s="176"/>
      <c r="O1" s="176"/>
      <c r="P1" s="176"/>
      <c r="Q1" s="176"/>
      <c r="R1" s="176"/>
      <c r="S1" s="124"/>
      <c r="T1" s="178" t="str">
        <f>K1</f>
        <v>PUGET SOUND ENERGY</v>
      </c>
      <c r="U1" s="176"/>
      <c r="V1" s="176"/>
      <c r="W1" s="176"/>
      <c r="X1" s="176"/>
      <c r="Y1" s="176"/>
      <c r="Z1" s="176"/>
      <c r="AA1" s="176"/>
      <c r="AB1" s="124"/>
      <c r="AC1" s="178" t="str">
        <f>T1</f>
        <v>PUGET SOUND ENERGY</v>
      </c>
      <c r="AD1" s="176"/>
      <c r="AE1" s="176"/>
      <c r="AF1" s="176"/>
      <c r="AG1" s="176"/>
      <c r="AH1" s="176"/>
      <c r="AI1" s="176"/>
      <c r="AJ1" s="176"/>
      <c r="AK1" s="124"/>
      <c r="AL1" s="178" t="str">
        <f>AC1</f>
        <v>PUGET SOUND ENERGY</v>
      </c>
      <c r="AM1" s="176"/>
      <c r="AN1" s="176"/>
      <c r="AO1" s="176"/>
      <c r="AP1" s="176"/>
      <c r="AQ1" s="176"/>
      <c r="AR1" s="176"/>
      <c r="AS1" s="176"/>
      <c r="AT1" s="124"/>
      <c r="AU1" s="178" t="str">
        <f>AL1</f>
        <v>PUGET SOUND ENERGY</v>
      </c>
      <c r="AV1" s="176"/>
      <c r="AW1" s="176"/>
      <c r="AX1" s="176"/>
      <c r="AY1" s="176"/>
      <c r="AZ1" s="176"/>
      <c r="BA1" s="176"/>
      <c r="BB1" s="176"/>
    </row>
    <row r="2" spans="1:58" ht="20.100000000000001" customHeight="1" x14ac:dyDescent="0.2">
      <c r="A2" s="175" t="s">
        <v>155</v>
      </c>
      <c r="B2" s="176"/>
      <c r="C2" s="176"/>
      <c r="D2" s="176"/>
      <c r="E2" s="176"/>
      <c r="F2" s="176"/>
      <c r="G2" s="176"/>
      <c r="H2" s="176"/>
      <c r="K2" s="175" t="s">
        <v>155</v>
      </c>
      <c r="L2" s="176"/>
      <c r="M2" s="176"/>
      <c r="N2" s="176"/>
      <c r="O2" s="176"/>
      <c r="P2" s="176"/>
      <c r="Q2" s="176"/>
      <c r="R2" s="176"/>
      <c r="T2" s="175" t="s">
        <v>155</v>
      </c>
      <c r="U2" s="176"/>
      <c r="V2" s="176"/>
      <c r="W2" s="176"/>
      <c r="X2" s="176"/>
      <c r="Y2" s="176"/>
      <c r="Z2" s="176"/>
      <c r="AA2" s="176"/>
      <c r="AC2" s="175" t="s">
        <v>155</v>
      </c>
      <c r="AD2" s="176"/>
      <c r="AE2" s="176"/>
      <c r="AF2" s="176"/>
      <c r="AG2" s="176"/>
      <c r="AH2" s="176"/>
      <c r="AI2" s="176"/>
      <c r="AJ2" s="176"/>
      <c r="AL2" s="178" t="str">
        <f>AC2</f>
        <v>Docket UG-230968 - Exh. CTM-3C</v>
      </c>
      <c r="AM2" s="176"/>
      <c r="AN2" s="176"/>
      <c r="AO2" s="176"/>
      <c r="AP2" s="176"/>
      <c r="AQ2" s="176"/>
      <c r="AR2" s="176"/>
      <c r="AS2" s="176"/>
      <c r="AU2" s="178" t="str">
        <f>AL2</f>
        <v>Docket UG-230968 - Exh. CTM-3C</v>
      </c>
      <c r="AV2" s="176"/>
      <c r="AW2" s="176"/>
      <c r="AX2" s="176"/>
      <c r="AY2" s="176"/>
      <c r="AZ2" s="176"/>
      <c r="BA2" s="176"/>
      <c r="BB2" s="176"/>
    </row>
    <row r="3" spans="1:58" ht="20.100000000000001" customHeight="1" x14ac:dyDescent="0.2">
      <c r="A3" s="175" t="s">
        <v>125</v>
      </c>
      <c r="B3" s="176"/>
      <c r="C3" s="176"/>
      <c r="D3" s="176"/>
      <c r="E3" s="176"/>
      <c r="F3" s="176"/>
      <c r="G3" s="176"/>
      <c r="H3" s="176"/>
      <c r="K3" s="178" t="str">
        <f t="shared" ref="K3" si="0">A3</f>
        <v>2023 Vintage Secondary Market Prices</v>
      </c>
      <c r="L3" s="176"/>
      <c r="M3" s="176"/>
      <c r="N3" s="176"/>
      <c r="O3" s="176"/>
      <c r="P3" s="176"/>
      <c r="Q3" s="176"/>
      <c r="R3" s="81"/>
      <c r="T3" s="178" t="str">
        <f>K3</f>
        <v>2023 Vintage Secondary Market Prices</v>
      </c>
      <c r="U3" s="176"/>
      <c r="V3" s="176"/>
      <c r="W3" s="176"/>
      <c r="X3" s="176"/>
      <c r="Y3" s="176"/>
      <c r="Z3" s="176"/>
      <c r="AA3" s="81"/>
      <c r="AC3" s="178" t="str">
        <f>T3</f>
        <v>2023 Vintage Secondary Market Prices</v>
      </c>
      <c r="AD3" s="176"/>
      <c r="AE3" s="176"/>
      <c r="AF3" s="176"/>
      <c r="AG3" s="176"/>
      <c r="AH3" s="176"/>
      <c r="AI3" s="176"/>
      <c r="AJ3" s="81"/>
      <c r="AL3" s="178" t="str">
        <f>AC3</f>
        <v>2023 Vintage Secondary Market Prices</v>
      </c>
      <c r="AM3" s="176"/>
      <c r="AN3" s="176"/>
      <c r="AO3" s="176"/>
      <c r="AP3" s="176"/>
      <c r="AQ3" s="176"/>
      <c r="AR3" s="176"/>
      <c r="AS3" s="81"/>
      <c r="AU3" s="178" t="str">
        <f>AL3</f>
        <v>2023 Vintage Secondary Market Prices</v>
      </c>
      <c r="AV3" s="176"/>
      <c r="AW3" s="176"/>
      <c r="AX3" s="176"/>
      <c r="AY3" s="176"/>
      <c r="AZ3" s="176"/>
      <c r="BA3" s="176"/>
      <c r="BB3" s="81"/>
    </row>
    <row r="4" spans="1:58" ht="41.25" customHeight="1" x14ac:dyDescent="0.2">
      <c r="B4" s="179" t="s">
        <v>3</v>
      </c>
      <c r="C4" s="180"/>
      <c r="D4" s="180"/>
      <c r="E4" s="180"/>
      <c r="F4" s="180"/>
      <c r="G4" s="180"/>
      <c r="H4" s="180"/>
      <c r="K4" s="179" t="s">
        <v>3</v>
      </c>
      <c r="L4" s="180"/>
      <c r="M4" s="180"/>
      <c r="N4" s="180"/>
      <c r="O4" s="180"/>
      <c r="P4" s="180"/>
      <c r="Q4" s="180"/>
      <c r="T4" s="179" t="s">
        <v>3</v>
      </c>
      <c r="U4" s="180"/>
      <c r="V4" s="180"/>
      <c r="W4" s="180"/>
      <c r="X4" s="180"/>
      <c r="Y4" s="180"/>
      <c r="Z4" s="180"/>
      <c r="AC4" s="179" t="s">
        <v>3</v>
      </c>
      <c r="AD4" s="180"/>
      <c r="AE4" s="180"/>
      <c r="AF4" s="180"/>
      <c r="AG4" s="180"/>
      <c r="AH4" s="180"/>
      <c r="AI4" s="180"/>
      <c r="AL4" s="179" t="s">
        <v>3</v>
      </c>
      <c r="AM4" s="180"/>
      <c r="AN4" s="180"/>
      <c r="AO4" s="180"/>
      <c r="AP4" s="180"/>
      <c r="AQ4" s="180"/>
      <c r="AR4" s="180"/>
      <c r="AU4" s="179" t="s">
        <v>3</v>
      </c>
      <c r="AV4" s="180"/>
      <c r="AW4" s="180"/>
      <c r="AX4" s="180"/>
      <c r="AY4" s="180"/>
      <c r="AZ4" s="180"/>
      <c r="BA4" s="180"/>
      <c r="BD4" s="181" t="s">
        <v>4</v>
      </c>
      <c r="BE4" s="181"/>
      <c r="BF4" s="82"/>
    </row>
    <row r="5" spans="1:58" ht="20.100000000000001" customHeight="1" x14ac:dyDescent="0.2">
      <c r="F5" s="48"/>
      <c r="G5" s="48"/>
      <c r="H5" s="48"/>
      <c r="O5" s="48"/>
      <c r="P5" s="48"/>
      <c r="Q5" s="48"/>
    </row>
    <row r="6" spans="1:58" s="8" customFormat="1" ht="40.15" customHeight="1" x14ac:dyDescent="0.2">
      <c r="B6" s="83" t="s">
        <v>0</v>
      </c>
      <c r="C6" s="83" t="s">
        <v>1</v>
      </c>
      <c r="D6" s="83" t="s">
        <v>2</v>
      </c>
      <c r="F6" s="83" t="s">
        <v>0</v>
      </c>
      <c r="G6" s="83" t="s">
        <v>1</v>
      </c>
      <c r="H6" s="83" t="s">
        <v>2</v>
      </c>
      <c r="K6" s="83" t="s">
        <v>0</v>
      </c>
      <c r="L6" s="83" t="s">
        <v>1</v>
      </c>
      <c r="M6" s="83" t="s">
        <v>2</v>
      </c>
      <c r="O6" s="83" t="s">
        <v>0</v>
      </c>
      <c r="P6" s="83" t="s">
        <v>1</v>
      </c>
      <c r="Q6" s="83" t="s">
        <v>2</v>
      </c>
      <c r="T6" s="83" t="s">
        <v>0</v>
      </c>
      <c r="U6" s="83" t="s">
        <v>1</v>
      </c>
      <c r="V6" s="83" t="s">
        <v>2</v>
      </c>
      <c r="X6" s="83" t="s">
        <v>0</v>
      </c>
      <c r="Y6" s="83" t="s">
        <v>1</v>
      </c>
      <c r="Z6" s="83" t="s">
        <v>2</v>
      </c>
      <c r="AC6" s="83" t="s">
        <v>0</v>
      </c>
      <c r="AD6" s="83" t="s">
        <v>1</v>
      </c>
      <c r="AE6" s="83" t="s">
        <v>2</v>
      </c>
      <c r="AG6" s="83" t="s">
        <v>0</v>
      </c>
      <c r="AH6" s="83" t="s">
        <v>1</v>
      </c>
      <c r="AI6" s="83" t="s">
        <v>2</v>
      </c>
      <c r="AL6" s="83" t="s">
        <v>0</v>
      </c>
      <c r="AM6" s="83" t="s">
        <v>1</v>
      </c>
      <c r="AN6" s="83" t="s">
        <v>2</v>
      </c>
      <c r="AP6" s="83" t="s">
        <v>0</v>
      </c>
      <c r="AQ6" s="83" t="s">
        <v>1</v>
      </c>
      <c r="AR6" s="83" t="s">
        <v>2</v>
      </c>
      <c r="AU6" s="83" t="s">
        <v>0</v>
      </c>
      <c r="AV6" s="83" t="s">
        <v>1</v>
      </c>
      <c r="AW6" s="83" t="s">
        <v>2</v>
      </c>
      <c r="AY6" s="83" t="s">
        <v>0</v>
      </c>
      <c r="AZ6" s="83" t="s">
        <v>1</v>
      </c>
      <c r="BA6" s="83" t="s">
        <v>2</v>
      </c>
      <c r="BD6" s="84" t="s">
        <v>23</v>
      </c>
      <c r="BE6" s="84" t="s">
        <v>24</v>
      </c>
    </row>
    <row r="7" spans="1:58" ht="20.100000000000001" customHeight="1" x14ac:dyDescent="0.2">
      <c r="B7" s="85">
        <v>44929</v>
      </c>
      <c r="C7" s="86">
        <v>2023</v>
      </c>
      <c r="D7" s="87">
        <v>43</v>
      </c>
      <c r="F7" s="85">
        <v>44958</v>
      </c>
      <c r="G7" s="86">
        <v>2023</v>
      </c>
      <c r="H7" s="87">
        <v>43</v>
      </c>
      <c r="K7" s="85">
        <v>44986</v>
      </c>
      <c r="L7" s="86">
        <v>2023</v>
      </c>
      <c r="M7" s="87">
        <v>42.75</v>
      </c>
      <c r="O7" s="85">
        <v>45019</v>
      </c>
      <c r="P7" s="86">
        <v>2023</v>
      </c>
      <c r="Q7" s="87">
        <v>59</v>
      </c>
      <c r="T7" s="85">
        <v>45047</v>
      </c>
      <c r="U7" s="86">
        <v>2023</v>
      </c>
      <c r="V7" s="87">
        <v>64</v>
      </c>
      <c r="X7" s="85">
        <v>45078</v>
      </c>
      <c r="Y7" s="86">
        <v>2023</v>
      </c>
      <c r="Z7" s="87">
        <v>64</v>
      </c>
      <c r="AC7" s="85">
        <v>45110</v>
      </c>
      <c r="AD7" s="86">
        <v>2023</v>
      </c>
      <c r="AE7" s="87">
        <v>66.5</v>
      </c>
      <c r="AG7" s="85">
        <v>45139</v>
      </c>
      <c r="AH7" s="86">
        <v>2023</v>
      </c>
      <c r="AI7" s="87">
        <v>67.25</v>
      </c>
      <c r="AL7" s="85">
        <v>45170</v>
      </c>
      <c r="AM7" s="86">
        <v>2023</v>
      </c>
      <c r="AN7" s="87">
        <v>67.5</v>
      </c>
      <c r="AP7" s="85">
        <v>45201</v>
      </c>
      <c r="AQ7" s="86">
        <v>2023</v>
      </c>
      <c r="AR7" s="87">
        <v>53</v>
      </c>
      <c r="AU7" s="85">
        <v>45231</v>
      </c>
      <c r="AV7" s="86">
        <v>2023</v>
      </c>
      <c r="AW7" s="87">
        <v>53.25</v>
      </c>
      <c r="AY7" s="85">
        <v>45261</v>
      </c>
      <c r="AZ7" s="86">
        <v>2023</v>
      </c>
      <c r="BA7" s="87">
        <v>53.25</v>
      </c>
      <c r="BD7" s="88">
        <v>44929</v>
      </c>
      <c r="BE7" s="89">
        <v>43</v>
      </c>
      <c r="BF7" s="90"/>
    </row>
    <row r="8" spans="1:58" ht="20.100000000000001" customHeight="1" x14ac:dyDescent="0.2">
      <c r="B8" s="85">
        <v>44930</v>
      </c>
      <c r="C8" s="86">
        <v>2023</v>
      </c>
      <c r="D8" s="87">
        <v>43</v>
      </c>
      <c r="F8" s="85">
        <v>44959</v>
      </c>
      <c r="G8" s="86">
        <v>2023</v>
      </c>
      <c r="H8" s="87">
        <v>43</v>
      </c>
      <c r="K8" s="85">
        <v>44987</v>
      </c>
      <c r="L8" s="86">
        <v>2023</v>
      </c>
      <c r="M8" s="87">
        <v>42</v>
      </c>
      <c r="O8" s="85">
        <v>45020</v>
      </c>
      <c r="P8" s="86">
        <v>2023</v>
      </c>
      <c r="Q8" s="87">
        <v>59</v>
      </c>
      <c r="T8" s="85">
        <v>45048</v>
      </c>
      <c r="U8" s="86">
        <v>2023</v>
      </c>
      <c r="V8" s="87">
        <v>64</v>
      </c>
      <c r="X8" s="85">
        <v>45079</v>
      </c>
      <c r="Y8" s="86">
        <v>2023</v>
      </c>
      <c r="Z8" s="87">
        <v>64</v>
      </c>
      <c r="AC8" s="85">
        <v>45112</v>
      </c>
      <c r="AD8" s="86">
        <v>2023</v>
      </c>
      <c r="AE8" s="87">
        <v>66</v>
      </c>
      <c r="AG8" s="85">
        <v>45140</v>
      </c>
      <c r="AH8" s="86">
        <v>2023</v>
      </c>
      <c r="AI8" s="87">
        <v>67.5</v>
      </c>
      <c r="AL8" s="85">
        <v>45174</v>
      </c>
      <c r="AM8" s="86">
        <v>2023</v>
      </c>
      <c r="AN8" s="87">
        <v>67.25</v>
      </c>
      <c r="AP8" s="85">
        <v>45202</v>
      </c>
      <c r="AQ8" s="86">
        <v>2023</v>
      </c>
      <c r="AR8" s="87">
        <v>53</v>
      </c>
      <c r="AU8" s="85">
        <v>45232</v>
      </c>
      <c r="AV8" s="86">
        <v>2023</v>
      </c>
      <c r="AW8" s="87">
        <v>53</v>
      </c>
      <c r="AY8" s="85">
        <v>45264</v>
      </c>
      <c r="AZ8" s="86">
        <v>2023</v>
      </c>
      <c r="BA8" s="87">
        <v>53.25</v>
      </c>
      <c r="BD8" s="88">
        <v>44930</v>
      </c>
      <c r="BE8" s="89">
        <v>43</v>
      </c>
      <c r="BF8" s="90"/>
    </row>
    <row r="9" spans="1:58" ht="20.100000000000001" customHeight="1" x14ac:dyDescent="0.2">
      <c r="B9" s="85">
        <v>44931</v>
      </c>
      <c r="C9" s="86">
        <v>2023</v>
      </c>
      <c r="D9" s="87">
        <v>43</v>
      </c>
      <c r="F9" s="85">
        <v>44960</v>
      </c>
      <c r="G9" s="86">
        <v>2023</v>
      </c>
      <c r="H9" s="87">
        <v>43</v>
      </c>
      <c r="K9" s="85">
        <v>44988</v>
      </c>
      <c r="L9" s="86">
        <v>2023</v>
      </c>
      <c r="M9" s="87">
        <v>42.5</v>
      </c>
      <c r="O9" s="85">
        <v>45021</v>
      </c>
      <c r="P9" s="86">
        <v>2023</v>
      </c>
      <c r="Q9" s="87">
        <v>60</v>
      </c>
      <c r="T9" s="85">
        <v>45049</v>
      </c>
      <c r="U9" s="86">
        <v>2023</v>
      </c>
      <c r="V9" s="87">
        <v>64</v>
      </c>
      <c r="X9" s="85">
        <v>45082</v>
      </c>
      <c r="Y9" s="86">
        <v>2023</v>
      </c>
      <c r="Z9" s="87">
        <v>61.25</v>
      </c>
      <c r="AC9" s="85">
        <v>45113</v>
      </c>
      <c r="AD9" s="86">
        <v>2023</v>
      </c>
      <c r="AE9" s="87">
        <v>66</v>
      </c>
      <c r="AG9" s="85">
        <v>45141</v>
      </c>
      <c r="AH9" s="86">
        <v>2023</v>
      </c>
      <c r="AI9" s="87">
        <v>67.5</v>
      </c>
      <c r="AL9" s="85">
        <v>45175</v>
      </c>
      <c r="AM9" s="86">
        <v>2023</v>
      </c>
      <c r="AN9" s="87">
        <v>57.5</v>
      </c>
      <c r="AP9" s="85">
        <v>45203</v>
      </c>
      <c r="AQ9" s="86">
        <v>2023</v>
      </c>
      <c r="AR9" s="87">
        <v>53</v>
      </c>
      <c r="AU9" s="85">
        <v>45233</v>
      </c>
      <c r="AV9" s="86">
        <v>2023</v>
      </c>
      <c r="AW9" s="87">
        <v>53.25</v>
      </c>
      <c r="AY9" s="85">
        <v>45265</v>
      </c>
      <c r="AZ9" s="86">
        <v>2023</v>
      </c>
      <c r="BA9" s="87">
        <v>54</v>
      </c>
      <c r="BD9" s="88">
        <v>44931</v>
      </c>
      <c r="BE9" s="89">
        <v>43</v>
      </c>
      <c r="BF9" s="90"/>
    </row>
    <row r="10" spans="1:58" ht="20.100000000000001" customHeight="1" x14ac:dyDescent="0.2">
      <c r="B10" s="85">
        <v>44932</v>
      </c>
      <c r="C10" s="86">
        <v>2023</v>
      </c>
      <c r="D10" s="87">
        <v>43</v>
      </c>
      <c r="F10" s="85">
        <v>44963</v>
      </c>
      <c r="G10" s="86">
        <v>2023</v>
      </c>
      <c r="H10" s="87">
        <v>43</v>
      </c>
      <c r="K10" s="85">
        <v>44991</v>
      </c>
      <c r="L10" s="86">
        <v>2023</v>
      </c>
      <c r="M10" s="87">
        <v>43</v>
      </c>
      <c r="O10" s="85">
        <v>45022</v>
      </c>
      <c r="P10" s="86">
        <v>2023</v>
      </c>
      <c r="Q10" s="87">
        <v>60</v>
      </c>
      <c r="T10" s="85">
        <v>45050</v>
      </c>
      <c r="U10" s="86">
        <v>2023</v>
      </c>
      <c r="V10" s="87">
        <v>64</v>
      </c>
      <c r="X10" s="85">
        <v>45083</v>
      </c>
      <c r="Y10" s="86">
        <v>2023</v>
      </c>
      <c r="Z10" s="87">
        <v>61</v>
      </c>
      <c r="AC10" s="85">
        <v>45114</v>
      </c>
      <c r="AD10" s="86">
        <v>2023</v>
      </c>
      <c r="AE10" s="87">
        <v>66</v>
      </c>
      <c r="AG10" s="85">
        <v>45142</v>
      </c>
      <c r="AH10" s="86">
        <v>2023</v>
      </c>
      <c r="AI10" s="87">
        <v>67.5</v>
      </c>
      <c r="AL10" s="85">
        <v>45176</v>
      </c>
      <c r="AM10" s="86">
        <v>2023</v>
      </c>
      <c r="AN10" s="87">
        <v>54</v>
      </c>
      <c r="AP10" s="85">
        <v>45204</v>
      </c>
      <c r="AQ10" s="86">
        <v>2023</v>
      </c>
      <c r="AR10" s="87">
        <v>52.75</v>
      </c>
      <c r="AU10" s="85">
        <v>45236</v>
      </c>
      <c r="AV10" s="86">
        <v>2023</v>
      </c>
      <c r="AW10" s="87">
        <v>53.75</v>
      </c>
      <c r="AY10" s="85">
        <v>45266</v>
      </c>
      <c r="AZ10" s="86">
        <v>2023</v>
      </c>
      <c r="BA10" s="87">
        <v>53.25</v>
      </c>
      <c r="BD10" s="88">
        <v>44932</v>
      </c>
      <c r="BE10" s="89">
        <v>43</v>
      </c>
      <c r="BF10" s="90"/>
    </row>
    <row r="11" spans="1:58" ht="20.100000000000001" customHeight="1" x14ac:dyDescent="0.2">
      <c r="B11" s="85">
        <v>44935</v>
      </c>
      <c r="C11" s="86">
        <v>2023</v>
      </c>
      <c r="D11" s="87">
        <v>43</v>
      </c>
      <c r="F11" s="85">
        <v>44964</v>
      </c>
      <c r="G11" s="86">
        <v>2023</v>
      </c>
      <c r="H11" s="87">
        <v>43</v>
      </c>
      <c r="K11" s="85">
        <v>44992</v>
      </c>
      <c r="L11" s="86">
        <v>2023</v>
      </c>
      <c r="M11" s="87">
        <v>50</v>
      </c>
      <c r="O11" s="85">
        <v>45026</v>
      </c>
      <c r="P11" s="86">
        <v>2023</v>
      </c>
      <c r="Q11" s="87">
        <v>62</v>
      </c>
      <c r="T11" s="85">
        <v>45051</v>
      </c>
      <c r="U11" s="86">
        <v>2023</v>
      </c>
      <c r="V11" s="87">
        <v>63.5</v>
      </c>
      <c r="X11" s="85">
        <v>45084</v>
      </c>
      <c r="Y11" s="86">
        <v>2023</v>
      </c>
      <c r="Z11" s="87">
        <v>56</v>
      </c>
      <c r="AC11" s="85">
        <v>45117</v>
      </c>
      <c r="AD11" s="86">
        <v>2023</v>
      </c>
      <c r="AE11" s="87">
        <v>65.5</v>
      </c>
      <c r="AG11" s="85">
        <v>45145</v>
      </c>
      <c r="AH11" s="86">
        <v>2023</v>
      </c>
      <c r="AI11" s="87">
        <v>67.5</v>
      </c>
      <c r="AL11" s="85">
        <v>45177</v>
      </c>
      <c r="AM11" s="86">
        <v>2023</v>
      </c>
      <c r="AN11" s="87">
        <v>54</v>
      </c>
      <c r="AP11" s="85">
        <v>45205</v>
      </c>
      <c r="AQ11" s="86">
        <v>2023</v>
      </c>
      <c r="AR11" s="87">
        <v>52.75</v>
      </c>
      <c r="AU11" s="85">
        <v>45237</v>
      </c>
      <c r="AV11" s="86">
        <v>2023</v>
      </c>
      <c r="AW11" s="87">
        <v>53.5</v>
      </c>
      <c r="AY11" s="85">
        <v>45267</v>
      </c>
      <c r="AZ11" s="86">
        <v>2023</v>
      </c>
      <c r="BA11" s="87">
        <v>53.5</v>
      </c>
      <c r="BD11" s="88">
        <v>44935</v>
      </c>
      <c r="BE11" s="89">
        <v>43</v>
      </c>
      <c r="BF11" s="90"/>
    </row>
    <row r="12" spans="1:58" ht="20.100000000000001" customHeight="1" x14ac:dyDescent="0.2">
      <c r="B12" s="85">
        <v>44936</v>
      </c>
      <c r="C12" s="86">
        <v>2023</v>
      </c>
      <c r="D12" s="87">
        <v>43</v>
      </c>
      <c r="F12" s="85">
        <v>44965</v>
      </c>
      <c r="G12" s="86">
        <v>2023</v>
      </c>
      <c r="H12" s="87">
        <v>43</v>
      </c>
      <c r="K12" s="85">
        <v>44993</v>
      </c>
      <c r="L12" s="86">
        <v>2023</v>
      </c>
      <c r="M12" s="87">
        <v>52</v>
      </c>
      <c r="O12" s="85">
        <v>45027</v>
      </c>
      <c r="P12" s="86">
        <v>2023</v>
      </c>
      <c r="Q12" s="87">
        <v>62</v>
      </c>
      <c r="T12" s="85">
        <v>45054</v>
      </c>
      <c r="U12" s="86">
        <v>2023</v>
      </c>
      <c r="V12" s="87">
        <v>63.5</v>
      </c>
      <c r="X12" s="85">
        <v>45085</v>
      </c>
      <c r="Y12" s="86">
        <v>2023</v>
      </c>
      <c r="Z12" s="87">
        <v>56</v>
      </c>
      <c r="AC12" s="85">
        <v>45118</v>
      </c>
      <c r="AD12" s="86">
        <v>2023</v>
      </c>
      <c r="AE12" s="87">
        <v>65.5</v>
      </c>
      <c r="AG12" s="85">
        <v>45146</v>
      </c>
      <c r="AH12" s="86">
        <v>2023</v>
      </c>
      <c r="AI12" s="87">
        <v>67.5</v>
      </c>
      <c r="AL12" s="85">
        <v>45180</v>
      </c>
      <c r="AM12" s="86">
        <v>2023</v>
      </c>
      <c r="AN12" s="87">
        <v>56</v>
      </c>
      <c r="AP12" s="85">
        <v>45208</v>
      </c>
      <c r="AQ12" s="86">
        <v>2023</v>
      </c>
      <c r="AR12" s="87">
        <v>52.75</v>
      </c>
      <c r="AU12" s="85">
        <v>45238</v>
      </c>
      <c r="AV12" s="86">
        <v>2023</v>
      </c>
      <c r="AW12" s="87">
        <v>53</v>
      </c>
      <c r="AY12" s="85">
        <v>45268</v>
      </c>
      <c r="AZ12" s="86">
        <v>2023</v>
      </c>
      <c r="BA12" s="87">
        <v>52.5</v>
      </c>
      <c r="BD12" s="88">
        <v>44936</v>
      </c>
      <c r="BE12" s="89">
        <v>43</v>
      </c>
      <c r="BF12" s="90"/>
    </row>
    <row r="13" spans="1:58" ht="20.100000000000001" customHeight="1" x14ac:dyDescent="0.2">
      <c r="B13" s="85">
        <v>44937</v>
      </c>
      <c r="C13" s="86">
        <v>2023</v>
      </c>
      <c r="D13" s="87">
        <v>43</v>
      </c>
      <c r="F13" s="85">
        <v>44966</v>
      </c>
      <c r="G13" s="86">
        <v>2023</v>
      </c>
      <c r="H13" s="87">
        <v>43</v>
      </c>
      <c r="K13" s="85">
        <v>44994</v>
      </c>
      <c r="L13" s="86">
        <v>2023</v>
      </c>
      <c r="M13" s="87">
        <v>52</v>
      </c>
      <c r="O13" s="85">
        <v>45028</v>
      </c>
      <c r="P13" s="86">
        <v>2023</v>
      </c>
      <c r="Q13" s="87">
        <v>65</v>
      </c>
      <c r="T13" s="85">
        <v>45055</v>
      </c>
      <c r="U13" s="86">
        <v>2023</v>
      </c>
      <c r="V13" s="87">
        <v>64</v>
      </c>
      <c r="X13" s="85">
        <v>45086</v>
      </c>
      <c r="Y13" s="86">
        <v>2023</v>
      </c>
      <c r="Z13" s="87">
        <v>66</v>
      </c>
      <c r="AC13" s="85">
        <v>45119</v>
      </c>
      <c r="AD13" s="86">
        <v>2023</v>
      </c>
      <c r="AE13" s="87">
        <v>65.5</v>
      </c>
      <c r="AG13" s="85">
        <v>45147</v>
      </c>
      <c r="AH13" s="86">
        <v>2023</v>
      </c>
      <c r="AI13" s="87">
        <v>68</v>
      </c>
      <c r="AL13" s="85">
        <v>45181</v>
      </c>
      <c r="AM13" s="86">
        <v>2023</v>
      </c>
      <c r="AN13" s="87">
        <v>56</v>
      </c>
      <c r="AP13" s="85">
        <v>45209</v>
      </c>
      <c r="AQ13" s="86">
        <v>2023</v>
      </c>
      <c r="AR13" s="87">
        <v>51</v>
      </c>
      <c r="AU13" s="85">
        <v>45239</v>
      </c>
      <c r="AV13" s="86">
        <v>2023</v>
      </c>
      <c r="AW13" s="87">
        <v>53.25</v>
      </c>
      <c r="AY13" s="85">
        <v>45271</v>
      </c>
      <c r="AZ13" s="86">
        <v>2023</v>
      </c>
      <c r="BA13" s="87">
        <v>52.5</v>
      </c>
      <c r="BD13" s="88">
        <v>44937</v>
      </c>
      <c r="BE13" s="89">
        <v>43</v>
      </c>
      <c r="BF13" s="90"/>
    </row>
    <row r="14" spans="1:58" ht="20.100000000000001" customHeight="1" x14ac:dyDescent="0.2">
      <c r="B14" s="85">
        <v>44938</v>
      </c>
      <c r="C14" s="86">
        <v>2023</v>
      </c>
      <c r="D14" s="87">
        <v>43</v>
      </c>
      <c r="F14" s="85">
        <v>44967</v>
      </c>
      <c r="G14" s="86">
        <v>2023</v>
      </c>
      <c r="H14" s="87">
        <v>43</v>
      </c>
      <c r="K14" s="85">
        <v>44995</v>
      </c>
      <c r="L14" s="86">
        <v>2023</v>
      </c>
      <c r="M14" s="87">
        <v>52</v>
      </c>
      <c r="O14" s="85">
        <v>45029</v>
      </c>
      <c r="P14" s="86">
        <v>2023</v>
      </c>
      <c r="Q14" s="87">
        <v>69.25</v>
      </c>
      <c r="T14" s="85">
        <v>45056</v>
      </c>
      <c r="U14" s="86">
        <v>2023</v>
      </c>
      <c r="V14" s="87">
        <v>64</v>
      </c>
      <c r="X14" s="85">
        <v>45089</v>
      </c>
      <c r="Y14" s="86">
        <v>2023</v>
      </c>
      <c r="Z14" s="87">
        <v>68</v>
      </c>
      <c r="AC14" s="85">
        <v>45120</v>
      </c>
      <c r="AD14" s="86">
        <v>2023</v>
      </c>
      <c r="AE14" s="87">
        <v>65</v>
      </c>
      <c r="AG14" s="85">
        <v>45148</v>
      </c>
      <c r="AH14" s="86">
        <v>2023</v>
      </c>
      <c r="AI14" s="87">
        <v>68</v>
      </c>
      <c r="AL14" s="85">
        <v>45182</v>
      </c>
      <c r="AM14" s="86">
        <v>2023</v>
      </c>
      <c r="AN14" s="87">
        <v>57</v>
      </c>
      <c r="AP14" s="85">
        <v>45210</v>
      </c>
      <c r="AQ14" s="86">
        <v>2023</v>
      </c>
      <c r="AR14" s="87">
        <v>51</v>
      </c>
      <c r="AU14" s="85">
        <v>45240</v>
      </c>
      <c r="AV14" s="86">
        <v>2023</v>
      </c>
      <c r="AW14" s="87">
        <v>53.25</v>
      </c>
      <c r="AY14" s="85">
        <v>45272</v>
      </c>
      <c r="AZ14" s="86">
        <v>2023</v>
      </c>
      <c r="BA14" s="87">
        <v>52.75</v>
      </c>
      <c r="BD14" s="88">
        <v>44938</v>
      </c>
      <c r="BE14" s="89">
        <v>43</v>
      </c>
      <c r="BF14" s="90"/>
    </row>
    <row r="15" spans="1:58" ht="20.100000000000001" customHeight="1" x14ac:dyDescent="0.2">
      <c r="B15" s="85">
        <v>44939</v>
      </c>
      <c r="C15" s="86">
        <v>2023</v>
      </c>
      <c r="D15" s="87">
        <v>43</v>
      </c>
      <c r="F15" s="85">
        <v>44970</v>
      </c>
      <c r="G15" s="86">
        <v>2023</v>
      </c>
      <c r="H15" s="87">
        <v>43</v>
      </c>
      <c r="K15" s="85">
        <v>44998</v>
      </c>
      <c r="L15" s="86">
        <v>2023</v>
      </c>
      <c r="M15" s="87">
        <v>52</v>
      </c>
      <c r="O15" s="85">
        <v>45030</v>
      </c>
      <c r="P15" s="86">
        <v>2023</v>
      </c>
      <c r="Q15" s="87">
        <v>70.5</v>
      </c>
      <c r="T15" s="85">
        <v>45057</v>
      </c>
      <c r="U15" s="86">
        <v>2023</v>
      </c>
      <c r="V15" s="87">
        <v>64</v>
      </c>
      <c r="X15" s="85">
        <v>45090</v>
      </c>
      <c r="Y15" s="86">
        <v>2023</v>
      </c>
      <c r="Z15" s="87">
        <v>65</v>
      </c>
      <c r="AC15" s="85">
        <v>45121</v>
      </c>
      <c r="AD15" s="86">
        <v>2023</v>
      </c>
      <c r="AE15" s="87">
        <v>66</v>
      </c>
      <c r="AG15" s="85">
        <v>45149</v>
      </c>
      <c r="AH15" s="86">
        <v>2023</v>
      </c>
      <c r="AI15" s="87">
        <v>68.25</v>
      </c>
      <c r="AL15" s="85">
        <v>45183</v>
      </c>
      <c r="AM15" s="86">
        <v>2023</v>
      </c>
      <c r="AN15" s="87">
        <v>57</v>
      </c>
      <c r="AP15" s="85">
        <v>45211</v>
      </c>
      <c r="AQ15" s="86">
        <v>2023</v>
      </c>
      <c r="AR15" s="87">
        <v>51.5</v>
      </c>
      <c r="AU15" s="85">
        <v>45243</v>
      </c>
      <c r="AV15" s="86">
        <v>2023</v>
      </c>
      <c r="AW15" s="87">
        <v>53.25</v>
      </c>
      <c r="AY15" s="85">
        <v>45273</v>
      </c>
      <c r="AZ15" s="86">
        <v>2023</v>
      </c>
      <c r="BA15" s="87">
        <v>52.75</v>
      </c>
      <c r="BD15" s="88">
        <v>44939</v>
      </c>
      <c r="BE15" s="89">
        <v>43</v>
      </c>
      <c r="BF15" s="90"/>
    </row>
    <row r="16" spans="1:58" ht="20.100000000000001" customHeight="1" x14ac:dyDescent="0.2">
      <c r="B16" s="85">
        <v>44943</v>
      </c>
      <c r="C16" s="86">
        <v>2023</v>
      </c>
      <c r="D16" s="87">
        <v>43</v>
      </c>
      <c r="F16" s="85">
        <v>44971</v>
      </c>
      <c r="G16" s="86">
        <v>2023</v>
      </c>
      <c r="H16" s="87">
        <v>43</v>
      </c>
      <c r="K16" s="85">
        <v>44999</v>
      </c>
      <c r="L16" s="86">
        <v>2023</v>
      </c>
      <c r="M16" s="87">
        <v>52</v>
      </c>
      <c r="O16" s="85">
        <v>45033</v>
      </c>
      <c r="P16" s="86">
        <v>2023</v>
      </c>
      <c r="Q16" s="87">
        <v>67</v>
      </c>
      <c r="T16" s="85">
        <v>45058</v>
      </c>
      <c r="U16" s="86">
        <v>2023</v>
      </c>
      <c r="V16" s="87">
        <v>64</v>
      </c>
      <c r="X16" s="85">
        <v>45091</v>
      </c>
      <c r="Y16" s="86">
        <v>2023</v>
      </c>
      <c r="Z16" s="87">
        <v>63.5</v>
      </c>
      <c r="AC16" s="85">
        <v>45124</v>
      </c>
      <c r="AD16" s="86">
        <v>2023</v>
      </c>
      <c r="AE16" s="87">
        <v>66</v>
      </c>
      <c r="AG16" s="85">
        <v>45152</v>
      </c>
      <c r="AH16" s="86">
        <v>2023</v>
      </c>
      <c r="AI16" s="87">
        <v>68</v>
      </c>
      <c r="AL16" s="85">
        <v>45184</v>
      </c>
      <c r="AM16" s="86">
        <v>2023</v>
      </c>
      <c r="AN16" s="87">
        <v>57</v>
      </c>
      <c r="AP16" s="85">
        <v>45212</v>
      </c>
      <c r="AQ16" s="86">
        <v>2023</v>
      </c>
      <c r="AR16" s="87">
        <v>51.5</v>
      </c>
      <c r="AU16" s="85">
        <v>45244</v>
      </c>
      <c r="AV16" s="86">
        <v>2023</v>
      </c>
      <c r="AW16" s="87">
        <v>54.75</v>
      </c>
      <c r="AY16" s="85">
        <v>45274</v>
      </c>
      <c r="AZ16" s="86">
        <v>2023</v>
      </c>
      <c r="BA16" s="87">
        <v>53</v>
      </c>
      <c r="BD16" s="88">
        <v>44943</v>
      </c>
      <c r="BE16" s="89">
        <v>43</v>
      </c>
      <c r="BF16" s="90"/>
    </row>
    <row r="17" spans="2:58" ht="20.100000000000001" customHeight="1" x14ac:dyDescent="0.2">
      <c r="B17" s="85">
        <v>44944</v>
      </c>
      <c r="C17" s="86">
        <v>2023</v>
      </c>
      <c r="D17" s="87">
        <v>43</v>
      </c>
      <c r="F17" s="85">
        <v>44972</v>
      </c>
      <c r="G17" s="86">
        <v>2023</v>
      </c>
      <c r="H17" s="87">
        <v>43</v>
      </c>
      <c r="K17" s="85">
        <v>45000</v>
      </c>
      <c r="L17" s="86">
        <v>2023</v>
      </c>
      <c r="M17" s="87">
        <v>52</v>
      </c>
      <c r="O17" s="85">
        <v>45034</v>
      </c>
      <c r="P17" s="86">
        <v>2023</v>
      </c>
      <c r="Q17" s="87">
        <v>69</v>
      </c>
      <c r="T17" s="85">
        <v>45061</v>
      </c>
      <c r="U17" s="86">
        <v>2023</v>
      </c>
      <c r="V17" s="87">
        <v>64</v>
      </c>
      <c r="X17" s="85">
        <v>45092</v>
      </c>
      <c r="Y17" s="86">
        <v>2023</v>
      </c>
      <c r="Z17" s="87">
        <v>63</v>
      </c>
      <c r="AC17" s="85">
        <v>45125</v>
      </c>
      <c r="AD17" s="86">
        <v>2023</v>
      </c>
      <c r="AE17" s="87">
        <v>65.5</v>
      </c>
      <c r="AG17" s="85">
        <v>45153</v>
      </c>
      <c r="AH17" s="86">
        <v>2023</v>
      </c>
      <c r="AI17" s="87">
        <v>67.5</v>
      </c>
      <c r="AL17" s="85">
        <v>45187</v>
      </c>
      <c r="AM17" s="86">
        <v>2023</v>
      </c>
      <c r="AN17" s="87">
        <v>56.75</v>
      </c>
      <c r="AP17" s="85">
        <v>45215</v>
      </c>
      <c r="AQ17" s="86">
        <v>2023</v>
      </c>
      <c r="AR17" s="87">
        <v>51.75</v>
      </c>
      <c r="AU17" s="85">
        <v>45245</v>
      </c>
      <c r="AV17" s="86">
        <v>2023</v>
      </c>
      <c r="AW17" s="87">
        <v>55.5</v>
      </c>
      <c r="AY17" s="85">
        <v>45275</v>
      </c>
      <c r="AZ17" s="86">
        <v>2023</v>
      </c>
      <c r="BA17" s="87">
        <v>52.75</v>
      </c>
      <c r="BD17" s="88">
        <v>44944</v>
      </c>
      <c r="BE17" s="89">
        <v>43</v>
      </c>
      <c r="BF17" s="90"/>
    </row>
    <row r="18" spans="2:58" ht="20.100000000000001" customHeight="1" x14ac:dyDescent="0.2">
      <c r="B18" s="85">
        <v>44945</v>
      </c>
      <c r="C18" s="86">
        <v>2023</v>
      </c>
      <c r="D18" s="87">
        <v>43</v>
      </c>
      <c r="F18" s="85">
        <v>44973</v>
      </c>
      <c r="G18" s="86">
        <v>2023</v>
      </c>
      <c r="H18" s="87">
        <v>43</v>
      </c>
      <c r="K18" s="85">
        <v>45001</v>
      </c>
      <c r="L18" s="86">
        <v>2023</v>
      </c>
      <c r="M18" s="87">
        <v>52</v>
      </c>
      <c r="O18" s="85">
        <v>45035</v>
      </c>
      <c r="P18" s="86">
        <v>2023</v>
      </c>
      <c r="Q18" s="87">
        <v>68</v>
      </c>
      <c r="T18" s="85">
        <v>45062</v>
      </c>
      <c r="U18" s="86">
        <v>2023</v>
      </c>
      <c r="V18" s="87">
        <v>63.5</v>
      </c>
      <c r="X18" s="85">
        <v>45093</v>
      </c>
      <c r="Y18" s="86">
        <v>2023</v>
      </c>
      <c r="Z18" s="87">
        <v>63</v>
      </c>
      <c r="AC18" s="85">
        <v>45126</v>
      </c>
      <c r="AD18" s="86">
        <v>2023</v>
      </c>
      <c r="AE18" s="87">
        <v>66.25</v>
      </c>
      <c r="AG18" s="85">
        <v>45154</v>
      </c>
      <c r="AH18" s="86">
        <v>2023</v>
      </c>
      <c r="AI18" s="87">
        <v>70</v>
      </c>
      <c r="AL18" s="85">
        <v>45188</v>
      </c>
      <c r="AM18" s="86">
        <v>2023</v>
      </c>
      <c r="AN18" s="87">
        <v>55.5</v>
      </c>
      <c r="AP18" s="85">
        <v>45216</v>
      </c>
      <c r="AQ18" s="86">
        <v>2023</v>
      </c>
      <c r="AR18" s="87">
        <v>51.75</v>
      </c>
      <c r="AU18" s="85">
        <v>45246</v>
      </c>
      <c r="AV18" s="86">
        <v>2023</v>
      </c>
      <c r="AW18" s="87">
        <v>55.75</v>
      </c>
      <c r="AY18" s="85">
        <v>45278</v>
      </c>
      <c r="AZ18" s="86">
        <v>2023</v>
      </c>
      <c r="BA18" s="87">
        <v>51.5</v>
      </c>
      <c r="BD18" s="88">
        <v>44945</v>
      </c>
      <c r="BE18" s="89">
        <v>43</v>
      </c>
      <c r="BF18" s="90"/>
    </row>
    <row r="19" spans="2:58" ht="20.100000000000001" customHeight="1" x14ac:dyDescent="0.2">
      <c r="B19" s="85">
        <v>44946</v>
      </c>
      <c r="C19" s="86">
        <v>2023</v>
      </c>
      <c r="D19" s="87">
        <v>43</v>
      </c>
      <c r="F19" s="85">
        <v>44974</v>
      </c>
      <c r="G19" s="86">
        <v>2023</v>
      </c>
      <c r="H19" s="87">
        <v>43</v>
      </c>
      <c r="K19" s="85">
        <v>45002</v>
      </c>
      <c r="L19" s="86">
        <v>2023</v>
      </c>
      <c r="M19" s="87">
        <v>52</v>
      </c>
      <c r="O19" s="85">
        <v>45036</v>
      </c>
      <c r="P19" s="86">
        <v>2023</v>
      </c>
      <c r="Q19" s="87">
        <v>69</v>
      </c>
      <c r="T19" s="85">
        <v>45063</v>
      </c>
      <c r="U19" s="86">
        <v>2023</v>
      </c>
      <c r="V19" s="87">
        <v>63.5</v>
      </c>
      <c r="X19" s="85">
        <v>45096</v>
      </c>
      <c r="Y19" s="86">
        <v>2023</v>
      </c>
      <c r="Z19" s="87">
        <v>63</v>
      </c>
      <c r="AC19" s="85">
        <v>45127</v>
      </c>
      <c r="AD19" s="86">
        <v>2023</v>
      </c>
      <c r="AE19" s="87">
        <v>66.5</v>
      </c>
      <c r="AG19" s="85">
        <v>45155</v>
      </c>
      <c r="AH19" s="86">
        <v>2023</v>
      </c>
      <c r="AI19" s="87">
        <v>69.25</v>
      </c>
      <c r="AL19" s="85">
        <v>45189</v>
      </c>
      <c r="AM19" s="86">
        <v>2023</v>
      </c>
      <c r="AN19" s="87">
        <v>54.5</v>
      </c>
      <c r="AP19" s="85">
        <v>45217</v>
      </c>
      <c r="AQ19" s="86">
        <v>2023</v>
      </c>
      <c r="AR19" s="87">
        <v>52</v>
      </c>
      <c r="AU19" s="85">
        <v>45247</v>
      </c>
      <c r="AV19" s="86">
        <v>2023</v>
      </c>
      <c r="AW19" s="87">
        <v>56</v>
      </c>
      <c r="AY19" s="85">
        <v>45279</v>
      </c>
      <c r="AZ19" s="86">
        <v>2023</v>
      </c>
      <c r="BA19" s="87">
        <v>52</v>
      </c>
      <c r="BD19" s="88">
        <v>44946</v>
      </c>
      <c r="BE19" s="89">
        <v>43</v>
      </c>
      <c r="BF19" s="90"/>
    </row>
    <row r="20" spans="2:58" ht="20.100000000000001" customHeight="1" x14ac:dyDescent="0.2">
      <c r="B20" s="85">
        <v>44949</v>
      </c>
      <c r="C20" s="86">
        <v>2023</v>
      </c>
      <c r="D20" s="87">
        <v>43</v>
      </c>
      <c r="F20" s="85">
        <v>44978</v>
      </c>
      <c r="G20" s="86">
        <v>2023</v>
      </c>
      <c r="H20" s="87">
        <v>43</v>
      </c>
      <c r="K20" s="85">
        <v>45005</v>
      </c>
      <c r="L20" s="86">
        <v>2023</v>
      </c>
      <c r="M20" s="87">
        <v>52</v>
      </c>
      <c r="O20" s="85">
        <v>45037</v>
      </c>
      <c r="P20" s="86">
        <v>2023</v>
      </c>
      <c r="Q20" s="87">
        <v>68</v>
      </c>
      <c r="T20" s="85">
        <v>45064</v>
      </c>
      <c r="U20" s="86">
        <v>2023</v>
      </c>
      <c r="V20" s="87">
        <v>63.5</v>
      </c>
      <c r="X20" s="85">
        <v>45097</v>
      </c>
      <c r="Y20" s="86">
        <v>2023</v>
      </c>
      <c r="Z20" s="87">
        <v>63.5</v>
      </c>
      <c r="AC20" s="85">
        <v>45128</v>
      </c>
      <c r="AD20" s="86">
        <v>2023</v>
      </c>
      <c r="AE20" s="87">
        <v>66.5</v>
      </c>
      <c r="AG20" s="85">
        <v>45156</v>
      </c>
      <c r="AH20" s="86">
        <v>2023</v>
      </c>
      <c r="AI20" s="87">
        <v>68.75</v>
      </c>
      <c r="AL20" s="85">
        <v>45190</v>
      </c>
      <c r="AM20" s="86">
        <v>2023</v>
      </c>
      <c r="AN20" s="87">
        <v>54</v>
      </c>
      <c r="AP20" s="85">
        <v>45218</v>
      </c>
      <c r="AQ20" s="86">
        <v>2023</v>
      </c>
      <c r="AR20" s="87">
        <v>52.5</v>
      </c>
      <c r="AU20" s="85">
        <v>45250</v>
      </c>
      <c r="AV20" s="86">
        <v>2023</v>
      </c>
      <c r="AW20" s="87">
        <v>56.25</v>
      </c>
      <c r="AY20" s="85">
        <v>45280</v>
      </c>
      <c r="AZ20" s="86">
        <v>2023</v>
      </c>
      <c r="BA20" s="87">
        <v>52.25</v>
      </c>
      <c r="BD20" s="88">
        <v>44949</v>
      </c>
      <c r="BE20" s="89">
        <v>43</v>
      </c>
      <c r="BF20" s="90"/>
    </row>
    <row r="21" spans="2:58" ht="20.100000000000001" customHeight="1" x14ac:dyDescent="0.2">
      <c r="B21" s="85">
        <v>44950</v>
      </c>
      <c r="C21" s="86">
        <v>2023</v>
      </c>
      <c r="D21" s="87">
        <v>43</v>
      </c>
      <c r="F21" s="85">
        <v>44979</v>
      </c>
      <c r="G21" s="86">
        <v>2023</v>
      </c>
      <c r="H21" s="87">
        <v>43</v>
      </c>
      <c r="K21" s="85">
        <v>45006</v>
      </c>
      <c r="L21" s="86">
        <v>2023</v>
      </c>
      <c r="M21" s="87">
        <v>52</v>
      </c>
      <c r="O21" s="85">
        <v>45040</v>
      </c>
      <c r="P21" s="86">
        <v>2023</v>
      </c>
      <c r="Q21" s="87">
        <v>69</v>
      </c>
      <c r="T21" s="85">
        <v>45065</v>
      </c>
      <c r="U21" s="86">
        <v>2023</v>
      </c>
      <c r="V21" s="87">
        <v>63.5</v>
      </c>
      <c r="X21" s="85">
        <v>45098</v>
      </c>
      <c r="Y21" s="86">
        <v>2023</v>
      </c>
      <c r="Z21" s="87">
        <v>63.5</v>
      </c>
      <c r="AC21" s="85">
        <v>45131</v>
      </c>
      <c r="AD21" s="86">
        <v>2023</v>
      </c>
      <c r="AE21" s="87">
        <v>66.5</v>
      </c>
      <c r="AG21" s="85">
        <v>45159</v>
      </c>
      <c r="AH21" s="86">
        <v>2023</v>
      </c>
      <c r="AI21" s="87">
        <v>68.75</v>
      </c>
      <c r="AL21" s="85">
        <v>45191</v>
      </c>
      <c r="AM21" s="86">
        <v>2023</v>
      </c>
      <c r="AN21" s="87">
        <v>54</v>
      </c>
      <c r="AP21" s="85">
        <v>45219</v>
      </c>
      <c r="AQ21" s="86">
        <v>2023</v>
      </c>
      <c r="AR21" s="87">
        <v>52</v>
      </c>
      <c r="AU21" s="85">
        <v>45251</v>
      </c>
      <c r="AV21" s="86">
        <v>2023</v>
      </c>
      <c r="AW21" s="87">
        <v>56</v>
      </c>
      <c r="AY21" s="85">
        <v>45281</v>
      </c>
      <c r="AZ21" s="86">
        <v>2023</v>
      </c>
      <c r="BA21" s="87">
        <v>52.25</v>
      </c>
      <c r="BD21" s="88">
        <v>44950</v>
      </c>
      <c r="BE21" s="89">
        <v>43</v>
      </c>
      <c r="BF21" s="90"/>
    </row>
    <row r="22" spans="2:58" ht="20.100000000000001" customHeight="1" x14ac:dyDescent="0.2">
      <c r="B22" s="85">
        <v>44951</v>
      </c>
      <c r="C22" s="86">
        <v>2023</v>
      </c>
      <c r="D22" s="87">
        <v>43</v>
      </c>
      <c r="F22" s="85">
        <v>44980</v>
      </c>
      <c r="G22" s="86">
        <v>2023</v>
      </c>
      <c r="H22" s="87">
        <v>43</v>
      </c>
      <c r="K22" s="85">
        <v>45007</v>
      </c>
      <c r="L22" s="86">
        <v>2023</v>
      </c>
      <c r="M22" s="87">
        <v>52</v>
      </c>
      <c r="O22" s="85">
        <v>45041</v>
      </c>
      <c r="P22" s="86">
        <v>2023</v>
      </c>
      <c r="Q22" s="87">
        <v>68.5</v>
      </c>
      <c r="T22" s="85">
        <v>45068</v>
      </c>
      <c r="U22" s="86">
        <v>2023</v>
      </c>
      <c r="V22" s="87">
        <v>63.5</v>
      </c>
      <c r="X22" s="85">
        <v>45099</v>
      </c>
      <c r="Y22" s="86">
        <v>2023</v>
      </c>
      <c r="Z22" s="87">
        <v>65.25</v>
      </c>
      <c r="AC22" s="85">
        <v>45132</v>
      </c>
      <c r="AD22" s="86">
        <v>2023</v>
      </c>
      <c r="AE22" s="87">
        <v>66.5</v>
      </c>
      <c r="AG22" s="85">
        <v>45160</v>
      </c>
      <c r="AH22" s="86">
        <v>2023</v>
      </c>
      <c r="AI22" s="87">
        <v>68.75</v>
      </c>
      <c r="AL22" s="85">
        <v>45194</v>
      </c>
      <c r="AM22" s="86">
        <v>2023</v>
      </c>
      <c r="AN22" s="87">
        <v>54</v>
      </c>
      <c r="AP22" s="85">
        <v>45222</v>
      </c>
      <c r="AQ22" s="86">
        <v>2023</v>
      </c>
      <c r="AR22" s="87">
        <v>52</v>
      </c>
      <c r="AU22" s="85">
        <v>45252</v>
      </c>
      <c r="AV22" s="86">
        <v>2023</v>
      </c>
      <c r="AW22" s="87">
        <v>55.89</v>
      </c>
      <c r="AY22" s="85">
        <v>45282</v>
      </c>
      <c r="AZ22" s="86">
        <v>2023</v>
      </c>
      <c r="BA22" s="87">
        <v>51.95</v>
      </c>
      <c r="BD22" s="88">
        <v>44951</v>
      </c>
      <c r="BE22" s="89">
        <v>43</v>
      </c>
      <c r="BF22" s="90"/>
    </row>
    <row r="23" spans="2:58" ht="20.100000000000001" customHeight="1" x14ac:dyDescent="0.2">
      <c r="B23" s="85">
        <v>44952</v>
      </c>
      <c r="C23" s="86">
        <v>2023</v>
      </c>
      <c r="D23" s="87">
        <v>43</v>
      </c>
      <c r="F23" s="85">
        <v>44981</v>
      </c>
      <c r="G23" s="86">
        <v>2023</v>
      </c>
      <c r="H23" s="87">
        <v>43</v>
      </c>
      <c r="K23" s="85">
        <v>45008</v>
      </c>
      <c r="L23" s="86">
        <v>2023</v>
      </c>
      <c r="M23" s="87">
        <v>52</v>
      </c>
      <c r="O23" s="85">
        <v>45042</v>
      </c>
      <c r="P23" s="86">
        <v>2023</v>
      </c>
      <c r="Q23" s="87">
        <v>68.5</v>
      </c>
      <c r="T23" s="85">
        <v>45069</v>
      </c>
      <c r="U23" s="86">
        <v>2023</v>
      </c>
      <c r="V23" s="87">
        <v>63.5</v>
      </c>
      <c r="X23" s="85">
        <v>45100</v>
      </c>
      <c r="Y23" s="86">
        <v>2023</v>
      </c>
      <c r="Z23" s="87">
        <v>65.25</v>
      </c>
      <c r="AC23" s="85">
        <v>45133</v>
      </c>
      <c r="AD23" s="86">
        <v>2023</v>
      </c>
      <c r="AE23" s="87">
        <v>66.5</v>
      </c>
      <c r="AG23" s="85">
        <v>45161</v>
      </c>
      <c r="AH23" s="86">
        <v>2023</v>
      </c>
      <c r="AI23" s="87">
        <v>68</v>
      </c>
      <c r="AL23" s="85">
        <v>45195</v>
      </c>
      <c r="AM23" s="86">
        <v>2023</v>
      </c>
      <c r="AN23" s="87">
        <v>53.5</v>
      </c>
      <c r="AP23" s="85">
        <v>45223</v>
      </c>
      <c r="AQ23" s="86">
        <v>2023</v>
      </c>
      <c r="AR23" s="87">
        <v>52.25</v>
      </c>
      <c r="AU23" s="85">
        <v>45254</v>
      </c>
      <c r="AV23" s="86">
        <v>2023</v>
      </c>
      <c r="AW23" s="87">
        <v>55.89</v>
      </c>
      <c r="AY23" s="85">
        <v>45286</v>
      </c>
      <c r="AZ23" s="86">
        <v>2023</v>
      </c>
      <c r="BA23" s="87">
        <v>51.95</v>
      </c>
      <c r="BD23" s="88">
        <v>44952</v>
      </c>
      <c r="BE23" s="89">
        <v>43</v>
      </c>
      <c r="BF23" s="90"/>
    </row>
    <row r="24" spans="2:58" ht="20.100000000000001" customHeight="1" x14ac:dyDescent="0.2">
      <c r="B24" s="85">
        <v>44953</v>
      </c>
      <c r="C24" s="86">
        <v>2023</v>
      </c>
      <c r="D24" s="87">
        <v>43</v>
      </c>
      <c r="F24" s="85">
        <v>44984</v>
      </c>
      <c r="G24" s="86">
        <v>2023</v>
      </c>
      <c r="H24" s="87">
        <v>43</v>
      </c>
      <c r="K24" s="85">
        <v>45009</v>
      </c>
      <c r="L24" s="86">
        <v>2023</v>
      </c>
      <c r="M24" s="87">
        <v>52</v>
      </c>
      <c r="O24" s="85">
        <v>45043</v>
      </c>
      <c r="P24" s="86">
        <v>2023</v>
      </c>
      <c r="Q24" s="87">
        <v>69</v>
      </c>
      <c r="T24" s="85">
        <v>45070</v>
      </c>
      <c r="U24" s="86">
        <v>2023</v>
      </c>
      <c r="V24" s="87">
        <v>63.5</v>
      </c>
      <c r="X24" s="85">
        <v>45103</v>
      </c>
      <c r="Y24" s="86">
        <v>2023</v>
      </c>
      <c r="Z24" s="87">
        <v>65.25</v>
      </c>
      <c r="AC24" s="85">
        <v>45134</v>
      </c>
      <c r="AD24" s="86">
        <v>2023</v>
      </c>
      <c r="AE24" s="87">
        <v>66.75</v>
      </c>
      <c r="AG24" s="85">
        <v>45162</v>
      </c>
      <c r="AH24" s="86">
        <v>2023</v>
      </c>
      <c r="AI24" s="87">
        <v>68.5</v>
      </c>
      <c r="AL24" s="85">
        <v>45196</v>
      </c>
      <c r="AM24" s="86">
        <v>2023</v>
      </c>
      <c r="AN24" s="87">
        <v>53.5</v>
      </c>
      <c r="AP24" s="85">
        <v>45224</v>
      </c>
      <c r="AQ24" s="86">
        <v>2023</v>
      </c>
      <c r="AR24" s="87">
        <v>52.4</v>
      </c>
      <c r="AU24" s="85">
        <v>45257</v>
      </c>
      <c r="AV24" s="86">
        <v>2023</v>
      </c>
      <c r="AW24" s="87">
        <v>55.89</v>
      </c>
      <c r="AY24" s="85">
        <v>45287</v>
      </c>
      <c r="AZ24" s="86">
        <v>2023</v>
      </c>
      <c r="BA24" s="87">
        <v>51.95</v>
      </c>
      <c r="BD24" s="88">
        <v>44953</v>
      </c>
      <c r="BE24" s="89">
        <v>43</v>
      </c>
      <c r="BF24" s="90"/>
    </row>
    <row r="25" spans="2:58" ht="20.100000000000001" customHeight="1" x14ac:dyDescent="0.2">
      <c r="B25" s="85">
        <v>44956</v>
      </c>
      <c r="C25" s="86">
        <v>2023</v>
      </c>
      <c r="D25" s="87">
        <v>43</v>
      </c>
      <c r="F25" s="85">
        <v>44985</v>
      </c>
      <c r="G25" s="86">
        <v>2023</v>
      </c>
      <c r="H25" s="87">
        <v>43</v>
      </c>
      <c r="K25" s="85">
        <v>45012</v>
      </c>
      <c r="L25" s="86">
        <v>2023</v>
      </c>
      <c r="M25" s="87">
        <v>57</v>
      </c>
      <c r="O25" s="85">
        <v>45044</v>
      </c>
      <c r="P25" s="86">
        <v>2023</v>
      </c>
      <c r="Q25" s="87">
        <v>65</v>
      </c>
      <c r="T25" s="85">
        <v>45071</v>
      </c>
      <c r="U25" s="86">
        <v>2023</v>
      </c>
      <c r="V25" s="87">
        <v>63.5</v>
      </c>
      <c r="X25" s="85">
        <v>45104</v>
      </c>
      <c r="Y25" s="86">
        <v>2023</v>
      </c>
      <c r="Z25" s="87">
        <v>66.5</v>
      </c>
      <c r="AC25" s="85">
        <v>45135</v>
      </c>
      <c r="AD25" s="86">
        <v>2023</v>
      </c>
      <c r="AE25" s="87">
        <v>66.75</v>
      </c>
      <c r="AG25" s="85">
        <v>45163</v>
      </c>
      <c r="AH25" s="86">
        <v>2023</v>
      </c>
      <c r="AI25" s="87">
        <v>68.5</v>
      </c>
      <c r="AL25" s="85">
        <v>45197</v>
      </c>
      <c r="AM25" s="86">
        <v>2023</v>
      </c>
      <c r="AN25" s="87">
        <v>53</v>
      </c>
      <c r="AP25" s="85">
        <v>45225</v>
      </c>
      <c r="AQ25" s="86">
        <v>2023</v>
      </c>
      <c r="AR25" s="87">
        <v>52.5</v>
      </c>
      <c r="AU25" s="85">
        <v>45258</v>
      </c>
      <c r="AV25" s="86">
        <v>2023</v>
      </c>
      <c r="AW25" s="87">
        <v>55.75</v>
      </c>
      <c r="BD25" s="88">
        <v>44956</v>
      </c>
      <c r="BE25" s="89">
        <v>43</v>
      </c>
      <c r="BF25" s="90"/>
    </row>
    <row r="26" spans="2:58" ht="20.100000000000001" customHeight="1" x14ac:dyDescent="0.2">
      <c r="B26" s="85">
        <v>44957</v>
      </c>
      <c r="C26" s="86">
        <v>2023</v>
      </c>
      <c r="D26" s="87">
        <v>43</v>
      </c>
      <c r="K26" s="85">
        <v>45013</v>
      </c>
      <c r="L26" s="86">
        <v>2023</v>
      </c>
      <c r="M26" s="87">
        <v>57</v>
      </c>
      <c r="T26" s="85">
        <v>45072</v>
      </c>
      <c r="U26" s="86">
        <v>2023</v>
      </c>
      <c r="V26" s="87">
        <v>63.5</v>
      </c>
      <c r="X26" s="85">
        <v>45105</v>
      </c>
      <c r="Y26" s="86">
        <v>2023</v>
      </c>
      <c r="Z26" s="87">
        <v>66.5</v>
      </c>
      <c r="AC26" s="85">
        <v>45138</v>
      </c>
      <c r="AD26" s="86">
        <v>2023</v>
      </c>
      <c r="AE26" s="87">
        <v>66.75</v>
      </c>
      <c r="AG26" s="85">
        <v>45166</v>
      </c>
      <c r="AH26" s="86">
        <v>2023</v>
      </c>
      <c r="AI26" s="87">
        <v>67.5</v>
      </c>
      <c r="AL26" s="85">
        <v>45198</v>
      </c>
      <c r="AM26" s="86">
        <v>2023</v>
      </c>
      <c r="AN26" s="87">
        <v>53</v>
      </c>
      <c r="AP26" s="85">
        <v>45226</v>
      </c>
      <c r="AQ26" s="86">
        <v>2023</v>
      </c>
      <c r="AR26" s="87">
        <v>52.5</v>
      </c>
      <c r="AU26" s="85">
        <v>45259</v>
      </c>
      <c r="AV26" s="86">
        <v>2023</v>
      </c>
      <c r="AW26" s="87">
        <v>55.25</v>
      </c>
      <c r="BD26" s="88">
        <v>44957</v>
      </c>
      <c r="BE26" s="89">
        <v>43</v>
      </c>
      <c r="BF26" s="90"/>
    </row>
    <row r="27" spans="2:58" ht="20.100000000000001" customHeight="1" x14ac:dyDescent="0.2">
      <c r="K27" s="85">
        <v>45014</v>
      </c>
      <c r="L27" s="86">
        <v>2023</v>
      </c>
      <c r="M27" s="87">
        <v>57</v>
      </c>
      <c r="T27" s="85">
        <v>45076</v>
      </c>
      <c r="U27" s="86">
        <v>2023</v>
      </c>
      <c r="V27" s="87">
        <v>64</v>
      </c>
      <c r="X27" s="85">
        <v>45106</v>
      </c>
      <c r="Y27" s="86">
        <v>2023</v>
      </c>
      <c r="Z27" s="87">
        <v>66</v>
      </c>
      <c r="AG27" s="85">
        <v>45167</v>
      </c>
      <c r="AH27" s="86">
        <v>2023</v>
      </c>
      <c r="AI27" s="87">
        <v>68.5</v>
      </c>
      <c r="AP27" s="85">
        <v>45229</v>
      </c>
      <c r="AQ27" s="86">
        <v>2023</v>
      </c>
      <c r="AR27" s="87">
        <v>52.75</v>
      </c>
      <c r="AU27" s="85">
        <v>45260</v>
      </c>
      <c r="AV27" s="86">
        <v>2023</v>
      </c>
      <c r="AW27" s="87">
        <v>55</v>
      </c>
      <c r="BD27" s="88">
        <v>44958</v>
      </c>
      <c r="BE27" s="89">
        <v>43</v>
      </c>
      <c r="BF27" s="90"/>
    </row>
    <row r="28" spans="2:58" ht="20.100000000000001" customHeight="1" x14ac:dyDescent="0.2">
      <c r="K28" s="85">
        <v>45015</v>
      </c>
      <c r="L28" s="86">
        <v>2023</v>
      </c>
      <c r="M28" s="87">
        <v>57</v>
      </c>
      <c r="T28" s="85">
        <v>45077</v>
      </c>
      <c r="U28" s="86">
        <v>2023</v>
      </c>
      <c r="V28" s="87">
        <v>64</v>
      </c>
      <c r="X28" s="85">
        <v>45107</v>
      </c>
      <c r="Y28" s="86">
        <v>2023</v>
      </c>
      <c r="Z28" s="87">
        <v>67.150000000000006</v>
      </c>
      <c r="AG28" s="85">
        <v>45168</v>
      </c>
      <c r="AH28" s="86">
        <v>2023</v>
      </c>
      <c r="AI28" s="87">
        <v>67.5</v>
      </c>
      <c r="AP28" s="85">
        <v>45230</v>
      </c>
      <c r="AQ28" s="86">
        <v>2023</v>
      </c>
      <c r="AR28" s="87">
        <v>53</v>
      </c>
      <c r="BD28" s="88">
        <v>44959</v>
      </c>
      <c r="BE28" s="89">
        <v>43</v>
      </c>
      <c r="BF28" s="90"/>
    </row>
    <row r="29" spans="2:58" ht="20.100000000000001" customHeight="1" x14ac:dyDescent="0.2">
      <c r="K29" s="85">
        <v>45016</v>
      </c>
      <c r="L29" s="86">
        <v>2023</v>
      </c>
      <c r="M29" s="87">
        <v>59</v>
      </c>
      <c r="AG29" s="85">
        <v>45169</v>
      </c>
      <c r="AH29" s="86">
        <v>2023</v>
      </c>
      <c r="AI29" s="87">
        <v>67.5</v>
      </c>
      <c r="BD29" s="88">
        <v>44960</v>
      </c>
      <c r="BE29" s="89">
        <v>43</v>
      </c>
      <c r="BF29" s="90"/>
    </row>
    <row r="30" spans="2:58" ht="20.100000000000001" customHeight="1" x14ac:dyDescent="0.2">
      <c r="K30" s="73"/>
      <c r="L30" s="73"/>
      <c r="M30" s="73"/>
      <c r="BD30" s="88">
        <v>44963</v>
      </c>
      <c r="BE30" s="89">
        <v>43</v>
      </c>
      <c r="BF30" s="90"/>
    </row>
    <row r="31" spans="2:58" ht="20.100000000000001" customHeight="1" x14ac:dyDescent="0.2">
      <c r="K31" s="73"/>
      <c r="L31" s="73"/>
      <c r="M31" s="73"/>
      <c r="BD31" s="88">
        <v>44964</v>
      </c>
      <c r="BE31" s="89">
        <v>43</v>
      </c>
      <c r="BF31" s="90"/>
    </row>
    <row r="32" spans="2:58" ht="20.100000000000001" customHeight="1" x14ac:dyDescent="0.2">
      <c r="K32" s="73"/>
      <c r="L32" s="73"/>
      <c r="M32" s="73"/>
      <c r="BD32" s="88">
        <v>44965</v>
      </c>
      <c r="BE32" s="89">
        <v>43</v>
      </c>
      <c r="BF32" s="90"/>
    </row>
    <row r="33" spans="2:58" ht="20.100000000000001" customHeight="1" x14ac:dyDescent="0.2">
      <c r="K33" s="73"/>
      <c r="L33" s="73"/>
      <c r="M33" s="73"/>
      <c r="BD33" s="88">
        <v>44966</v>
      </c>
      <c r="BE33" s="89">
        <v>43</v>
      </c>
      <c r="BF33" s="90"/>
    </row>
    <row r="34" spans="2:58" ht="20.100000000000001" customHeight="1" x14ac:dyDescent="0.2">
      <c r="B34" s="73"/>
      <c r="C34" s="73"/>
      <c r="D34" s="73"/>
      <c r="K34" s="73"/>
      <c r="L34" s="73"/>
      <c r="M34" s="73"/>
      <c r="BD34" s="88">
        <v>44967</v>
      </c>
      <c r="BE34" s="89">
        <v>43</v>
      </c>
      <c r="BF34" s="90"/>
    </row>
    <row r="35" spans="2:58" ht="20.100000000000001" customHeight="1" x14ac:dyDescent="0.2">
      <c r="B35" s="73"/>
      <c r="C35" s="73"/>
      <c r="D35" s="73"/>
      <c r="K35" s="73"/>
      <c r="L35" s="73"/>
      <c r="M35" s="73"/>
      <c r="BD35" s="88">
        <v>44970</v>
      </c>
      <c r="BE35" s="89">
        <v>43</v>
      </c>
      <c r="BF35" s="90"/>
    </row>
    <row r="36" spans="2:58" ht="20.100000000000001" customHeight="1" x14ac:dyDescent="0.2">
      <c r="B36" s="73"/>
      <c r="C36" s="73"/>
      <c r="D36" s="73"/>
      <c r="K36" s="73"/>
      <c r="L36" s="73"/>
      <c r="M36" s="73"/>
      <c r="BD36" s="88">
        <v>44971</v>
      </c>
      <c r="BE36" s="89">
        <v>43</v>
      </c>
      <c r="BF36" s="90"/>
    </row>
    <row r="37" spans="2:58" ht="20.100000000000001" customHeight="1" x14ac:dyDescent="0.2">
      <c r="B37" s="73"/>
      <c r="C37" s="73"/>
      <c r="D37" s="73"/>
      <c r="K37" s="73"/>
      <c r="L37" s="73"/>
      <c r="M37" s="73"/>
      <c r="BD37" s="88">
        <v>44972</v>
      </c>
      <c r="BE37" s="89">
        <v>43</v>
      </c>
      <c r="BF37" s="90"/>
    </row>
    <row r="38" spans="2:58" ht="20.100000000000001" customHeight="1" x14ac:dyDescent="0.2">
      <c r="B38" s="73"/>
      <c r="C38" s="73"/>
      <c r="D38" s="73"/>
      <c r="K38" s="73"/>
      <c r="L38" s="73"/>
      <c r="M38" s="73"/>
      <c r="BD38" s="88">
        <v>44973</v>
      </c>
      <c r="BE38" s="89">
        <v>43</v>
      </c>
      <c r="BF38" s="90"/>
    </row>
    <row r="39" spans="2:58" ht="20.100000000000001" customHeight="1" x14ac:dyDescent="0.2">
      <c r="B39" s="73"/>
      <c r="C39" s="73"/>
      <c r="D39" s="73"/>
      <c r="K39" s="73"/>
      <c r="L39" s="73"/>
      <c r="M39" s="73"/>
      <c r="BD39" s="88">
        <v>44974</v>
      </c>
      <c r="BE39" s="89">
        <v>43</v>
      </c>
      <c r="BF39" s="90"/>
    </row>
    <row r="40" spans="2:58" ht="20.100000000000001" customHeight="1" x14ac:dyDescent="0.2">
      <c r="B40" s="73"/>
      <c r="C40" s="73"/>
      <c r="D40" s="73"/>
      <c r="K40" s="73"/>
      <c r="L40" s="73"/>
      <c r="M40" s="73"/>
      <c r="BD40" s="88">
        <v>44978</v>
      </c>
      <c r="BE40" s="89">
        <v>43</v>
      </c>
      <c r="BF40" s="90"/>
    </row>
    <row r="41" spans="2:58" ht="20.100000000000001" customHeight="1" x14ac:dyDescent="0.2">
      <c r="B41" s="73"/>
      <c r="C41" s="73"/>
      <c r="D41" s="73"/>
      <c r="K41" s="73"/>
      <c r="L41" s="73"/>
      <c r="M41" s="73"/>
      <c r="BD41" s="88">
        <v>44979</v>
      </c>
      <c r="BE41" s="89">
        <v>43</v>
      </c>
      <c r="BF41" s="90"/>
    </row>
    <row r="42" spans="2:58" ht="20.100000000000001" customHeight="1" x14ac:dyDescent="0.2">
      <c r="B42" s="73"/>
      <c r="C42" s="73"/>
      <c r="D42" s="73"/>
      <c r="K42" s="73"/>
      <c r="L42" s="73"/>
      <c r="M42" s="73"/>
      <c r="BD42" s="88">
        <v>44980</v>
      </c>
      <c r="BE42" s="89">
        <v>43</v>
      </c>
      <c r="BF42" s="90"/>
    </row>
    <row r="43" spans="2:58" ht="20.100000000000001" customHeight="1" x14ac:dyDescent="0.2">
      <c r="B43" s="73"/>
      <c r="C43" s="73"/>
      <c r="D43" s="73"/>
      <c r="K43" s="73"/>
      <c r="L43" s="73"/>
      <c r="M43" s="73"/>
      <c r="BD43" s="88">
        <v>44981</v>
      </c>
      <c r="BE43" s="89">
        <v>43</v>
      </c>
      <c r="BF43" s="90"/>
    </row>
    <row r="44" spans="2:58" ht="20.100000000000001" customHeight="1" x14ac:dyDescent="0.2">
      <c r="B44" s="73"/>
      <c r="C44" s="73"/>
      <c r="D44" s="73"/>
      <c r="K44" s="73"/>
      <c r="L44" s="73"/>
      <c r="M44" s="73"/>
      <c r="BD44" s="88">
        <v>44984</v>
      </c>
      <c r="BE44" s="89">
        <v>43</v>
      </c>
      <c r="BF44" s="90"/>
    </row>
    <row r="45" spans="2:58" ht="20.100000000000001" customHeight="1" x14ac:dyDescent="0.2">
      <c r="B45" s="73"/>
      <c r="C45" s="73"/>
      <c r="D45" s="73"/>
      <c r="K45" s="73"/>
      <c r="L45" s="73"/>
      <c r="M45" s="73"/>
      <c r="BD45" s="88">
        <v>44985</v>
      </c>
      <c r="BE45" s="89">
        <v>43</v>
      </c>
      <c r="BF45" s="90"/>
    </row>
    <row r="46" spans="2:58" ht="20.100000000000001" customHeight="1" x14ac:dyDescent="0.2">
      <c r="B46" s="73"/>
      <c r="C46" s="73"/>
      <c r="D46" s="73"/>
      <c r="K46" s="73"/>
      <c r="L46" s="73"/>
      <c r="M46" s="73"/>
      <c r="BD46" s="88">
        <v>44986</v>
      </c>
      <c r="BE46" s="89">
        <v>42.75</v>
      </c>
      <c r="BF46" s="90"/>
    </row>
    <row r="47" spans="2:58" ht="20.100000000000001" customHeight="1" x14ac:dyDescent="0.2">
      <c r="B47" s="73"/>
      <c r="C47" s="73"/>
      <c r="D47" s="73"/>
      <c r="K47" s="73"/>
      <c r="L47" s="73"/>
      <c r="M47" s="73"/>
      <c r="BD47" s="88">
        <v>44987</v>
      </c>
      <c r="BE47" s="89">
        <v>42</v>
      </c>
      <c r="BF47" s="90"/>
    </row>
    <row r="48" spans="2:58" ht="20.100000000000001" customHeight="1" x14ac:dyDescent="0.2">
      <c r="B48" s="73"/>
      <c r="C48" s="73"/>
      <c r="D48" s="73"/>
      <c r="K48" s="73"/>
      <c r="L48" s="73"/>
      <c r="M48" s="73"/>
      <c r="BD48" s="88">
        <v>44988</v>
      </c>
      <c r="BE48" s="89">
        <v>42.5</v>
      </c>
      <c r="BF48" s="90"/>
    </row>
    <row r="49" spans="2:58" ht="20.100000000000001" customHeight="1" x14ac:dyDescent="0.2">
      <c r="B49" s="73"/>
      <c r="C49" s="73"/>
      <c r="D49" s="73"/>
      <c r="K49" s="73"/>
      <c r="L49" s="73"/>
      <c r="M49" s="73"/>
      <c r="BD49" s="88">
        <v>44991</v>
      </c>
      <c r="BE49" s="89">
        <v>43</v>
      </c>
      <c r="BF49" s="90"/>
    </row>
    <row r="50" spans="2:58" ht="20.100000000000001" customHeight="1" x14ac:dyDescent="0.2">
      <c r="B50" s="73"/>
      <c r="C50" s="73"/>
      <c r="D50" s="73"/>
      <c r="K50" s="73"/>
      <c r="L50" s="73"/>
      <c r="M50" s="73"/>
      <c r="BD50" s="88">
        <v>44992</v>
      </c>
      <c r="BE50" s="89">
        <v>50</v>
      </c>
      <c r="BF50" s="90"/>
    </row>
    <row r="51" spans="2:58" ht="20.100000000000001" customHeight="1" x14ac:dyDescent="0.2">
      <c r="B51" s="73"/>
      <c r="C51" s="73"/>
      <c r="D51" s="73"/>
      <c r="K51" s="73"/>
      <c r="L51" s="73"/>
      <c r="M51" s="73"/>
      <c r="BD51" s="88">
        <v>44993</v>
      </c>
      <c r="BE51" s="89">
        <v>52</v>
      </c>
      <c r="BF51" s="90"/>
    </row>
    <row r="52" spans="2:58" ht="20.100000000000001" customHeight="1" x14ac:dyDescent="0.2">
      <c r="B52" s="73"/>
      <c r="C52" s="73"/>
      <c r="D52" s="73"/>
      <c r="K52" s="73"/>
      <c r="L52" s="73"/>
      <c r="M52" s="73"/>
      <c r="BD52" s="88">
        <v>44994</v>
      </c>
      <c r="BE52" s="89">
        <v>52</v>
      </c>
      <c r="BF52" s="90"/>
    </row>
    <row r="53" spans="2:58" ht="20.100000000000001" customHeight="1" x14ac:dyDescent="0.2">
      <c r="B53" s="73"/>
      <c r="C53" s="73"/>
      <c r="D53" s="73"/>
      <c r="K53" s="73"/>
      <c r="L53" s="73"/>
      <c r="M53" s="73"/>
      <c r="BD53" s="88">
        <v>44995</v>
      </c>
      <c r="BE53" s="89">
        <v>52</v>
      </c>
      <c r="BF53" s="90"/>
    </row>
    <row r="54" spans="2:58" ht="20.100000000000001" customHeight="1" x14ac:dyDescent="0.2">
      <c r="B54" s="73"/>
      <c r="C54" s="73"/>
      <c r="D54" s="73"/>
      <c r="K54" s="73"/>
      <c r="L54" s="73"/>
      <c r="M54" s="73"/>
      <c r="BD54" s="88">
        <v>44998</v>
      </c>
      <c r="BE54" s="89">
        <v>52</v>
      </c>
      <c r="BF54" s="90"/>
    </row>
    <row r="55" spans="2:58" ht="20.100000000000001" customHeight="1" x14ac:dyDescent="0.2">
      <c r="B55" s="73"/>
      <c r="C55" s="73"/>
      <c r="D55" s="73"/>
      <c r="K55" s="73"/>
      <c r="L55" s="73"/>
      <c r="M55" s="73"/>
      <c r="BD55" s="88">
        <v>44999</v>
      </c>
      <c r="BE55" s="89">
        <v>52</v>
      </c>
      <c r="BF55" s="90"/>
    </row>
    <row r="56" spans="2:58" ht="20.100000000000001" customHeight="1" x14ac:dyDescent="0.2">
      <c r="B56" s="73"/>
      <c r="C56" s="73"/>
      <c r="D56" s="73"/>
      <c r="K56" s="73"/>
      <c r="L56" s="73"/>
      <c r="M56" s="73"/>
      <c r="BD56" s="88">
        <v>45000</v>
      </c>
      <c r="BE56" s="89">
        <v>52</v>
      </c>
      <c r="BF56" s="90"/>
    </row>
    <row r="57" spans="2:58" ht="20.100000000000001" customHeight="1" x14ac:dyDescent="0.2">
      <c r="B57" s="73"/>
      <c r="C57" s="73"/>
      <c r="D57" s="73"/>
      <c r="K57" s="73"/>
      <c r="L57" s="73"/>
      <c r="M57" s="73"/>
      <c r="BD57" s="88">
        <v>45001</v>
      </c>
      <c r="BE57" s="89">
        <v>52</v>
      </c>
      <c r="BF57" s="90"/>
    </row>
    <row r="58" spans="2:58" ht="20.100000000000001" customHeight="1" x14ac:dyDescent="0.2">
      <c r="B58" s="73"/>
      <c r="C58" s="73"/>
      <c r="D58" s="73"/>
      <c r="K58" s="73"/>
      <c r="L58" s="73"/>
      <c r="M58" s="73"/>
      <c r="BD58" s="88">
        <v>45002</v>
      </c>
      <c r="BE58" s="89">
        <v>52</v>
      </c>
      <c r="BF58" s="90"/>
    </row>
    <row r="59" spans="2:58" ht="20.100000000000001" customHeight="1" x14ac:dyDescent="0.2">
      <c r="B59" s="73"/>
      <c r="C59" s="73"/>
      <c r="D59" s="73"/>
      <c r="K59" s="73"/>
      <c r="L59" s="73"/>
      <c r="M59" s="73"/>
      <c r="BD59" s="88">
        <v>45005</v>
      </c>
      <c r="BE59" s="89">
        <v>52</v>
      </c>
      <c r="BF59" s="90"/>
    </row>
    <row r="60" spans="2:58" ht="20.100000000000001" customHeight="1" x14ac:dyDescent="0.2">
      <c r="B60" s="73"/>
      <c r="C60" s="73"/>
      <c r="D60" s="73"/>
      <c r="K60" s="73"/>
      <c r="L60" s="73"/>
      <c r="M60" s="73"/>
      <c r="BD60" s="88">
        <v>45006</v>
      </c>
      <c r="BE60" s="89">
        <v>52</v>
      </c>
      <c r="BF60" s="90"/>
    </row>
    <row r="61" spans="2:58" ht="20.100000000000001" customHeight="1" x14ac:dyDescent="0.2">
      <c r="B61" s="73"/>
      <c r="C61" s="73"/>
      <c r="D61" s="73"/>
      <c r="K61" s="73"/>
      <c r="L61" s="73"/>
      <c r="M61" s="73"/>
      <c r="BD61" s="88">
        <v>45007</v>
      </c>
      <c r="BE61" s="89">
        <v>52</v>
      </c>
      <c r="BF61" s="90"/>
    </row>
    <row r="62" spans="2:58" ht="20.100000000000001" customHeight="1" x14ac:dyDescent="0.2">
      <c r="B62" s="73"/>
      <c r="C62" s="73"/>
      <c r="D62" s="73"/>
      <c r="K62" s="73"/>
      <c r="L62" s="73"/>
      <c r="M62" s="73"/>
      <c r="BD62" s="88">
        <v>45008</v>
      </c>
      <c r="BE62" s="89">
        <v>52</v>
      </c>
      <c r="BF62" s="90"/>
    </row>
    <row r="63" spans="2:58" ht="20.100000000000001" customHeight="1" x14ac:dyDescent="0.2">
      <c r="B63" s="73"/>
      <c r="C63" s="73"/>
      <c r="D63" s="73"/>
      <c r="K63" s="73"/>
      <c r="L63" s="73"/>
      <c r="M63" s="73"/>
      <c r="BD63" s="88">
        <v>45009</v>
      </c>
      <c r="BE63" s="89">
        <v>52</v>
      </c>
      <c r="BF63" s="90"/>
    </row>
    <row r="64" spans="2:58" ht="20.100000000000001" customHeight="1" x14ac:dyDescent="0.2">
      <c r="B64" s="73"/>
      <c r="C64" s="73"/>
      <c r="D64" s="73"/>
      <c r="K64" s="73"/>
      <c r="L64" s="73"/>
      <c r="M64" s="73"/>
      <c r="BD64" s="88">
        <v>45012</v>
      </c>
      <c r="BE64" s="89">
        <v>57</v>
      </c>
      <c r="BF64" s="90"/>
    </row>
    <row r="65" spans="2:58" ht="20.100000000000001" customHeight="1" x14ac:dyDescent="0.2">
      <c r="B65" s="73"/>
      <c r="C65" s="73"/>
      <c r="D65" s="73"/>
      <c r="K65" s="73"/>
      <c r="L65" s="73"/>
      <c r="M65" s="73"/>
      <c r="BD65" s="88">
        <v>45013</v>
      </c>
      <c r="BE65" s="89">
        <v>57</v>
      </c>
      <c r="BF65" s="90"/>
    </row>
    <row r="66" spans="2:58" ht="20.100000000000001" customHeight="1" x14ac:dyDescent="0.2">
      <c r="B66" s="73"/>
      <c r="C66" s="73"/>
      <c r="D66" s="73"/>
      <c r="K66" s="73"/>
      <c r="L66" s="73"/>
      <c r="M66" s="73"/>
      <c r="BD66" s="88">
        <v>45014</v>
      </c>
      <c r="BE66" s="89">
        <v>57</v>
      </c>
      <c r="BF66" s="90"/>
    </row>
    <row r="67" spans="2:58" ht="20.100000000000001" customHeight="1" x14ac:dyDescent="0.2">
      <c r="B67" s="73"/>
      <c r="C67" s="73"/>
      <c r="D67" s="73"/>
      <c r="K67" s="73"/>
      <c r="L67" s="73"/>
      <c r="M67" s="73"/>
      <c r="BD67" s="88">
        <v>45015</v>
      </c>
      <c r="BE67" s="89">
        <v>57</v>
      </c>
      <c r="BF67" s="90"/>
    </row>
    <row r="68" spans="2:58" ht="20.100000000000001" customHeight="1" x14ac:dyDescent="0.2">
      <c r="B68" s="73"/>
      <c r="C68" s="73"/>
      <c r="D68" s="73"/>
      <c r="K68" s="73"/>
      <c r="L68" s="73"/>
      <c r="M68" s="73"/>
      <c r="BD68" s="88">
        <v>45016</v>
      </c>
      <c r="BE68" s="89">
        <v>59</v>
      </c>
      <c r="BF68" s="90"/>
    </row>
    <row r="69" spans="2:58" ht="20.100000000000001" customHeight="1" x14ac:dyDescent="0.2">
      <c r="B69" s="73"/>
      <c r="C69" s="73"/>
      <c r="D69" s="73"/>
      <c r="K69" s="73"/>
      <c r="L69" s="73"/>
      <c r="M69" s="73"/>
      <c r="BD69" s="88">
        <v>45019</v>
      </c>
      <c r="BE69" s="89">
        <v>59</v>
      </c>
      <c r="BF69" s="90"/>
    </row>
    <row r="70" spans="2:58" ht="20.100000000000001" customHeight="1" x14ac:dyDescent="0.2">
      <c r="B70" s="73"/>
      <c r="C70" s="73"/>
      <c r="D70" s="73"/>
      <c r="K70" s="73"/>
      <c r="L70" s="73"/>
      <c r="M70" s="73"/>
      <c r="BD70" s="88">
        <v>45020</v>
      </c>
      <c r="BE70" s="89">
        <v>59</v>
      </c>
      <c r="BF70" s="90"/>
    </row>
    <row r="71" spans="2:58" ht="20.100000000000001" customHeight="1" x14ac:dyDescent="0.2">
      <c r="B71" s="73"/>
      <c r="C71" s="73"/>
      <c r="D71" s="73"/>
      <c r="K71" s="73"/>
      <c r="L71" s="73"/>
      <c r="M71" s="73"/>
      <c r="BD71" s="88">
        <v>45021</v>
      </c>
      <c r="BE71" s="89">
        <v>60</v>
      </c>
      <c r="BF71" s="90"/>
    </row>
    <row r="72" spans="2:58" ht="20.100000000000001" customHeight="1" x14ac:dyDescent="0.2">
      <c r="B72" s="73"/>
      <c r="C72" s="73"/>
      <c r="D72" s="73"/>
      <c r="K72" s="73"/>
      <c r="L72" s="73"/>
      <c r="M72" s="73"/>
      <c r="BD72" s="88">
        <v>45022</v>
      </c>
      <c r="BE72" s="89">
        <v>60</v>
      </c>
      <c r="BF72" s="90"/>
    </row>
    <row r="73" spans="2:58" ht="20.100000000000001" customHeight="1" x14ac:dyDescent="0.2">
      <c r="B73" s="73"/>
      <c r="C73" s="73"/>
      <c r="D73" s="73"/>
      <c r="K73" s="73"/>
      <c r="L73" s="73"/>
      <c r="M73" s="73"/>
      <c r="BD73" s="88">
        <v>45026</v>
      </c>
      <c r="BE73" s="89">
        <v>62</v>
      </c>
      <c r="BF73" s="90"/>
    </row>
    <row r="74" spans="2:58" ht="20.100000000000001" customHeight="1" x14ac:dyDescent="0.2">
      <c r="B74" s="73"/>
      <c r="C74" s="73"/>
      <c r="D74" s="73"/>
      <c r="K74" s="73"/>
      <c r="L74" s="73"/>
      <c r="M74" s="73"/>
      <c r="BD74" s="88">
        <v>45027</v>
      </c>
      <c r="BE74" s="89">
        <v>62</v>
      </c>
      <c r="BF74" s="90"/>
    </row>
    <row r="75" spans="2:58" ht="20.100000000000001" customHeight="1" x14ac:dyDescent="0.2">
      <c r="B75" s="73"/>
      <c r="C75" s="73"/>
      <c r="D75" s="73"/>
      <c r="K75" s="73"/>
      <c r="L75" s="73"/>
      <c r="M75" s="73"/>
      <c r="BD75" s="88">
        <v>45028</v>
      </c>
      <c r="BE75" s="89">
        <v>65</v>
      </c>
      <c r="BF75" s="90"/>
    </row>
    <row r="76" spans="2:58" ht="20.100000000000001" customHeight="1" x14ac:dyDescent="0.2">
      <c r="B76" s="73"/>
      <c r="C76" s="73"/>
      <c r="D76" s="73"/>
      <c r="K76" s="73"/>
      <c r="L76" s="73"/>
      <c r="M76" s="73"/>
      <c r="BD76" s="88">
        <v>45029</v>
      </c>
      <c r="BE76" s="89">
        <v>69.25</v>
      </c>
      <c r="BF76" s="90"/>
    </row>
    <row r="77" spans="2:58" ht="20.100000000000001" customHeight="1" x14ac:dyDescent="0.2">
      <c r="B77" s="73"/>
      <c r="C77" s="73"/>
      <c r="D77" s="73"/>
      <c r="K77" s="73"/>
      <c r="L77" s="73"/>
      <c r="M77" s="73"/>
      <c r="BD77" s="88">
        <v>45030</v>
      </c>
      <c r="BE77" s="89">
        <v>70.5</v>
      </c>
      <c r="BF77" s="90"/>
    </row>
    <row r="78" spans="2:58" ht="20.100000000000001" customHeight="1" x14ac:dyDescent="0.2">
      <c r="B78" s="73"/>
      <c r="C78" s="73"/>
      <c r="D78" s="73"/>
      <c r="K78" s="73"/>
      <c r="L78" s="73"/>
      <c r="M78" s="73"/>
      <c r="BD78" s="88">
        <v>45033</v>
      </c>
      <c r="BE78" s="89">
        <v>67</v>
      </c>
      <c r="BF78" s="90"/>
    </row>
    <row r="79" spans="2:58" ht="20.100000000000001" customHeight="1" x14ac:dyDescent="0.2">
      <c r="B79" s="73"/>
      <c r="C79" s="73"/>
      <c r="D79" s="73"/>
      <c r="K79" s="73"/>
      <c r="L79" s="73"/>
      <c r="M79" s="73"/>
      <c r="BD79" s="88">
        <v>45034</v>
      </c>
      <c r="BE79" s="89">
        <v>69</v>
      </c>
      <c r="BF79" s="90"/>
    </row>
    <row r="80" spans="2:58" ht="20.100000000000001" customHeight="1" x14ac:dyDescent="0.2">
      <c r="B80" s="73"/>
      <c r="C80" s="73"/>
      <c r="D80" s="73"/>
      <c r="K80" s="73"/>
      <c r="L80" s="73"/>
      <c r="M80" s="73"/>
      <c r="BD80" s="88">
        <v>45035</v>
      </c>
      <c r="BE80" s="89">
        <v>68</v>
      </c>
      <c r="BF80" s="90"/>
    </row>
    <row r="81" spans="2:58" ht="20.100000000000001" customHeight="1" x14ac:dyDescent="0.2">
      <c r="B81" s="73"/>
      <c r="C81" s="73"/>
      <c r="D81" s="73"/>
      <c r="K81" s="73"/>
      <c r="L81" s="73"/>
      <c r="M81" s="73"/>
      <c r="BD81" s="88">
        <v>45036</v>
      </c>
      <c r="BE81" s="89">
        <v>69</v>
      </c>
      <c r="BF81" s="90"/>
    </row>
    <row r="82" spans="2:58" ht="20.100000000000001" customHeight="1" x14ac:dyDescent="0.2">
      <c r="B82" s="73"/>
      <c r="C82" s="73"/>
      <c r="D82" s="73"/>
      <c r="K82" s="73"/>
      <c r="L82" s="73"/>
      <c r="M82" s="73"/>
      <c r="BD82" s="88">
        <v>45037</v>
      </c>
      <c r="BE82" s="89">
        <v>68</v>
      </c>
      <c r="BF82" s="90"/>
    </row>
    <row r="83" spans="2:58" ht="20.100000000000001" customHeight="1" x14ac:dyDescent="0.2">
      <c r="B83" s="73"/>
      <c r="C83" s="73"/>
      <c r="D83" s="73"/>
      <c r="K83" s="73"/>
      <c r="L83" s="73"/>
      <c r="M83" s="73"/>
      <c r="BD83" s="88">
        <v>45040</v>
      </c>
      <c r="BE83" s="89">
        <v>69</v>
      </c>
      <c r="BF83" s="90"/>
    </row>
    <row r="84" spans="2:58" ht="20.100000000000001" customHeight="1" x14ac:dyDescent="0.2">
      <c r="B84" s="73"/>
      <c r="C84" s="73"/>
      <c r="D84" s="73"/>
      <c r="K84" s="73"/>
      <c r="L84" s="73"/>
      <c r="M84" s="73"/>
      <c r="BD84" s="88">
        <v>45041</v>
      </c>
      <c r="BE84" s="89">
        <v>68.5</v>
      </c>
      <c r="BF84" s="90"/>
    </row>
    <row r="85" spans="2:58" ht="20.100000000000001" customHeight="1" x14ac:dyDescent="0.2">
      <c r="B85" s="73"/>
      <c r="C85" s="73"/>
      <c r="D85" s="73"/>
      <c r="K85" s="73"/>
      <c r="L85" s="73"/>
      <c r="M85" s="73"/>
      <c r="BD85" s="88">
        <v>45042</v>
      </c>
      <c r="BE85" s="89">
        <v>68.5</v>
      </c>
      <c r="BF85" s="90"/>
    </row>
    <row r="86" spans="2:58" ht="20.100000000000001" customHeight="1" x14ac:dyDescent="0.2">
      <c r="B86" s="73"/>
      <c r="C86" s="73"/>
      <c r="D86" s="73"/>
      <c r="K86" s="73"/>
      <c r="L86" s="73"/>
      <c r="M86" s="73"/>
      <c r="BD86" s="88">
        <v>45043</v>
      </c>
      <c r="BE86" s="89">
        <v>69</v>
      </c>
      <c r="BF86" s="90"/>
    </row>
    <row r="87" spans="2:58" ht="20.100000000000001" customHeight="1" x14ac:dyDescent="0.2">
      <c r="B87" s="73"/>
      <c r="C87" s="73"/>
      <c r="D87" s="73"/>
      <c r="K87" s="73"/>
      <c r="L87" s="73"/>
      <c r="M87" s="73"/>
      <c r="BD87" s="88">
        <v>45044</v>
      </c>
      <c r="BE87" s="89">
        <v>65</v>
      </c>
      <c r="BF87" s="90"/>
    </row>
    <row r="88" spans="2:58" ht="20.100000000000001" customHeight="1" x14ac:dyDescent="0.2">
      <c r="B88" s="73"/>
      <c r="C88" s="73"/>
      <c r="D88" s="73"/>
      <c r="K88" s="73"/>
      <c r="L88" s="73"/>
      <c r="M88" s="73"/>
      <c r="BD88" s="88">
        <v>45047</v>
      </c>
      <c r="BE88" s="89">
        <v>64</v>
      </c>
      <c r="BF88" s="90"/>
    </row>
    <row r="89" spans="2:58" ht="20.100000000000001" customHeight="1" x14ac:dyDescent="0.2">
      <c r="B89" s="73"/>
      <c r="C89" s="73"/>
      <c r="D89" s="73"/>
      <c r="K89" s="73"/>
      <c r="L89" s="73"/>
      <c r="M89" s="73"/>
      <c r="BD89" s="88">
        <v>45048</v>
      </c>
      <c r="BE89" s="89">
        <v>64</v>
      </c>
      <c r="BF89" s="90"/>
    </row>
    <row r="90" spans="2:58" ht="20.100000000000001" customHeight="1" x14ac:dyDescent="0.2">
      <c r="B90" s="73"/>
      <c r="C90" s="73"/>
      <c r="D90" s="73"/>
      <c r="K90" s="73"/>
      <c r="L90" s="73"/>
      <c r="M90" s="73"/>
      <c r="BD90" s="88">
        <v>45049</v>
      </c>
      <c r="BE90" s="89">
        <v>64</v>
      </c>
      <c r="BF90" s="90"/>
    </row>
    <row r="91" spans="2:58" ht="20.100000000000001" customHeight="1" x14ac:dyDescent="0.2">
      <c r="B91" s="73"/>
      <c r="C91" s="73"/>
      <c r="D91" s="73"/>
      <c r="K91" s="73"/>
      <c r="L91" s="73"/>
      <c r="M91" s="73"/>
      <c r="BD91" s="88">
        <v>45050</v>
      </c>
      <c r="BE91" s="89">
        <v>64</v>
      </c>
      <c r="BF91" s="90"/>
    </row>
    <row r="92" spans="2:58" ht="20.100000000000001" customHeight="1" x14ac:dyDescent="0.2">
      <c r="B92" s="73"/>
      <c r="C92" s="73"/>
      <c r="D92" s="73"/>
      <c r="K92" s="73"/>
      <c r="L92" s="73"/>
      <c r="M92" s="73"/>
      <c r="BD92" s="88">
        <v>45051</v>
      </c>
      <c r="BE92" s="89">
        <v>63.5</v>
      </c>
      <c r="BF92" s="90"/>
    </row>
    <row r="93" spans="2:58" ht="20.100000000000001" customHeight="1" x14ac:dyDescent="0.2">
      <c r="B93" s="73"/>
      <c r="C93" s="73"/>
      <c r="D93" s="73"/>
      <c r="K93" s="73"/>
      <c r="L93" s="73"/>
      <c r="M93" s="73"/>
      <c r="BD93" s="88">
        <v>45054</v>
      </c>
      <c r="BE93" s="89">
        <v>63.5</v>
      </c>
      <c r="BF93" s="90"/>
    </row>
    <row r="94" spans="2:58" ht="20.100000000000001" customHeight="1" x14ac:dyDescent="0.2">
      <c r="B94" s="73"/>
      <c r="C94" s="73"/>
      <c r="D94" s="73"/>
      <c r="K94" s="73"/>
      <c r="L94" s="73"/>
      <c r="M94" s="73"/>
      <c r="BD94" s="88">
        <v>45055</v>
      </c>
      <c r="BE94" s="89">
        <v>64</v>
      </c>
      <c r="BF94" s="90"/>
    </row>
    <row r="95" spans="2:58" ht="20.100000000000001" customHeight="1" x14ac:dyDescent="0.2">
      <c r="B95" s="73"/>
      <c r="C95" s="73"/>
      <c r="D95" s="73"/>
      <c r="K95" s="73"/>
      <c r="L95" s="73"/>
      <c r="M95" s="73"/>
      <c r="BD95" s="88">
        <v>45056</v>
      </c>
      <c r="BE95" s="89">
        <v>64</v>
      </c>
      <c r="BF95" s="90"/>
    </row>
    <row r="96" spans="2:58" ht="20.100000000000001" customHeight="1" x14ac:dyDescent="0.2">
      <c r="B96" s="73"/>
      <c r="C96" s="73"/>
      <c r="D96" s="73"/>
      <c r="K96" s="73"/>
      <c r="L96" s="73"/>
      <c r="M96" s="73"/>
      <c r="BD96" s="88">
        <v>45057</v>
      </c>
      <c r="BE96" s="89">
        <v>64</v>
      </c>
      <c r="BF96" s="90"/>
    </row>
    <row r="97" spans="2:58" ht="20.100000000000001" customHeight="1" x14ac:dyDescent="0.2">
      <c r="B97" s="73"/>
      <c r="C97" s="73"/>
      <c r="D97" s="73"/>
      <c r="K97" s="73"/>
      <c r="L97" s="73"/>
      <c r="M97" s="73"/>
      <c r="BD97" s="88">
        <v>45058</v>
      </c>
      <c r="BE97" s="89">
        <v>64</v>
      </c>
      <c r="BF97" s="90"/>
    </row>
    <row r="98" spans="2:58" ht="20.100000000000001" customHeight="1" x14ac:dyDescent="0.2">
      <c r="B98" s="73"/>
      <c r="C98" s="73"/>
      <c r="D98" s="73"/>
      <c r="K98" s="73"/>
      <c r="L98" s="73"/>
      <c r="M98" s="73"/>
      <c r="BD98" s="88">
        <v>45061</v>
      </c>
      <c r="BE98" s="89">
        <v>64</v>
      </c>
      <c r="BF98" s="90"/>
    </row>
    <row r="99" spans="2:58" ht="20.100000000000001" customHeight="1" x14ac:dyDescent="0.2">
      <c r="B99" s="73"/>
      <c r="C99" s="73"/>
      <c r="D99" s="73"/>
      <c r="K99" s="73"/>
      <c r="L99" s="73"/>
      <c r="M99" s="73"/>
      <c r="BD99" s="88">
        <v>45062</v>
      </c>
      <c r="BE99" s="89">
        <v>63.5</v>
      </c>
      <c r="BF99" s="90"/>
    </row>
    <row r="100" spans="2:58" ht="20.100000000000001" customHeight="1" x14ac:dyDescent="0.2">
      <c r="B100" s="73"/>
      <c r="C100" s="73"/>
      <c r="D100" s="73"/>
      <c r="K100" s="73"/>
      <c r="L100" s="73"/>
      <c r="M100" s="73"/>
      <c r="BD100" s="88">
        <v>45063</v>
      </c>
      <c r="BE100" s="89">
        <v>63.5</v>
      </c>
      <c r="BF100" s="90"/>
    </row>
    <row r="101" spans="2:58" ht="20.100000000000001" customHeight="1" x14ac:dyDescent="0.2">
      <c r="B101" s="73"/>
      <c r="C101" s="73"/>
      <c r="D101" s="73"/>
      <c r="K101" s="73"/>
      <c r="L101" s="73"/>
      <c r="M101" s="73"/>
      <c r="BD101" s="88">
        <v>45064</v>
      </c>
      <c r="BE101" s="89">
        <v>63.5</v>
      </c>
      <c r="BF101" s="90"/>
    </row>
    <row r="102" spans="2:58" ht="20.100000000000001" customHeight="1" x14ac:dyDescent="0.2">
      <c r="B102" s="73"/>
      <c r="C102" s="73"/>
      <c r="D102" s="73"/>
      <c r="K102" s="73"/>
      <c r="L102" s="73"/>
      <c r="M102" s="73"/>
      <c r="BD102" s="88">
        <v>45065</v>
      </c>
      <c r="BE102" s="89">
        <v>63.5</v>
      </c>
      <c r="BF102" s="90"/>
    </row>
    <row r="103" spans="2:58" ht="20.100000000000001" customHeight="1" x14ac:dyDescent="0.2">
      <c r="B103" s="73"/>
      <c r="C103" s="73"/>
      <c r="D103" s="73"/>
      <c r="K103" s="73"/>
      <c r="L103" s="73"/>
      <c r="M103" s="73"/>
      <c r="BD103" s="88">
        <v>45068</v>
      </c>
      <c r="BE103" s="89">
        <v>63.5</v>
      </c>
      <c r="BF103" s="90"/>
    </row>
    <row r="104" spans="2:58" ht="20.100000000000001" customHeight="1" x14ac:dyDescent="0.2">
      <c r="B104" s="73"/>
      <c r="C104" s="73"/>
      <c r="D104" s="73"/>
      <c r="K104" s="73"/>
      <c r="L104" s="73"/>
      <c r="M104" s="73"/>
      <c r="BD104" s="88">
        <v>45069</v>
      </c>
      <c r="BE104" s="89">
        <v>63.5</v>
      </c>
      <c r="BF104" s="90"/>
    </row>
    <row r="105" spans="2:58" ht="20.100000000000001" customHeight="1" x14ac:dyDescent="0.2">
      <c r="B105" s="73"/>
      <c r="C105" s="73"/>
      <c r="D105" s="73"/>
      <c r="K105" s="73"/>
      <c r="L105" s="73"/>
      <c r="M105" s="73"/>
      <c r="BD105" s="88">
        <v>45070</v>
      </c>
      <c r="BE105" s="89">
        <v>63.5</v>
      </c>
      <c r="BF105" s="90"/>
    </row>
    <row r="106" spans="2:58" ht="20.100000000000001" customHeight="1" x14ac:dyDescent="0.2">
      <c r="B106" s="73"/>
      <c r="C106" s="73"/>
      <c r="D106" s="73"/>
      <c r="K106" s="73"/>
      <c r="L106" s="73"/>
      <c r="M106" s="73"/>
      <c r="BD106" s="88">
        <v>45071</v>
      </c>
      <c r="BE106" s="89">
        <v>63.5</v>
      </c>
      <c r="BF106" s="90"/>
    </row>
    <row r="107" spans="2:58" ht="20.100000000000001" customHeight="1" x14ac:dyDescent="0.2">
      <c r="B107" s="73"/>
      <c r="C107" s="73"/>
      <c r="D107" s="73"/>
      <c r="K107" s="73"/>
      <c r="L107" s="73"/>
      <c r="M107" s="73"/>
      <c r="BD107" s="88">
        <v>45072</v>
      </c>
      <c r="BE107" s="89">
        <v>63.5</v>
      </c>
      <c r="BF107" s="90"/>
    </row>
    <row r="108" spans="2:58" ht="20.100000000000001" customHeight="1" x14ac:dyDescent="0.2">
      <c r="B108" s="73"/>
      <c r="C108" s="73"/>
      <c r="D108" s="73"/>
      <c r="K108" s="73"/>
      <c r="L108" s="73"/>
      <c r="M108" s="73"/>
      <c r="BD108" s="88">
        <v>45076</v>
      </c>
      <c r="BE108" s="89">
        <v>64</v>
      </c>
      <c r="BF108" s="90"/>
    </row>
    <row r="109" spans="2:58" ht="20.100000000000001" customHeight="1" x14ac:dyDescent="0.2">
      <c r="B109" s="73"/>
      <c r="C109" s="73"/>
      <c r="D109" s="73"/>
      <c r="K109" s="73"/>
      <c r="L109" s="73"/>
      <c r="M109" s="73"/>
      <c r="BD109" s="88">
        <v>45077</v>
      </c>
      <c r="BE109" s="89">
        <v>64</v>
      </c>
      <c r="BF109" s="90"/>
    </row>
    <row r="110" spans="2:58" ht="20.100000000000001" customHeight="1" x14ac:dyDescent="0.2">
      <c r="B110" s="73"/>
      <c r="C110" s="73"/>
      <c r="D110" s="73"/>
      <c r="K110" s="73"/>
      <c r="L110" s="73"/>
      <c r="M110" s="73"/>
      <c r="BD110" s="88">
        <v>45078</v>
      </c>
      <c r="BE110" s="89">
        <v>64</v>
      </c>
      <c r="BF110" s="90"/>
    </row>
    <row r="111" spans="2:58" ht="20.100000000000001" customHeight="1" x14ac:dyDescent="0.2">
      <c r="B111" s="73"/>
      <c r="C111" s="73"/>
      <c r="D111" s="73"/>
      <c r="K111" s="73"/>
      <c r="L111" s="73"/>
      <c r="M111" s="73"/>
      <c r="BD111" s="88">
        <v>45079</v>
      </c>
      <c r="BE111" s="89">
        <v>64</v>
      </c>
      <c r="BF111" s="90"/>
    </row>
    <row r="112" spans="2:58" ht="20.100000000000001" customHeight="1" x14ac:dyDescent="0.2">
      <c r="B112" s="73"/>
      <c r="C112" s="73"/>
      <c r="D112" s="73"/>
      <c r="K112" s="73"/>
      <c r="L112" s="73"/>
      <c r="M112" s="73"/>
      <c r="BD112" s="88">
        <v>45082</v>
      </c>
      <c r="BE112" s="89">
        <v>61.25</v>
      </c>
      <c r="BF112" s="90"/>
    </row>
    <row r="113" spans="2:58" ht="20.100000000000001" customHeight="1" x14ac:dyDescent="0.2">
      <c r="B113" s="73"/>
      <c r="C113" s="73"/>
      <c r="D113" s="73"/>
      <c r="K113" s="73"/>
      <c r="L113" s="73"/>
      <c r="M113" s="73"/>
      <c r="BD113" s="88">
        <v>45083</v>
      </c>
      <c r="BE113" s="89">
        <v>61</v>
      </c>
      <c r="BF113" s="90"/>
    </row>
    <row r="114" spans="2:58" ht="20.100000000000001" customHeight="1" x14ac:dyDescent="0.2">
      <c r="B114" s="73"/>
      <c r="C114" s="73"/>
      <c r="D114" s="73"/>
      <c r="K114" s="73"/>
      <c r="L114" s="73"/>
      <c r="M114" s="73"/>
      <c r="BD114" s="88">
        <v>45084</v>
      </c>
      <c r="BE114" s="89">
        <v>56</v>
      </c>
      <c r="BF114" s="90"/>
    </row>
    <row r="115" spans="2:58" ht="20.100000000000001" customHeight="1" x14ac:dyDescent="0.2">
      <c r="B115" s="73"/>
      <c r="C115" s="73"/>
      <c r="D115" s="73"/>
      <c r="K115" s="73"/>
      <c r="L115" s="73"/>
      <c r="M115" s="73"/>
      <c r="BD115" s="88">
        <v>45085</v>
      </c>
      <c r="BE115" s="89">
        <v>56</v>
      </c>
      <c r="BF115" s="90"/>
    </row>
    <row r="116" spans="2:58" ht="20.100000000000001" customHeight="1" x14ac:dyDescent="0.2">
      <c r="B116" s="73"/>
      <c r="C116" s="73"/>
      <c r="D116" s="73"/>
      <c r="K116" s="73"/>
      <c r="L116" s="73"/>
      <c r="M116" s="73"/>
      <c r="BD116" s="88">
        <v>45086</v>
      </c>
      <c r="BE116" s="89">
        <v>66</v>
      </c>
      <c r="BF116" s="90"/>
    </row>
    <row r="117" spans="2:58" ht="20.100000000000001" customHeight="1" x14ac:dyDescent="0.2">
      <c r="B117" s="73"/>
      <c r="C117" s="73"/>
      <c r="D117" s="73"/>
      <c r="K117" s="73"/>
      <c r="L117" s="73"/>
      <c r="M117" s="73"/>
      <c r="BD117" s="88">
        <v>45089</v>
      </c>
      <c r="BE117" s="89">
        <v>68</v>
      </c>
      <c r="BF117" s="90"/>
    </row>
    <row r="118" spans="2:58" ht="20.100000000000001" customHeight="1" x14ac:dyDescent="0.2">
      <c r="B118" s="73"/>
      <c r="C118" s="73"/>
      <c r="D118" s="73"/>
      <c r="K118" s="73"/>
      <c r="L118" s="73"/>
      <c r="M118" s="73"/>
      <c r="BD118" s="88">
        <v>45090</v>
      </c>
      <c r="BE118" s="89">
        <v>65</v>
      </c>
      <c r="BF118" s="90"/>
    </row>
    <row r="119" spans="2:58" ht="20.100000000000001" customHeight="1" x14ac:dyDescent="0.2">
      <c r="B119" s="73"/>
      <c r="C119" s="73"/>
      <c r="D119" s="73"/>
      <c r="K119" s="73"/>
      <c r="L119" s="73"/>
      <c r="M119" s="73"/>
      <c r="BD119" s="88">
        <v>45091</v>
      </c>
      <c r="BE119" s="89">
        <v>63.5</v>
      </c>
      <c r="BF119" s="90"/>
    </row>
    <row r="120" spans="2:58" ht="20.100000000000001" customHeight="1" x14ac:dyDescent="0.2">
      <c r="B120" s="73"/>
      <c r="C120" s="73"/>
      <c r="D120" s="73"/>
      <c r="K120" s="73"/>
      <c r="L120" s="73"/>
      <c r="M120" s="73"/>
      <c r="BD120" s="88">
        <v>45092</v>
      </c>
      <c r="BE120" s="89">
        <v>63</v>
      </c>
      <c r="BF120" s="90"/>
    </row>
    <row r="121" spans="2:58" ht="20.100000000000001" customHeight="1" x14ac:dyDescent="0.2">
      <c r="B121" s="73"/>
      <c r="C121" s="73"/>
      <c r="D121" s="73"/>
      <c r="K121" s="73"/>
      <c r="L121" s="73"/>
      <c r="M121" s="73"/>
      <c r="BD121" s="88">
        <v>45093</v>
      </c>
      <c r="BE121" s="89">
        <v>63</v>
      </c>
      <c r="BF121" s="90"/>
    </row>
    <row r="122" spans="2:58" ht="20.100000000000001" customHeight="1" x14ac:dyDescent="0.2">
      <c r="B122" s="73"/>
      <c r="C122" s="73"/>
      <c r="D122" s="73"/>
      <c r="K122" s="73"/>
      <c r="L122" s="73"/>
      <c r="M122" s="73"/>
      <c r="BD122" s="88">
        <v>45096</v>
      </c>
      <c r="BE122" s="89">
        <v>63</v>
      </c>
      <c r="BF122" s="90"/>
    </row>
    <row r="123" spans="2:58" ht="20.100000000000001" customHeight="1" x14ac:dyDescent="0.2">
      <c r="B123" s="73"/>
      <c r="C123" s="73"/>
      <c r="D123" s="73"/>
      <c r="K123" s="73"/>
      <c r="L123" s="73"/>
      <c r="M123" s="73"/>
      <c r="BD123" s="88">
        <v>45097</v>
      </c>
      <c r="BE123" s="89">
        <v>63.5</v>
      </c>
      <c r="BF123" s="90"/>
    </row>
    <row r="124" spans="2:58" ht="20.100000000000001" customHeight="1" x14ac:dyDescent="0.2">
      <c r="B124" s="73"/>
      <c r="C124" s="73"/>
      <c r="D124" s="73"/>
      <c r="K124" s="73"/>
      <c r="L124" s="73"/>
      <c r="M124" s="73"/>
      <c r="BD124" s="88">
        <v>45098</v>
      </c>
      <c r="BE124" s="89">
        <v>63.5</v>
      </c>
      <c r="BF124" s="90"/>
    </row>
    <row r="125" spans="2:58" ht="20.100000000000001" customHeight="1" x14ac:dyDescent="0.2">
      <c r="B125" s="73"/>
      <c r="C125" s="73"/>
      <c r="D125" s="73"/>
      <c r="K125" s="73"/>
      <c r="L125" s="73"/>
      <c r="M125" s="73"/>
      <c r="BD125" s="88">
        <v>45099</v>
      </c>
      <c r="BE125" s="89">
        <v>65.25</v>
      </c>
      <c r="BF125" s="90"/>
    </row>
    <row r="126" spans="2:58" ht="20.100000000000001" customHeight="1" x14ac:dyDescent="0.2">
      <c r="B126" s="73"/>
      <c r="C126" s="73"/>
      <c r="D126" s="73"/>
      <c r="K126" s="73"/>
      <c r="L126" s="73"/>
      <c r="M126" s="73"/>
      <c r="BD126" s="88">
        <v>45100</v>
      </c>
      <c r="BE126" s="89">
        <v>65.25</v>
      </c>
      <c r="BF126" s="90"/>
    </row>
    <row r="127" spans="2:58" ht="20.100000000000001" customHeight="1" x14ac:dyDescent="0.2">
      <c r="B127" s="73"/>
      <c r="C127" s="73"/>
      <c r="D127" s="73"/>
      <c r="K127" s="73"/>
      <c r="L127" s="73"/>
      <c r="M127" s="73"/>
      <c r="BD127" s="88">
        <v>45103</v>
      </c>
      <c r="BE127" s="89">
        <v>65.25</v>
      </c>
      <c r="BF127" s="90"/>
    </row>
    <row r="128" spans="2:58" ht="20.100000000000001" customHeight="1" x14ac:dyDescent="0.2">
      <c r="B128" s="73"/>
      <c r="C128" s="73"/>
      <c r="D128" s="73"/>
      <c r="K128" s="73"/>
      <c r="L128" s="73"/>
      <c r="M128" s="73"/>
      <c r="BD128" s="88">
        <v>45104</v>
      </c>
      <c r="BE128" s="89">
        <v>66.5</v>
      </c>
      <c r="BF128" s="90"/>
    </row>
    <row r="129" spans="2:58" ht="20.100000000000001" customHeight="1" x14ac:dyDescent="0.2">
      <c r="B129" s="73"/>
      <c r="C129" s="73"/>
      <c r="D129" s="73"/>
      <c r="K129" s="73"/>
      <c r="L129" s="73"/>
      <c r="M129" s="73"/>
      <c r="BD129" s="88">
        <v>45105</v>
      </c>
      <c r="BE129" s="89">
        <v>66.5</v>
      </c>
      <c r="BF129" s="90"/>
    </row>
    <row r="130" spans="2:58" ht="20.100000000000001" customHeight="1" x14ac:dyDescent="0.2">
      <c r="B130" s="73"/>
      <c r="C130" s="73"/>
      <c r="D130" s="73"/>
      <c r="K130" s="73"/>
      <c r="L130" s="73"/>
      <c r="M130" s="73"/>
      <c r="BD130" s="88">
        <v>45106</v>
      </c>
      <c r="BE130" s="89">
        <v>66</v>
      </c>
      <c r="BF130" s="90"/>
    </row>
    <row r="131" spans="2:58" ht="20.100000000000001" customHeight="1" x14ac:dyDescent="0.2">
      <c r="B131" s="73"/>
      <c r="C131" s="73"/>
      <c r="D131" s="73"/>
      <c r="K131" s="73"/>
      <c r="L131" s="73"/>
      <c r="M131" s="73"/>
      <c r="BD131" s="88">
        <v>45107</v>
      </c>
      <c r="BE131" s="89">
        <v>67.150000000000006</v>
      </c>
      <c r="BF131" s="90"/>
    </row>
    <row r="132" spans="2:58" ht="20.100000000000001" customHeight="1" x14ac:dyDescent="0.2">
      <c r="B132" s="73"/>
      <c r="C132" s="73"/>
      <c r="D132" s="73"/>
      <c r="K132" s="73"/>
      <c r="L132" s="73"/>
      <c r="M132" s="73"/>
      <c r="BD132" s="88">
        <v>45110</v>
      </c>
      <c r="BE132" s="89">
        <v>66.5</v>
      </c>
      <c r="BF132" s="90"/>
    </row>
    <row r="133" spans="2:58" ht="20.100000000000001" customHeight="1" x14ac:dyDescent="0.2">
      <c r="B133" s="73"/>
      <c r="C133" s="73"/>
      <c r="D133" s="73"/>
      <c r="K133" s="73"/>
      <c r="L133" s="73"/>
      <c r="M133" s="73"/>
      <c r="BD133" s="88">
        <v>45112</v>
      </c>
      <c r="BE133" s="89">
        <v>66</v>
      </c>
      <c r="BF133" s="90"/>
    </row>
    <row r="134" spans="2:58" ht="20.100000000000001" customHeight="1" x14ac:dyDescent="0.2">
      <c r="B134" s="73"/>
      <c r="C134" s="73"/>
      <c r="D134" s="73"/>
      <c r="K134" s="73"/>
      <c r="L134" s="73"/>
      <c r="M134" s="73"/>
      <c r="BD134" s="88">
        <v>45113</v>
      </c>
      <c r="BE134" s="89">
        <v>66</v>
      </c>
      <c r="BF134" s="90"/>
    </row>
    <row r="135" spans="2:58" ht="20.100000000000001" customHeight="1" x14ac:dyDescent="0.2">
      <c r="B135" s="73"/>
      <c r="C135" s="73"/>
      <c r="D135" s="73"/>
      <c r="K135" s="73"/>
      <c r="L135" s="73"/>
      <c r="M135" s="73"/>
      <c r="BD135" s="88">
        <v>45114</v>
      </c>
      <c r="BE135" s="89">
        <v>66</v>
      </c>
      <c r="BF135" s="90"/>
    </row>
    <row r="136" spans="2:58" ht="20.100000000000001" customHeight="1" x14ac:dyDescent="0.2">
      <c r="B136" s="73"/>
      <c r="C136" s="73"/>
      <c r="D136" s="73"/>
      <c r="K136" s="73"/>
      <c r="L136" s="73"/>
      <c r="M136" s="73"/>
      <c r="BD136" s="88">
        <v>45117</v>
      </c>
      <c r="BE136" s="89">
        <v>65.5</v>
      </c>
      <c r="BF136" s="90"/>
    </row>
    <row r="137" spans="2:58" ht="20.100000000000001" customHeight="1" x14ac:dyDescent="0.2">
      <c r="B137" s="73"/>
      <c r="C137" s="73"/>
      <c r="D137" s="73"/>
      <c r="K137" s="73"/>
      <c r="L137" s="73"/>
      <c r="M137" s="73"/>
      <c r="BD137" s="88">
        <v>45118</v>
      </c>
      <c r="BE137" s="89">
        <v>65.5</v>
      </c>
      <c r="BF137" s="90"/>
    </row>
    <row r="138" spans="2:58" ht="20.100000000000001" customHeight="1" x14ac:dyDescent="0.2">
      <c r="B138" s="73"/>
      <c r="C138" s="73"/>
      <c r="D138" s="73"/>
      <c r="K138" s="73"/>
      <c r="L138" s="73"/>
      <c r="M138" s="73"/>
      <c r="BD138" s="88">
        <v>45119</v>
      </c>
      <c r="BE138" s="89">
        <v>65.5</v>
      </c>
      <c r="BF138" s="90"/>
    </row>
    <row r="139" spans="2:58" ht="20.100000000000001" customHeight="1" x14ac:dyDescent="0.2">
      <c r="B139" s="73"/>
      <c r="C139" s="73"/>
      <c r="D139" s="73"/>
      <c r="K139" s="73"/>
      <c r="L139" s="73"/>
      <c r="M139" s="73"/>
      <c r="BD139" s="88">
        <v>45120</v>
      </c>
      <c r="BE139" s="89">
        <v>65</v>
      </c>
      <c r="BF139" s="90"/>
    </row>
    <row r="140" spans="2:58" ht="20.100000000000001" customHeight="1" x14ac:dyDescent="0.2">
      <c r="B140" s="73"/>
      <c r="C140" s="73"/>
      <c r="D140" s="73"/>
      <c r="K140" s="73"/>
      <c r="L140" s="73"/>
      <c r="M140" s="73"/>
      <c r="BD140" s="88">
        <v>45121</v>
      </c>
      <c r="BE140" s="89">
        <v>66</v>
      </c>
      <c r="BF140" s="90"/>
    </row>
    <row r="141" spans="2:58" ht="20.100000000000001" customHeight="1" x14ac:dyDescent="0.2">
      <c r="B141" s="73"/>
      <c r="C141" s="73"/>
      <c r="D141" s="73"/>
      <c r="K141" s="73"/>
      <c r="L141" s="73"/>
      <c r="M141" s="73"/>
      <c r="BD141" s="88">
        <v>45124</v>
      </c>
      <c r="BE141" s="89">
        <v>66</v>
      </c>
      <c r="BF141" s="90"/>
    </row>
    <row r="142" spans="2:58" ht="20.100000000000001" customHeight="1" x14ac:dyDescent="0.2">
      <c r="B142" s="73"/>
      <c r="C142" s="73"/>
      <c r="D142" s="73"/>
      <c r="K142" s="73"/>
      <c r="L142" s="73"/>
      <c r="M142" s="73"/>
      <c r="BD142" s="88">
        <v>45125</v>
      </c>
      <c r="BE142" s="89">
        <v>65.5</v>
      </c>
      <c r="BF142" s="90"/>
    </row>
    <row r="143" spans="2:58" ht="20.100000000000001" customHeight="1" x14ac:dyDescent="0.2">
      <c r="B143" s="73"/>
      <c r="C143" s="73"/>
      <c r="D143" s="73"/>
      <c r="K143" s="73"/>
      <c r="L143" s="73"/>
      <c r="M143" s="73"/>
      <c r="BD143" s="88">
        <v>45126</v>
      </c>
      <c r="BE143" s="89">
        <v>66.25</v>
      </c>
      <c r="BF143" s="90"/>
    </row>
    <row r="144" spans="2:58" ht="20.100000000000001" customHeight="1" x14ac:dyDescent="0.2">
      <c r="B144" s="73"/>
      <c r="C144" s="73"/>
      <c r="D144" s="73"/>
      <c r="K144" s="73"/>
      <c r="L144" s="73"/>
      <c r="M144" s="73"/>
      <c r="BD144" s="88">
        <v>45127</v>
      </c>
      <c r="BE144" s="89">
        <v>66.5</v>
      </c>
      <c r="BF144" s="90"/>
    </row>
    <row r="145" spans="2:58" ht="20.100000000000001" customHeight="1" x14ac:dyDescent="0.2">
      <c r="B145" s="73"/>
      <c r="C145" s="73"/>
      <c r="D145" s="73"/>
      <c r="K145" s="73"/>
      <c r="L145" s="73"/>
      <c r="M145" s="73"/>
      <c r="BD145" s="88">
        <v>45128</v>
      </c>
      <c r="BE145" s="89">
        <v>66.5</v>
      </c>
      <c r="BF145" s="90"/>
    </row>
    <row r="146" spans="2:58" ht="20.100000000000001" customHeight="1" x14ac:dyDescent="0.2">
      <c r="B146" s="73"/>
      <c r="C146" s="73"/>
      <c r="D146" s="73"/>
      <c r="K146" s="73"/>
      <c r="L146" s="73"/>
      <c r="M146" s="73"/>
      <c r="BD146" s="88">
        <v>45131</v>
      </c>
      <c r="BE146" s="89">
        <v>66.5</v>
      </c>
      <c r="BF146" s="90"/>
    </row>
    <row r="147" spans="2:58" ht="20.100000000000001" customHeight="1" x14ac:dyDescent="0.2">
      <c r="B147" s="73"/>
      <c r="C147" s="73"/>
      <c r="D147" s="73"/>
      <c r="K147" s="73"/>
      <c r="L147" s="73"/>
      <c r="M147" s="73"/>
      <c r="BD147" s="88">
        <v>45132</v>
      </c>
      <c r="BE147" s="89">
        <v>66.5</v>
      </c>
      <c r="BF147" s="90"/>
    </row>
    <row r="148" spans="2:58" ht="20.100000000000001" customHeight="1" x14ac:dyDescent="0.2">
      <c r="B148" s="73"/>
      <c r="C148" s="73"/>
      <c r="D148" s="73"/>
      <c r="K148" s="73"/>
      <c r="L148" s="73"/>
      <c r="M148" s="73"/>
      <c r="BD148" s="88">
        <v>45133</v>
      </c>
      <c r="BE148" s="89">
        <v>66.5</v>
      </c>
      <c r="BF148" s="90"/>
    </row>
    <row r="149" spans="2:58" ht="20.100000000000001" customHeight="1" x14ac:dyDescent="0.2">
      <c r="B149" s="73"/>
      <c r="C149" s="73"/>
      <c r="D149" s="73"/>
      <c r="K149" s="73"/>
      <c r="L149" s="73"/>
      <c r="M149" s="73"/>
      <c r="BD149" s="88">
        <v>45134</v>
      </c>
      <c r="BE149" s="89">
        <v>66.75</v>
      </c>
      <c r="BF149" s="90"/>
    </row>
    <row r="150" spans="2:58" ht="20.100000000000001" customHeight="1" x14ac:dyDescent="0.2">
      <c r="B150" s="73"/>
      <c r="C150" s="73"/>
      <c r="D150" s="73"/>
      <c r="K150" s="73"/>
      <c r="L150" s="73"/>
      <c r="M150" s="73"/>
      <c r="BD150" s="88">
        <v>45135</v>
      </c>
      <c r="BE150" s="89">
        <v>66.75</v>
      </c>
      <c r="BF150" s="90"/>
    </row>
    <row r="151" spans="2:58" ht="20.100000000000001" customHeight="1" x14ac:dyDescent="0.2">
      <c r="B151" s="73"/>
      <c r="C151" s="73"/>
      <c r="D151" s="73"/>
      <c r="K151" s="73"/>
      <c r="L151" s="73"/>
      <c r="M151" s="73"/>
      <c r="BD151" s="88">
        <v>45138</v>
      </c>
      <c r="BE151" s="89">
        <v>66.75</v>
      </c>
      <c r="BF151" s="90"/>
    </row>
    <row r="152" spans="2:58" ht="20.100000000000001" customHeight="1" x14ac:dyDescent="0.2">
      <c r="B152" s="73"/>
      <c r="C152" s="73"/>
      <c r="D152" s="73"/>
      <c r="K152" s="73"/>
      <c r="L152" s="73"/>
      <c r="M152" s="73"/>
      <c r="BD152" s="88">
        <v>45139</v>
      </c>
      <c r="BE152" s="89">
        <v>67.25</v>
      </c>
      <c r="BF152" s="90"/>
    </row>
    <row r="153" spans="2:58" ht="20.100000000000001" customHeight="1" x14ac:dyDescent="0.2">
      <c r="B153" s="73"/>
      <c r="C153" s="73"/>
      <c r="D153" s="73"/>
      <c r="K153" s="73"/>
      <c r="L153" s="73"/>
      <c r="M153" s="73"/>
      <c r="BD153" s="88">
        <v>45140</v>
      </c>
      <c r="BE153" s="89">
        <v>67.5</v>
      </c>
      <c r="BF153" s="90"/>
    </row>
    <row r="154" spans="2:58" ht="20.100000000000001" customHeight="1" x14ac:dyDescent="0.2">
      <c r="B154" s="73"/>
      <c r="C154" s="73"/>
      <c r="D154" s="73"/>
      <c r="K154" s="73"/>
      <c r="L154" s="73"/>
      <c r="M154" s="73"/>
      <c r="BD154" s="88">
        <v>45141</v>
      </c>
      <c r="BE154" s="89">
        <v>67.5</v>
      </c>
      <c r="BF154" s="90"/>
    </row>
    <row r="155" spans="2:58" ht="20.100000000000001" customHeight="1" x14ac:dyDescent="0.2">
      <c r="B155" s="73"/>
      <c r="C155" s="73"/>
      <c r="D155" s="73"/>
      <c r="K155" s="73"/>
      <c r="L155" s="73"/>
      <c r="M155" s="73"/>
      <c r="BD155" s="88">
        <v>45142</v>
      </c>
      <c r="BE155" s="89">
        <v>67.5</v>
      </c>
      <c r="BF155" s="90"/>
    </row>
    <row r="156" spans="2:58" ht="20.100000000000001" customHeight="1" x14ac:dyDescent="0.2">
      <c r="B156" s="73"/>
      <c r="C156" s="73"/>
      <c r="D156" s="73"/>
      <c r="K156" s="73"/>
      <c r="L156" s="73"/>
      <c r="M156" s="73"/>
      <c r="BD156" s="88">
        <v>45145</v>
      </c>
      <c r="BE156" s="89">
        <v>67.5</v>
      </c>
      <c r="BF156" s="90"/>
    </row>
    <row r="157" spans="2:58" ht="20.100000000000001" customHeight="1" x14ac:dyDescent="0.2">
      <c r="B157" s="73"/>
      <c r="C157" s="73"/>
      <c r="D157" s="73"/>
      <c r="K157" s="73"/>
      <c r="L157" s="73"/>
      <c r="M157" s="73"/>
      <c r="BD157" s="88">
        <v>45146</v>
      </c>
      <c r="BE157" s="89">
        <v>67.5</v>
      </c>
      <c r="BF157" s="90"/>
    </row>
    <row r="158" spans="2:58" ht="20.100000000000001" customHeight="1" x14ac:dyDescent="0.2">
      <c r="B158" s="73"/>
      <c r="C158" s="73"/>
      <c r="D158" s="73"/>
      <c r="K158" s="73"/>
      <c r="L158" s="73"/>
      <c r="M158" s="73"/>
      <c r="BD158" s="88">
        <v>45147</v>
      </c>
      <c r="BE158" s="89">
        <v>68</v>
      </c>
      <c r="BF158" s="90"/>
    </row>
    <row r="159" spans="2:58" ht="20.100000000000001" customHeight="1" x14ac:dyDescent="0.2">
      <c r="B159" s="73"/>
      <c r="C159" s="73"/>
      <c r="D159" s="73"/>
      <c r="K159" s="73"/>
      <c r="L159" s="73"/>
      <c r="M159" s="73"/>
      <c r="BD159" s="88">
        <v>45148</v>
      </c>
      <c r="BE159" s="89">
        <v>68</v>
      </c>
      <c r="BF159" s="90"/>
    </row>
    <row r="160" spans="2:58" ht="20.100000000000001" customHeight="1" x14ac:dyDescent="0.2">
      <c r="B160" s="73"/>
      <c r="C160" s="73"/>
      <c r="D160" s="73"/>
      <c r="K160" s="73"/>
      <c r="L160" s="73"/>
      <c r="M160" s="73"/>
      <c r="BD160" s="88">
        <v>45149</v>
      </c>
      <c r="BE160" s="89">
        <v>68.25</v>
      </c>
      <c r="BF160" s="90"/>
    </row>
    <row r="161" spans="2:58" ht="20.100000000000001" customHeight="1" x14ac:dyDescent="0.2">
      <c r="B161" s="73"/>
      <c r="C161" s="73"/>
      <c r="D161" s="73"/>
      <c r="K161" s="73"/>
      <c r="L161" s="73"/>
      <c r="M161" s="73"/>
      <c r="BD161" s="88">
        <v>45152</v>
      </c>
      <c r="BE161" s="89">
        <v>68</v>
      </c>
      <c r="BF161" s="90"/>
    </row>
    <row r="162" spans="2:58" ht="20.100000000000001" customHeight="1" x14ac:dyDescent="0.2">
      <c r="B162" s="73"/>
      <c r="C162" s="73"/>
      <c r="D162" s="73"/>
      <c r="K162" s="73"/>
      <c r="L162" s="73"/>
      <c r="M162" s="73"/>
      <c r="BD162" s="88">
        <v>45153</v>
      </c>
      <c r="BE162" s="89">
        <v>67.5</v>
      </c>
      <c r="BF162" s="90"/>
    </row>
    <row r="163" spans="2:58" ht="20.100000000000001" customHeight="1" x14ac:dyDescent="0.2">
      <c r="B163" s="73"/>
      <c r="C163" s="73"/>
      <c r="D163" s="73"/>
      <c r="K163" s="73"/>
      <c r="L163" s="73"/>
      <c r="M163" s="73"/>
      <c r="BD163" s="88">
        <v>45154</v>
      </c>
      <c r="BE163" s="89">
        <v>70</v>
      </c>
      <c r="BF163" s="90"/>
    </row>
    <row r="164" spans="2:58" ht="20.100000000000001" customHeight="1" x14ac:dyDescent="0.2">
      <c r="B164" s="73"/>
      <c r="C164" s="73"/>
      <c r="D164" s="73"/>
      <c r="K164" s="73"/>
      <c r="L164" s="73"/>
      <c r="M164" s="73"/>
      <c r="BD164" s="88">
        <v>45155</v>
      </c>
      <c r="BE164" s="89">
        <v>69.25</v>
      </c>
      <c r="BF164" s="90"/>
    </row>
    <row r="165" spans="2:58" ht="20.100000000000001" customHeight="1" x14ac:dyDescent="0.2">
      <c r="B165" s="73"/>
      <c r="C165" s="73"/>
      <c r="D165" s="73"/>
      <c r="K165" s="73"/>
      <c r="L165" s="73"/>
      <c r="M165" s="73"/>
      <c r="BD165" s="88">
        <v>45156</v>
      </c>
      <c r="BE165" s="89">
        <v>68.75</v>
      </c>
      <c r="BF165" s="90"/>
    </row>
    <row r="166" spans="2:58" ht="20.100000000000001" customHeight="1" x14ac:dyDescent="0.2">
      <c r="B166" s="73"/>
      <c r="C166" s="73"/>
      <c r="D166" s="73"/>
      <c r="K166" s="73"/>
      <c r="L166" s="73"/>
      <c r="M166" s="73"/>
      <c r="BD166" s="88">
        <v>45159</v>
      </c>
      <c r="BE166" s="89">
        <v>68.75</v>
      </c>
      <c r="BF166" s="90"/>
    </row>
    <row r="167" spans="2:58" ht="20.100000000000001" customHeight="1" x14ac:dyDescent="0.2">
      <c r="B167" s="73"/>
      <c r="C167" s="73"/>
      <c r="D167" s="73"/>
      <c r="K167" s="73"/>
      <c r="L167" s="73"/>
      <c r="M167" s="73"/>
      <c r="BD167" s="88">
        <v>45160</v>
      </c>
      <c r="BE167" s="89">
        <v>68.75</v>
      </c>
      <c r="BF167" s="90"/>
    </row>
    <row r="168" spans="2:58" ht="20.100000000000001" customHeight="1" x14ac:dyDescent="0.2">
      <c r="B168" s="73"/>
      <c r="C168" s="73"/>
      <c r="D168" s="73"/>
      <c r="K168" s="73"/>
      <c r="L168" s="73"/>
      <c r="M168" s="73"/>
      <c r="BD168" s="88">
        <v>45161</v>
      </c>
      <c r="BE168" s="89">
        <v>68</v>
      </c>
      <c r="BF168" s="90"/>
    </row>
    <row r="169" spans="2:58" ht="20.100000000000001" customHeight="1" x14ac:dyDescent="0.2">
      <c r="B169" s="73"/>
      <c r="C169" s="73"/>
      <c r="D169" s="73"/>
      <c r="K169" s="73"/>
      <c r="L169" s="73"/>
      <c r="M169" s="73"/>
      <c r="BD169" s="88">
        <v>45162</v>
      </c>
      <c r="BE169" s="89">
        <v>68.5</v>
      </c>
      <c r="BF169" s="90"/>
    </row>
    <row r="170" spans="2:58" ht="20.100000000000001" customHeight="1" x14ac:dyDescent="0.2">
      <c r="B170" s="73"/>
      <c r="C170" s="73"/>
      <c r="D170" s="73"/>
      <c r="K170" s="73"/>
      <c r="L170" s="73"/>
      <c r="M170" s="73"/>
      <c r="BD170" s="88">
        <v>45163</v>
      </c>
      <c r="BE170" s="89">
        <v>68.5</v>
      </c>
      <c r="BF170" s="90"/>
    </row>
    <row r="171" spans="2:58" ht="20.100000000000001" customHeight="1" x14ac:dyDescent="0.2">
      <c r="B171" s="73"/>
      <c r="C171" s="73"/>
      <c r="D171" s="73"/>
      <c r="K171" s="73"/>
      <c r="L171" s="73"/>
      <c r="M171" s="73"/>
      <c r="BD171" s="88">
        <v>45166</v>
      </c>
      <c r="BE171" s="89">
        <v>67.5</v>
      </c>
      <c r="BF171" s="90"/>
    </row>
    <row r="172" spans="2:58" ht="20.100000000000001" customHeight="1" x14ac:dyDescent="0.2">
      <c r="B172" s="73"/>
      <c r="C172" s="73"/>
      <c r="D172" s="73"/>
      <c r="K172" s="73"/>
      <c r="L172" s="73"/>
      <c r="M172" s="73"/>
      <c r="BD172" s="88">
        <v>45167</v>
      </c>
      <c r="BE172" s="89">
        <v>68.5</v>
      </c>
      <c r="BF172" s="90"/>
    </row>
    <row r="173" spans="2:58" ht="20.100000000000001" customHeight="1" x14ac:dyDescent="0.2">
      <c r="B173" s="73"/>
      <c r="C173" s="73"/>
      <c r="D173" s="73"/>
      <c r="K173" s="73"/>
      <c r="L173" s="73"/>
      <c r="M173" s="73"/>
      <c r="BD173" s="88">
        <v>45168</v>
      </c>
      <c r="BE173" s="89">
        <v>67.5</v>
      </c>
      <c r="BF173" s="90"/>
    </row>
    <row r="174" spans="2:58" ht="20.100000000000001" customHeight="1" x14ac:dyDescent="0.2">
      <c r="B174" s="73"/>
      <c r="C174" s="73"/>
      <c r="D174" s="73"/>
      <c r="K174" s="73"/>
      <c r="L174" s="73"/>
      <c r="M174" s="73"/>
      <c r="BD174" s="88">
        <v>45169</v>
      </c>
      <c r="BE174" s="89">
        <v>67.5</v>
      </c>
      <c r="BF174" s="90"/>
    </row>
    <row r="175" spans="2:58" ht="20.100000000000001" customHeight="1" x14ac:dyDescent="0.2">
      <c r="B175" s="73"/>
      <c r="C175" s="73"/>
      <c r="D175" s="73"/>
      <c r="K175" s="73"/>
      <c r="L175" s="73"/>
      <c r="M175" s="73"/>
      <c r="BD175" s="88">
        <v>45170</v>
      </c>
      <c r="BE175" s="89">
        <v>67.5</v>
      </c>
      <c r="BF175" s="90"/>
    </row>
    <row r="176" spans="2:58" ht="20.100000000000001" customHeight="1" x14ac:dyDescent="0.2">
      <c r="B176" s="73"/>
      <c r="C176" s="73"/>
      <c r="D176" s="73"/>
      <c r="K176" s="73"/>
      <c r="L176" s="73"/>
      <c r="M176" s="73"/>
      <c r="BD176" s="88">
        <v>45174</v>
      </c>
      <c r="BE176" s="89">
        <v>67.25</v>
      </c>
      <c r="BF176" s="90"/>
    </row>
    <row r="177" spans="2:58" ht="20.100000000000001" customHeight="1" x14ac:dyDescent="0.2">
      <c r="B177" s="73"/>
      <c r="C177" s="73"/>
      <c r="D177" s="73"/>
      <c r="K177" s="73"/>
      <c r="L177" s="73"/>
      <c r="M177" s="73"/>
      <c r="BD177" s="88">
        <v>45175</v>
      </c>
      <c r="BE177" s="89">
        <v>57.5</v>
      </c>
      <c r="BF177" s="90"/>
    </row>
    <row r="178" spans="2:58" ht="20.100000000000001" customHeight="1" x14ac:dyDescent="0.2">
      <c r="B178" s="73"/>
      <c r="C178" s="73"/>
      <c r="D178" s="73"/>
      <c r="K178" s="73"/>
      <c r="L178" s="73"/>
      <c r="M178" s="73"/>
      <c r="BD178" s="88">
        <v>45176</v>
      </c>
      <c r="BE178" s="89">
        <v>54</v>
      </c>
      <c r="BF178" s="90"/>
    </row>
    <row r="179" spans="2:58" ht="20.100000000000001" customHeight="1" x14ac:dyDescent="0.2">
      <c r="B179" s="73"/>
      <c r="C179" s="73"/>
      <c r="D179" s="73"/>
      <c r="K179" s="73"/>
      <c r="L179" s="73"/>
      <c r="M179" s="73"/>
      <c r="BD179" s="88">
        <v>45177</v>
      </c>
      <c r="BE179" s="89">
        <v>54</v>
      </c>
      <c r="BF179" s="90"/>
    </row>
    <row r="180" spans="2:58" ht="20.100000000000001" customHeight="1" x14ac:dyDescent="0.2">
      <c r="B180" s="73"/>
      <c r="C180" s="73"/>
      <c r="D180" s="73"/>
      <c r="K180" s="73"/>
      <c r="L180" s="73"/>
      <c r="M180" s="73"/>
      <c r="BD180" s="88">
        <v>45180</v>
      </c>
      <c r="BE180" s="89">
        <v>56</v>
      </c>
      <c r="BF180" s="90"/>
    </row>
    <row r="181" spans="2:58" ht="20.100000000000001" customHeight="1" x14ac:dyDescent="0.2">
      <c r="B181" s="73"/>
      <c r="C181" s="73"/>
      <c r="D181" s="73"/>
      <c r="K181" s="73"/>
      <c r="L181" s="73"/>
      <c r="M181" s="73"/>
      <c r="BD181" s="88">
        <v>45181</v>
      </c>
      <c r="BE181" s="89">
        <v>56</v>
      </c>
      <c r="BF181" s="90"/>
    </row>
    <row r="182" spans="2:58" ht="20.100000000000001" customHeight="1" x14ac:dyDescent="0.2">
      <c r="B182" s="73"/>
      <c r="C182" s="73"/>
      <c r="D182" s="73"/>
      <c r="K182" s="73"/>
      <c r="L182" s="73"/>
      <c r="M182" s="73"/>
      <c r="BD182" s="88">
        <v>45182</v>
      </c>
      <c r="BE182" s="89">
        <v>57</v>
      </c>
      <c r="BF182" s="90"/>
    </row>
    <row r="183" spans="2:58" ht="20.100000000000001" customHeight="1" x14ac:dyDescent="0.2">
      <c r="B183" s="73"/>
      <c r="C183" s="73"/>
      <c r="D183" s="73"/>
      <c r="K183" s="73"/>
      <c r="L183" s="73"/>
      <c r="M183" s="73"/>
      <c r="BD183" s="88">
        <v>45183</v>
      </c>
      <c r="BE183" s="89">
        <v>57</v>
      </c>
      <c r="BF183" s="90"/>
    </row>
    <row r="184" spans="2:58" ht="20.100000000000001" customHeight="1" x14ac:dyDescent="0.2">
      <c r="B184" s="73"/>
      <c r="C184" s="73"/>
      <c r="D184" s="73"/>
      <c r="K184" s="73"/>
      <c r="L184" s="73"/>
      <c r="M184" s="73"/>
      <c r="BD184" s="88">
        <v>45184</v>
      </c>
      <c r="BE184" s="89">
        <v>57</v>
      </c>
      <c r="BF184" s="90"/>
    </row>
    <row r="185" spans="2:58" ht="20.100000000000001" customHeight="1" x14ac:dyDescent="0.2">
      <c r="B185" s="73"/>
      <c r="C185" s="73"/>
      <c r="D185" s="73"/>
      <c r="K185" s="73"/>
      <c r="L185" s="73"/>
      <c r="M185" s="73"/>
      <c r="BD185" s="88">
        <v>45187</v>
      </c>
      <c r="BE185" s="89">
        <v>56.75</v>
      </c>
      <c r="BF185" s="90"/>
    </row>
    <row r="186" spans="2:58" ht="20.100000000000001" customHeight="1" x14ac:dyDescent="0.2">
      <c r="B186" s="73"/>
      <c r="C186" s="73"/>
      <c r="D186" s="73"/>
      <c r="K186" s="73"/>
      <c r="L186" s="73"/>
      <c r="M186" s="73"/>
      <c r="BD186" s="88">
        <v>45188</v>
      </c>
      <c r="BE186" s="89">
        <v>55.5</v>
      </c>
      <c r="BF186" s="90"/>
    </row>
    <row r="187" spans="2:58" ht="20.100000000000001" customHeight="1" x14ac:dyDescent="0.2">
      <c r="B187" s="73"/>
      <c r="C187" s="73"/>
      <c r="D187" s="73"/>
      <c r="K187" s="73"/>
      <c r="L187" s="73"/>
      <c r="M187" s="73"/>
      <c r="BD187" s="88">
        <v>45189</v>
      </c>
      <c r="BE187" s="89">
        <v>54.5</v>
      </c>
      <c r="BF187" s="90"/>
    </row>
    <row r="188" spans="2:58" ht="20.100000000000001" customHeight="1" x14ac:dyDescent="0.2">
      <c r="B188" s="73"/>
      <c r="C188" s="73"/>
      <c r="D188" s="73"/>
      <c r="K188" s="73"/>
      <c r="L188" s="73"/>
      <c r="M188" s="73"/>
      <c r="BD188" s="88">
        <v>45190</v>
      </c>
      <c r="BE188" s="89">
        <v>54</v>
      </c>
      <c r="BF188" s="90"/>
    </row>
    <row r="189" spans="2:58" ht="20.100000000000001" customHeight="1" x14ac:dyDescent="0.2">
      <c r="B189" s="73"/>
      <c r="C189" s="73"/>
      <c r="D189" s="73"/>
      <c r="K189" s="73"/>
      <c r="L189" s="73"/>
      <c r="M189" s="73"/>
      <c r="BD189" s="88">
        <v>45191</v>
      </c>
      <c r="BE189" s="89">
        <v>54</v>
      </c>
      <c r="BF189" s="90"/>
    </row>
    <row r="190" spans="2:58" ht="20.100000000000001" customHeight="1" x14ac:dyDescent="0.2">
      <c r="B190" s="73"/>
      <c r="C190" s="73"/>
      <c r="D190" s="73"/>
      <c r="K190" s="73"/>
      <c r="L190" s="73"/>
      <c r="M190" s="73"/>
      <c r="BD190" s="88">
        <v>45194</v>
      </c>
      <c r="BE190" s="89">
        <v>54</v>
      </c>
      <c r="BF190" s="90"/>
    </row>
    <row r="191" spans="2:58" ht="20.100000000000001" customHeight="1" x14ac:dyDescent="0.2">
      <c r="B191" s="73"/>
      <c r="C191" s="73"/>
      <c r="D191" s="73"/>
      <c r="K191" s="73"/>
      <c r="L191" s="73"/>
      <c r="M191" s="73"/>
      <c r="BD191" s="88">
        <v>45195</v>
      </c>
      <c r="BE191" s="89">
        <v>53.5</v>
      </c>
      <c r="BF191" s="90"/>
    </row>
    <row r="192" spans="2:58" ht="20.100000000000001" customHeight="1" x14ac:dyDescent="0.2">
      <c r="B192" s="73"/>
      <c r="C192" s="73"/>
      <c r="D192" s="73"/>
      <c r="K192" s="73"/>
      <c r="L192" s="73"/>
      <c r="M192" s="73"/>
      <c r="BD192" s="88">
        <v>45196</v>
      </c>
      <c r="BE192" s="89">
        <v>53.5</v>
      </c>
      <c r="BF192" s="90"/>
    </row>
    <row r="193" spans="2:58" ht="20.100000000000001" customHeight="1" x14ac:dyDescent="0.2">
      <c r="B193" s="73"/>
      <c r="C193" s="73"/>
      <c r="D193" s="73"/>
      <c r="K193" s="73"/>
      <c r="L193" s="73"/>
      <c r="M193" s="73"/>
      <c r="BD193" s="88">
        <v>45197</v>
      </c>
      <c r="BE193" s="89">
        <v>53</v>
      </c>
      <c r="BF193" s="90"/>
    </row>
    <row r="194" spans="2:58" ht="20.100000000000001" customHeight="1" x14ac:dyDescent="0.2">
      <c r="B194" s="73"/>
      <c r="C194" s="73"/>
      <c r="D194" s="73"/>
      <c r="K194" s="73"/>
      <c r="L194" s="73"/>
      <c r="M194" s="73"/>
      <c r="BD194" s="88">
        <v>45198</v>
      </c>
      <c r="BE194" s="89">
        <v>53</v>
      </c>
      <c r="BF194" s="90"/>
    </row>
    <row r="195" spans="2:58" ht="20.100000000000001" customHeight="1" x14ac:dyDescent="0.2">
      <c r="B195" s="73"/>
      <c r="C195" s="73"/>
      <c r="D195" s="73"/>
      <c r="K195" s="73"/>
      <c r="L195" s="73"/>
      <c r="M195" s="73"/>
      <c r="BD195" s="88">
        <v>45201</v>
      </c>
      <c r="BE195" s="89">
        <v>53</v>
      </c>
      <c r="BF195" s="90"/>
    </row>
    <row r="196" spans="2:58" ht="20.100000000000001" customHeight="1" x14ac:dyDescent="0.2">
      <c r="B196" s="73"/>
      <c r="C196" s="73"/>
      <c r="D196" s="73"/>
      <c r="K196" s="73"/>
      <c r="L196" s="73"/>
      <c r="M196" s="73"/>
      <c r="BD196" s="88">
        <v>45202</v>
      </c>
      <c r="BE196" s="89">
        <v>53</v>
      </c>
      <c r="BF196" s="90"/>
    </row>
    <row r="197" spans="2:58" ht="20.100000000000001" customHeight="1" x14ac:dyDescent="0.2">
      <c r="B197" s="73"/>
      <c r="C197" s="73"/>
      <c r="D197" s="73"/>
      <c r="K197" s="73"/>
      <c r="L197" s="73"/>
      <c r="M197" s="73"/>
      <c r="BD197" s="88">
        <v>45203</v>
      </c>
      <c r="BE197" s="89">
        <v>53</v>
      </c>
      <c r="BF197" s="90"/>
    </row>
    <row r="198" spans="2:58" ht="20.100000000000001" customHeight="1" x14ac:dyDescent="0.2">
      <c r="B198" s="73"/>
      <c r="C198" s="73"/>
      <c r="D198" s="73"/>
      <c r="K198" s="73"/>
      <c r="L198" s="73"/>
      <c r="M198" s="73"/>
      <c r="BD198" s="88">
        <v>45204</v>
      </c>
      <c r="BE198" s="89">
        <v>52.75</v>
      </c>
      <c r="BF198" s="90"/>
    </row>
    <row r="199" spans="2:58" ht="20.100000000000001" customHeight="1" x14ac:dyDescent="0.2">
      <c r="B199" s="73"/>
      <c r="C199" s="73"/>
      <c r="D199" s="73"/>
      <c r="K199" s="73"/>
      <c r="L199" s="73"/>
      <c r="M199" s="73"/>
      <c r="BD199" s="88">
        <v>45205</v>
      </c>
      <c r="BE199" s="89">
        <v>52.75</v>
      </c>
      <c r="BF199" s="90"/>
    </row>
    <row r="200" spans="2:58" ht="20.100000000000001" customHeight="1" x14ac:dyDescent="0.2">
      <c r="B200" s="73"/>
      <c r="C200" s="73"/>
      <c r="D200" s="73"/>
      <c r="K200" s="73"/>
      <c r="L200" s="73"/>
      <c r="M200" s="73"/>
      <c r="BD200" s="88">
        <v>45208</v>
      </c>
      <c r="BE200" s="89">
        <v>52.75</v>
      </c>
      <c r="BF200" s="90"/>
    </row>
    <row r="201" spans="2:58" ht="20.100000000000001" customHeight="1" x14ac:dyDescent="0.2">
      <c r="B201" s="73"/>
      <c r="C201" s="73"/>
      <c r="D201" s="73"/>
      <c r="K201" s="73"/>
      <c r="L201" s="73"/>
      <c r="M201" s="73"/>
      <c r="BD201" s="88">
        <v>45209</v>
      </c>
      <c r="BE201" s="89">
        <v>51</v>
      </c>
      <c r="BF201" s="90"/>
    </row>
    <row r="202" spans="2:58" ht="20.100000000000001" customHeight="1" x14ac:dyDescent="0.2">
      <c r="B202" s="73"/>
      <c r="C202" s="73"/>
      <c r="D202" s="73"/>
      <c r="K202" s="73"/>
      <c r="L202" s="73"/>
      <c r="M202" s="73"/>
      <c r="BD202" s="88">
        <v>45210</v>
      </c>
      <c r="BE202" s="89">
        <v>51</v>
      </c>
      <c r="BF202" s="90"/>
    </row>
    <row r="203" spans="2:58" ht="20.100000000000001" customHeight="1" x14ac:dyDescent="0.2">
      <c r="B203" s="73"/>
      <c r="C203" s="73"/>
      <c r="D203" s="73"/>
      <c r="K203" s="73"/>
      <c r="L203" s="73"/>
      <c r="M203" s="73"/>
      <c r="BD203" s="88">
        <v>45211</v>
      </c>
      <c r="BE203" s="89">
        <v>51.5</v>
      </c>
      <c r="BF203" s="90"/>
    </row>
    <row r="204" spans="2:58" ht="20.100000000000001" customHeight="1" x14ac:dyDescent="0.2">
      <c r="B204" s="73"/>
      <c r="C204" s="73"/>
      <c r="D204" s="73"/>
      <c r="K204" s="73"/>
      <c r="L204" s="73"/>
      <c r="M204" s="73"/>
      <c r="BD204" s="88">
        <v>45212</v>
      </c>
      <c r="BE204" s="89">
        <v>51.5</v>
      </c>
      <c r="BF204" s="90"/>
    </row>
    <row r="205" spans="2:58" ht="20.100000000000001" customHeight="1" x14ac:dyDescent="0.2">
      <c r="B205" s="73"/>
      <c r="C205" s="73"/>
      <c r="D205" s="73"/>
      <c r="K205" s="73"/>
      <c r="L205" s="73"/>
      <c r="M205" s="73"/>
      <c r="BD205" s="88">
        <v>45215</v>
      </c>
      <c r="BE205" s="89">
        <v>51.75</v>
      </c>
      <c r="BF205" s="90"/>
    </row>
    <row r="206" spans="2:58" ht="20.100000000000001" customHeight="1" x14ac:dyDescent="0.2">
      <c r="B206" s="73"/>
      <c r="C206" s="73"/>
      <c r="D206" s="73"/>
      <c r="K206" s="73"/>
      <c r="L206" s="73"/>
      <c r="M206" s="73"/>
      <c r="BD206" s="88">
        <v>45216</v>
      </c>
      <c r="BE206" s="89">
        <v>51.75</v>
      </c>
      <c r="BF206" s="90"/>
    </row>
    <row r="207" spans="2:58" ht="20.100000000000001" customHeight="1" x14ac:dyDescent="0.2">
      <c r="B207" s="73"/>
      <c r="C207" s="73"/>
      <c r="D207" s="73"/>
      <c r="K207" s="73"/>
      <c r="L207" s="73"/>
      <c r="M207" s="73"/>
      <c r="BD207" s="88">
        <v>45217</v>
      </c>
      <c r="BE207" s="89">
        <v>52</v>
      </c>
      <c r="BF207" s="90"/>
    </row>
    <row r="208" spans="2:58" ht="20.100000000000001" customHeight="1" x14ac:dyDescent="0.2">
      <c r="B208" s="73"/>
      <c r="C208" s="73"/>
      <c r="D208" s="73"/>
      <c r="K208" s="73"/>
      <c r="L208" s="73"/>
      <c r="M208" s="73"/>
      <c r="BD208" s="88">
        <v>45218</v>
      </c>
      <c r="BE208" s="89">
        <v>52.5</v>
      </c>
      <c r="BF208" s="90"/>
    </row>
    <row r="209" spans="2:58" ht="20.100000000000001" customHeight="1" x14ac:dyDescent="0.2">
      <c r="B209" s="73"/>
      <c r="C209" s="73"/>
      <c r="D209" s="73"/>
      <c r="K209" s="73"/>
      <c r="L209" s="73"/>
      <c r="M209" s="73"/>
      <c r="BD209" s="88">
        <v>45219</v>
      </c>
      <c r="BE209" s="89">
        <v>52</v>
      </c>
      <c r="BF209" s="90"/>
    </row>
    <row r="210" spans="2:58" ht="20.100000000000001" customHeight="1" x14ac:dyDescent="0.2">
      <c r="B210" s="73"/>
      <c r="C210" s="73"/>
      <c r="D210" s="73"/>
      <c r="K210" s="73"/>
      <c r="L210" s="73"/>
      <c r="M210" s="73"/>
      <c r="BD210" s="88">
        <v>45222</v>
      </c>
      <c r="BE210" s="89">
        <v>52</v>
      </c>
      <c r="BF210" s="90"/>
    </row>
    <row r="211" spans="2:58" ht="20.100000000000001" customHeight="1" x14ac:dyDescent="0.2">
      <c r="B211" s="73"/>
      <c r="C211" s="73"/>
      <c r="D211" s="73"/>
      <c r="K211" s="73"/>
      <c r="L211" s="73"/>
      <c r="M211" s="73"/>
      <c r="BD211" s="88">
        <v>45223</v>
      </c>
      <c r="BE211" s="89">
        <v>52.25</v>
      </c>
      <c r="BF211" s="90"/>
    </row>
    <row r="212" spans="2:58" ht="20.100000000000001" customHeight="1" x14ac:dyDescent="0.2">
      <c r="B212" s="73"/>
      <c r="C212" s="73"/>
      <c r="D212" s="73"/>
      <c r="K212" s="73"/>
      <c r="L212" s="73"/>
      <c r="M212" s="73"/>
      <c r="BD212" s="88">
        <v>45224</v>
      </c>
      <c r="BE212" s="89">
        <v>52.4</v>
      </c>
      <c r="BF212" s="90"/>
    </row>
    <row r="213" spans="2:58" ht="20.100000000000001" customHeight="1" x14ac:dyDescent="0.2">
      <c r="B213" s="73"/>
      <c r="C213" s="73"/>
      <c r="D213" s="73"/>
      <c r="K213" s="73"/>
      <c r="L213" s="73"/>
      <c r="M213" s="73"/>
      <c r="BD213" s="88">
        <v>45225</v>
      </c>
      <c r="BE213" s="89">
        <v>52.5</v>
      </c>
      <c r="BF213" s="90"/>
    </row>
    <row r="214" spans="2:58" ht="20.100000000000001" customHeight="1" x14ac:dyDescent="0.2">
      <c r="B214" s="73"/>
      <c r="C214" s="73"/>
      <c r="D214" s="73"/>
      <c r="K214" s="73"/>
      <c r="L214" s="73"/>
      <c r="M214" s="73"/>
      <c r="BD214" s="88">
        <v>45226</v>
      </c>
      <c r="BE214" s="89">
        <v>52.5</v>
      </c>
      <c r="BF214" s="90"/>
    </row>
    <row r="215" spans="2:58" ht="20.100000000000001" customHeight="1" x14ac:dyDescent="0.2">
      <c r="B215" s="73"/>
      <c r="C215" s="73"/>
      <c r="D215" s="73"/>
      <c r="K215" s="73"/>
      <c r="L215" s="73"/>
      <c r="M215" s="73"/>
      <c r="BD215" s="88">
        <v>45229</v>
      </c>
      <c r="BE215" s="89">
        <v>52.75</v>
      </c>
      <c r="BF215" s="90"/>
    </row>
    <row r="216" spans="2:58" ht="20.100000000000001" customHeight="1" x14ac:dyDescent="0.2">
      <c r="B216" s="73"/>
      <c r="C216" s="73"/>
      <c r="D216" s="73"/>
      <c r="K216" s="73"/>
      <c r="L216" s="73"/>
      <c r="M216" s="73"/>
      <c r="BD216" s="88">
        <v>45230</v>
      </c>
      <c r="BE216" s="89">
        <v>53</v>
      </c>
      <c r="BF216" s="90"/>
    </row>
    <row r="217" spans="2:58" ht="20.100000000000001" customHeight="1" x14ac:dyDescent="0.2">
      <c r="B217" s="73"/>
      <c r="C217" s="73"/>
      <c r="D217" s="73"/>
      <c r="K217" s="73"/>
      <c r="L217" s="73"/>
      <c r="M217" s="73"/>
      <c r="BD217" s="88">
        <v>45231</v>
      </c>
      <c r="BE217" s="89">
        <v>53.25</v>
      </c>
      <c r="BF217" s="90"/>
    </row>
    <row r="218" spans="2:58" ht="20.100000000000001" customHeight="1" x14ac:dyDescent="0.2">
      <c r="B218" s="73"/>
      <c r="C218" s="73"/>
      <c r="D218" s="73"/>
      <c r="K218" s="73"/>
      <c r="L218" s="73"/>
      <c r="M218" s="73"/>
      <c r="BD218" s="88">
        <v>45232</v>
      </c>
      <c r="BE218" s="89">
        <v>53</v>
      </c>
      <c r="BF218" s="90"/>
    </row>
    <row r="219" spans="2:58" ht="20.100000000000001" customHeight="1" x14ac:dyDescent="0.2">
      <c r="B219" s="73"/>
      <c r="C219" s="73"/>
      <c r="D219" s="73"/>
      <c r="K219" s="73"/>
      <c r="L219" s="73"/>
      <c r="M219" s="73"/>
      <c r="BD219" s="88">
        <v>45233</v>
      </c>
      <c r="BE219" s="89">
        <v>53.25</v>
      </c>
      <c r="BF219" s="90"/>
    </row>
    <row r="220" spans="2:58" ht="20.100000000000001" customHeight="1" x14ac:dyDescent="0.2">
      <c r="B220" s="73"/>
      <c r="C220" s="73"/>
      <c r="D220" s="73"/>
      <c r="K220" s="73"/>
      <c r="L220" s="73"/>
      <c r="M220" s="73"/>
      <c r="BD220" s="88">
        <v>45236</v>
      </c>
      <c r="BE220" s="89">
        <v>53.75</v>
      </c>
      <c r="BF220" s="90"/>
    </row>
    <row r="221" spans="2:58" ht="20.100000000000001" customHeight="1" x14ac:dyDescent="0.2">
      <c r="B221" s="73"/>
      <c r="C221" s="73"/>
      <c r="D221" s="73"/>
      <c r="K221" s="73"/>
      <c r="L221" s="73"/>
      <c r="M221" s="73"/>
      <c r="BD221" s="88">
        <v>45237</v>
      </c>
      <c r="BE221" s="89">
        <v>53.5</v>
      </c>
      <c r="BF221" s="90"/>
    </row>
    <row r="222" spans="2:58" ht="20.100000000000001" customHeight="1" x14ac:dyDescent="0.2">
      <c r="B222" s="73"/>
      <c r="C222" s="73"/>
      <c r="D222" s="73"/>
      <c r="K222" s="73"/>
      <c r="L222" s="73"/>
      <c r="M222" s="73"/>
      <c r="BD222" s="88">
        <v>45238</v>
      </c>
      <c r="BE222" s="89">
        <v>53</v>
      </c>
      <c r="BF222" s="90"/>
    </row>
    <row r="223" spans="2:58" ht="20.100000000000001" customHeight="1" x14ac:dyDescent="0.2">
      <c r="B223" s="73"/>
      <c r="C223" s="73"/>
      <c r="D223" s="73"/>
      <c r="K223" s="73"/>
      <c r="L223" s="73"/>
      <c r="M223" s="73"/>
      <c r="BD223" s="88">
        <v>45239</v>
      </c>
      <c r="BE223" s="89">
        <v>53.25</v>
      </c>
      <c r="BF223" s="90"/>
    </row>
    <row r="224" spans="2:58" ht="20.100000000000001" customHeight="1" x14ac:dyDescent="0.2">
      <c r="B224" s="73"/>
      <c r="C224" s="73"/>
      <c r="D224" s="73"/>
      <c r="K224" s="73"/>
      <c r="L224" s="73"/>
      <c r="M224" s="73"/>
      <c r="BD224" s="88">
        <v>45240</v>
      </c>
      <c r="BE224" s="89">
        <v>53.25</v>
      </c>
      <c r="BF224" s="90"/>
    </row>
    <row r="225" spans="2:58" ht="20.100000000000001" customHeight="1" x14ac:dyDescent="0.2">
      <c r="B225" s="73"/>
      <c r="C225" s="73"/>
      <c r="D225" s="73"/>
      <c r="K225" s="73"/>
      <c r="L225" s="73"/>
      <c r="M225" s="73"/>
      <c r="BD225" s="88">
        <v>45243</v>
      </c>
      <c r="BE225" s="89">
        <v>53.25</v>
      </c>
      <c r="BF225" s="90"/>
    </row>
    <row r="226" spans="2:58" ht="20.100000000000001" customHeight="1" x14ac:dyDescent="0.2">
      <c r="B226" s="73"/>
      <c r="C226" s="73"/>
      <c r="D226" s="73"/>
      <c r="K226" s="73"/>
      <c r="L226" s="73"/>
      <c r="M226" s="73"/>
      <c r="BD226" s="88">
        <v>45244</v>
      </c>
      <c r="BE226" s="89">
        <v>54.75</v>
      </c>
      <c r="BF226" s="90"/>
    </row>
    <row r="227" spans="2:58" ht="20.100000000000001" customHeight="1" x14ac:dyDescent="0.2">
      <c r="B227" s="73"/>
      <c r="C227" s="73"/>
      <c r="D227" s="73"/>
      <c r="K227" s="73"/>
      <c r="L227" s="73"/>
      <c r="M227" s="73"/>
      <c r="BD227" s="88">
        <v>45245</v>
      </c>
      <c r="BE227" s="89">
        <v>55.5</v>
      </c>
      <c r="BF227" s="90"/>
    </row>
    <row r="228" spans="2:58" ht="20.100000000000001" customHeight="1" x14ac:dyDescent="0.2">
      <c r="B228" s="73"/>
      <c r="C228" s="73"/>
      <c r="D228" s="73"/>
      <c r="K228" s="73"/>
      <c r="L228" s="73"/>
      <c r="M228" s="73"/>
      <c r="BD228" s="88">
        <v>45246</v>
      </c>
      <c r="BE228" s="89">
        <v>55.75</v>
      </c>
      <c r="BF228" s="90"/>
    </row>
    <row r="229" spans="2:58" ht="20.100000000000001" customHeight="1" x14ac:dyDescent="0.2">
      <c r="B229" s="73"/>
      <c r="C229" s="73"/>
      <c r="D229" s="73"/>
      <c r="K229" s="73"/>
      <c r="L229" s="73"/>
      <c r="M229" s="73"/>
      <c r="BD229" s="88">
        <v>45247</v>
      </c>
      <c r="BE229" s="89">
        <v>56</v>
      </c>
      <c r="BF229" s="90"/>
    </row>
    <row r="230" spans="2:58" ht="20.100000000000001" customHeight="1" x14ac:dyDescent="0.2">
      <c r="B230" s="73"/>
      <c r="C230" s="73"/>
      <c r="D230" s="73"/>
      <c r="K230" s="73"/>
      <c r="L230" s="73"/>
      <c r="M230" s="73"/>
      <c r="BD230" s="88">
        <v>45250</v>
      </c>
      <c r="BE230" s="89">
        <v>56.25</v>
      </c>
      <c r="BF230" s="90"/>
    </row>
    <row r="231" spans="2:58" ht="20.100000000000001" customHeight="1" x14ac:dyDescent="0.2">
      <c r="B231" s="73"/>
      <c r="C231" s="73"/>
      <c r="D231" s="73"/>
      <c r="K231" s="73"/>
      <c r="L231" s="73"/>
      <c r="M231" s="73"/>
      <c r="BD231" s="88">
        <v>45251</v>
      </c>
      <c r="BE231" s="89">
        <v>56</v>
      </c>
      <c r="BF231" s="90"/>
    </row>
    <row r="232" spans="2:58" ht="20.100000000000001" customHeight="1" x14ac:dyDescent="0.2">
      <c r="B232" s="73"/>
      <c r="C232" s="73"/>
      <c r="D232" s="73"/>
      <c r="K232" s="73"/>
      <c r="L232" s="73"/>
      <c r="M232" s="73"/>
      <c r="BD232" s="88">
        <v>45252</v>
      </c>
      <c r="BE232" s="89">
        <v>55.89</v>
      </c>
      <c r="BF232" s="90"/>
    </row>
    <row r="233" spans="2:58" ht="20.100000000000001" customHeight="1" x14ac:dyDescent="0.2">
      <c r="B233" s="73"/>
      <c r="C233" s="73"/>
      <c r="D233" s="73"/>
      <c r="K233" s="73"/>
      <c r="L233" s="73"/>
      <c r="M233" s="73"/>
      <c r="BD233" s="88">
        <v>45254</v>
      </c>
      <c r="BE233" s="89">
        <v>55.89</v>
      </c>
      <c r="BF233" s="90"/>
    </row>
    <row r="234" spans="2:58" ht="20.100000000000001" customHeight="1" x14ac:dyDescent="0.2">
      <c r="B234" s="73"/>
      <c r="C234" s="73"/>
      <c r="D234" s="73"/>
      <c r="K234" s="73"/>
      <c r="L234" s="73"/>
      <c r="M234" s="73"/>
      <c r="BD234" s="88">
        <v>45257</v>
      </c>
      <c r="BE234" s="89">
        <v>55.89</v>
      </c>
      <c r="BF234" s="90"/>
    </row>
    <row r="235" spans="2:58" ht="20.100000000000001" customHeight="1" x14ac:dyDescent="0.2">
      <c r="B235" s="73"/>
      <c r="C235" s="73"/>
      <c r="D235" s="73"/>
      <c r="K235" s="73"/>
      <c r="L235" s="73"/>
      <c r="M235" s="73"/>
      <c r="BD235" s="88">
        <v>45258</v>
      </c>
      <c r="BE235" s="89">
        <v>55.75</v>
      </c>
      <c r="BF235" s="90"/>
    </row>
    <row r="236" spans="2:58" ht="20.100000000000001" customHeight="1" x14ac:dyDescent="0.2">
      <c r="B236" s="73"/>
      <c r="C236" s="73"/>
      <c r="D236" s="73"/>
      <c r="K236" s="73"/>
      <c r="L236" s="73"/>
      <c r="M236" s="73"/>
      <c r="BD236" s="88">
        <v>45259</v>
      </c>
      <c r="BE236" s="89">
        <v>55.25</v>
      </c>
      <c r="BF236" s="90"/>
    </row>
    <row r="237" spans="2:58" ht="20.100000000000001" customHeight="1" x14ac:dyDescent="0.2">
      <c r="B237" s="73"/>
      <c r="C237" s="73"/>
      <c r="D237" s="73"/>
      <c r="K237" s="73"/>
      <c r="L237" s="73"/>
      <c r="M237" s="73"/>
      <c r="BD237" s="88">
        <v>45260</v>
      </c>
      <c r="BE237" s="89">
        <v>55</v>
      </c>
      <c r="BF237" s="90"/>
    </row>
    <row r="238" spans="2:58" ht="20.100000000000001" customHeight="1" x14ac:dyDescent="0.2">
      <c r="B238" s="73"/>
      <c r="C238" s="73"/>
      <c r="D238" s="73"/>
      <c r="K238" s="73"/>
      <c r="L238" s="73"/>
      <c r="M238" s="73"/>
      <c r="BD238" s="88">
        <v>45261</v>
      </c>
      <c r="BE238" s="89">
        <v>53.25</v>
      </c>
      <c r="BF238" s="90"/>
    </row>
    <row r="239" spans="2:58" ht="20.100000000000001" customHeight="1" x14ac:dyDescent="0.2">
      <c r="B239" s="73"/>
      <c r="C239" s="73"/>
      <c r="D239" s="73"/>
      <c r="K239" s="73"/>
      <c r="L239" s="73"/>
      <c r="M239" s="73"/>
      <c r="BD239" s="88">
        <v>45264</v>
      </c>
      <c r="BE239" s="89">
        <v>53.25</v>
      </c>
      <c r="BF239" s="90"/>
    </row>
    <row r="240" spans="2:58" ht="20.100000000000001" customHeight="1" x14ac:dyDescent="0.2">
      <c r="B240" s="73"/>
      <c r="C240" s="73"/>
      <c r="D240" s="73"/>
      <c r="K240" s="73"/>
      <c r="L240" s="73"/>
      <c r="M240" s="73"/>
      <c r="BD240" s="88">
        <v>45265</v>
      </c>
      <c r="BE240" s="89">
        <v>54</v>
      </c>
      <c r="BF240" s="90"/>
    </row>
    <row r="241" spans="2:58" ht="20.100000000000001" customHeight="1" x14ac:dyDescent="0.2">
      <c r="B241" s="73"/>
      <c r="C241" s="73"/>
      <c r="D241" s="73"/>
      <c r="K241" s="73"/>
      <c r="L241" s="73"/>
      <c r="M241" s="73"/>
      <c r="BD241" s="88">
        <v>45266</v>
      </c>
      <c r="BE241" s="89">
        <v>53.25</v>
      </c>
      <c r="BF241" s="90"/>
    </row>
    <row r="242" spans="2:58" ht="20.100000000000001" customHeight="1" x14ac:dyDescent="0.2">
      <c r="B242" s="73"/>
      <c r="C242" s="73"/>
      <c r="D242" s="73"/>
      <c r="K242" s="73"/>
      <c r="L242" s="73"/>
      <c r="M242" s="73"/>
      <c r="BD242" s="88">
        <v>45267</v>
      </c>
      <c r="BE242" s="89">
        <v>53.5</v>
      </c>
      <c r="BF242" s="90"/>
    </row>
    <row r="243" spans="2:58" ht="20.100000000000001" customHeight="1" x14ac:dyDescent="0.2">
      <c r="B243" s="73"/>
      <c r="C243" s="73"/>
      <c r="D243" s="73"/>
      <c r="K243" s="73"/>
      <c r="L243" s="73"/>
      <c r="M243" s="73"/>
      <c r="BD243" s="88">
        <v>45268</v>
      </c>
      <c r="BE243" s="89">
        <v>52.5</v>
      </c>
      <c r="BF243" s="90"/>
    </row>
    <row r="244" spans="2:58" ht="20.100000000000001" customHeight="1" x14ac:dyDescent="0.2">
      <c r="B244" s="73"/>
      <c r="C244" s="73"/>
      <c r="D244" s="73"/>
      <c r="K244" s="73"/>
      <c r="L244" s="73"/>
      <c r="M244" s="73"/>
      <c r="BD244" s="88">
        <v>45271</v>
      </c>
      <c r="BE244" s="89">
        <v>52.5</v>
      </c>
      <c r="BF244" s="90"/>
    </row>
    <row r="245" spans="2:58" ht="20.100000000000001" customHeight="1" x14ac:dyDescent="0.2">
      <c r="B245" s="73"/>
      <c r="C245" s="73"/>
      <c r="D245" s="73"/>
      <c r="K245" s="73"/>
      <c r="L245" s="73"/>
      <c r="M245" s="73"/>
      <c r="BD245" s="88">
        <v>45272</v>
      </c>
      <c r="BE245" s="89">
        <v>52.75</v>
      </c>
      <c r="BF245" s="90"/>
    </row>
    <row r="246" spans="2:58" ht="20.100000000000001" customHeight="1" x14ac:dyDescent="0.2">
      <c r="B246" s="73"/>
      <c r="C246" s="73"/>
      <c r="D246" s="73"/>
      <c r="K246" s="73"/>
      <c r="L246" s="73"/>
      <c r="M246" s="73"/>
      <c r="BD246" s="88">
        <v>45273</v>
      </c>
      <c r="BE246" s="89">
        <v>52.75</v>
      </c>
      <c r="BF246" s="90"/>
    </row>
    <row r="247" spans="2:58" ht="20.100000000000001" customHeight="1" x14ac:dyDescent="0.2">
      <c r="B247" s="73"/>
      <c r="C247" s="73"/>
      <c r="D247" s="73"/>
      <c r="K247" s="73"/>
      <c r="L247" s="73"/>
      <c r="M247" s="73"/>
      <c r="BD247" s="88">
        <v>45274</v>
      </c>
      <c r="BE247" s="89">
        <v>53</v>
      </c>
      <c r="BF247" s="90"/>
    </row>
    <row r="248" spans="2:58" ht="20.100000000000001" customHeight="1" x14ac:dyDescent="0.2">
      <c r="B248" s="73"/>
      <c r="C248" s="73"/>
      <c r="D248" s="73"/>
      <c r="K248" s="73"/>
      <c r="L248" s="73"/>
      <c r="M248" s="73"/>
      <c r="BD248" s="88">
        <v>45275</v>
      </c>
      <c r="BE248" s="89">
        <v>52.75</v>
      </c>
      <c r="BF248" s="90"/>
    </row>
    <row r="249" spans="2:58" ht="20.100000000000001" customHeight="1" x14ac:dyDescent="0.2">
      <c r="B249" s="73"/>
      <c r="C249" s="73"/>
      <c r="D249" s="73"/>
      <c r="K249" s="73"/>
      <c r="L249" s="73"/>
      <c r="M249" s="73"/>
      <c r="BD249" s="88">
        <v>45278</v>
      </c>
      <c r="BE249" s="89">
        <v>51.5</v>
      </c>
      <c r="BF249" s="90"/>
    </row>
    <row r="250" spans="2:58" ht="20.100000000000001" customHeight="1" x14ac:dyDescent="0.2">
      <c r="B250" s="73"/>
      <c r="C250" s="73"/>
      <c r="D250" s="73"/>
      <c r="K250" s="73"/>
      <c r="L250" s="73"/>
      <c r="M250" s="73"/>
      <c r="BD250" s="88">
        <v>45279</v>
      </c>
      <c r="BE250" s="89">
        <v>52</v>
      </c>
      <c r="BF250" s="90"/>
    </row>
    <row r="251" spans="2:58" ht="20.100000000000001" customHeight="1" x14ac:dyDescent="0.2">
      <c r="B251" s="73"/>
      <c r="C251" s="73"/>
      <c r="D251" s="73"/>
      <c r="K251" s="73"/>
      <c r="L251" s="73"/>
      <c r="M251" s="73"/>
      <c r="BD251" s="88">
        <v>45280</v>
      </c>
      <c r="BE251" s="89">
        <v>52.25</v>
      </c>
      <c r="BF251" s="90"/>
    </row>
    <row r="252" spans="2:58" ht="20.100000000000001" customHeight="1" x14ac:dyDescent="0.2">
      <c r="B252" s="73"/>
      <c r="C252" s="73"/>
      <c r="D252" s="73"/>
      <c r="K252" s="73"/>
      <c r="L252" s="73"/>
      <c r="M252" s="73"/>
      <c r="BD252" s="88">
        <v>45281</v>
      </c>
      <c r="BE252" s="89">
        <v>52.25</v>
      </c>
      <c r="BF252" s="90"/>
    </row>
    <row r="253" spans="2:58" ht="20.100000000000001" customHeight="1" x14ac:dyDescent="0.2">
      <c r="B253" s="73"/>
      <c r="C253" s="73"/>
      <c r="D253" s="73"/>
      <c r="K253" s="73"/>
      <c r="L253" s="73"/>
      <c r="M253" s="73"/>
      <c r="BD253" s="88">
        <v>45282</v>
      </c>
      <c r="BE253" s="89">
        <v>51.95</v>
      </c>
      <c r="BF253" s="90"/>
    </row>
    <row r="254" spans="2:58" ht="20.100000000000001" customHeight="1" x14ac:dyDescent="0.2">
      <c r="B254" s="73"/>
      <c r="C254" s="73"/>
      <c r="D254" s="73"/>
      <c r="K254" s="73"/>
      <c r="L254" s="73"/>
      <c r="M254" s="73"/>
      <c r="BD254" s="88">
        <v>45286</v>
      </c>
      <c r="BE254" s="89">
        <v>51.95</v>
      </c>
      <c r="BF254" s="90"/>
    </row>
    <row r="255" spans="2:58" ht="20.100000000000001" customHeight="1" x14ac:dyDescent="0.2">
      <c r="B255" s="73"/>
      <c r="C255" s="73"/>
      <c r="D255" s="73"/>
      <c r="K255" s="73"/>
      <c r="L255" s="73"/>
      <c r="M255" s="73"/>
      <c r="BD255" s="88">
        <v>45287</v>
      </c>
      <c r="BE255" s="89">
        <v>51.95</v>
      </c>
      <c r="BF255" s="90"/>
    </row>
    <row r="256" spans="2:58" ht="20.100000000000001" customHeight="1" x14ac:dyDescent="0.2">
      <c r="B256" s="73"/>
      <c r="C256" s="73"/>
      <c r="D256" s="73"/>
      <c r="K256" s="73"/>
      <c r="L256" s="73"/>
      <c r="M256" s="73"/>
      <c r="BC256" s="91"/>
    </row>
    <row r="257" spans="2:55" ht="20.100000000000001" customHeight="1" x14ac:dyDescent="0.2">
      <c r="B257" s="73"/>
      <c r="C257" s="73"/>
      <c r="D257" s="73"/>
      <c r="K257" s="73"/>
      <c r="L257" s="73"/>
      <c r="M257" s="73"/>
      <c r="BC257" s="91"/>
    </row>
    <row r="258" spans="2:55" ht="20.100000000000001" customHeight="1" x14ac:dyDescent="0.2">
      <c r="B258" s="73"/>
      <c r="C258" s="73"/>
      <c r="D258" s="73"/>
      <c r="K258" s="73"/>
      <c r="L258" s="73"/>
      <c r="M258" s="73"/>
      <c r="BC258" s="91"/>
    </row>
    <row r="259" spans="2:55" ht="20.100000000000001" customHeight="1" x14ac:dyDescent="0.2">
      <c r="B259" s="73"/>
      <c r="C259" s="73"/>
      <c r="D259" s="73"/>
      <c r="K259" s="73"/>
      <c r="L259" s="73"/>
      <c r="M259" s="73"/>
      <c r="BC259" s="91"/>
    </row>
    <row r="260" spans="2:55" ht="20.100000000000001" customHeight="1" x14ac:dyDescent="0.2">
      <c r="B260" s="73"/>
      <c r="C260" s="73"/>
      <c r="D260" s="73"/>
      <c r="K260" s="73"/>
      <c r="L260" s="73"/>
      <c r="M260" s="73"/>
      <c r="BC260" s="91"/>
    </row>
    <row r="261" spans="2:55" ht="20.100000000000001" customHeight="1" x14ac:dyDescent="0.2">
      <c r="B261" s="73"/>
      <c r="C261" s="73"/>
      <c r="D261" s="73"/>
      <c r="K261" s="73"/>
      <c r="L261" s="73"/>
      <c r="M261" s="73"/>
      <c r="BC261" s="91"/>
    </row>
    <row r="262" spans="2:55" ht="20.100000000000001" customHeight="1" x14ac:dyDescent="0.2">
      <c r="B262" s="92"/>
      <c r="D262" s="93"/>
      <c r="K262" s="92"/>
      <c r="M262" s="93"/>
      <c r="BC262" s="91"/>
    </row>
    <row r="263" spans="2:55" ht="20.100000000000001" customHeight="1" x14ac:dyDescent="0.2">
      <c r="B263" s="92"/>
      <c r="D263" s="93"/>
      <c r="K263" s="92"/>
      <c r="M263" s="93"/>
      <c r="BC263" s="91"/>
    </row>
    <row r="264" spans="2:55" ht="20.100000000000001" customHeight="1" x14ac:dyDescent="0.2">
      <c r="B264" s="92"/>
      <c r="D264" s="93"/>
      <c r="K264" s="92"/>
      <c r="M264" s="93"/>
      <c r="BC264" s="91"/>
    </row>
    <row r="265" spans="2:55" ht="20.100000000000001" customHeight="1" x14ac:dyDescent="0.2">
      <c r="B265" s="92"/>
      <c r="D265" s="93"/>
      <c r="K265" s="92"/>
      <c r="M265" s="93"/>
      <c r="BC265" s="91"/>
    </row>
    <row r="266" spans="2:55" ht="20.100000000000001" customHeight="1" x14ac:dyDescent="0.2">
      <c r="B266" s="92"/>
      <c r="D266" s="93"/>
      <c r="K266" s="92"/>
      <c r="M266" s="93"/>
      <c r="BC266" s="91"/>
    </row>
    <row r="267" spans="2:55" ht="20.100000000000001" customHeight="1" x14ac:dyDescent="0.2">
      <c r="B267" s="92"/>
      <c r="D267" s="93"/>
      <c r="K267" s="92"/>
      <c r="M267" s="93"/>
      <c r="BC267" s="91"/>
    </row>
    <row r="268" spans="2:55" ht="20.100000000000001" customHeight="1" x14ac:dyDescent="0.2">
      <c r="B268" s="92"/>
      <c r="D268" s="93"/>
      <c r="K268" s="92"/>
      <c r="M268" s="93"/>
      <c r="BC268" s="91"/>
    </row>
    <row r="269" spans="2:55" ht="20.100000000000001" customHeight="1" x14ac:dyDescent="0.2">
      <c r="B269" s="92"/>
      <c r="D269" s="93"/>
      <c r="K269" s="92"/>
      <c r="M269" s="93"/>
      <c r="BC269" s="91"/>
    </row>
    <row r="270" spans="2:55" ht="20.100000000000001" customHeight="1" x14ac:dyDescent="0.2">
      <c r="B270" s="92"/>
      <c r="D270" s="93"/>
      <c r="K270" s="92"/>
      <c r="M270" s="93"/>
      <c r="BC270" s="91"/>
    </row>
    <row r="271" spans="2:55" ht="20.100000000000001" customHeight="1" x14ac:dyDescent="0.2">
      <c r="B271" s="92"/>
      <c r="D271" s="93"/>
      <c r="K271" s="92"/>
      <c r="M271" s="93"/>
      <c r="BC271" s="91"/>
    </row>
    <row r="272" spans="2:55" ht="20.100000000000001" customHeight="1" x14ac:dyDescent="0.2">
      <c r="B272" s="92"/>
      <c r="D272" s="93"/>
      <c r="K272" s="92"/>
      <c r="M272" s="93"/>
      <c r="BC272" s="91"/>
    </row>
    <row r="273" spans="2:55" ht="20.100000000000001" customHeight="1" x14ac:dyDescent="0.2">
      <c r="B273" s="92"/>
      <c r="D273" s="93"/>
      <c r="K273" s="92"/>
      <c r="M273" s="93"/>
      <c r="BC273" s="91"/>
    </row>
    <row r="274" spans="2:55" ht="20.100000000000001" customHeight="1" x14ac:dyDescent="0.2">
      <c r="B274" s="92"/>
      <c r="D274" s="93"/>
      <c r="K274" s="92"/>
      <c r="M274" s="93"/>
      <c r="BC274" s="91"/>
    </row>
    <row r="275" spans="2:55" ht="20.100000000000001" customHeight="1" x14ac:dyDescent="0.2">
      <c r="B275" s="92"/>
      <c r="D275" s="93"/>
      <c r="K275" s="92"/>
      <c r="M275" s="93"/>
      <c r="BC275" s="91"/>
    </row>
    <row r="276" spans="2:55" ht="20.100000000000001" customHeight="1" x14ac:dyDescent="0.2">
      <c r="B276" s="92"/>
      <c r="D276" s="93"/>
      <c r="K276" s="92"/>
      <c r="M276" s="93"/>
      <c r="BC276" s="91"/>
    </row>
    <row r="277" spans="2:55" ht="20.100000000000001" customHeight="1" x14ac:dyDescent="0.2">
      <c r="B277" s="92"/>
      <c r="D277" s="93"/>
      <c r="K277" s="92"/>
      <c r="M277" s="93"/>
      <c r="BC277" s="91"/>
    </row>
    <row r="278" spans="2:55" ht="20.100000000000001" customHeight="1" x14ac:dyDescent="0.2">
      <c r="B278" s="92"/>
      <c r="D278" s="93"/>
      <c r="K278" s="92"/>
      <c r="M278" s="93"/>
      <c r="BC278" s="91"/>
    </row>
    <row r="279" spans="2:55" ht="20.100000000000001" customHeight="1" x14ac:dyDescent="0.2">
      <c r="B279" s="92"/>
      <c r="D279" s="93"/>
      <c r="K279" s="92"/>
      <c r="M279" s="93"/>
      <c r="BC279" s="91"/>
    </row>
    <row r="280" spans="2:55" ht="20.100000000000001" customHeight="1" x14ac:dyDescent="0.2">
      <c r="B280" s="92"/>
      <c r="D280" s="93"/>
      <c r="K280" s="92"/>
      <c r="M280" s="93"/>
      <c r="BC280" s="91"/>
    </row>
    <row r="281" spans="2:55" ht="20.100000000000001" customHeight="1" x14ac:dyDescent="0.2">
      <c r="B281" s="92"/>
      <c r="D281" s="93"/>
      <c r="K281" s="92"/>
      <c r="M281" s="93"/>
      <c r="BC281" s="91"/>
    </row>
    <row r="282" spans="2:55" ht="20.100000000000001" customHeight="1" x14ac:dyDescent="0.2">
      <c r="B282" s="92"/>
      <c r="D282" s="93"/>
      <c r="K282" s="92"/>
      <c r="M282" s="93"/>
      <c r="BC282" s="91"/>
    </row>
    <row r="283" spans="2:55" ht="20.100000000000001" customHeight="1" x14ac:dyDescent="0.2">
      <c r="B283" s="92"/>
      <c r="D283" s="93"/>
      <c r="K283" s="92"/>
      <c r="M283" s="93"/>
      <c r="BC283" s="91"/>
    </row>
    <row r="284" spans="2:55" ht="20.100000000000001" customHeight="1" x14ac:dyDescent="0.2">
      <c r="B284" s="92"/>
      <c r="D284" s="93"/>
      <c r="K284" s="92"/>
      <c r="M284" s="93"/>
      <c r="BC284" s="91"/>
    </row>
    <row r="285" spans="2:55" ht="20.100000000000001" customHeight="1" x14ac:dyDescent="0.2">
      <c r="B285" s="92"/>
      <c r="D285" s="93"/>
      <c r="K285" s="92"/>
      <c r="M285" s="93"/>
      <c r="BC285" s="91"/>
    </row>
    <row r="286" spans="2:55" ht="20.100000000000001" customHeight="1" x14ac:dyDescent="0.2">
      <c r="B286" s="92"/>
      <c r="D286" s="93"/>
      <c r="K286" s="92"/>
      <c r="M286" s="93"/>
      <c r="BC286" s="91"/>
    </row>
    <row r="287" spans="2:55" ht="20.100000000000001" customHeight="1" x14ac:dyDescent="0.2">
      <c r="B287" s="92"/>
      <c r="D287" s="93"/>
      <c r="K287" s="92"/>
      <c r="M287" s="93"/>
      <c r="BC287" s="91"/>
    </row>
    <row r="288" spans="2:55" ht="20.100000000000001" customHeight="1" x14ac:dyDescent="0.2">
      <c r="B288" s="92"/>
      <c r="D288" s="93"/>
      <c r="K288" s="92"/>
      <c r="M288" s="93"/>
      <c r="BC288" s="91"/>
    </row>
    <row r="289" spans="2:55" ht="20.100000000000001" customHeight="1" x14ac:dyDescent="0.2">
      <c r="B289" s="92"/>
      <c r="D289" s="93"/>
      <c r="K289" s="92"/>
      <c r="M289" s="93"/>
      <c r="BC289" s="91"/>
    </row>
    <row r="290" spans="2:55" ht="20.100000000000001" customHeight="1" x14ac:dyDescent="0.2">
      <c r="B290" s="92"/>
      <c r="D290" s="93"/>
      <c r="K290" s="92"/>
      <c r="M290" s="93"/>
      <c r="BC290" s="91"/>
    </row>
    <row r="291" spans="2:55" ht="20.100000000000001" customHeight="1" x14ac:dyDescent="0.2">
      <c r="B291" s="92"/>
      <c r="D291" s="93"/>
      <c r="K291" s="92"/>
      <c r="M291" s="93"/>
      <c r="BC291" s="91"/>
    </row>
    <row r="292" spans="2:55" ht="20.100000000000001" customHeight="1" x14ac:dyDescent="0.2">
      <c r="B292" s="92"/>
      <c r="D292" s="93"/>
      <c r="K292" s="92"/>
      <c r="M292" s="93"/>
      <c r="BC292" s="91"/>
    </row>
    <row r="293" spans="2:55" ht="20.100000000000001" customHeight="1" x14ac:dyDescent="0.2">
      <c r="B293" s="92"/>
      <c r="D293" s="93"/>
      <c r="K293" s="92"/>
      <c r="M293" s="93"/>
      <c r="BC293" s="91"/>
    </row>
    <row r="294" spans="2:55" ht="20.100000000000001" customHeight="1" x14ac:dyDescent="0.2">
      <c r="B294" s="92"/>
      <c r="D294" s="93"/>
      <c r="K294" s="92"/>
      <c r="M294" s="93"/>
      <c r="BC294" s="91"/>
    </row>
    <row r="295" spans="2:55" ht="20.100000000000001" customHeight="1" x14ac:dyDescent="0.2">
      <c r="B295" s="92"/>
      <c r="D295" s="93"/>
      <c r="K295" s="92"/>
      <c r="M295" s="93"/>
      <c r="BC295" s="91"/>
    </row>
    <row r="296" spans="2:55" ht="20.100000000000001" customHeight="1" x14ac:dyDescent="0.2">
      <c r="B296" s="92"/>
      <c r="D296" s="93"/>
      <c r="K296" s="92"/>
      <c r="M296" s="93"/>
      <c r="BC296" s="91"/>
    </row>
    <row r="297" spans="2:55" ht="20.100000000000001" customHeight="1" x14ac:dyDescent="0.2">
      <c r="B297" s="92"/>
      <c r="D297" s="93"/>
      <c r="K297" s="92"/>
      <c r="M297" s="93"/>
      <c r="BC297" s="91"/>
    </row>
    <row r="298" spans="2:55" ht="20.100000000000001" customHeight="1" x14ac:dyDescent="0.2">
      <c r="B298" s="92"/>
      <c r="D298" s="93"/>
      <c r="K298" s="92"/>
      <c r="M298" s="93"/>
      <c r="BC298" s="91"/>
    </row>
    <row r="299" spans="2:55" ht="20.100000000000001" customHeight="1" x14ac:dyDescent="0.2">
      <c r="B299" s="92"/>
      <c r="D299" s="93"/>
      <c r="K299" s="92"/>
      <c r="M299" s="93"/>
      <c r="BC299" s="91"/>
    </row>
    <row r="300" spans="2:55" ht="20.100000000000001" customHeight="1" x14ac:dyDescent="0.2">
      <c r="B300" s="92"/>
      <c r="D300" s="93"/>
      <c r="K300" s="92"/>
      <c r="M300" s="93"/>
      <c r="BC300" s="91"/>
    </row>
    <row r="301" spans="2:55" ht="20.100000000000001" customHeight="1" x14ac:dyDescent="0.2">
      <c r="B301" s="92"/>
      <c r="D301" s="93"/>
      <c r="K301" s="92"/>
      <c r="M301" s="93"/>
      <c r="BC301" s="91"/>
    </row>
    <row r="302" spans="2:55" ht="20.100000000000001" customHeight="1" x14ac:dyDescent="0.2">
      <c r="B302" s="92"/>
      <c r="D302" s="93"/>
      <c r="K302" s="92"/>
      <c r="M302" s="93"/>
      <c r="BC302" s="91"/>
    </row>
    <row r="303" spans="2:55" ht="20.100000000000001" customHeight="1" x14ac:dyDescent="0.2">
      <c r="B303" s="92"/>
      <c r="D303" s="93"/>
      <c r="K303" s="92"/>
      <c r="M303" s="93"/>
      <c r="BC303" s="91"/>
    </row>
    <row r="304" spans="2:55" ht="20.100000000000001" customHeight="1" x14ac:dyDescent="0.2">
      <c r="B304" s="92"/>
      <c r="D304" s="93"/>
      <c r="K304" s="92"/>
      <c r="M304" s="93"/>
      <c r="BC304" s="91"/>
    </row>
    <row r="305" spans="2:58" ht="20.100000000000001" customHeight="1" x14ac:dyDescent="0.2">
      <c r="B305" s="92"/>
      <c r="D305" s="93"/>
      <c r="K305" s="92"/>
      <c r="M305" s="93"/>
      <c r="BC305" s="91"/>
    </row>
    <row r="306" spans="2:58" ht="20.100000000000001" customHeight="1" x14ac:dyDescent="0.2">
      <c r="B306" s="92"/>
      <c r="D306" s="93"/>
      <c r="K306" s="92"/>
      <c r="M306" s="93"/>
      <c r="BC306" s="91"/>
    </row>
    <row r="307" spans="2:58" ht="20.100000000000001" customHeight="1" x14ac:dyDescent="0.2">
      <c r="B307" s="92"/>
      <c r="D307" s="93"/>
      <c r="K307" s="92"/>
      <c r="M307" s="93"/>
      <c r="BC307" s="91"/>
    </row>
    <row r="308" spans="2:58" ht="20.100000000000001" customHeight="1" x14ac:dyDescent="0.2">
      <c r="B308" s="92"/>
      <c r="D308" s="93"/>
      <c r="K308" s="92"/>
      <c r="M308" s="93"/>
      <c r="BC308" s="91"/>
    </row>
    <row r="309" spans="2:58" ht="20.100000000000001" customHeight="1" x14ac:dyDescent="0.2">
      <c r="B309" s="92"/>
      <c r="D309" s="93"/>
      <c r="K309" s="92"/>
      <c r="M309" s="93"/>
      <c r="BC309" s="91"/>
    </row>
    <row r="310" spans="2:58" ht="20.100000000000001" customHeight="1" x14ac:dyDescent="0.2">
      <c r="B310" s="92"/>
      <c r="D310" s="93"/>
      <c r="K310" s="92"/>
      <c r="M310" s="93"/>
      <c r="BC310" s="91"/>
    </row>
    <row r="311" spans="2:58" ht="20.100000000000001" customHeight="1" x14ac:dyDescent="0.2">
      <c r="B311" s="92"/>
      <c r="D311" s="93"/>
      <c r="K311" s="92"/>
      <c r="M311" s="93"/>
      <c r="BC311" s="91"/>
    </row>
    <row r="312" spans="2:58" ht="20.100000000000001" customHeight="1" x14ac:dyDescent="0.2">
      <c r="B312" s="92"/>
      <c r="D312" s="93"/>
      <c r="K312" s="92"/>
      <c r="M312" s="93"/>
      <c r="BC312" s="91"/>
    </row>
    <row r="313" spans="2:58" ht="20.100000000000001" customHeight="1" x14ac:dyDescent="0.2">
      <c r="B313" s="92"/>
      <c r="D313" s="93"/>
      <c r="K313" s="92"/>
      <c r="M313" s="93"/>
      <c r="BC313" s="91"/>
    </row>
    <row r="314" spans="2:58" ht="20.100000000000001" customHeight="1" x14ac:dyDescent="0.2">
      <c r="B314" s="92"/>
      <c r="D314" s="93"/>
      <c r="K314" s="92"/>
      <c r="M314" s="93"/>
      <c r="BC314" s="91"/>
    </row>
    <row r="315" spans="2:58" ht="20.100000000000001" customHeight="1" x14ac:dyDescent="0.2">
      <c r="B315" s="92"/>
      <c r="D315" s="93"/>
      <c r="K315" s="92"/>
      <c r="M315" s="93"/>
      <c r="BC315" s="91"/>
    </row>
    <row r="316" spans="2:58" ht="20.100000000000001" customHeight="1" x14ac:dyDescent="0.2">
      <c r="B316" s="92"/>
      <c r="D316" s="93"/>
      <c r="K316" s="92"/>
      <c r="M316" s="93"/>
      <c r="BC316" s="91"/>
    </row>
    <row r="317" spans="2:58" ht="20.100000000000001" customHeight="1" x14ac:dyDescent="0.2">
      <c r="B317" s="92"/>
      <c r="D317" s="93"/>
      <c r="K317" s="92"/>
      <c r="M317" s="93"/>
      <c r="BC317" s="91"/>
    </row>
    <row r="318" spans="2:58" ht="20.100000000000001" customHeight="1" x14ac:dyDescent="0.2">
      <c r="B318" s="92"/>
      <c r="D318" s="93"/>
      <c r="K318" s="92"/>
      <c r="M318" s="93"/>
      <c r="BC318" s="91"/>
      <c r="BE318" s="94"/>
      <c r="BF318" s="94"/>
    </row>
    <row r="319" spans="2:58" ht="20.100000000000001" customHeight="1" x14ac:dyDescent="0.2">
      <c r="B319" s="92"/>
      <c r="D319" s="93"/>
      <c r="K319" s="92"/>
      <c r="M319" s="93"/>
      <c r="BC319" s="91"/>
      <c r="BE319" s="94"/>
      <c r="BF319" s="94"/>
    </row>
    <row r="320" spans="2:58" ht="20.100000000000001" customHeight="1" x14ac:dyDescent="0.2">
      <c r="B320" s="92"/>
      <c r="D320" s="93"/>
      <c r="K320" s="92"/>
      <c r="M320" s="93"/>
      <c r="BC320" s="91"/>
      <c r="BE320" s="94"/>
      <c r="BF320" s="94"/>
    </row>
    <row r="321" spans="2:58" ht="20.100000000000001" customHeight="1" x14ac:dyDescent="0.2">
      <c r="B321" s="92"/>
      <c r="D321" s="93"/>
      <c r="K321" s="92"/>
      <c r="M321" s="93"/>
      <c r="BC321" s="91"/>
      <c r="BE321" s="94"/>
      <c r="BF321" s="94"/>
    </row>
    <row r="322" spans="2:58" ht="20.100000000000001" customHeight="1" x14ac:dyDescent="0.2">
      <c r="B322" s="92"/>
      <c r="D322" s="93"/>
      <c r="K322" s="92"/>
      <c r="M322" s="93"/>
      <c r="BC322" s="91"/>
      <c r="BE322" s="94"/>
      <c r="BF322" s="94"/>
    </row>
    <row r="323" spans="2:58" ht="20.100000000000001" customHeight="1" x14ac:dyDescent="0.2">
      <c r="B323" s="92"/>
      <c r="D323" s="93"/>
      <c r="K323" s="92"/>
      <c r="M323" s="93"/>
      <c r="BC323" s="91"/>
      <c r="BE323" s="94"/>
      <c r="BF323" s="94"/>
    </row>
    <row r="324" spans="2:58" ht="20.100000000000001" customHeight="1" x14ac:dyDescent="0.2">
      <c r="B324" s="92"/>
      <c r="D324" s="93"/>
      <c r="K324" s="92"/>
      <c r="M324" s="93"/>
      <c r="BC324" s="91"/>
      <c r="BE324" s="94"/>
      <c r="BF324" s="94"/>
    </row>
    <row r="325" spans="2:58" ht="20.100000000000001" customHeight="1" x14ac:dyDescent="0.2">
      <c r="B325" s="92"/>
      <c r="D325" s="93"/>
      <c r="K325" s="92"/>
      <c r="M325" s="93"/>
      <c r="BC325" s="91"/>
      <c r="BE325" s="94"/>
      <c r="BF325" s="94"/>
    </row>
    <row r="326" spans="2:58" ht="20.100000000000001" customHeight="1" x14ac:dyDescent="0.2">
      <c r="B326" s="92"/>
      <c r="D326" s="93"/>
      <c r="K326" s="92"/>
      <c r="M326" s="93"/>
      <c r="BC326" s="91"/>
      <c r="BE326" s="94"/>
      <c r="BF326" s="94"/>
    </row>
    <row r="327" spans="2:58" ht="20.100000000000001" customHeight="1" x14ac:dyDescent="0.2">
      <c r="B327" s="92"/>
      <c r="D327" s="93"/>
      <c r="K327" s="92"/>
      <c r="M327" s="93"/>
      <c r="BC327" s="91"/>
      <c r="BE327" s="94"/>
      <c r="BF327" s="94"/>
    </row>
    <row r="328" spans="2:58" ht="20.100000000000001" customHeight="1" x14ac:dyDescent="0.2">
      <c r="B328" s="92"/>
      <c r="D328" s="93"/>
      <c r="K328" s="92"/>
      <c r="M328" s="93"/>
      <c r="BC328" s="91"/>
      <c r="BE328" s="94"/>
      <c r="BF328" s="94"/>
    </row>
    <row r="329" spans="2:58" ht="20.100000000000001" customHeight="1" x14ac:dyDescent="0.2">
      <c r="B329" s="92"/>
      <c r="D329" s="93"/>
      <c r="K329" s="92"/>
      <c r="M329" s="93"/>
      <c r="BC329" s="91"/>
      <c r="BE329" s="94"/>
      <c r="BF329" s="94"/>
    </row>
    <row r="330" spans="2:58" ht="20.100000000000001" customHeight="1" x14ac:dyDescent="0.2">
      <c r="B330" s="92"/>
      <c r="D330" s="93"/>
      <c r="K330" s="92"/>
      <c r="M330" s="93"/>
      <c r="BC330" s="91"/>
      <c r="BE330" s="94"/>
      <c r="BF330" s="94"/>
    </row>
    <row r="331" spans="2:58" ht="20.100000000000001" customHeight="1" x14ac:dyDescent="0.2">
      <c r="B331" s="92"/>
      <c r="D331" s="93"/>
      <c r="K331" s="92"/>
      <c r="M331" s="93"/>
      <c r="BC331" s="91"/>
      <c r="BE331" s="94"/>
      <c r="BF331" s="94"/>
    </row>
    <row r="332" spans="2:58" ht="20.100000000000001" customHeight="1" x14ac:dyDescent="0.2">
      <c r="B332" s="92"/>
      <c r="D332" s="93"/>
      <c r="K332" s="92"/>
      <c r="M332" s="93"/>
      <c r="BC332" s="91"/>
      <c r="BE332" s="94"/>
      <c r="BF332" s="94"/>
    </row>
    <row r="333" spans="2:58" ht="20.100000000000001" customHeight="1" x14ac:dyDescent="0.2">
      <c r="B333" s="92"/>
      <c r="D333" s="93"/>
      <c r="K333" s="92"/>
      <c r="M333" s="93"/>
      <c r="BC333" s="91"/>
      <c r="BE333" s="94"/>
      <c r="BF333" s="94"/>
    </row>
    <row r="334" spans="2:58" ht="20.100000000000001" customHeight="1" x14ac:dyDescent="0.2">
      <c r="B334" s="92"/>
      <c r="D334" s="93"/>
      <c r="K334" s="92"/>
      <c r="M334" s="93"/>
      <c r="BC334" s="91"/>
      <c r="BE334" s="94"/>
      <c r="BF334" s="94"/>
    </row>
    <row r="335" spans="2:58" ht="20.100000000000001" customHeight="1" x14ac:dyDescent="0.2">
      <c r="B335" s="92"/>
      <c r="D335" s="93"/>
      <c r="K335" s="92"/>
      <c r="M335" s="93"/>
      <c r="BC335" s="91"/>
      <c r="BE335" s="94"/>
      <c r="BF335" s="94"/>
    </row>
    <row r="336" spans="2:58" ht="20.100000000000001" customHeight="1" x14ac:dyDescent="0.2">
      <c r="B336" s="92"/>
      <c r="D336" s="93"/>
      <c r="K336" s="92"/>
      <c r="M336" s="93"/>
      <c r="BC336" s="91"/>
      <c r="BE336" s="94"/>
      <c r="BF336" s="94"/>
    </row>
    <row r="337" spans="2:58" ht="20.100000000000001" customHeight="1" x14ac:dyDescent="0.2">
      <c r="B337" s="92"/>
      <c r="D337" s="93"/>
      <c r="K337" s="92"/>
      <c r="M337" s="93"/>
      <c r="BC337" s="91"/>
      <c r="BE337" s="94"/>
      <c r="BF337" s="94"/>
    </row>
    <row r="338" spans="2:58" ht="20.100000000000001" customHeight="1" x14ac:dyDescent="0.2">
      <c r="B338" s="92"/>
      <c r="D338" s="93"/>
      <c r="K338" s="92"/>
      <c r="M338" s="93"/>
      <c r="BC338" s="91"/>
      <c r="BE338" s="94"/>
      <c r="BF338" s="94"/>
    </row>
    <row r="339" spans="2:58" ht="20.100000000000001" customHeight="1" x14ac:dyDescent="0.2">
      <c r="B339" s="92"/>
      <c r="D339" s="93"/>
      <c r="K339" s="92"/>
      <c r="M339" s="93"/>
      <c r="BC339" s="91"/>
      <c r="BE339" s="94"/>
      <c r="BF339" s="94"/>
    </row>
    <row r="340" spans="2:58" ht="20.100000000000001" customHeight="1" x14ac:dyDescent="0.2">
      <c r="B340" s="92"/>
      <c r="D340" s="93"/>
      <c r="K340" s="92"/>
      <c r="M340" s="93"/>
      <c r="BC340" s="91"/>
      <c r="BE340" s="94"/>
      <c r="BF340" s="94"/>
    </row>
    <row r="341" spans="2:58" ht="20.100000000000001" customHeight="1" x14ac:dyDescent="0.2">
      <c r="B341" s="92"/>
      <c r="D341" s="93"/>
      <c r="K341" s="92"/>
      <c r="M341" s="93"/>
      <c r="BC341" s="91"/>
      <c r="BE341" s="94"/>
      <c r="BF341" s="94"/>
    </row>
    <row r="342" spans="2:58" ht="20.100000000000001" customHeight="1" x14ac:dyDescent="0.2">
      <c r="B342" s="92"/>
      <c r="D342" s="93"/>
      <c r="K342" s="92"/>
      <c r="M342" s="93"/>
      <c r="BC342" s="91"/>
      <c r="BE342" s="94"/>
      <c r="BF342" s="94"/>
    </row>
    <row r="343" spans="2:58" ht="20.100000000000001" customHeight="1" x14ac:dyDescent="0.2">
      <c r="B343" s="92"/>
      <c r="D343" s="93"/>
      <c r="K343" s="92"/>
      <c r="M343" s="93"/>
      <c r="BC343" s="91"/>
      <c r="BE343" s="94"/>
      <c r="BF343" s="94"/>
    </row>
    <row r="344" spans="2:58" ht="20.100000000000001" customHeight="1" x14ac:dyDescent="0.2">
      <c r="B344" s="92"/>
      <c r="D344" s="93"/>
      <c r="K344" s="92"/>
      <c r="M344" s="93"/>
      <c r="BC344" s="91"/>
      <c r="BE344" s="94"/>
      <c r="BF344" s="94"/>
    </row>
    <row r="345" spans="2:58" ht="20.100000000000001" customHeight="1" x14ac:dyDescent="0.2">
      <c r="B345" s="92"/>
      <c r="D345" s="93"/>
      <c r="K345" s="92"/>
      <c r="M345" s="93"/>
      <c r="BC345" s="91"/>
      <c r="BE345" s="94"/>
      <c r="BF345" s="94"/>
    </row>
    <row r="346" spans="2:58" ht="20.100000000000001" customHeight="1" x14ac:dyDescent="0.2">
      <c r="B346" s="92"/>
      <c r="D346" s="93"/>
      <c r="K346" s="92"/>
      <c r="M346" s="93"/>
      <c r="BC346" s="91"/>
      <c r="BE346" s="94"/>
      <c r="BF346" s="94"/>
    </row>
    <row r="347" spans="2:58" ht="20.100000000000001" customHeight="1" x14ac:dyDescent="0.2">
      <c r="B347" s="92"/>
      <c r="D347" s="93"/>
      <c r="K347" s="92"/>
      <c r="M347" s="93"/>
      <c r="BC347" s="91"/>
      <c r="BE347" s="94"/>
      <c r="BF347" s="94"/>
    </row>
    <row r="348" spans="2:58" ht="20.100000000000001" customHeight="1" x14ac:dyDescent="0.2">
      <c r="B348" s="92"/>
      <c r="D348" s="93"/>
      <c r="K348" s="92"/>
      <c r="M348" s="93"/>
      <c r="BC348" s="91"/>
      <c r="BE348" s="94"/>
      <c r="BF348" s="94"/>
    </row>
    <row r="349" spans="2:58" ht="20.100000000000001" customHeight="1" x14ac:dyDescent="0.2">
      <c r="B349" s="92"/>
      <c r="D349" s="93"/>
      <c r="K349" s="92"/>
      <c r="M349" s="93"/>
      <c r="BC349" s="91"/>
      <c r="BE349" s="94"/>
      <c r="BF349" s="94"/>
    </row>
    <row r="350" spans="2:58" ht="20.100000000000001" customHeight="1" x14ac:dyDescent="0.2">
      <c r="B350" s="92"/>
      <c r="D350" s="93"/>
      <c r="K350" s="92"/>
      <c r="M350" s="93"/>
      <c r="BC350" s="91"/>
      <c r="BE350" s="94"/>
      <c r="BF350" s="94"/>
    </row>
    <row r="351" spans="2:58" ht="20.100000000000001" customHeight="1" x14ac:dyDescent="0.2">
      <c r="B351" s="92"/>
      <c r="D351" s="93"/>
      <c r="K351" s="92"/>
      <c r="M351" s="93"/>
      <c r="BC351" s="91"/>
      <c r="BE351" s="94"/>
      <c r="BF351" s="94"/>
    </row>
    <row r="352" spans="2:58" ht="20.100000000000001" customHeight="1" x14ac:dyDescent="0.2">
      <c r="B352" s="92"/>
      <c r="D352" s="93"/>
      <c r="K352" s="92"/>
      <c r="M352" s="93"/>
      <c r="BC352" s="91"/>
      <c r="BE352" s="94"/>
      <c r="BF352" s="94"/>
    </row>
    <row r="353" spans="2:58" ht="20.100000000000001" customHeight="1" x14ac:dyDescent="0.2">
      <c r="B353" s="92"/>
      <c r="D353" s="93"/>
      <c r="K353" s="92"/>
      <c r="M353" s="93"/>
      <c r="BC353" s="91"/>
      <c r="BE353" s="94"/>
      <c r="BF353" s="94"/>
    </row>
    <row r="354" spans="2:58" ht="20.100000000000001" customHeight="1" x14ac:dyDescent="0.2">
      <c r="B354" s="92"/>
      <c r="D354" s="93"/>
      <c r="K354" s="92"/>
      <c r="M354" s="93"/>
      <c r="BC354" s="91"/>
      <c r="BE354" s="94"/>
      <c r="BF354" s="94"/>
    </row>
    <row r="355" spans="2:58" ht="20.100000000000001" customHeight="1" x14ac:dyDescent="0.2">
      <c r="B355" s="92"/>
      <c r="D355" s="93"/>
      <c r="K355" s="92"/>
      <c r="M355" s="93"/>
      <c r="BC355" s="91"/>
      <c r="BE355" s="94"/>
      <c r="BF355" s="94"/>
    </row>
    <row r="356" spans="2:58" ht="20.100000000000001" customHeight="1" x14ac:dyDescent="0.2">
      <c r="B356" s="92"/>
      <c r="D356" s="93"/>
      <c r="K356" s="92"/>
      <c r="M356" s="93"/>
      <c r="BC356" s="91"/>
      <c r="BE356" s="94"/>
      <c r="BF356" s="94"/>
    </row>
    <row r="357" spans="2:58" ht="20.100000000000001" customHeight="1" x14ac:dyDescent="0.2">
      <c r="B357" s="92"/>
      <c r="D357" s="93"/>
      <c r="K357" s="92"/>
      <c r="M357" s="93"/>
      <c r="BC357" s="91"/>
      <c r="BE357" s="94"/>
      <c r="BF357" s="94"/>
    </row>
    <row r="358" spans="2:58" ht="20.100000000000001" customHeight="1" x14ac:dyDescent="0.2">
      <c r="B358" s="92"/>
      <c r="D358" s="93"/>
      <c r="K358" s="92"/>
      <c r="M358" s="93"/>
      <c r="BC358" s="91"/>
      <c r="BE358" s="94"/>
      <c r="BF358" s="94"/>
    </row>
    <row r="359" spans="2:58" ht="20.100000000000001" customHeight="1" x14ac:dyDescent="0.2">
      <c r="B359" s="92"/>
      <c r="D359" s="93"/>
      <c r="K359" s="92"/>
      <c r="M359" s="93"/>
      <c r="BC359" s="91"/>
      <c r="BE359" s="94"/>
      <c r="BF359" s="94"/>
    </row>
    <row r="360" spans="2:58" ht="20.100000000000001" customHeight="1" x14ac:dyDescent="0.2">
      <c r="B360" s="92"/>
      <c r="D360" s="93"/>
      <c r="K360" s="92"/>
      <c r="M360" s="93"/>
      <c r="BC360" s="91"/>
      <c r="BE360" s="94"/>
      <c r="BF360" s="94"/>
    </row>
    <row r="361" spans="2:58" ht="20.100000000000001" customHeight="1" x14ac:dyDescent="0.2">
      <c r="B361" s="92"/>
      <c r="D361" s="93"/>
      <c r="K361" s="92"/>
      <c r="M361" s="93"/>
      <c r="BC361" s="91"/>
      <c r="BE361" s="94"/>
      <c r="BF361" s="94"/>
    </row>
    <row r="362" spans="2:58" ht="20.100000000000001" customHeight="1" x14ac:dyDescent="0.2">
      <c r="B362" s="92"/>
      <c r="D362" s="93"/>
      <c r="K362" s="92"/>
      <c r="M362" s="93"/>
      <c r="BC362" s="91"/>
      <c r="BE362" s="94"/>
      <c r="BF362" s="94"/>
    </row>
    <row r="363" spans="2:58" ht="20.100000000000001" customHeight="1" x14ac:dyDescent="0.2">
      <c r="B363" s="92"/>
      <c r="D363" s="93"/>
      <c r="K363" s="92"/>
      <c r="M363" s="93"/>
      <c r="BC363" s="91"/>
      <c r="BE363" s="94"/>
      <c r="BF363" s="94"/>
    </row>
    <row r="364" spans="2:58" ht="20.100000000000001" customHeight="1" x14ac:dyDescent="0.2">
      <c r="B364" s="92"/>
      <c r="D364" s="93"/>
      <c r="K364" s="92"/>
      <c r="M364" s="93"/>
      <c r="BC364" s="91"/>
      <c r="BE364" s="94"/>
      <c r="BF364" s="94"/>
    </row>
    <row r="365" spans="2:58" ht="20.100000000000001" customHeight="1" x14ac:dyDescent="0.2">
      <c r="B365" s="92"/>
      <c r="D365" s="93"/>
      <c r="K365" s="92"/>
      <c r="M365" s="93"/>
      <c r="BC365" s="91"/>
      <c r="BE365" s="94"/>
      <c r="BF365" s="94"/>
    </row>
    <row r="366" spans="2:58" ht="20.100000000000001" customHeight="1" x14ac:dyDescent="0.2">
      <c r="B366" s="92"/>
      <c r="D366" s="93"/>
      <c r="K366" s="92"/>
      <c r="M366" s="93"/>
      <c r="BC366" s="91"/>
      <c r="BE366" s="94"/>
      <c r="BF366" s="94"/>
    </row>
    <row r="367" spans="2:58" ht="20.100000000000001" customHeight="1" x14ac:dyDescent="0.2">
      <c r="B367" s="92"/>
      <c r="D367" s="93"/>
      <c r="K367" s="92"/>
      <c r="M367" s="93"/>
      <c r="BC367" s="91"/>
      <c r="BE367" s="94"/>
      <c r="BF367" s="94"/>
    </row>
    <row r="368" spans="2:58" ht="20.100000000000001" customHeight="1" x14ac:dyDescent="0.2">
      <c r="B368" s="92"/>
      <c r="D368" s="93"/>
      <c r="K368" s="92"/>
      <c r="M368" s="93"/>
      <c r="BC368" s="91"/>
      <c r="BE368" s="94"/>
      <c r="BF368" s="94"/>
    </row>
    <row r="369" spans="2:58" ht="20.100000000000001" customHeight="1" x14ac:dyDescent="0.2">
      <c r="B369" s="92"/>
      <c r="D369" s="93"/>
      <c r="K369" s="92"/>
      <c r="M369" s="93"/>
      <c r="BC369" s="91"/>
      <c r="BE369" s="94"/>
      <c r="BF369" s="94"/>
    </row>
    <row r="370" spans="2:58" ht="20.100000000000001" customHeight="1" x14ac:dyDescent="0.2">
      <c r="B370" s="92"/>
      <c r="D370" s="93"/>
      <c r="K370" s="92"/>
      <c r="M370" s="93"/>
      <c r="BC370" s="91"/>
      <c r="BE370" s="94"/>
      <c r="BF370" s="94"/>
    </row>
    <row r="371" spans="2:58" ht="20.100000000000001" customHeight="1" x14ac:dyDescent="0.2">
      <c r="B371" s="92"/>
      <c r="D371" s="93"/>
      <c r="K371" s="92"/>
      <c r="M371" s="93"/>
      <c r="BC371" s="91"/>
      <c r="BE371" s="94"/>
      <c r="BF371" s="94"/>
    </row>
    <row r="372" spans="2:58" ht="20.100000000000001" customHeight="1" x14ac:dyDescent="0.2">
      <c r="B372" s="92"/>
      <c r="D372" s="93"/>
      <c r="K372" s="92"/>
      <c r="M372" s="93"/>
      <c r="BC372" s="91"/>
      <c r="BE372" s="94"/>
      <c r="BF372" s="94"/>
    </row>
    <row r="373" spans="2:58" ht="20.100000000000001" customHeight="1" x14ac:dyDescent="0.2">
      <c r="B373" s="92"/>
      <c r="D373" s="93"/>
      <c r="K373" s="92"/>
      <c r="M373" s="93"/>
      <c r="BC373" s="91"/>
      <c r="BE373" s="94"/>
      <c r="BF373" s="94"/>
    </row>
    <row r="374" spans="2:58" ht="20.100000000000001" customHeight="1" x14ac:dyDescent="0.2">
      <c r="B374" s="92"/>
      <c r="D374" s="93"/>
      <c r="K374" s="92"/>
      <c r="M374" s="93"/>
      <c r="BC374" s="91"/>
      <c r="BE374" s="94"/>
      <c r="BF374" s="94"/>
    </row>
    <row r="375" spans="2:58" ht="20.100000000000001" customHeight="1" x14ac:dyDescent="0.2">
      <c r="B375" s="92"/>
      <c r="D375" s="93"/>
      <c r="K375" s="92"/>
      <c r="M375" s="93"/>
      <c r="BC375" s="91"/>
      <c r="BE375" s="94"/>
      <c r="BF375" s="94"/>
    </row>
    <row r="376" spans="2:58" ht="20.100000000000001" customHeight="1" x14ac:dyDescent="0.2">
      <c r="B376" s="92"/>
      <c r="D376" s="93"/>
      <c r="K376" s="92"/>
      <c r="M376" s="93"/>
      <c r="BC376" s="91"/>
      <c r="BE376" s="94"/>
      <c r="BF376" s="94"/>
    </row>
    <row r="377" spans="2:58" ht="20.100000000000001" customHeight="1" x14ac:dyDescent="0.2">
      <c r="B377" s="92"/>
      <c r="D377" s="93"/>
      <c r="K377" s="92"/>
      <c r="M377" s="93"/>
      <c r="BC377" s="91"/>
      <c r="BE377" s="94"/>
      <c r="BF377" s="94"/>
    </row>
    <row r="378" spans="2:58" ht="20.100000000000001" customHeight="1" x14ac:dyDescent="0.2">
      <c r="B378" s="92"/>
      <c r="D378" s="93"/>
      <c r="K378" s="92"/>
      <c r="M378" s="93"/>
      <c r="BC378" s="91"/>
      <c r="BE378" s="94"/>
      <c r="BF378" s="94"/>
    </row>
    <row r="379" spans="2:58" ht="20.100000000000001" customHeight="1" x14ac:dyDescent="0.2">
      <c r="B379" s="92"/>
      <c r="D379" s="93"/>
      <c r="K379" s="92"/>
      <c r="M379" s="93"/>
      <c r="BC379" s="91"/>
      <c r="BE379" s="94"/>
      <c r="BF379" s="94"/>
    </row>
    <row r="380" spans="2:58" ht="20.100000000000001" customHeight="1" x14ac:dyDescent="0.2">
      <c r="B380" s="92"/>
      <c r="D380" s="93"/>
      <c r="K380" s="92"/>
      <c r="M380" s="93"/>
      <c r="BC380" s="91"/>
      <c r="BE380" s="94"/>
      <c r="BF380" s="94"/>
    </row>
    <row r="381" spans="2:58" ht="20.100000000000001" customHeight="1" x14ac:dyDescent="0.2">
      <c r="B381" s="92"/>
      <c r="D381" s="93"/>
      <c r="K381" s="92"/>
      <c r="M381" s="93"/>
      <c r="BC381" s="91"/>
      <c r="BE381" s="94"/>
      <c r="BF381" s="94"/>
    </row>
    <row r="382" spans="2:58" ht="20.100000000000001" customHeight="1" x14ac:dyDescent="0.2">
      <c r="B382" s="92"/>
      <c r="D382" s="93"/>
      <c r="K382" s="92"/>
      <c r="M382" s="93"/>
      <c r="BC382" s="91"/>
      <c r="BE382" s="94"/>
      <c r="BF382" s="94"/>
    </row>
    <row r="383" spans="2:58" ht="20.100000000000001" customHeight="1" x14ac:dyDescent="0.2">
      <c r="B383" s="92"/>
      <c r="D383" s="93"/>
      <c r="K383" s="92"/>
      <c r="M383" s="93"/>
      <c r="BC383" s="91"/>
      <c r="BE383" s="94"/>
      <c r="BF383" s="94"/>
    </row>
    <row r="384" spans="2:58" ht="20.100000000000001" customHeight="1" x14ac:dyDescent="0.2">
      <c r="B384" s="92"/>
      <c r="D384" s="93"/>
      <c r="K384" s="92"/>
      <c r="M384" s="93"/>
      <c r="BC384" s="91"/>
      <c r="BE384" s="94"/>
      <c r="BF384" s="94"/>
    </row>
    <row r="385" spans="2:58" ht="20.100000000000001" customHeight="1" x14ac:dyDescent="0.2">
      <c r="B385" s="92"/>
      <c r="D385" s="93"/>
      <c r="K385" s="92"/>
      <c r="M385" s="93"/>
      <c r="BC385" s="91"/>
      <c r="BE385" s="94"/>
      <c r="BF385" s="94"/>
    </row>
    <row r="386" spans="2:58" ht="20.100000000000001" customHeight="1" x14ac:dyDescent="0.2">
      <c r="B386" s="92"/>
      <c r="D386" s="93"/>
      <c r="K386" s="92"/>
      <c r="M386" s="93"/>
      <c r="BC386" s="91"/>
      <c r="BE386" s="94"/>
      <c r="BF386" s="94"/>
    </row>
    <row r="387" spans="2:58" ht="20.100000000000001" customHeight="1" x14ac:dyDescent="0.2">
      <c r="B387" s="92"/>
      <c r="D387" s="93"/>
      <c r="K387" s="92"/>
      <c r="M387" s="93"/>
      <c r="BC387" s="91"/>
      <c r="BE387" s="94"/>
      <c r="BF387" s="94"/>
    </row>
    <row r="388" spans="2:58" ht="20.100000000000001" customHeight="1" x14ac:dyDescent="0.2">
      <c r="B388" s="92"/>
      <c r="D388" s="93"/>
      <c r="K388" s="92"/>
      <c r="M388" s="93"/>
      <c r="BC388" s="91"/>
      <c r="BE388" s="94"/>
      <c r="BF388" s="94"/>
    </row>
    <row r="389" spans="2:58" ht="20.100000000000001" customHeight="1" x14ac:dyDescent="0.2">
      <c r="B389" s="92"/>
      <c r="D389" s="93"/>
      <c r="K389" s="92"/>
      <c r="M389" s="93"/>
      <c r="BC389" s="91"/>
      <c r="BE389" s="94"/>
      <c r="BF389" s="94"/>
    </row>
    <row r="390" spans="2:58" ht="20.100000000000001" customHeight="1" x14ac:dyDescent="0.2">
      <c r="B390" s="92"/>
      <c r="D390" s="93"/>
      <c r="K390" s="92"/>
      <c r="M390" s="93"/>
      <c r="BC390" s="91"/>
      <c r="BE390" s="94"/>
      <c r="BF390" s="94"/>
    </row>
    <row r="391" spans="2:58" ht="20.100000000000001" customHeight="1" x14ac:dyDescent="0.2">
      <c r="B391" s="92"/>
      <c r="D391" s="93"/>
      <c r="K391" s="92"/>
      <c r="M391" s="93"/>
      <c r="BC391" s="91"/>
      <c r="BE391" s="94"/>
      <c r="BF391" s="94"/>
    </row>
    <row r="392" spans="2:58" ht="20.100000000000001" customHeight="1" x14ac:dyDescent="0.2">
      <c r="B392" s="92"/>
      <c r="D392" s="93"/>
      <c r="K392" s="92"/>
      <c r="M392" s="93"/>
      <c r="BC392" s="91"/>
      <c r="BE392" s="94"/>
      <c r="BF392" s="94"/>
    </row>
    <row r="393" spans="2:58" ht="20.100000000000001" customHeight="1" x14ac:dyDescent="0.2">
      <c r="B393" s="92"/>
      <c r="D393" s="93"/>
      <c r="K393" s="92"/>
      <c r="M393" s="93"/>
      <c r="BC393" s="91"/>
      <c r="BE393" s="94"/>
      <c r="BF393" s="94"/>
    </row>
    <row r="394" spans="2:58" ht="20.100000000000001" customHeight="1" x14ac:dyDescent="0.2">
      <c r="B394" s="92"/>
      <c r="D394" s="93"/>
      <c r="K394" s="92"/>
      <c r="M394" s="93"/>
      <c r="BC394" s="91"/>
      <c r="BE394" s="94"/>
      <c r="BF394" s="94"/>
    </row>
    <row r="395" spans="2:58" ht="20.100000000000001" customHeight="1" x14ac:dyDescent="0.2">
      <c r="B395" s="92"/>
      <c r="D395" s="93"/>
      <c r="K395" s="92"/>
      <c r="M395" s="93"/>
      <c r="BC395" s="91"/>
      <c r="BE395" s="94"/>
      <c r="BF395" s="94"/>
    </row>
    <row r="396" spans="2:58" ht="20.100000000000001" customHeight="1" x14ac:dyDescent="0.2">
      <c r="B396" s="92"/>
      <c r="D396" s="93"/>
      <c r="K396" s="92"/>
      <c r="M396" s="93"/>
      <c r="BC396" s="91"/>
      <c r="BE396" s="94"/>
      <c r="BF396" s="94"/>
    </row>
    <row r="397" spans="2:58" ht="20.100000000000001" customHeight="1" x14ac:dyDescent="0.2">
      <c r="B397" s="92"/>
      <c r="D397" s="93"/>
      <c r="K397" s="92"/>
      <c r="M397" s="93"/>
      <c r="BC397" s="91"/>
      <c r="BE397" s="94"/>
      <c r="BF397" s="94"/>
    </row>
    <row r="398" spans="2:58" ht="20.100000000000001" customHeight="1" x14ac:dyDescent="0.2">
      <c r="B398" s="92"/>
      <c r="D398" s="93"/>
      <c r="K398" s="92"/>
      <c r="M398" s="93"/>
      <c r="BC398" s="91"/>
      <c r="BE398" s="94"/>
      <c r="BF398" s="94"/>
    </row>
    <row r="399" spans="2:58" ht="20.100000000000001" customHeight="1" x14ac:dyDescent="0.2">
      <c r="B399" s="92"/>
      <c r="D399" s="93"/>
      <c r="K399" s="92"/>
      <c r="M399" s="93"/>
      <c r="BC399" s="91"/>
      <c r="BE399" s="94"/>
      <c r="BF399" s="94"/>
    </row>
    <row r="400" spans="2:58" ht="20.100000000000001" customHeight="1" x14ac:dyDescent="0.2">
      <c r="B400" s="92"/>
      <c r="D400" s="93"/>
      <c r="K400" s="92"/>
      <c r="M400" s="93"/>
      <c r="BC400" s="91"/>
      <c r="BE400" s="94"/>
      <c r="BF400" s="94"/>
    </row>
    <row r="401" spans="2:58" ht="20.100000000000001" customHeight="1" x14ac:dyDescent="0.2">
      <c r="B401" s="92"/>
      <c r="D401" s="93"/>
      <c r="K401" s="92"/>
      <c r="M401" s="93"/>
      <c r="BC401" s="91"/>
      <c r="BE401" s="94"/>
      <c r="BF401" s="94"/>
    </row>
    <row r="402" spans="2:58" ht="20.100000000000001" customHeight="1" x14ac:dyDescent="0.2">
      <c r="B402" s="92"/>
      <c r="D402" s="93"/>
      <c r="K402" s="92"/>
      <c r="M402" s="93"/>
      <c r="BC402" s="91"/>
      <c r="BE402" s="94"/>
      <c r="BF402" s="94"/>
    </row>
    <row r="403" spans="2:58" ht="20.100000000000001" customHeight="1" x14ac:dyDescent="0.2">
      <c r="B403" s="92"/>
      <c r="D403" s="93"/>
      <c r="K403" s="92"/>
      <c r="M403" s="93"/>
      <c r="BC403" s="91"/>
      <c r="BE403" s="94"/>
      <c r="BF403" s="94"/>
    </row>
    <row r="404" spans="2:58" ht="20.100000000000001" customHeight="1" x14ac:dyDescent="0.2">
      <c r="B404" s="92"/>
      <c r="D404" s="93"/>
      <c r="K404" s="92"/>
      <c r="M404" s="93"/>
      <c r="BC404" s="91"/>
      <c r="BE404" s="94"/>
      <c r="BF404" s="94"/>
    </row>
    <row r="405" spans="2:58" ht="20.100000000000001" customHeight="1" x14ac:dyDescent="0.2">
      <c r="B405" s="92"/>
      <c r="D405" s="93"/>
      <c r="K405" s="92"/>
      <c r="M405" s="93"/>
      <c r="BC405" s="91"/>
      <c r="BE405" s="94"/>
      <c r="BF405" s="94"/>
    </row>
    <row r="406" spans="2:58" ht="20.100000000000001" customHeight="1" x14ac:dyDescent="0.2">
      <c r="B406" s="92"/>
      <c r="D406" s="93"/>
      <c r="K406" s="92"/>
      <c r="M406" s="93"/>
      <c r="BC406" s="91"/>
      <c r="BE406" s="94"/>
      <c r="BF406" s="94"/>
    </row>
    <row r="407" spans="2:58" ht="20.100000000000001" customHeight="1" x14ac:dyDescent="0.2">
      <c r="B407" s="92"/>
      <c r="D407" s="93"/>
      <c r="K407" s="92"/>
      <c r="M407" s="93"/>
      <c r="BC407" s="91"/>
      <c r="BE407" s="94"/>
      <c r="BF407" s="94"/>
    </row>
    <row r="408" spans="2:58" ht="20.100000000000001" customHeight="1" x14ac:dyDescent="0.2">
      <c r="B408" s="92"/>
      <c r="D408" s="93"/>
      <c r="K408" s="92"/>
      <c r="M408" s="93"/>
      <c r="BC408" s="91"/>
      <c r="BE408" s="94"/>
      <c r="BF408" s="94"/>
    </row>
    <row r="409" spans="2:58" ht="20.100000000000001" customHeight="1" x14ac:dyDescent="0.2">
      <c r="B409" s="92"/>
      <c r="D409" s="93"/>
      <c r="K409" s="92"/>
      <c r="M409" s="93"/>
      <c r="BC409" s="91"/>
      <c r="BE409" s="94"/>
      <c r="BF409" s="94"/>
    </row>
    <row r="410" spans="2:58" ht="20.100000000000001" customHeight="1" x14ac:dyDescent="0.2">
      <c r="B410" s="92"/>
      <c r="D410" s="93"/>
      <c r="K410" s="92"/>
      <c r="M410" s="93"/>
      <c r="BC410" s="91"/>
      <c r="BE410" s="94"/>
      <c r="BF410" s="94"/>
    </row>
    <row r="411" spans="2:58" ht="20.100000000000001" customHeight="1" x14ac:dyDescent="0.2">
      <c r="B411" s="92"/>
      <c r="D411" s="93"/>
      <c r="K411" s="92"/>
      <c r="M411" s="93"/>
      <c r="BC411" s="91"/>
      <c r="BE411" s="94"/>
      <c r="BF411" s="94"/>
    </row>
    <row r="412" spans="2:58" ht="20.100000000000001" customHeight="1" x14ac:dyDescent="0.2">
      <c r="B412" s="92"/>
      <c r="D412" s="93"/>
      <c r="K412" s="92"/>
      <c r="M412" s="93"/>
      <c r="BC412" s="91"/>
      <c r="BE412" s="94"/>
      <c r="BF412" s="94"/>
    </row>
    <row r="413" spans="2:58" ht="20.100000000000001" customHeight="1" x14ac:dyDescent="0.2">
      <c r="B413" s="92"/>
      <c r="D413" s="93"/>
      <c r="K413" s="92"/>
      <c r="M413" s="93"/>
      <c r="BC413" s="91"/>
      <c r="BE413" s="94"/>
      <c r="BF413" s="94"/>
    </row>
    <row r="414" spans="2:58" ht="20.100000000000001" customHeight="1" x14ac:dyDescent="0.2">
      <c r="B414" s="92"/>
      <c r="D414" s="93"/>
      <c r="K414" s="92"/>
      <c r="M414" s="93"/>
      <c r="BC414" s="91"/>
      <c r="BE414" s="94"/>
      <c r="BF414" s="94"/>
    </row>
    <row r="415" spans="2:58" ht="20.100000000000001" customHeight="1" x14ac:dyDescent="0.2">
      <c r="B415" s="92"/>
      <c r="D415" s="93"/>
      <c r="K415" s="92"/>
      <c r="M415" s="93"/>
      <c r="BC415" s="91"/>
      <c r="BE415" s="94"/>
      <c r="BF415" s="94"/>
    </row>
    <row r="416" spans="2:58" ht="20.100000000000001" customHeight="1" x14ac:dyDescent="0.2">
      <c r="B416" s="92"/>
      <c r="D416" s="93"/>
      <c r="K416" s="92"/>
      <c r="M416" s="93"/>
      <c r="BC416" s="91"/>
      <c r="BE416" s="94"/>
      <c r="BF416" s="94"/>
    </row>
    <row r="417" spans="2:58" ht="20.100000000000001" customHeight="1" x14ac:dyDescent="0.2">
      <c r="B417" s="92"/>
      <c r="D417" s="93"/>
      <c r="K417" s="92"/>
      <c r="M417" s="93"/>
      <c r="BC417" s="91"/>
      <c r="BE417" s="94"/>
      <c r="BF417" s="94"/>
    </row>
    <row r="418" spans="2:58" ht="20.100000000000001" customHeight="1" x14ac:dyDescent="0.2">
      <c r="B418" s="92"/>
      <c r="D418" s="93"/>
      <c r="K418" s="92"/>
      <c r="M418" s="93"/>
      <c r="BC418" s="91"/>
      <c r="BE418" s="94"/>
      <c r="BF418" s="94"/>
    </row>
    <row r="419" spans="2:58" ht="20.100000000000001" customHeight="1" x14ac:dyDescent="0.2">
      <c r="B419" s="92"/>
      <c r="D419" s="93"/>
      <c r="K419" s="92"/>
      <c r="M419" s="93"/>
      <c r="BC419" s="91"/>
      <c r="BE419" s="94"/>
      <c r="BF419" s="94"/>
    </row>
    <row r="420" spans="2:58" ht="20.100000000000001" customHeight="1" x14ac:dyDescent="0.2">
      <c r="B420" s="92"/>
      <c r="D420" s="93"/>
      <c r="K420" s="92"/>
      <c r="M420" s="93"/>
      <c r="BC420" s="91"/>
      <c r="BE420" s="94"/>
      <c r="BF420" s="94"/>
    </row>
    <row r="421" spans="2:58" ht="20.100000000000001" customHeight="1" x14ac:dyDescent="0.2">
      <c r="B421" s="92"/>
      <c r="D421" s="93"/>
      <c r="K421" s="92"/>
      <c r="M421" s="93"/>
      <c r="BC421" s="91"/>
      <c r="BE421" s="94"/>
      <c r="BF421" s="94"/>
    </row>
    <row r="422" spans="2:58" ht="20.100000000000001" customHeight="1" x14ac:dyDescent="0.2">
      <c r="B422" s="92"/>
      <c r="D422" s="93"/>
      <c r="K422" s="92"/>
      <c r="M422" s="93"/>
      <c r="BC422" s="91"/>
      <c r="BE422" s="94"/>
      <c r="BF422" s="94"/>
    </row>
    <row r="423" spans="2:58" ht="20.100000000000001" customHeight="1" x14ac:dyDescent="0.2">
      <c r="B423" s="92"/>
      <c r="D423" s="93"/>
      <c r="K423" s="92"/>
      <c r="M423" s="93"/>
      <c r="BC423" s="91"/>
      <c r="BE423" s="94"/>
      <c r="BF423" s="94"/>
    </row>
    <row r="424" spans="2:58" ht="20.100000000000001" customHeight="1" x14ac:dyDescent="0.2">
      <c r="B424" s="92"/>
      <c r="D424" s="93"/>
      <c r="K424" s="92"/>
      <c r="M424" s="93"/>
      <c r="BC424" s="91"/>
      <c r="BE424" s="94"/>
      <c r="BF424" s="94"/>
    </row>
    <row r="425" spans="2:58" ht="20.100000000000001" customHeight="1" x14ac:dyDescent="0.2">
      <c r="B425" s="92"/>
      <c r="D425" s="93"/>
      <c r="K425" s="92"/>
      <c r="M425" s="93"/>
      <c r="BC425" s="91"/>
      <c r="BE425" s="94"/>
      <c r="BF425" s="94"/>
    </row>
    <row r="426" spans="2:58" ht="20.100000000000001" customHeight="1" x14ac:dyDescent="0.2">
      <c r="B426" s="92"/>
      <c r="D426" s="93"/>
      <c r="K426" s="92"/>
      <c r="M426" s="93"/>
      <c r="BC426" s="91"/>
      <c r="BE426" s="94"/>
      <c r="BF426" s="94"/>
    </row>
    <row r="427" spans="2:58" ht="20.100000000000001" customHeight="1" x14ac:dyDescent="0.2">
      <c r="B427" s="92"/>
      <c r="D427" s="93"/>
      <c r="K427" s="92"/>
      <c r="M427" s="93"/>
      <c r="BC427" s="91"/>
      <c r="BE427" s="94"/>
      <c r="BF427" s="94"/>
    </row>
    <row r="428" spans="2:58" ht="20.100000000000001" customHeight="1" x14ac:dyDescent="0.2">
      <c r="B428" s="92"/>
      <c r="D428" s="93"/>
      <c r="K428" s="92"/>
      <c r="M428" s="93"/>
      <c r="BC428" s="91"/>
      <c r="BE428" s="94"/>
      <c r="BF428" s="94"/>
    </row>
    <row r="429" spans="2:58" ht="20.100000000000001" customHeight="1" x14ac:dyDescent="0.2">
      <c r="B429" s="92"/>
      <c r="D429" s="93"/>
      <c r="K429" s="92"/>
      <c r="M429" s="93"/>
      <c r="BC429" s="91"/>
      <c r="BE429" s="94"/>
      <c r="BF429" s="94"/>
    </row>
    <row r="430" spans="2:58" ht="20.100000000000001" customHeight="1" x14ac:dyDescent="0.2">
      <c r="B430" s="92"/>
      <c r="D430" s="93"/>
      <c r="K430" s="92"/>
      <c r="M430" s="93"/>
      <c r="BC430" s="91"/>
      <c r="BE430" s="94"/>
      <c r="BF430" s="94"/>
    </row>
    <row r="431" spans="2:58" ht="20.100000000000001" customHeight="1" x14ac:dyDescent="0.2">
      <c r="B431" s="92"/>
      <c r="D431" s="93"/>
      <c r="K431" s="92"/>
      <c r="M431" s="93"/>
      <c r="BC431" s="91"/>
      <c r="BE431" s="94"/>
      <c r="BF431" s="94"/>
    </row>
    <row r="432" spans="2:58" ht="20.100000000000001" customHeight="1" x14ac:dyDescent="0.2">
      <c r="B432" s="92"/>
      <c r="D432" s="93"/>
      <c r="K432" s="92"/>
      <c r="M432" s="93"/>
      <c r="BC432" s="91"/>
      <c r="BE432" s="94"/>
      <c r="BF432" s="94"/>
    </row>
    <row r="433" spans="2:58" ht="20.100000000000001" customHeight="1" x14ac:dyDescent="0.2">
      <c r="B433" s="92"/>
      <c r="D433" s="93"/>
      <c r="K433" s="92"/>
      <c r="M433" s="93"/>
      <c r="BC433" s="91"/>
      <c r="BE433" s="94"/>
      <c r="BF433" s="94"/>
    </row>
    <row r="434" spans="2:58" ht="20.100000000000001" customHeight="1" x14ac:dyDescent="0.2">
      <c r="B434" s="92"/>
      <c r="D434" s="93"/>
      <c r="K434" s="92"/>
      <c r="M434" s="93"/>
      <c r="BC434" s="91"/>
      <c r="BE434" s="94"/>
      <c r="BF434" s="94"/>
    </row>
    <row r="435" spans="2:58" ht="20.100000000000001" customHeight="1" x14ac:dyDescent="0.2">
      <c r="B435" s="92"/>
      <c r="D435" s="93"/>
      <c r="K435" s="92"/>
      <c r="M435" s="93"/>
      <c r="BC435" s="91"/>
      <c r="BE435" s="94"/>
      <c r="BF435" s="94"/>
    </row>
    <row r="436" spans="2:58" ht="20.100000000000001" customHeight="1" x14ac:dyDescent="0.2">
      <c r="B436" s="92"/>
      <c r="D436" s="93"/>
      <c r="K436" s="92"/>
      <c r="M436" s="93"/>
      <c r="BC436" s="91"/>
      <c r="BE436" s="94"/>
      <c r="BF436" s="94"/>
    </row>
    <row r="437" spans="2:58" ht="20.100000000000001" customHeight="1" x14ac:dyDescent="0.2">
      <c r="B437" s="92"/>
      <c r="D437" s="93"/>
      <c r="K437" s="92"/>
      <c r="M437" s="93"/>
      <c r="BC437" s="91"/>
      <c r="BE437" s="94"/>
      <c r="BF437" s="94"/>
    </row>
    <row r="438" spans="2:58" ht="20.100000000000001" customHeight="1" x14ac:dyDescent="0.2">
      <c r="B438" s="92"/>
      <c r="D438" s="93"/>
      <c r="K438" s="92"/>
      <c r="M438" s="93"/>
      <c r="BC438" s="91"/>
      <c r="BE438" s="94"/>
      <c r="BF438" s="94"/>
    </row>
    <row r="439" spans="2:58" ht="20.100000000000001" customHeight="1" x14ac:dyDescent="0.2">
      <c r="B439" s="92"/>
      <c r="D439" s="93"/>
      <c r="K439" s="92"/>
      <c r="M439" s="93"/>
      <c r="BC439" s="91"/>
      <c r="BE439" s="94"/>
      <c r="BF439" s="94"/>
    </row>
    <row r="440" spans="2:58" ht="20.100000000000001" customHeight="1" x14ac:dyDescent="0.2">
      <c r="B440" s="92"/>
      <c r="D440" s="93"/>
      <c r="K440" s="92"/>
      <c r="M440" s="93"/>
      <c r="BC440" s="91"/>
      <c r="BE440" s="94"/>
      <c r="BF440" s="94"/>
    </row>
    <row r="441" spans="2:58" ht="20.100000000000001" customHeight="1" x14ac:dyDescent="0.2">
      <c r="B441" s="92"/>
      <c r="D441" s="93"/>
      <c r="K441" s="92"/>
      <c r="M441" s="93"/>
      <c r="BC441" s="91"/>
      <c r="BE441" s="94"/>
      <c r="BF441" s="94"/>
    </row>
    <row r="442" spans="2:58" ht="20.100000000000001" customHeight="1" x14ac:dyDescent="0.2">
      <c r="B442" s="92"/>
      <c r="D442" s="93"/>
      <c r="K442" s="92"/>
      <c r="M442" s="93"/>
      <c r="BC442" s="91"/>
      <c r="BE442" s="94"/>
      <c r="BF442" s="94"/>
    </row>
    <row r="443" spans="2:58" ht="20.100000000000001" customHeight="1" x14ac:dyDescent="0.2">
      <c r="B443" s="92"/>
      <c r="D443" s="93"/>
      <c r="K443" s="92"/>
      <c r="M443" s="93"/>
      <c r="BC443" s="91"/>
      <c r="BE443" s="94"/>
      <c r="BF443" s="94"/>
    </row>
    <row r="444" spans="2:58" ht="20.100000000000001" customHeight="1" x14ac:dyDescent="0.2">
      <c r="B444" s="92"/>
      <c r="D444" s="93"/>
      <c r="K444" s="92"/>
      <c r="M444" s="93"/>
      <c r="BC444" s="91"/>
      <c r="BE444" s="94"/>
      <c r="BF444" s="94"/>
    </row>
    <row r="445" spans="2:58" ht="20.100000000000001" customHeight="1" x14ac:dyDescent="0.2">
      <c r="B445" s="92"/>
      <c r="D445" s="93"/>
      <c r="K445" s="92"/>
      <c r="M445" s="93"/>
      <c r="BC445" s="91"/>
      <c r="BE445" s="94"/>
      <c r="BF445" s="94"/>
    </row>
    <row r="446" spans="2:58" ht="20.100000000000001" customHeight="1" x14ac:dyDescent="0.2">
      <c r="B446" s="92"/>
      <c r="D446" s="93"/>
      <c r="K446" s="92"/>
      <c r="M446" s="93"/>
      <c r="BC446" s="91"/>
      <c r="BE446" s="94"/>
      <c r="BF446" s="94"/>
    </row>
    <row r="447" spans="2:58" ht="20.100000000000001" customHeight="1" x14ac:dyDescent="0.2">
      <c r="B447" s="92"/>
      <c r="D447" s="93"/>
      <c r="K447" s="92"/>
      <c r="M447" s="93"/>
      <c r="BC447" s="91"/>
      <c r="BE447" s="94"/>
      <c r="BF447" s="94"/>
    </row>
    <row r="448" spans="2:58" ht="20.100000000000001" customHeight="1" x14ac:dyDescent="0.2">
      <c r="B448" s="92"/>
      <c r="D448" s="93"/>
      <c r="K448" s="92"/>
      <c r="M448" s="93"/>
      <c r="BC448" s="91"/>
      <c r="BE448" s="94"/>
      <c r="BF448" s="94"/>
    </row>
    <row r="449" spans="2:58" ht="20.100000000000001" customHeight="1" x14ac:dyDescent="0.2">
      <c r="B449" s="92"/>
      <c r="D449" s="93"/>
      <c r="K449" s="92"/>
      <c r="M449" s="93"/>
      <c r="BC449" s="91"/>
      <c r="BE449" s="94"/>
      <c r="BF449" s="94"/>
    </row>
    <row r="450" spans="2:58" ht="20.100000000000001" customHeight="1" x14ac:dyDescent="0.2">
      <c r="B450" s="92"/>
      <c r="D450" s="93"/>
      <c r="K450" s="92"/>
      <c r="M450" s="93"/>
      <c r="BC450" s="91"/>
      <c r="BE450" s="94"/>
      <c r="BF450" s="94"/>
    </row>
    <row r="451" spans="2:58" ht="20.100000000000001" customHeight="1" x14ac:dyDescent="0.2">
      <c r="B451" s="92"/>
      <c r="D451" s="93"/>
      <c r="K451" s="92"/>
      <c r="M451" s="93"/>
      <c r="BC451" s="91"/>
      <c r="BE451" s="94"/>
      <c r="BF451" s="94"/>
    </row>
    <row r="452" spans="2:58" ht="20.100000000000001" customHeight="1" x14ac:dyDescent="0.2">
      <c r="B452" s="92"/>
      <c r="D452" s="93"/>
      <c r="K452" s="92"/>
      <c r="M452" s="93"/>
      <c r="BC452" s="91"/>
      <c r="BE452" s="94"/>
      <c r="BF452" s="94"/>
    </row>
    <row r="453" spans="2:58" ht="20.100000000000001" customHeight="1" x14ac:dyDescent="0.2">
      <c r="B453" s="92"/>
      <c r="D453" s="93"/>
      <c r="K453" s="92"/>
      <c r="M453" s="93"/>
      <c r="BC453" s="91"/>
      <c r="BE453" s="94"/>
      <c r="BF453" s="94"/>
    </row>
    <row r="454" spans="2:58" ht="20.100000000000001" customHeight="1" x14ac:dyDescent="0.2">
      <c r="B454" s="92"/>
      <c r="D454" s="93"/>
      <c r="K454" s="92"/>
      <c r="M454" s="93"/>
      <c r="BC454" s="91"/>
      <c r="BE454" s="94"/>
      <c r="BF454" s="94"/>
    </row>
    <row r="455" spans="2:58" ht="20.100000000000001" customHeight="1" x14ac:dyDescent="0.2">
      <c r="B455" s="92"/>
      <c r="D455" s="93"/>
      <c r="K455" s="92"/>
      <c r="M455" s="93"/>
      <c r="BC455" s="91"/>
      <c r="BE455" s="94"/>
      <c r="BF455" s="94"/>
    </row>
    <row r="456" spans="2:58" ht="20.100000000000001" customHeight="1" x14ac:dyDescent="0.2">
      <c r="B456" s="92"/>
      <c r="D456" s="93"/>
      <c r="K456" s="92"/>
      <c r="M456" s="93"/>
      <c r="BC456" s="91"/>
      <c r="BE456" s="94"/>
      <c r="BF456" s="94"/>
    </row>
    <row r="457" spans="2:58" ht="20.100000000000001" customHeight="1" x14ac:dyDescent="0.2">
      <c r="B457" s="92"/>
      <c r="D457" s="93"/>
      <c r="K457" s="92"/>
      <c r="M457" s="93"/>
      <c r="BC457" s="91"/>
      <c r="BE457" s="94"/>
      <c r="BF457" s="94"/>
    </row>
    <row r="458" spans="2:58" ht="20.100000000000001" customHeight="1" x14ac:dyDescent="0.2">
      <c r="B458" s="92"/>
      <c r="D458" s="93"/>
      <c r="K458" s="92"/>
      <c r="M458" s="93"/>
      <c r="BC458" s="91"/>
      <c r="BE458" s="94"/>
      <c r="BF458" s="94"/>
    </row>
    <row r="459" spans="2:58" ht="20.100000000000001" customHeight="1" x14ac:dyDescent="0.2">
      <c r="B459" s="92"/>
      <c r="D459" s="93"/>
      <c r="K459" s="92"/>
      <c r="M459" s="93"/>
      <c r="BC459" s="91"/>
      <c r="BE459" s="94"/>
      <c r="BF459" s="94"/>
    </row>
    <row r="460" spans="2:58" ht="20.100000000000001" customHeight="1" x14ac:dyDescent="0.2">
      <c r="B460" s="92"/>
      <c r="D460" s="93"/>
      <c r="K460" s="92"/>
      <c r="M460" s="93"/>
      <c r="BC460" s="91"/>
      <c r="BE460" s="94"/>
      <c r="BF460" s="94"/>
    </row>
    <row r="461" spans="2:58" ht="20.100000000000001" customHeight="1" x14ac:dyDescent="0.2">
      <c r="B461" s="92"/>
      <c r="D461" s="93"/>
      <c r="K461" s="92"/>
      <c r="M461" s="93"/>
      <c r="BC461" s="91"/>
      <c r="BE461" s="94"/>
      <c r="BF461" s="94"/>
    </row>
    <row r="462" spans="2:58" ht="20.100000000000001" customHeight="1" x14ac:dyDescent="0.2">
      <c r="B462" s="92"/>
      <c r="D462" s="93"/>
      <c r="K462" s="92"/>
      <c r="M462" s="93"/>
      <c r="BC462" s="91"/>
      <c r="BE462" s="94"/>
      <c r="BF462" s="94"/>
    </row>
    <row r="463" spans="2:58" ht="20.100000000000001" customHeight="1" x14ac:dyDescent="0.2">
      <c r="B463" s="92"/>
      <c r="D463" s="93"/>
      <c r="K463" s="92"/>
      <c r="M463" s="93"/>
      <c r="BC463" s="91"/>
      <c r="BE463" s="94"/>
      <c r="BF463" s="94"/>
    </row>
    <row r="464" spans="2:58" ht="20.100000000000001" customHeight="1" x14ac:dyDescent="0.2">
      <c r="B464" s="92"/>
      <c r="D464" s="93"/>
      <c r="K464" s="92"/>
      <c r="M464" s="93"/>
      <c r="BC464" s="91"/>
      <c r="BE464" s="94"/>
      <c r="BF464" s="94"/>
    </row>
    <row r="465" spans="2:58" ht="20.100000000000001" customHeight="1" x14ac:dyDescent="0.2">
      <c r="B465" s="92"/>
      <c r="D465" s="93"/>
      <c r="K465" s="92"/>
      <c r="M465" s="93"/>
      <c r="BC465" s="91"/>
      <c r="BE465" s="94"/>
      <c r="BF465" s="94"/>
    </row>
    <row r="466" spans="2:58" ht="20.100000000000001" customHeight="1" x14ac:dyDescent="0.2">
      <c r="B466" s="92"/>
      <c r="D466" s="93"/>
      <c r="K466" s="92"/>
      <c r="M466" s="93"/>
      <c r="BC466" s="91"/>
      <c r="BE466" s="94"/>
      <c r="BF466" s="94"/>
    </row>
    <row r="467" spans="2:58" ht="20.100000000000001" customHeight="1" x14ac:dyDescent="0.2">
      <c r="B467" s="92"/>
      <c r="D467" s="93"/>
      <c r="K467" s="92"/>
      <c r="M467" s="93"/>
      <c r="BC467" s="91"/>
      <c r="BE467" s="94"/>
      <c r="BF467" s="94"/>
    </row>
    <row r="468" spans="2:58" ht="20.100000000000001" customHeight="1" x14ac:dyDescent="0.2">
      <c r="B468" s="92"/>
      <c r="D468" s="93"/>
      <c r="K468" s="92"/>
      <c r="M468" s="93"/>
      <c r="BC468" s="91"/>
      <c r="BE468" s="94"/>
      <c r="BF468" s="94"/>
    </row>
    <row r="469" spans="2:58" ht="20.100000000000001" customHeight="1" x14ac:dyDescent="0.2">
      <c r="B469" s="92"/>
      <c r="D469" s="93"/>
      <c r="K469" s="92"/>
      <c r="M469" s="93"/>
      <c r="BC469" s="91"/>
      <c r="BE469" s="94"/>
      <c r="BF469" s="94"/>
    </row>
    <row r="470" spans="2:58" ht="20.100000000000001" customHeight="1" x14ac:dyDescent="0.2">
      <c r="B470" s="92"/>
      <c r="D470" s="93"/>
      <c r="K470" s="92"/>
      <c r="M470" s="93"/>
      <c r="BC470" s="91"/>
      <c r="BE470" s="94"/>
      <c r="BF470" s="94"/>
    </row>
    <row r="471" spans="2:58" ht="20.100000000000001" customHeight="1" x14ac:dyDescent="0.2">
      <c r="B471" s="92"/>
      <c r="D471" s="93"/>
      <c r="K471" s="92"/>
      <c r="M471" s="93"/>
      <c r="BC471" s="91"/>
      <c r="BE471" s="94"/>
      <c r="BF471" s="94"/>
    </row>
    <row r="472" spans="2:58" ht="20.100000000000001" customHeight="1" x14ac:dyDescent="0.2">
      <c r="B472" s="92"/>
      <c r="D472" s="93"/>
      <c r="K472" s="92"/>
      <c r="M472" s="93"/>
      <c r="BC472" s="91"/>
      <c r="BE472" s="94"/>
      <c r="BF472" s="94"/>
    </row>
    <row r="473" spans="2:58" ht="20.100000000000001" customHeight="1" x14ac:dyDescent="0.2">
      <c r="B473" s="92"/>
      <c r="D473" s="93"/>
      <c r="K473" s="92"/>
      <c r="M473" s="93"/>
      <c r="BC473" s="91"/>
      <c r="BE473" s="94"/>
      <c r="BF473" s="94"/>
    </row>
    <row r="474" spans="2:58" ht="20.100000000000001" customHeight="1" x14ac:dyDescent="0.2">
      <c r="B474" s="92"/>
      <c r="D474" s="93"/>
      <c r="K474" s="92"/>
      <c r="M474" s="93"/>
      <c r="BC474" s="91"/>
      <c r="BE474" s="94"/>
      <c r="BF474" s="94"/>
    </row>
    <row r="475" spans="2:58" ht="20.100000000000001" customHeight="1" x14ac:dyDescent="0.2">
      <c r="B475" s="92"/>
      <c r="D475" s="93"/>
      <c r="K475" s="92"/>
      <c r="M475" s="93"/>
      <c r="BC475" s="91"/>
      <c r="BE475" s="94"/>
      <c r="BF475" s="94"/>
    </row>
    <row r="476" spans="2:58" ht="20.100000000000001" customHeight="1" x14ac:dyDescent="0.2">
      <c r="B476" s="92"/>
      <c r="D476" s="93"/>
      <c r="K476" s="92"/>
      <c r="M476" s="93"/>
      <c r="BC476" s="91"/>
      <c r="BE476" s="94"/>
      <c r="BF476" s="94"/>
    </row>
    <row r="477" spans="2:58" ht="20.100000000000001" customHeight="1" x14ac:dyDescent="0.2">
      <c r="B477" s="92"/>
      <c r="D477" s="93"/>
      <c r="K477" s="92"/>
      <c r="M477" s="93"/>
      <c r="BC477" s="91"/>
      <c r="BE477" s="94"/>
      <c r="BF477" s="94"/>
    </row>
    <row r="478" spans="2:58" ht="20.100000000000001" customHeight="1" x14ac:dyDescent="0.2">
      <c r="B478" s="92"/>
      <c r="D478" s="93"/>
      <c r="K478" s="92"/>
      <c r="M478" s="93"/>
      <c r="BC478" s="91"/>
      <c r="BE478" s="94"/>
      <c r="BF478" s="94"/>
    </row>
    <row r="479" spans="2:58" ht="20.100000000000001" customHeight="1" x14ac:dyDescent="0.2">
      <c r="B479" s="92"/>
      <c r="D479" s="93"/>
      <c r="K479" s="92"/>
      <c r="M479" s="93"/>
      <c r="BC479" s="91"/>
      <c r="BE479" s="94"/>
      <c r="BF479" s="94"/>
    </row>
    <row r="480" spans="2:58" ht="20.100000000000001" customHeight="1" x14ac:dyDescent="0.2">
      <c r="B480" s="92"/>
      <c r="D480" s="93"/>
      <c r="K480" s="92"/>
      <c r="M480" s="93"/>
      <c r="BC480" s="91"/>
      <c r="BE480" s="94"/>
      <c r="BF480" s="94"/>
    </row>
    <row r="481" spans="2:58" ht="20.100000000000001" customHeight="1" x14ac:dyDescent="0.2">
      <c r="B481" s="92"/>
      <c r="D481" s="93"/>
      <c r="K481" s="92"/>
      <c r="M481" s="93"/>
      <c r="BC481" s="91"/>
      <c r="BE481" s="94"/>
      <c r="BF481" s="94"/>
    </row>
    <row r="482" spans="2:58" ht="20.100000000000001" customHeight="1" x14ac:dyDescent="0.2">
      <c r="B482" s="92"/>
      <c r="D482" s="93"/>
      <c r="K482" s="92"/>
      <c r="M482" s="93"/>
      <c r="BC482" s="91"/>
      <c r="BE482" s="94"/>
      <c r="BF482" s="94"/>
    </row>
    <row r="483" spans="2:58" ht="20.100000000000001" customHeight="1" x14ac:dyDescent="0.2">
      <c r="B483" s="92"/>
      <c r="D483" s="93"/>
      <c r="K483" s="92"/>
      <c r="M483" s="93"/>
      <c r="BC483" s="91"/>
      <c r="BE483" s="94"/>
      <c r="BF483" s="94"/>
    </row>
    <row r="484" spans="2:58" ht="20.100000000000001" customHeight="1" x14ac:dyDescent="0.2">
      <c r="B484" s="92"/>
      <c r="D484" s="93"/>
      <c r="K484" s="92"/>
      <c r="M484" s="93"/>
      <c r="BC484" s="91"/>
      <c r="BE484" s="94"/>
      <c r="BF484" s="94"/>
    </row>
    <row r="485" spans="2:58" ht="20.100000000000001" customHeight="1" x14ac:dyDescent="0.2">
      <c r="B485" s="92"/>
      <c r="D485" s="93"/>
      <c r="K485" s="92"/>
      <c r="M485" s="93"/>
      <c r="BC485" s="91"/>
      <c r="BE485" s="94"/>
      <c r="BF485" s="94"/>
    </row>
    <row r="486" spans="2:58" ht="20.100000000000001" customHeight="1" x14ac:dyDescent="0.2">
      <c r="B486" s="92"/>
      <c r="D486" s="93"/>
      <c r="K486" s="92"/>
      <c r="M486" s="93"/>
      <c r="BC486" s="91"/>
      <c r="BE486" s="94"/>
      <c r="BF486" s="94"/>
    </row>
    <row r="487" spans="2:58" ht="20.100000000000001" customHeight="1" x14ac:dyDescent="0.2">
      <c r="B487" s="92"/>
      <c r="D487" s="93"/>
      <c r="K487" s="92"/>
      <c r="M487" s="93"/>
      <c r="BC487" s="91"/>
      <c r="BE487" s="94"/>
      <c r="BF487" s="94"/>
    </row>
    <row r="488" spans="2:58" ht="20.100000000000001" customHeight="1" x14ac:dyDescent="0.2">
      <c r="B488" s="92"/>
      <c r="D488" s="93"/>
      <c r="K488" s="92"/>
      <c r="M488" s="93"/>
      <c r="BC488" s="91"/>
      <c r="BE488" s="94"/>
      <c r="BF488" s="94"/>
    </row>
    <row r="489" spans="2:58" ht="20.100000000000001" customHeight="1" x14ac:dyDescent="0.2">
      <c r="B489" s="92"/>
      <c r="D489" s="93"/>
      <c r="K489" s="92"/>
      <c r="M489" s="93"/>
      <c r="BC489" s="91"/>
      <c r="BE489" s="94"/>
      <c r="BF489" s="94"/>
    </row>
    <row r="490" spans="2:58" ht="20.100000000000001" customHeight="1" x14ac:dyDescent="0.2">
      <c r="B490" s="92"/>
      <c r="D490" s="93"/>
      <c r="K490" s="92"/>
      <c r="M490" s="93"/>
      <c r="BC490" s="91"/>
      <c r="BE490" s="94"/>
      <c r="BF490" s="94"/>
    </row>
    <row r="491" spans="2:58" ht="20.100000000000001" customHeight="1" x14ac:dyDescent="0.2">
      <c r="B491" s="92"/>
      <c r="D491" s="93"/>
      <c r="K491" s="92"/>
      <c r="M491" s="93"/>
      <c r="BC491" s="91"/>
      <c r="BE491" s="94"/>
      <c r="BF491" s="94"/>
    </row>
    <row r="492" spans="2:58" ht="20.100000000000001" customHeight="1" x14ac:dyDescent="0.2">
      <c r="B492" s="92"/>
      <c r="D492" s="93"/>
      <c r="K492" s="92"/>
      <c r="M492" s="93"/>
      <c r="BC492" s="91"/>
      <c r="BE492" s="94"/>
      <c r="BF492" s="94"/>
    </row>
    <row r="493" spans="2:58" ht="20.100000000000001" customHeight="1" x14ac:dyDescent="0.2">
      <c r="B493" s="92"/>
      <c r="D493" s="93"/>
      <c r="K493" s="92"/>
      <c r="M493" s="93"/>
      <c r="BC493" s="91"/>
      <c r="BE493" s="94"/>
      <c r="BF493" s="94"/>
    </row>
    <row r="494" spans="2:58" ht="20.100000000000001" customHeight="1" x14ac:dyDescent="0.2">
      <c r="B494" s="92"/>
      <c r="D494" s="93"/>
      <c r="K494" s="92"/>
      <c r="M494" s="93"/>
      <c r="BC494" s="91"/>
      <c r="BE494" s="94"/>
      <c r="BF494" s="94"/>
    </row>
    <row r="495" spans="2:58" ht="20.100000000000001" customHeight="1" x14ac:dyDescent="0.2">
      <c r="B495" s="92"/>
      <c r="D495" s="93"/>
      <c r="K495" s="92"/>
      <c r="M495" s="93"/>
      <c r="BC495" s="91"/>
      <c r="BE495" s="94"/>
      <c r="BF495" s="94"/>
    </row>
    <row r="496" spans="2:58" ht="20.100000000000001" customHeight="1" x14ac:dyDescent="0.2">
      <c r="B496" s="92"/>
      <c r="D496" s="93"/>
      <c r="K496" s="92"/>
      <c r="M496" s="93"/>
      <c r="BC496" s="91"/>
      <c r="BE496" s="94"/>
      <c r="BF496" s="94"/>
    </row>
    <row r="497" spans="2:58" ht="20.100000000000001" customHeight="1" x14ac:dyDescent="0.2">
      <c r="B497" s="92"/>
      <c r="D497" s="93"/>
      <c r="K497" s="92"/>
      <c r="M497" s="93"/>
      <c r="BC497" s="91"/>
      <c r="BE497" s="94"/>
      <c r="BF497" s="94"/>
    </row>
    <row r="498" spans="2:58" ht="20.100000000000001" customHeight="1" x14ac:dyDescent="0.2">
      <c r="B498" s="92"/>
      <c r="D498" s="93"/>
      <c r="K498" s="92"/>
      <c r="M498" s="93"/>
      <c r="BC498" s="91"/>
      <c r="BE498" s="94"/>
      <c r="BF498" s="94"/>
    </row>
    <row r="499" spans="2:58" ht="20.100000000000001" customHeight="1" x14ac:dyDescent="0.2">
      <c r="B499" s="92"/>
      <c r="D499" s="93"/>
      <c r="K499" s="92"/>
      <c r="M499" s="93"/>
      <c r="BC499" s="91"/>
      <c r="BE499" s="94"/>
      <c r="BF499" s="94"/>
    </row>
    <row r="500" spans="2:58" ht="20.100000000000001" customHeight="1" x14ac:dyDescent="0.2">
      <c r="B500" s="92"/>
      <c r="D500" s="93"/>
      <c r="K500" s="92"/>
      <c r="M500" s="93"/>
      <c r="BC500" s="91"/>
      <c r="BE500" s="94"/>
      <c r="BF500" s="94"/>
    </row>
    <row r="501" spans="2:58" ht="20.100000000000001" customHeight="1" x14ac:dyDescent="0.2">
      <c r="B501" s="92"/>
      <c r="D501" s="93"/>
      <c r="K501" s="92"/>
      <c r="M501" s="93"/>
      <c r="BC501" s="91"/>
      <c r="BE501" s="94"/>
      <c r="BF501" s="94"/>
    </row>
    <row r="502" spans="2:58" ht="20.100000000000001" customHeight="1" x14ac:dyDescent="0.2">
      <c r="B502" s="92"/>
      <c r="D502" s="93"/>
      <c r="K502" s="92"/>
      <c r="M502" s="93"/>
      <c r="BC502" s="91"/>
      <c r="BE502" s="94"/>
      <c r="BF502" s="94"/>
    </row>
    <row r="503" spans="2:58" ht="20.100000000000001" customHeight="1" x14ac:dyDescent="0.2">
      <c r="B503" s="92"/>
      <c r="D503" s="93"/>
      <c r="K503" s="92"/>
      <c r="M503" s="93"/>
      <c r="BC503" s="91"/>
      <c r="BE503" s="94"/>
      <c r="BF503" s="94"/>
    </row>
    <row r="504" spans="2:58" ht="20.100000000000001" customHeight="1" x14ac:dyDescent="0.2">
      <c r="B504" s="92"/>
      <c r="D504" s="93"/>
      <c r="K504" s="92"/>
      <c r="M504" s="93"/>
      <c r="BC504" s="91"/>
      <c r="BE504" s="94"/>
      <c r="BF504" s="94"/>
    </row>
    <row r="505" spans="2:58" ht="20.100000000000001" customHeight="1" x14ac:dyDescent="0.2">
      <c r="B505" s="92"/>
      <c r="D505" s="93"/>
      <c r="K505" s="92"/>
      <c r="M505" s="93"/>
      <c r="BC505" s="91"/>
      <c r="BE505" s="94"/>
      <c r="BF505" s="94"/>
    </row>
    <row r="506" spans="2:58" ht="20.100000000000001" customHeight="1" x14ac:dyDescent="0.2">
      <c r="B506" s="92"/>
      <c r="D506" s="93"/>
      <c r="K506" s="92"/>
      <c r="M506" s="93"/>
      <c r="BC506" s="91"/>
      <c r="BE506" s="94"/>
      <c r="BF506" s="94"/>
    </row>
    <row r="507" spans="2:58" ht="20.100000000000001" customHeight="1" x14ac:dyDescent="0.2">
      <c r="B507" s="92"/>
      <c r="D507" s="93"/>
      <c r="K507" s="92"/>
      <c r="M507" s="93"/>
      <c r="BC507" s="91"/>
      <c r="BE507" s="94"/>
      <c r="BF507" s="94"/>
    </row>
    <row r="508" spans="2:58" ht="20.100000000000001" customHeight="1" x14ac:dyDescent="0.2">
      <c r="B508" s="92"/>
      <c r="D508" s="93"/>
      <c r="K508" s="92"/>
      <c r="M508" s="93"/>
      <c r="BC508" s="91"/>
      <c r="BE508" s="94"/>
      <c r="BF508" s="94"/>
    </row>
    <row r="509" spans="2:58" ht="20.100000000000001" customHeight="1" x14ac:dyDescent="0.2">
      <c r="B509" s="92"/>
      <c r="D509" s="93"/>
      <c r="K509" s="92"/>
      <c r="M509" s="93"/>
      <c r="BC509" s="91"/>
      <c r="BE509" s="94"/>
      <c r="BF509" s="94"/>
    </row>
    <row r="510" spans="2:58" ht="20.100000000000001" customHeight="1" x14ac:dyDescent="0.2">
      <c r="B510" s="92"/>
      <c r="D510" s="93"/>
      <c r="K510" s="92"/>
      <c r="M510" s="93"/>
      <c r="BC510" s="91"/>
      <c r="BE510" s="94"/>
      <c r="BF510" s="94"/>
    </row>
    <row r="511" spans="2:58" ht="20.100000000000001" customHeight="1" x14ac:dyDescent="0.2">
      <c r="BC511" s="91"/>
      <c r="BE511" s="94"/>
      <c r="BF511" s="94"/>
    </row>
    <row r="512" spans="2:58" ht="20.100000000000001" customHeight="1" x14ac:dyDescent="0.2">
      <c r="BC512" s="91"/>
      <c r="BE512" s="94"/>
      <c r="BF512" s="94"/>
    </row>
    <row r="513" spans="55:58" ht="20.100000000000001" customHeight="1" x14ac:dyDescent="0.2">
      <c r="BC513" s="91"/>
      <c r="BE513" s="94"/>
      <c r="BF513" s="94"/>
    </row>
    <row r="514" spans="55:58" ht="20.100000000000001" customHeight="1" x14ac:dyDescent="0.2">
      <c r="BC514" s="91"/>
      <c r="BE514" s="94"/>
      <c r="BF514" s="94"/>
    </row>
    <row r="515" spans="55:58" ht="20.100000000000001" customHeight="1" x14ac:dyDescent="0.2">
      <c r="BC515" s="91"/>
      <c r="BE515" s="94"/>
      <c r="BF515" s="94"/>
    </row>
    <row r="516" spans="55:58" ht="20.100000000000001" customHeight="1" x14ac:dyDescent="0.2">
      <c r="BC516" s="91"/>
      <c r="BE516" s="94"/>
      <c r="BF516" s="94"/>
    </row>
    <row r="517" spans="55:58" ht="20.100000000000001" customHeight="1" x14ac:dyDescent="0.2">
      <c r="BC517" s="91"/>
      <c r="BE517" s="94"/>
      <c r="BF517" s="94"/>
    </row>
    <row r="518" spans="55:58" ht="20.100000000000001" customHeight="1" x14ac:dyDescent="0.2">
      <c r="BC518" s="91"/>
      <c r="BE518" s="94"/>
      <c r="BF518" s="94"/>
    </row>
    <row r="519" spans="55:58" ht="20.100000000000001" customHeight="1" x14ac:dyDescent="0.2">
      <c r="BC519" s="91"/>
      <c r="BE519" s="94"/>
      <c r="BF519" s="94"/>
    </row>
    <row r="520" spans="55:58" ht="20.100000000000001" customHeight="1" x14ac:dyDescent="0.2">
      <c r="BC520" s="91"/>
      <c r="BE520" s="94"/>
      <c r="BF520" s="94"/>
    </row>
    <row r="521" spans="55:58" ht="20.100000000000001" customHeight="1" x14ac:dyDescent="0.2">
      <c r="BC521" s="91"/>
      <c r="BE521" s="94"/>
      <c r="BF521" s="94"/>
    </row>
    <row r="522" spans="55:58" ht="20.100000000000001" customHeight="1" x14ac:dyDescent="0.2">
      <c r="BC522" s="91"/>
      <c r="BE522" s="94"/>
      <c r="BF522" s="94"/>
    </row>
    <row r="523" spans="55:58" ht="20.100000000000001" customHeight="1" x14ac:dyDescent="0.2">
      <c r="BC523" s="91"/>
      <c r="BE523" s="94"/>
      <c r="BF523" s="94"/>
    </row>
    <row r="524" spans="55:58" ht="20.100000000000001" customHeight="1" x14ac:dyDescent="0.2">
      <c r="BC524" s="91"/>
      <c r="BE524" s="94"/>
      <c r="BF524" s="94"/>
    </row>
    <row r="525" spans="55:58" ht="20.100000000000001" customHeight="1" x14ac:dyDescent="0.2">
      <c r="BC525" s="91"/>
      <c r="BE525" s="94"/>
      <c r="BF525" s="94"/>
    </row>
    <row r="526" spans="55:58" ht="20.100000000000001" customHeight="1" x14ac:dyDescent="0.2">
      <c r="BC526" s="91"/>
      <c r="BE526" s="94"/>
      <c r="BF526" s="94"/>
    </row>
    <row r="527" spans="55:58" ht="20.100000000000001" customHeight="1" x14ac:dyDescent="0.2">
      <c r="BC527" s="91"/>
      <c r="BE527" s="94"/>
      <c r="BF527" s="94"/>
    </row>
    <row r="528" spans="55:58" ht="20.100000000000001" customHeight="1" x14ac:dyDescent="0.2">
      <c r="BC528" s="91"/>
      <c r="BE528" s="94"/>
      <c r="BF528" s="94"/>
    </row>
    <row r="529" spans="55:58" ht="20.100000000000001" customHeight="1" x14ac:dyDescent="0.2">
      <c r="BC529" s="91"/>
      <c r="BE529" s="94"/>
      <c r="BF529" s="94"/>
    </row>
    <row r="530" spans="55:58" ht="20.100000000000001" customHeight="1" x14ac:dyDescent="0.2">
      <c r="BC530" s="91"/>
      <c r="BE530" s="94"/>
      <c r="BF530" s="94"/>
    </row>
    <row r="531" spans="55:58" ht="20.100000000000001" customHeight="1" x14ac:dyDescent="0.2">
      <c r="BC531" s="91"/>
      <c r="BE531" s="94"/>
      <c r="BF531" s="94"/>
    </row>
    <row r="532" spans="55:58" ht="20.100000000000001" customHeight="1" x14ac:dyDescent="0.2">
      <c r="BC532" s="91"/>
      <c r="BE532" s="94"/>
      <c r="BF532" s="94"/>
    </row>
    <row r="533" spans="55:58" ht="20.100000000000001" customHeight="1" x14ac:dyDescent="0.2">
      <c r="BC533" s="91"/>
      <c r="BE533" s="94"/>
      <c r="BF533" s="94"/>
    </row>
    <row r="534" spans="55:58" ht="20.100000000000001" customHeight="1" x14ac:dyDescent="0.2">
      <c r="BC534" s="91"/>
      <c r="BE534" s="94"/>
      <c r="BF534" s="94"/>
    </row>
    <row r="535" spans="55:58" ht="20.100000000000001" customHeight="1" x14ac:dyDescent="0.2">
      <c r="BC535" s="91"/>
      <c r="BE535" s="94"/>
      <c r="BF535" s="94"/>
    </row>
    <row r="536" spans="55:58" ht="20.100000000000001" customHeight="1" x14ac:dyDescent="0.2">
      <c r="BC536" s="91"/>
      <c r="BE536" s="94"/>
      <c r="BF536" s="94"/>
    </row>
    <row r="537" spans="55:58" ht="20.100000000000001" customHeight="1" x14ac:dyDescent="0.2">
      <c r="BC537" s="91"/>
      <c r="BE537" s="94"/>
      <c r="BF537" s="94"/>
    </row>
    <row r="538" spans="55:58" ht="20.100000000000001" customHeight="1" x14ac:dyDescent="0.2">
      <c r="BC538" s="91"/>
      <c r="BE538" s="94"/>
      <c r="BF538" s="94"/>
    </row>
    <row r="539" spans="55:58" ht="20.100000000000001" customHeight="1" x14ac:dyDescent="0.2">
      <c r="BC539" s="91"/>
      <c r="BE539" s="94"/>
      <c r="BF539" s="94"/>
    </row>
    <row r="540" spans="55:58" ht="20.100000000000001" customHeight="1" x14ac:dyDescent="0.2">
      <c r="BC540" s="91"/>
      <c r="BE540" s="94"/>
      <c r="BF540" s="94"/>
    </row>
    <row r="541" spans="55:58" ht="20.100000000000001" customHeight="1" x14ac:dyDescent="0.2">
      <c r="BC541" s="91"/>
      <c r="BE541" s="94"/>
      <c r="BF541" s="94"/>
    </row>
    <row r="542" spans="55:58" ht="20.100000000000001" customHeight="1" x14ac:dyDescent="0.2">
      <c r="BC542" s="91"/>
      <c r="BE542" s="94"/>
      <c r="BF542" s="94"/>
    </row>
    <row r="543" spans="55:58" ht="20.100000000000001" customHeight="1" x14ac:dyDescent="0.2">
      <c r="BC543" s="91"/>
      <c r="BE543" s="94"/>
      <c r="BF543" s="94"/>
    </row>
    <row r="544" spans="55:58" ht="20.100000000000001" customHeight="1" x14ac:dyDescent="0.2">
      <c r="BC544" s="91"/>
      <c r="BE544" s="94"/>
      <c r="BF544" s="94"/>
    </row>
    <row r="545" spans="55:58" ht="20.100000000000001" customHeight="1" x14ac:dyDescent="0.2">
      <c r="BC545" s="91"/>
      <c r="BE545" s="94"/>
      <c r="BF545" s="94"/>
    </row>
    <row r="546" spans="55:58" ht="20.100000000000001" customHeight="1" x14ac:dyDescent="0.2">
      <c r="BC546" s="91"/>
      <c r="BE546" s="94"/>
      <c r="BF546" s="94"/>
    </row>
    <row r="547" spans="55:58" ht="20.100000000000001" customHeight="1" x14ac:dyDescent="0.2">
      <c r="BC547" s="91"/>
      <c r="BE547" s="94"/>
      <c r="BF547" s="94"/>
    </row>
    <row r="548" spans="55:58" ht="20.100000000000001" customHeight="1" x14ac:dyDescent="0.2">
      <c r="BC548" s="91"/>
      <c r="BE548" s="94"/>
      <c r="BF548" s="94"/>
    </row>
    <row r="549" spans="55:58" ht="20.100000000000001" customHeight="1" x14ac:dyDescent="0.2">
      <c r="BC549" s="91"/>
      <c r="BE549" s="94"/>
      <c r="BF549" s="94"/>
    </row>
    <row r="550" spans="55:58" ht="20.100000000000001" customHeight="1" x14ac:dyDescent="0.2">
      <c r="BC550" s="91"/>
      <c r="BE550" s="94"/>
      <c r="BF550" s="94"/>
    </row>
    <row r="551" spans="55:58" ht="20.100000000000001" customHeight="1" x14ac:dyDescent="0.2">
      <c r="BC551" s="91"/>
      <c r="BE551" s="94"/>
      <c r="BF551" s="94"/>
    </row>
    <row r="552" spans="55:58" ht="20.100000000000001" customHeight="1" x14ac:dyDescent="0.2">
      <c r="BC552" s="91"/>
      <c r="BE552" s="94"/>
      <c r="BF552" s="94"/>
    </row>
    <row r="553" spans="55:58" ht="20.100000000000001" customHeight="1" x14ac:dyDescent="0.2">
      <c r="BC553" s="91"/>
      <c r="BE553" s="94"/>
      <c r="BF553" s="94"/>
    </row>
    <row r="554" spans="55:58" ht="20.100000000000001" customHeight="1" x14ac:dyDescent="0.2">
      <c r="BC554" s="91"/>
      <c r="BE554" s="94"/>
      <c r="BF554" s="94"/>
    </row>
    <row r="555" spans="55:58" ht="20.100000000000001" customHeight="1" x14ac:dyDescent="0.2">
      <c r="BC555" s="91"/>
      <c r="BE555" s="94"/>
      <c r="BF555" s="94"/>
    </row>
    <row r="556" spans="55:58" ht="20.100000000000001" customHeight="1" x14ac:dyDescent="0.2">
      <c r="BC556" s="91"/>
      <c r="BE556" s="94"/>
      <c r="BF556" s="94"/>
    </row>
    <row r="557" spans="55:58" ht="20.100000000000001" customHeight="1" x14ac:dyDescent="0.2">
      <c r="BC557" s="91"/>
      <c r="BE557" s="94"/>
      <c r="BF557" s="94"/>
    </row>
    <row r="558" spans="55:58" ht="20.100000000000001" customHeight="1" x14ac:dyDescent="0.2">
      <c r="BC558" s="91"/>
      <c r="BE558" s="94"/>
      <c r="BF558" s="94"/>
    </row>
    <row r="559" spans="55:58" ht="20.100000000000001" customHeight="1" x14ac:dyDescent="0.2">
      <c r="BC559" s="91"/>
      <c r="BE559" s="94"/>
      <c r="BF559" s="94"/>
    </row>
    <row r="560" spans="55:58" ht="20.100000000000001" customHeight="1" x14ac:dyDescent="0.2">
      <c r="BC560" s="91"/>
      <c r="BE560" s="94"/>
      <c r="BF560" s="94"/>
    </row>
    <row r="561" spans="55:58" ht="20.100000000000001" customHeight="1" x14ac:dyDescent="0.2">
      <c r="BC561" s="91"/>
      <c r="BE561" s="94"/>
      <c r="BF561" s="94"/>
    </row>
    <row r="562" spans="55:58" ht="20.100000000000001" customHeight="1" x14ac:dyDescent="0.2">
      <c r="BC562" s="91"/>
      <c r="BE562" s="94"/>
      <c r="BF562" s="94"/>
    </row>
    <row r="563" spans="55:58" ht="20.100000000000001" customHeight="1" x14ac:dyDescent="0.2">
      <c r="BC563" s="91"/>
      <c r="BE563" s="94"/>
      <c r="BF563" s="94"/>
    </row>
    <row r="564" spans="55:58" ht="20.100000000000001" customHeight="1" x14ac:dyDescent="0.2">
      <c r="BC564" s="91"/>
      <c r="BE564" s="94"/>
      <c r="BF564" s="94"/>
    </row>
    <row r="565" spans="55:58" ht="20.100000000000001" customHeight="1" x14ac:dyDescent="0.2">
      <c r="BC565" s="91"/>
      <c r="BE565" s="94"/>
      <c r="BF565" s="94"/>
    </row>
    <row r="566" spans="55:58" ht="20.100000000000001" customHeight="1" x14ac:dyDescent="0.2">
      <c r="BC566" s="91"/>
      <c r="BE566" s="94"/>
      <c r="BF566" s="94"/>
    </row>
    <row r="567" spans="55:58" ht="20.100000000000001" customHeight="1" x14ac:dyDescent="0.2">
      <c r="BC567" s="91"/>
      <c r="BE567" s="94"/>
      <c r="BF567" s="94"/>
    </row>
    <row r="568" spans="55:58" ht="20.100000000000001" customHeight="1" x14ac:dyDescent="0.2">
      <c r="BC568" s="91"/>
      <c r="BE568" s="94"/>
      <c r="BF568" s="94"/>
    </row>
    <row r="569" spans="55:58" ht="20.100000000000001" customHeight="1" x14ac:dyDescent="0.2">
      <c r="BC569" s="91"/>
      <c r="BE569" s="94"/>
      <c r="BF569" s="94"/>
    </row>
    <row r="570" spans="55:58" ht="20.100000000000001" customHeight="1" x14ac:dyDescent="0.2">
      <c r="BC570" s="91"/>
      <c r="BE570" s="94"/>
      <c r="BF570" s="94"/>
    </row>
    <row r="571" spans="55:58" ht="20.100000000000001" customHeight="1" x14ac:dyDescent="0.2">
      <c r="BC571" s="91"/>
      <c r="BE571" s="94"/>
      <c r="BF571" s="94"/>
    </row>
    <row r="572" spans="55:58" ht="20.100000000000001" customHeight="1" x14ac:dyDescent="0.2">
      <c r="BC572" s="91"/>
      <c r="BE572" s="94"/>
      <c r="BF572" s="94"/>
    </row>
    <row r="573" spans="55:58" ht="20.100000000000001" customHeight="1" x14ac:dyDescent="0.2">
      <c r="BC573" s="91"/>
      <c r="BE573" s="94"/>
      <c r="BF573" s="94"/>
    </row>
    <row r="574" spans="55:58" ht="20.100000000000001" customHeight="1" x14ac:dyDescent="0.2">
      <c r="BC574" s="91"/>
      <c r="BE574" s="94"/>
      <c r="BF574" s="94"/>
    </row>
    <row r="575" spans="55:58" ht="20.100000000000001" customHeight="1" x14ac:dyDescent="0.2">
      <c r="BC575" s="91"/>
      <c r="BE575" s="94"/>
      <c r="BF575" s="94"/>
    </row>
    <row r="576" spans="55:58" ht="20.100000000000001" customHeight="1" x14ac:dyDescent="0.2">
      <c r="BC576" s="91"/>
      <c r="BE576" s="94"/>
      <c r="BF576" s="94"/>
    </row>
    <row r="577" spans="55:58" ht="20.100000000000001" customHeight="1" x14ac:dyDescent="0.2">
      <c r="BC577" s="91"/>
      <c r="BE577" s="94"/>
      <c r="BF577" s="94"/>
    </row>
    <row r="578" spans="55:58" ht="20.100000000000001" customHeight="1" x14ac:dyDescent="0.2">
      <c r="BC578" s="91"/>
      <c r="BE578" s="94"/>
      <c r="BF578" s="94"/>
    </row>
    <row r="579" spans="55:58" ht="20.100000000000001" customHeight="1" x14ac:dyDescent="0.2">
      <c r="BC579" s="91"/>
      <c r="BE579" s="94"/>
      <c r="BF579" s="94"/>
    </row>
    <row r="580" spans="55:58" ht="20.100000000000001" customHeight="1" x14ac:dyDescent="0.2">
      <c r="BC580" s="91"/>
      <c r="BE580" s="94"/>
      <c r="BF580" s="94"/>
    </row>
    <row r="581" spans="55:58" ht="20.100000000000001" customHeight="1" x14ac:dyDescent="0.2">
      <c r="BC581" s="91"/>
      <c r="BE581" s="94"/>
      <c r="BF581" s="94"/>
    </row>
    <row r="582" spans="55:58" ht="20.100000000000001" customHeight="1" x14ac:dyDescent="0.2">
      <c r="BC582" s="91"/>
      <c r="BE582" s="94"/>
      <c r="BF582" s="94"/>
    </row>
    <row r="583" spans="55:58" ht="20.100000000000001" customHeight="1" x14ac:dyDescent="0.2">
      <c r="BC583" s="91"/>
      <c r="BE583" s="94"/>
      <c r="BF583" s="94"/>
    </row>
    <row r="584" spans="55:58" ht="20.100000000000001" customHeight="1" x14ac:dyDescent="0.2">
      <c r="BC584" s="91"/>
      <c r="BE584" s="94"/>
      <c r="BF584" s="94"/>
    </row>
    <row r="585" spans="55:58" ht="20.100000000000001" customHeight="1" x14ac:dyDescent="0.2">
      <c r="BC585" s="91"/>
      <c r="BE585" s="94"/>
      <c r="BF585" s="94"/>
    </row>
    <row r="586" spans="55:58" ht="20.100000000000001" customHeight="1" x14ac:dyDescent="0.2">
      <c r="BC586" s="91"/>
      <c r="BE586" s="94"/>
      <c r="BF586" s="94"/>
    </row>
    <row r="587" spans="55:58" ht="20.100000000000001" customHeight="1" x14ac:dyDescent="0.2">
      <c r="BC587" s="91"/>
      <c r="BE587" s="94"/>
      <c r="BF587" s="94"/>
    </row>
    <row r="588" spans="55:58" ht="20.100000000000001" customHeight="1" x14ac:dyDescent="0.2">
      <c r="BC588" s="91"/>
      <c r="BE588" s="94"/>
      <c r="BF588" s="94"/>
    </row>
    <row r="589" spans="55:58" ht="20.100000000000001" customHeight="1" x14ac:dyDescent="0.2">
      <c r="BC589" s="91"/>
      <c r="BE589" s="94"/>
      <c r="BF589" s="94"/>
    </row>
    <row r="590" spans="55:58" ht="20.100000000000001" customHeight="1" x14ac:dyDescent="0.2">
      <c r="BC590" s="91"/>
      <c r="BE590" s="94"/>
      <c r="BF590" s="94"/>
    </row>
    <row r="591" spans="55:58" ht="20.100000000000001" customHeight="1" x14ac:dyDescent="0.2">
      <c r="BC591" s="91"/>
      <c r="BE591" s="94"/>
      <c r="BF591" s="94"/>
    </row>
    <row r="592" spans="55:58" ht="20.100000000000001" customHeight="1" x14ac:dyDescent="0.2">
      <c r="BC592" s="91"/>
      <c r="BE592" s="94"/>
      <c r="BF592" s="94"/>
    </row>
    <row r="593" spans="55:58" ht="20.100000000000001" customHeight="1" x14ac:dyDescent="0.2">
      <c r="BC593" s="91"/>
      <c r="BE593" s="94"/>
      <c r="BF593" s="94"/>
    </row>
    <row r="594" spans="55:58" ht="20.100000000000001" customHeight="1" x14ac:dyDescent="0.2">
      <c r="BC594" s="91"/>
      <c r="BE594" s="94"/>
      <c r="BF594" s="94"/>
    </row>
    <row r="595" spans="55:58" ht="20.100000000000001" customHeight="1" x14ac:dyDescent="0.2">
      <c r="BC595" s="91"/>
      <c r="BE595" s="94"/>
      <c r="BF595" s="94"/>
    </row>
    <row r="596" spans="55:58" ht="20.100000000000001" customHeight="1" x14ac:dyDescent="0.2">
      <c r="BC596" s="91"/>
      <c r="BE596" s="94"/>
      <c r="BF596" s="94"/>
    </row>
    <row r="597" spans="55:58" ht="20.100000000000001" customHeight="1" x14ac:dyDescent="0.2">
      <c r="BC597" s="91"/>
      <c r="BE597" s="94"/>
      <c r="BF597" s="94"/>
    </row>
    <row r="598" spans="55:58" ht="20.100000000000001" customHeight="1" x14ac:dyDescent="0.2">
      <c r="BC598" s="91"/>
      <c r="BE598" s="94"/>
      <c r="BF598" s="94"/>
    </row>
    <row r="599" spans="55:58" ht="20.100000000000001" customHeight="1" x14ac:dyDescent="0.2">
      <c r="BC599" s="91"/>
      <c r="BE599" s="94"/>
      <c r="BF599" s="94"/>
    </row>
    <row r="600" spans="55:58" ht="20.100000000000001" customHeight="1" x14ac:dyDescent="0.2">
      <c r="BC600" s="91"/>
      <c r="BE600" s="94"/>
      <c r="BF600" s="94"/>
    </row>
    <row r="601" spans="55:58" ht="20.100000000000001" customHeight="1" x14ac:dyDescent="0.2">
      <c r="BC601" s="91"/>
      <c r="BE601" s="94"/>
      <c r="BF601" s="94"/>
    </row>
    <row r="602" spans="55:58" ht="20.100000000000001" customHeight="1" x14ac:dyDescent="0.2">
      <c r="BC602" s="91"/>
      <c r="BE602" s="94"/>
      <c r="BF602" s="94"/>
    </row>
    <row r="603" spans="55:58" ht="20.100000000000001" customHeight="1" x14ac:dyDescent="0.2">
      <c r="BC603" s="91"/>
      <c r="BE603" s="94"/>
      <c r="BF603" s="94"/>
    </row>
    <row r="604" spans="55:58" ht="20.100000000000001" customHeight="1" x14ac:dyDescent="0.2">
      <c r="BC604" s="91"/>
      <c r="BE604" s="94"/>
      <c r="BF604" s="94"/>
    </row>
    <row r="605" spans="55:58" ht="20.100000000000001" customHeight="1" x14ac:dyDescent="0.2">
      <c r="BC605" s="91"/>
      <c r="BE605" s="94"/>
      <c r="BF605" s="94"/>
    </row>
    <row r="606" spans="55:58" ht="20.100000000000001" customHeight="1" x14ac:dyDescent="0.2">
      <c r="BC606" s="91"/>
      <c r="BE606" s="94"/>
      <c r="BF606" s="94"/>
    </row>
    <row r="607" spans="55:58" ht="20.100000000000001" customHeight="1" x14ac:dyDescent="0.2">
      <c r="BC607" s="91"/>
      <c r="BE607" s="94"/>
      <c r="BF607" s="94"/>
    </row>
    <row r="608" spans="55:58" ht="20.100000000000001" customHeight="1" x14ac:dyDescent="0.2">
      <c r="BC608" s="91"/>
      <c r="BE608" s="94"/>
      <c r="BF608" s="94"/>
    </row>
    <row r="609" spans="55:58" ht="20.100000000000001" customHeight="1" x14ac:dyDescent="0.2">
      <c r="BC609" s="91"/>
      <c r="BE609" s="94"/>
      <c r="BF609" s="94"/>
    </row>
    <row r="610" spans="55:58" ht="20.100000000000001" customHeight="1" x14ac:dyDescent="0.2">
      <c r="BC610" s="91"/>
      <c r="BE610" s="94"/>
      <c r="BF610" s="94"/>
    </row>
    <row r="611" spans="55:58" ht="20.100000000000001" customHeight="1" x14ac:dyDescent="0.2">
      <c r="BC611" s="91"/>
      <c r="BE611" s="94"/>
      <c r="BF611" s="94"/>
    </row>
    <row r="612" spans="55:58" ht="20.100000000000001" customHeight="1" x14ac:dyDescent="0.2">
      <c r="BC612" s="91"/>
      <c r="BE612" s="94"/>
      <c r="BF612" s="94"/>
    </row>
    <row r="613" spans="55:58" ht="20.100000000000001" customHeight="1" x14ac:dyDescent="0.2">
      <c r="BC613" s="91"/>
      <c r="BE613" s="94"/>
      <c r="BF613" s="94"/>
    </row>
    <row r="614" spans="55:58" ht="20.100000000000001" customHeight="1" x14ac:dyDescent="0.2">
      <c r="BC614" s="91"/>
      <c r="BE614" s="94"/>
      <c r="BF614" s="94"/>
    </row>
    <row r="615" spans="55:58" ht="20.100000000000001" customHeight="1" x14ac:dyDescent="0.2">
      <c r="BC615" s="91"/>
      <c r="BE615" s="94"/>
      <c r="BF615" s="94"/>
    </row>
    <row r="616" spans="55:58" ht="20.100000000000001" customHeight="1" x14ac:dyDescent="0.2">
      <c r="BC616" s="91"/>
      <c r="BE616" s="94"/>
      <c r="BF616" s="94"/>
    </row>
    <row r="617" spans="55:58" ht="20.100000000000001" customHeight="1" x14ac:dyDescent="0.2">
      <c r="BC617" s="91"/>
      <c r="BE617" s="94"/>
      <c r="BF617" s="94"/>
    </row>
    <row r="618" spans="55:58" ht="20.100000000000001" customHeight="1" x14ac:dyDescent="0.2">
      <c r="BC618" s="91"/>
      <c r="BE618" s="94"/>
      <c r="BF618" s="94"/>
    </row>
    <row r="619" spans="55:58" ht="20.100000000000001" customHeight="1" x14ac:dyDescent="0.2">
      <c r="BC619" s="91"/>
      <c r="BE619" s="94"/>
      <c r="BF619" s="94"/>
    </row>
    <row r="620" spans="55:58" ht="20.100000000000001" customHeight="1" x14ac:dyDescent="0.2">
      <c r="BC620" s="91"/>
      <c r="BE620" s="94"/>
      <c r="BF620" s="94"/>
    </row>
    <row r="621" spans="55:58" ht="20.100000000000001" customHeight="1" x14ac:dyDescent="0.2">
      <c r="BC621" s="91"/>
      <c r="BE621" s="94"/>
      <c r="BF621" s="94"/>
    </row>
    <row r="622" spans="55:58" ht="20.100000000000001" customHeight="1" x14ac:dyDescent="0.2">
      <c r="BC622" s="91"/>
      <c r="BE622" s="94"/>
      <c r="BF622" s="94"/>
    </row>
    <row r="623" spans="55:58" ht="20.100000000000001" customHeight="1" x14ac:dyDescent="0.2">
      <c r="BC623" s="91"/>
      <c r="BE623" s="94"/>
      <c r="BF623" s="94"/>
    </row>
    <row r="624" spans="55:58" ht="20.100000000000001" customHeight="1" x14ac:dyDescent="0.2">
      <c r="BC624" s="91"/>
      <c r="BE624" s="94"/>
      <c r="BF624" s="94"/>
    </row>
    <row r="625" spans="55:58" ht="20.100000000000001" customHeight="1" x14ac:dyDescent="0.2">
      <c r="BC625" s="91"/>
      <c r="BE625" s="94"/>
      <c r="BF625" s="94"/>
    </row>
    <row r="626" spans="55:58" ht="20.100000000000001" customHeight="1" x14ac:dyDescent="0.2">
      <c r="BC626" s="91"/>
      <c r="BE626" s="94"/>
      <c r="BF626" s="94"/>
    </row>
    <row r="627" spans="55:58" ht="20.100000000000001" customHeight="1" x14ac:dyDescent="0.2">
      <c r="BC627" s="91"/>
      <c r="BE627" s="94"/>
      <c r="BF627" s="94"/>
    </row>
    <row r="628" spans="55:58" ht="20.100000000000001" customHeight="1" x14ac:dyDescent="0.2">
      <c r="BC628" s="91"/>
      <c r="BE628" s="94"/>
      <c r="BF628" s="94"/>
    </row>
    <row r="629" spans="55:58" ht="20.100000000000001" customHeight="1" x14ac:dyDescent="0.2">
      <c r="BC629" s="91"/>
      <c r="BE629" s="94"/>
      <c r="BF629" s="94"/>
    </row>
    <row r="630" spans="55:58" ht="20.100000000000001" customHeight="1" x14ac:dyDescent="0.2">
      <c r="BC630" s="91"/>
      <c r="BE630" s="94"/>
      <c r="BF630" s="94"/>
    </row>
    <row r="631" spans="55:58" ht="20.100000000000001" customHeight="1" x14ac:dyDescent="0.2">
      <c r="BC631" s="91"/>
      <c r="BE631" s="94"/>
      <c r="BF631" s="94"/>
    </row>
    <row r="632" spans="55:58" ht="20.100000000000001" customHeight="1" x14ac:dyDescent="0.2">
      <c r="BC632" s="91"/>
      <c r="BE632" s="94"/>
      <c r="BF632" s="94"/>
    </row>
    <row r="633" spans="55:58" ht="20.100000000000001" customHeight="1" x14ac:dyDescent="0.2">
      <c r="BC633" s="91"/>
      <c r="BE633" s="94"/>
      <c r="BF633" s="94"/>
    </row>
    <row r="634" spans="55:58" ht="20.100000000000001" customHeight="1" x14ac:dyDescent="0.2">
      <c r="BC634" s="91"/>
      <c r="BE634" s="94"/>
      <c r="BF634" s="94"/>
    </row>
    <row r="635" spans="55:58" ht="20.100000000000001" customHeight="1" x14ac:dyDescent="0.2">
      <c r="BC635" s="91"/>
      <c r="BE635" s="94"/>
      <c r="BF635" s="94"/>
    </row>
    <row r="636" spans="55:58" ht="20.100000000000001" customHeight="1" x14ac:dyDescent="0.2">
      <c r="BC636" s="91"/>
      <c r="BE636" s="94"/>
      <c r="BF636" s="94"/>
    </row>
    <row r="637" spans="55:58" ht="20.100000000000001" customHeight="1" x14ac:dyDescent="0.2">
      <c r="BC637" s="91"/>
      <c r="BE637" s="94"/>
      <c r="BF637" s="94"/>
    </row>
    <row r="638" spans="55:58" ht="20.100000000000001" customHeight="1" x14ac:dyDescent="0.2">
      <c r="BC638" s="91"/>
      <c r="BE638" s="94"/>
      <c r="BF638" s="94"/>
    </row>
    <row r="639" spans="55:58" ht="20.100000000000001" customHeight="1" x14ac:dyDescent="0.2">
      <c r="BC639" s="91"/>
      <c r="BE639" s="94"/>
      <c r="BF639" s="94"/>
    </row>
    <row r="640" spans="55:58" ht="20.100000000000001" customHeight="1" x14ac:dyDescent="0.2">
      <c r="BC640" s="91"/>
      <c r="BE640" s="94"/>
      <c r="BF640" s="94"/>
    </row>
    <row r="641" spans="55:58" ht="20.100000000000001" customHeight="1" x14ac:dyDescent="0.2">
      <c r="BC641" s="91"/>
      <c r="BE641" s="94"/>
      <c r="BF641" s="94"/>
    </row>
    <row r="642" spans="55:58" ht="20.100000000000001" customHeight="1" x14ac:dyDescent="0.2">
      <c r="BC642" s="91"/>
      <c r="BE642" s="94"/>
      <c r="BF642" s="94"/>
    </row>
    <row r="643" spans="55:58" ht="20.100000000000001" customHeight="1" x14ac:dyDescent="0.2">
      <c r="BC643" s="91"/>
      <c r="BE643" s="94"/>
      <c r="BF643" s="94"/>
    </row>
    <row r="644" spans="55:58" ht="20.100000000000001" customHeight="1" x14ac:dyDescent="0.2">
      <c r="BC644" s="91"/>
      <c r="BE644" s="94"/>
      <c r="BF644" s="94"/>
    </row>
    <row r="645" spans="55:58" ht="20.100000000000001" customHeight="1" x14ac:dyDescent="0.2">
      <c r="BC645" s="91"/>
      <c r="BE645" s="94"/>
      <c r="BF645" s="94"/>
    </row>
    <row r="646" spans="55:58" ht="20.100000000000001" customHeight="1" x14ac:dyDescent="0.2">
      <c r="BC646" s="91"/>
      <c r="BE646" s="94"/>
      <c r="BF646" s="94"/>
    </row>
    <row r="647" spans="55:58" ht="20.100000000000001" customHeight="1" x14ac:dyDescent="0.2">
      <c r="BC647" s="91"/>
      <c r="BE647" s="94"/>
      <c r="BF647" s="94"/>
    </row>
    <row r="648" spans="55:58" ht="20.100000000000001" customHeight="1" x14ac:dyDescent="0.2">
      <c r="BC648" s="91"/>
      <c r="BE648" s="94"/>
      <c r="BF648" s="94"/>
    </row>
    <row r="649" spans="55:58" ht="20.100000000000001" customHeight="1" x14ac:dyDescent="0.2">
      <c r="BC649" s="91"/>
      <c r="BE649" s="94"/>
      <c r="BF649" s="94"/>
    </row>
    <row r="650" spans="55:58" ht="20.100000000000001" customHeight="1" x14ac:dyDescent="0.2">
      <c r="BC650" s="91"/>
      <c r="BE650" s="94"/>
      <c r="BF650" s="94"/>
    </row>
    <row r="651" spans="55:58" ht="20.100000000000001" customHeight="1" x14ac:dyDescent="0.2">
      <c r="BC651" s="91"/>
      <c r="BE651" s="94"/>
      <c r="BF651" s="94"/>
    </row>
    <row r="652" spans="55:58" ht="20.100000000000001" customHeight="1" x14ac:dyDescent="0.2">
      <c r="BC652" s="91"/>
      <c r="BE652" s="94"/>
      <c r="BF652" s="94"/>
    </row>
    <row r="653" spans="55:58" ht="20.100000000000001" customHeight="1" x14ac:dyDescent="0.2">
      <c r="BC653" s="91"/>
      <c r="BE653" s="94"/>
      <c r="BF653" s="94"/>
    </row>
    <row r="654" spans="55:58" ht="20.100000000000001" customHeight="1" x14ac:dyDescent="0.2">
      <c r="BC654" s="91"/>
      <c r="BE654" s="94"/>
      <c r="BF654" s="94"/>
    </row>
    <row r="655" spans="55:58" ht="20.100000000000001" customHeight="1" x14ac:dyDescent="0.2">
      <c r="BC655" s="91"/>
      <c r="BE655" s="94"/>
      <c r="BF655" s="94"/>
    </row>
    <row r="656" spans="55:58" ht="20.100000000000001" customHeight="1" x14ac:dyDescent="0.2">
      <c r="BC656" s="91"/>
      <c r="BE656" s="94"/>
      <c r="BF656" s="94"/>
    </row>
    <row r="657" spans="55:58" ht="20.100000000000001" customHeight="1" x14ac:dyDescent="0.2">
      <c r="BC657" s="91"/>
      <c r="BE657" s="94"/>
      <c r="BF657" s="94"/>
    </row>
    <row r="658" spans="55:58" ht="20.100000000000001" customHeight="1" x14ac:dyDescent="0.2">
      <c r="BC658" s="91"/>
      <c r="BE658" s="94"/>
      <c r="BF658" s="94"/>
    </row>
    <row r="659" spans="55:58" ht="20.100000000000001" customHeight="1" x14ac:dyDescent="0.2">
      <c r="BC659" s="91"/>
      <c r="BE659" s="94"/>
      <c r="BF659" s="94"/>
    </row>
    <row r="660" spans="55:58" ht="20.100000000000001" customHeight="1" x14ac:dyDescent="0.2">
      <c r="BC660" s="91"/>
      <c r="BE660" s="94"/>
      <c r="BF660" s="94"/>
    </row>
    <row r="661" spans="55:58" ht="20.100000000000001" customHeight="1" x14ac:dyDescent="0.2">
      <c r="BC661" s="91"/>
      <c r="BE661" s="94"/>
      <c r="BF661" s="94"/>
    </row>
    <row r="662" spans="55:58" ht="20.100000000000001" customHeight="1" x14ac:dyDescent="0.2">
      <c r="BC662" s="91"/>
      <c r="BE662" s="94"/>
      <c r="BF662" s="94"/>
    </row>
    <row r="663" spans="55:58" ht="20.100000000000001" customHeight="1" x14ac:dyDescent="0.2">
      <c r="BC663" s="91"/>
      <c r="BE663" s="94"/>
      <c r="BF663" s="94"/>
    </row>
    <row r="664" spans="55:58" ht="20.100000000000001" customHeight="1" x14ac:dyDescent="0.2">
      <c r="BC664" s="91"/>
      <c r="BE664" s="94"/>
      <c r="BF664" s="94"/>
    </row>
    <row r="665" spans="55:58" ht="20.100000000000001" customHeight="1" x14ac:dyDescent="0.2">
      <c r="BC665" s="91"/>
      <c r="BE665" s="94"/>
      <c r="BF665" s="94"/>
    </row>
    <row r="666" spans="55:58" ht="20.100000000000001" customHeight="1" x14ac:dyDescent="0.2">
      <c r="BC666" s="91"/>
      <c r="BE666" s="94"/>
      <c r="BF666" s="94"/>
    </row>
    <row r="667" spans="55:58" ht="20.100000000000001" customHeight="1" x14ac:dyDescent="0.2">
      <c r="BC667" s="91"/>
      <c r="BE667" s="94"/>
      <c r="BF667" s="94"/>
    </row>
    <row r="668" spans="55:58" ht="20.100000000000001" customHeight="1" x14ac:dyDescent="0.2">
      <c r="BC668" s="91"/>
      <c r="BE668" s="94"/>
      <c r="BF668" s="94"/>
    </row>
    <row r="669" spans="55:58" ht="20.100000000000001" customHeight="1" x14ac:dyDescent="0.2">
      <c r="BC669" s="91"/>
      <c r="BE669" s="94"/>
      <c r="BF669" s="94"/>
    </row>
    <row r="670" spans="55:58" ht="20.100000000000001" customHeight="1" x14ac:dyDescent="0.2">
      <c r="BC670" s="91"/>
      <c r="BE670" s="94"/>
      <c r="BF670" s="94"/>
    </row>
    <row r="671" spans="55:58" ht="20.100000000000001" customHeight="1" x14ac:dyDescent="0.2">
      <c r="BC671" s="91"/>
      <c r="BE671" s="94"/>
      <c r="BF671" s="94"/>
    </row>
    <row r="672" spans="55:58" ht="20.100000000000001" customHeight="1" x14ac:dyDescent="0.2">
      <c r="BC672" s="91"/>
      <c r="BE672" s="94"/>
      <c r="BF672" s="94"/>
    </row>
    <row r="673" spans="55:58" ht="20.100000000000001" customHeight="1" x14ac:dyDescent="0.2">
      <c r="BC673" s="91"/>
      <c r="BE673" s="94"/>
      <c r="BF673" s="94"/>
    </row>
    <row r="674" spans="55:58" ht="20.100000000000001" customHeight="1" x14ac:dyDescent="0.2">
      <c r="BC674" s="91"/>
      <c r="BE674" s="94"/>
      <c r="BF674" s="94"/>
    </row>
    <row r="675" spans="55:58" ht="20.100000000000001" customHeight="1" x14ac:dyDescent="0.2">
      <c r="BC675" s="91"/>
      <c r="BE675" s="94"/>
      <c r="BF675" s="94"/>
    </row>
    <row r="676" spans="55:58" ht="20.100000000000001" customHeight="1" x14ac:dyDescent="0.2">
      <c r="BC676" s="91"/>
      <c r="BE676" s="94"/>
      <c r="BF676" s="94"/>
    </row>
    <row r="677" spans="55:58" ht="20.100000000000001" customHeight="1" x14ac:dyDescent="0.2">
      <c r="BC677" s="91"/>
      <c r="BE677" s="94"/>
      <c r="BF677" s="94"/>
    </row>
    <row r="678" spans="55:58" ht="20.100000000000001" customHeight="1" x14ac:dyDescent="0.2">
      <c r="BC678" s="91"/>
      <c r="BE678" s="94"/>
      <c r="BF678" s="94"/>
    </row>
    <row r="679" spans="55:58" ht="20.100000000000001" customHeight="1" x14ac:dyDescent="0.2">
      <c r="BC679" s="91"/>
      <c r="BE679" s="94"/>
      <c r="BF679" s="94"/>
    </row>
    <row r="680" spans="55:58" ht="20.100000000000001" customHeight="1" x14ac:dyDescent="0.2">
      <c r="BC680" s="91"/>
      <c r="BE680" s="94"/>
      <c r="BF680" s="94"/>
    </row>
    <row r="681" spans="55:58" ht="20.100000000000001" customHeight="1" x14ac:dyDescent="0.2">
      <c r="BC681" s="91"/>
      <c r="BE681" s="94"/>
      <c r="BF681" s="94"/>
    </row>
    <row r="682" spans="55:58" ht="20.100000000000001" customHeight="1" x14ac:dyDescent="0.2">
      <c r="BC682" s="91"/>
      <c r="BE682" s="94"/>
      <c r="BF682" s="94"/>
    </row>
    <row r="683" spans="55:58" ht="20.100000000000001" customHeight="1" x14ac:dyDescent="0.2">
      <c r="BC683" s="91"/>
      <c r="BE683" s="94"/>
      <c r="BF683" s="94"/>
    </row>
    <row r="684" spans="55:58" ht="20.100000000000001" customHeight="1" x14ac:dyDescent="0.2">
      <c r="BC684" s="91"/>
      <c r="BE684" s="94"/>
      <c r="BF684" s="94"/>
    </row>
    <row r="685" spans="55:58" ht="20.100000000000001" customHeight="1" x14ac:dyDescent="0.2">
      <c r="BC685" s="91"/>
      <c r="BE685" s="94"/>
      <c r="BF685" s="94"/>
    </row>
    <row r="686" spans="55:58" ht="20.100000000000001" customHeight="1" x14ac:dyDescent="0.2">
      <c r="BC686" s="91"/>
      <c r="BE686" s="94"/>
      <c r="BF686" s="94"/>
    </row>
    <row r="687" spans="55:58" ht="20.100000000000001" customHeight="1" x14ac:dyDescent="0.2">
      <c r="BC687" s="91"/>
      <c r="BE687" s="94"/>
      <c r="BF687" s="94"/>
    </row>
    <row r="688" spans="55:58" ht="20.100000000000001" customHeight="1" x14ac:dyDescent="0.2">
      <c r="BC688" s="91"/>
      <c r="BE688" s="94"/>
      <c r="BF688" s="94"/>
    </row>
    <row r="689" spans="55:58" ht="20.100000000000001" customHeight="1" x14ac:dyDescent="0.2">
      <c r="BC689" s="91"/>
      <c r="BE689" s="94"/>
      <c r="BF689" s="94"/>
    </row>
    <row r="690" spans="55:58" ht="20.100000000000001" customHeight="1" x14ac:dyDescent="0.2">
      <c r="BC690" s="91"/>
      <c r="BE690" s="94"/>
      <c r="BF690" s="94"/>
    </row>
    <row r="691" spans="55:58" ht="20.100000000000001" customHeight="1" x14ac:dyDescent="0.2">
      <c r="BC691" s="91"/>
      <c r="BE691" s="94"/>
      <c r="BF691" s="94"/>
    </row>
    <row r="692" spans="55:58" ht="20.100000000000001" customHeight="1" x14ac:dyDescent="0.2">
      <c r="BC692" s="91"/>
      <c r="BE692" s="94"/>
      <c r="BF692" s="94"/>
    </row>
    <row r="693" spans="55:58" ht="20.100000000000001" customHeight="1" x14ac:dyDescent="0.2">
      <c r="BC693" s="91"/>
      <c r="BE693" s="94"/>
      <c r="BF693" s="94"/>
    </row>
    <row r="694" spans="55:58" ht="20.100000000000001" customHeight="1" x14ac:dyDescent="0.2">
      <c r="BC694" s="91"/>
      <c r="BE694" s="94"/>
      <c r="BF694" s="94"/>
    </row>
    <row r="695" spans="55:58" ht="20.100000000000001" customHeight="1" x14ac:dyDescent="0.2">
      <c r="BC695" s="91"/>
      <c r="BE695" s="94"/>
      <c r="BF695" s="94"/>
    </row>
    <row r="696" spans="55:58" ht="20.100000000000001" customHeight="1" x14ac:dyDescent="0.2">
      <c r="BC696" s="91"/>
      <c r="BE696" s="94"/>
      <c r="BF696" s="94"/>
    </row>
    <row r="697" spans="55:58" ht="20.100000000000001" customHeight="1" x14ac:dyDescent="0.2">
      <c r="BC697" s="91"/>
      <c r="BE697" s="94"/>
      <c r="BF697" s="94"/>
    </row>
    <row r="698" spans="55:58" ht="20.100000000000001" customHeight="1" x14ac:dyDescent="0.2">
      <c r="BC698" s="91"/>
      <c r="BE698" s="94"/>
      <c r="BF698" s="94"/>
    </row>
    <row r="699" spans="55:58" ht="20.100000000000001" customHeight="1" x14ac:dyDescent="0.2">
      <c r="BC699" s="91"/>
      <c r="BE699" s="94"/>
      <c r="BF699" s="94"/>
    </row>
    <row r="700" spans="55:58" ht="20.100000000000001" customHeight="1" x14ac:dyDescent="0.2">
      <c r="BC700" s="91"/>
      <c r="BE700" s="94"/>
      <c r="BF700" s="94"/>
    </row>
    <row r="701" spans="55:58" ht="20.100000000000001" customHeight="1" x14ac:dyDescent="0.2">
      <c r="BC701" s="91"/>
      <c r="BE701" s="94"/>
      <c r="BF701" s="94"/>
    </row>
    <row r="702" spans="55:58" ht="20.100000000000001" customHeight="1" x14ac:dyDescent="0.2">
      <c r="BC702" s="91"/>
      <c r="BE702" s="94"/>
      <c r="BF702" s="94"/>
    </row>
    <row r="703" spans="55:58" ht="20.100000000000001" customHeight="1" x14ac:dyDescent="0.2">
      <c r="BC703" s="91"/>
      <c r="BE703" s="94"/>
      <c r="BF703" s="94"/>
    </row>
    <row r="704" spans="55:58" ht="20.100000000000001" customHeight="1" x14ac:dyDescent="0.2">
      <c r="BC704" s="91"/>
      <c r="BE704" s="94"/>
      <c r="BF704" s="94"/>
    </row>
    <row r="705" spans="55:58" ht="20.100000000000001" customHeight="1" x14ac:dyDescent="0.2">
      <c r="BC705" s="91"/>
      <c r="BE705" s="94"/>
      <c r="BF705" s="94"/>
    </row>
    <row r="706" spans="55:58" ht="20.100000000000001" customHeight="1" x14ac:dyDescent="0.2">
      <c r="BC706" s="91"/>
      <c r="BE706" s="94"/>
      <c r="BF706" s="94"/>
    </row>
    <row r="707" spans="55:58" ht="20.100000000000001" customHeight="1" x14ac:dyDescent="0.2">
      <c r="BC707" s="91"/>
      <c r="BE707" s="94"/>
      <c r="BF707" s="94"/>
    </row>
    <row r="708" spans="55:58" ht="20.100000000000001" customHeight="1" x14ac:dyDescent="0.2">
      <c r="BC708" s="91"/>
      <c r="BE708" s="94"/>
      <c r="BF708" s="94"/>
    </row>
    <row r="709" spans="55:58" ht="20.100000000000001" customHeight="1" x14ac:dyDescent="0.2">
      <c r="BC709" s="91"/>
      <c r="BE709" s="94"/>
      <c r="BF709" s="94"/>
    </row>
    <row r="710" spans="55:58" ht="20.100000000000001" customHeight="1" x14ac:dyDescent="0.2">
      <c r="BC710" s="91"/>
      <c r="BE710" s="94"/>
      <c r="BF710" s="94"/>
    </row>
    <row r="711" spans="55:58" ht="20.100000000000001" customHeight="1" x14ac:dyDescent="0.2">
      <c r="BC711" s="91"/>
      <c r="BE711" s="94"/>
      <c r="BF711" s="94"/>
    </row>
    <row r="712" spans="55:58" ht="20.100000000000001" customHeight="1" x14ac:dyDescent="0.2">
      <c r="BC712" s="91"/>
      <c r="BE712" s="94"/>
      <c r="BF712" s="94"/>
    </row>
    <row r="713" spans="55:58" ht="20.100000000000001" customHeight="1" x14ac:dyDescent="0.2">
      <c r="BC713" s="91"/>
      <c r="BE713" s="94"/>
      <c r="BF713" s="94"/>
    </row>
    <row r="714" spans="55:58" ht="20.100000000000001" customHeight="1" x14ac:dyDescent="0.2">
      <c r="BC714" s="91"/>
      <c r="BE714" s="94"/>
      <c r="BF714" s="94"/>
    </row>
    <row r="715" spans="55:58" ht="20.100000000000001" customHeight="1" x14ac:dyDescent="0.2">
      <c r="BC715" s="91"/>
      <c r="BE715" s="94"/>
      <c r="BF715" s="94"/>
    </row>
    <row r="716" spans="55:58" ht="20.100000000000001" customHeight="1" x14ac:dyDescent="0.2">
      <c r="BC716" s="91"/>
      <c r="BE716" s="94"/>
      <c r="BF716" s="94"/>
    </row>
    <row r="717" spans="55:58" ht="20.100000000000001" customHeight="1" x14ac:dyDescent="0.2">
      <c r="BC717" s="91"/>
      <c r="BE717" s="94"/>
      <c r="BF717" s="94"/>
    </row>
    <row r="718" spans="55:58" ht="20.100000000000001" customHeight="1" x14ac:dyDescent="0.2">
      <c r="BC718" s="91"/>
      <c r="BE718" s="94"/>
      <c r="BF718" s="94"/>
    </row>
    <row r="719" spans="55:58" ht="20.100000000000001" customHeight="1" x14ac:dyDescent="0.2">
      <c r="BC719" s="91"/>
      <c r="BE719" s="94"/>
      <c r="BF719" s="94"/>
    </row>
    <row r="720" spans="55:58" ht="20.100000000000001" customHeight="1" x14ac:dyDescent="0.2">
      <c r="BC720" s="91"/>
      <c r="BE720" s="94"/>
      <c r="BF720" s="94"/>
    </row>
    <row r="721" spans="55:58" ht="20.100000000000001" customHeight="1" x14ac:dyDescent="0.2">
      <c r="BC721" s="91"/>
      <c r="BE721" s="94"/>
      <c r="BF721" s="94"/>
    </row>
    <row r="722" spans="55:58" ht="20.100000000000001" customHeight="1" x14ac:dyDescent="0.2">
      <c r="BC722" s="91"/>
      <c r="BE722" s="94"/>
      <c r="BF722" s="94"/>
    </row>
    <row r="723" spans="55:58" ht="20.100000000000001" customHeight="1" x14ac:dyDescent="0.2">
      <c r="BC723" s="91"/>
      <c r="BE723" s="94"/>
      <c r="BF723" s="94"/>
    </row>
    <row r="724" spans="55:58" ht="20.100000000000001" customHeight="1" x14ac:dyDescent="0.2">
      <c r="BC724" s="91"/>
      <c r="BE724" s="94"/>
      <c r="BF724" s="94"/>
    </row>
    <row r="725" spans="55:58" ht="20.100000000000001" customHeight="1" x14ac:dyDescent="0.2">
      <c r="BC725" s="91"/>
      <c r="BE725" s="94"/>
      <c r="BF725" s="94"/>
    </row>
    <row r="726" spans="55:58" ht="20.100000000000001" customHeight="1" x14ac:dyDescent="0.2">
      <c r="BC726" s="91"/>
      <c r="BE726" s="94"/>
      <c r="BF726" s="94"/>
    </row>
    <row r="727" spans="55:58" ht="20.100000000000001" customHeight="1" x14ac:dyDescent="0.2">
      <c r="BC727" s="91"/>
      <c r="BE727" s="94"/>
      <c r="BF727" s="94"/>
    </row>
    <row r="728" spans="55:58" ht="20.100000000000001" customHeight="1" x14ac:dyDescent="0.2">
      <c r="BC728" s="91"/>
      <c r="BE728" s="94"/>
      <c r="BF728" s="94"/>
    </row>
    <row r="729" spans="55:58" ht="20.100000000000001" customHeight="1" x14ac:dyDescent="0.2">
      <c r="BC729" s="91"/>
      <c r="BE729" s="94"/>
      <c r="BF729" s="94"/>
    </row>
    <row r="730" spans="55:58" ht="20.100000000000001" customHeight="1" x14ac:dyDescent="0.2">
      <c r="BC730" s="91"/>
      <c r="BE730" s="94"/>
      <c r="BF730" s="94"/>
    </row>
    <row r="731" spans="55:58" ht="20.100000000000001" customHeight="1" x14ac:dyDescent="0.2">
      <c r="BC731" s="91"/>
      <c r="BE731" s="94"/>
      <c r="BF731" s="94"/>
    </row>
    <row r="732" spans="55:58" ht="20.100000000000001" customHeight="1" x14ac:dyDescent="0.2">
      <c r="BC732" s="91"/>
      <c r="BE732" s="94"/>
      <c r="BF732" s="94"/>
    </row>
    <row r="733" spans="55:58" ht="20.100000000000001" customHeight="1" x14ac:dyDescent="0.2">
      <c r="BC733" s="91"/>
      <c r="BE733" s="94"/>
      <c r="BF733" s="94"/>
    </row>
    <row r="734" spans="55:58" ht="20.100000000000001" customHeight="1" x14ac:dyDescent="0.2">
      <c r="BC734" s="91"/>
      <c r="BE734" s="94"/>
      <c r="BF734" s="94"/>
    </row>
    <row r="735" spans="55:58" ht="20.100000000000001" customHeight="1" x14ac:dyDescent="0.2">
      <c r="BC735" s="91"/>
      <c r="BE735" s="94"/>
      <c r="BF735" s="94"/>
    </row>
    <row r="736" spans="55:58" ht="20.100000000000001" customHeight="1" x14ac:dyDescent="0.2">
      <c r="BC736" s="91"/>
      <c r="BE736" s="94"/>
      <c r="BF736" s="94"/>
    </row>
    <row r="737" spans="55:58" ht="20.100000000000001" customHeight="1" x14ac:dyDescent="0.2">
      <c r="BC737" s="91"/>
      <c r="BE737" s="94"/>
      <c r="BF737" s="94"/>
    </row>
    <row r="738" spans="55:58" ht="20.100000000000001" customHeight="1" x14ac:dyDescent="0.2">
      <c r="BC738" s="91"/>
      <c r="BE738" s="94"/>
      <c r="BF738" s="94"/>
    </row>
    <row r="739" spans="55:58" ht="20.100000000000001" customHeight="1" x14ac:dyDescent="0.2">
      <c r="BC739" s="91"/>
      <c r="BE739" s="94"/>
      <c r="BF739" s="94"/>
    </row>
    <row r="740" spans="55:58" ht="20.100000000000001" customHeight="1" x14ac:dyDescent="0.2">
      <c r="BC740" s="91"/>
      <c r="BE740" s="94"/>
      <c r="BF740" s="94"/>
    </row>
    <row r="741" spans="55:58" ht="20.100000000000001" customHeight="1" x14ac:dyDescent="0.2">
      <c r="BC741" s="91"/>
      <c r="BE741" s="94"/>
      <c r="BF741" s="94"/>
    </row>
    <row r="742" spans="55:58" ht="20.100000000000001" customHeight="1" x14ac:dyDescent="0.2">
      <c r="BC742" s="91"/>
      <c r="BE742" s="94"/>
      <c r="BF742" s="94"/>
    </row>
    <row r="743" spans="55:58" ht="20.100000000000001" customHeight="1" x14ac:dyDescent="0.2">
      <c r="BC743" s="91"/>
      <c r="BE743" s="94"/>
      <c r="BF743" s="94"/>
    </row>
    <row r="744" spans="55:58" ht="20.100000000000001" customHeight="1" x14ac:dyDescent="0.2">
      <c r="BC744" s="91"/>
      <c r="BE744" s="94"/>
      <c r="BF744" s="94"/>
    </row>
    <row r="745" spans="55:58" ht="20.100000000000001" customHeight="1" x14ac:dyDescent="0.2">
      <c r="BC745" s="91"/>
      <c r="BE745" s="94"/>
      <c r="BF745" s="94"/>
    </row>
    <row r="746" spans="55:58" ht="20.100000000000001" customHeight="1" x14ac:dyDescent="0.2">
      <c r="BC746" s="91"/>
      <c r="BE746" s="94"/>
      <c r="BF746" s="94"/>
    </row>
    <row r="747" spans="55:58" ht="20.100000000000001" customHeight="1" x14ac:dyDescent="0.2">
      <c r="BC747" s="91"/>
      <c r="BE747" s="94"/>
      <c r="BF747" s="94"/>
    </row>
    <row r="748" spans="55:58" ht="20.100000000000001" customHeight="1" x14ac:dyDescent="0.2">
      <c r="BC748" s="91"/>
      <c r="BE748" s="94"/>
      <c r="BF748" s="94"/>
    </row>
    <row r="749" spans="55:58" ht="20.100000000000001" customHeight="1" x14ac:dyDescent="0.2">
      <c r="BC749" s="91"/>
      <c r="BE749" s="94"/>
      <c r="BF749" s="94"/>
    </row>
    <row r="750" spans="55:58" ht="20.100000000000001" customHeight="1" x14ac:dyDescent="0.2">
      <c r="BC750" s="91"/>
      <c r="BE750" s="94"/>
      <c r="BF750" s="94"/>
    </row>
    <row r="751" spans="55:58" ht="20.100000000000001" customHeight="1" x14ac:dyDescent="0.2">
      <c r="BC751" s="91"/>
      <c r="BE751" s="94"/>
      <c r="BF751" s="94"/>
    </row>
    <row r="752" spans="55:58" ht="20.100000000000001" customHeight="1" x14ac:dyDescent="0.2">
      <c r="BC752" s="91"/>
      <c r="BE752" s="94"/>
      <c r="BF752" s="94"/>
    </row>
    <row r="753" spans="55:58" ht="20.100000000000001" customHeight="1" x14ac:dyDescent="0.2">
      <c r="BC753" s="91"/>
      <c r="BE753" s="94"/>
      <c r="BF753" s="94"/>
    </row>
    <row r="754" spans="55:58" ht="20.100000000000001" customHeight="1" x14ac:dyDescent="0.2">
      <c r="BC754" s="91"/>
      <c r="BE754" s="94"/>
      <c r="BF754" s="94"/>
    </row>
    <row r="755" spans="55:58" ht="20.100000000000001" customHeight="1" x14ac:dyDescent="0.2">
      <c r="BC755" s="91"/>
      <c r="BE755" s="94"/>
      <c r="BF755" s="94"/>
    </row>
    <row r="756" spans="55:58" ht="20.100000000000001" customHeight="1" x14ac:dyDescent="0.2">
      <c r="BC756" s="91"/>
      <c r="BE756" s="94"/>
      <c r="BF756" s="94"/>
    </row>
    <row r="757" spans="55:58" ht="20.100000000000001" customHeight="1" x14ac:dyDescent="0.2">
      <c r="BC757" s="91"/>
      <c r="BE757" s="94"/>
      <c r="BF757" s="94"/>
    </row>
    <row r="758" spans="55:58" ht="20.100000000000001" customHeight="1" x14ac:dyDescent="0.2">
      <c r="BC758" s="91"/>
      <c r="BE758" s="94"/>
      <c r="BF758" s="94"/>
    </row>
    <row r="759" spans="55:58" ht="20.100000000000001" customHeight="1" x14ac:dyDescent="0.2">
      <c r="BC759" s="91"/>
      <c r="BE759" s="94"/>
      <c r="BF759" s="94"/>
    </row>
    <row r="760" spans="55:58" ht="20.100000000000001" customHeight="1" x14ac:dyDescent="0.2">
      <c r="BC760" s="91"/>
      <c r="BE760" s="94"/>
      <c r="BF760" s="94"/>
    </row>
    <row r="761" spans="55:58" ht="20.100000000000001" customHeight="1" x14ac:dyDescent="0.2">
      <c r="BC761" s="91"/>
      <c r="BE761" s="94"/>
      <c r="BF761" s="94"/>
    </row>
    <row r="762" spans="55:58" ht="20.100000000000001" customHeight="1" x14ac:dyDescent="0.2">
      <c r="BC762" s="91"/>
      <c r="BE762" s="94"/>
      <c r="BF762" s="94"/>
    </row>
    <row r="763" spans="55:58" ht="20.100000000000001" customHeight="1" x14ac:dyDescent="0.2">
      <c r="BC763" s="91"/>
      <c r="BE763" s="94"/>
      <c r="BF763" s="94"/>
    </row>
    <row r="764" spans="55:58" ht="20.100000000000001" customHeight="1" x14ac:dyDescent="0.2">
      <c r="BC764" s="91"/>
      <c r="BE764" s="94"/>
      <c r="BF764" s="94"/>
    </row>
    <row r="765" spans="55:58" ht="20.100000000000001" customHeight="1" x14ac:dyDescent="0.2">
      <c r="BC765" s="91"/>
      <c r="BE765" s="94"/>
      <c r="BF765" s="94"/>
    </row>
    <row r="766" spans="55:58" ht="20.100000000000001" customHeight="1" x14ac:dyDescent="0.2">
      <c r="BC766" s="91"/>
      <c r="BE766" s="94"/>
      <c r="BF766" s="94"/>
    </row>
    <row r="767" spans="55:58" ht="20.100000000000001" customHeight="1" x14ac:dyDescent="0.2">
      <c r="BC767" s="91"/>
      <c r="BE767" s="94"/>
      <c r="BF767" s="94"/>
    </row>
    <row r="768" spans="55:58" ht="20.100000000000001" customHeight="1" x14ac:dyDescent="0.2">
      <c r="BC768" s="91"/>
      <c r="BE768" s="94"/>
      <c r="BF768" s="94"/>
    </row>
    <row r="769" spans="55:58" ht="20.100000000000001" customHeight="1" x14ac:dyDescent="0.2">
      <c r="BC769" s="91"/>
      <c r="BE769" s="94"/>
      <c r="BF769" s="94"/>
    </row>
    <row r="770" spans="55:58" ht="20.100000000000001" customHeight="1" x14ac:dyDescent="0.2">
      <c r="BC770" s="91"/>
      <c r="BE770" s="94"/>
      <c r="BF770" s="94"/>
    </row>
    <row r="771" spans="55:58" ht="20.100000000000001" customHeight="1" x14ac:dyDescent="0.2">
      <c r="BC771" s="91"/>
      <c r="BE771" s="94"/>
      <c r="BF771" s="94"/>
    </row>
    <row r="772" spans="55:58" ht="20.100000000000001" customHeight="1" x14ac:dyDescent="0.2">
      <c r="BC772" s="91"/>
      <c r="BE772" s="94"/>
      <c r="BF772" s="94"/>
    </row>
    <row r="773" spans="55:58" ht="20.100000000000001" customHeight="1" x14ac:dyDescent="0.2">
      <c r="BC773" s="91"/>
      <c r="BE773" s="94"/>
      <c r="BF773" s="94"/>
    </row>
    <row r="774" spans="55:58" ht="20.100000000000001" customHeight="1" x14ac:dyDescent="0.2">
      <c r="BC774" s="91"/>
      <c r="BE774" s="94"/>
      <c r="BF774" s="94"/>
    </row>
    <row r="775" spans="55:58" ht="20.100000000000001" customHeight="1" x14ac:dyDescent="0.2">
      <c r="BC775" s="91"/>
      <c r="BE775" s="94"/>
      <c r="BF775" s="94"/>
    </row>
    <row r="776" spans="55:58" ht="20.100000000000001" customHeight="1" x14ac:dyDescent="0.2">
      <c r="BC776" s="91"/>
      <c r="BE776" s="94"/>
      <c r="BF776" s="94"/>
    </row>
    <row r="777" spans="55:58" ht="20.100000000000001" customHeight="1" x14ac:dyDescent="0.2">
      <c r="BC777" s="91"/>
      <c r="BE777" s="94"/>
      <c r="BF777" s="94"/>
    </row>
    <row r="778" spans="55:58" ht="20.100000000000001" customHeight="1" x14ac:dyDescent="0.2">
      <c r="BC778" s="91"/>
      <c r="BE778" s="94"/>
      <c r="BF778" s="94"/>
    </row>
    <row r="779" spans="55:58" ht="20.100000000000001" customHeight="1" x14ac:dyDescent="0.2">
      <c r="BC779" s="91"/>
      <c r="BE779" s="94"/>
      <c r="BF779" s="94"/>
    </row>
    <row r="780" spans="55:58" ht="20.100000000000001" customHeight="1" x14ac:dyDescent="0.2">
      <c r="BC780" s="91"/>
      <c r="BE780" s="94"/>
      <c r="BF780" s="94"/>
    </row>
    <row r="781" spans="55:58" ht="20.100000000000001" customHeight="1" x14ac:dyDescent="0.2">
      <c r="BC781" s="91"/>
      <c r="BE781" s="94"/>
      <c r="BF781" s="94"/>
    </row>
    <row r="782" spans="55:58" ht="20.100000000000001" customHeight="1" x14ac:dyDescent="0.2">
      <c r="BC782" s="91"/>
      <c r="BE782" s="94"/>
      <c r="BF782" s="94"/>
    </row>
    <row r="783" spans="55:58" ht="20.100000000000001" customHeight="1" x14ac:dyDescent="0.2">
      <c r="BC783" s="91"/>
      <c r="BE783" s="94"/>
      <c r="BF783" s="94"/>
    </row>
    <row r="784" spans="55:58" ht="20.100000000000001" customHeight="1" x14ac:dyDescent="0.2">
      <c r="BC784" s="91"/>
      <c r="BE784" s="94"/>
      <c r="BF784" s="94"/>
    </row>
    <row r="785" spans="55:58" ht="20.100000000000001" customHeight="1" x14ac:dyDescent="0.2">
      <c r="BC785" s="91"/>
      <c r="BE785" s="94"/>
      <c r="BF785" s="94"/>
    </row>
    <row r="786" spans="55:58" ht="20.100000000000001" customHeight="1" x14ac:dyDescent="0.2">
      <c r="BC786" s="91"/>
      <c r="BE786" s="94"/>
      <c r="BF786" s="94"/>
    </row>
    <row r="787" spans="55:58" ht="20.100000000000001" customHeight="1" x14ac:dyDescent="0.2">
      <c r="BC787" s="91"/>
      <c r="BE787" s="94"/>
      <c r="BF787" s="94"/>
    </row>
    <row r="788" spans="55:58" ht="20.100000000000001" customHeight="1" x14ac:dyDescent="0.2">
      <c r="BC788" s="91"/>
      <c r="BE788" s="94"/>
      <c r="BF788" s="94"/>
    </row>
    <row r="789" spans="55:58" ht="20.100000000000001" customHeight="1" x14ac:dyDescent="0.2">
      <c r="BC789" s="91"/>
      <c r="BE789" s="94"/>
      <c r="BF789" s="94"/>
    </row>
    <row r="790" spans="55:58" ht="20.100000000000001" customHeight="1" x14ac:dyDescent="0.2">
      <c r="BC790" s="91"/>
      <c r="BE790" s="94"/>
      <c r="BF790" s="94"/>
    </row>
    <row r="791" spans="55:58" ht="20.100000000000001" customHeight="1" x14ac:dyDescent="0.2">
      <c r="BC791" s="91"/>
      <c r="BE791" s="94"/>
      <c r="BF791" s="94"/>
    </row>
    <row r="792" spans="55:58" ht="20.100000000000001" customHeight="1" x14ac:dyDescent="0.2">
      <c r="BC792" s="91"/>
      <c r="BE792" s="94"/>
      <c r="BF792" s="94"/>
    </row>
    <row r="793" spans="55:58" ht="20.100000000000001" customHeight="1" x14ac:dyDescent="0.2">
      <c r="BC793" s="91"/>
      <c r="BE793" s="94"/>
      <c r="BF793" s="94"/>
    </row>
    <row r="794" spans="55:58" ht="20.100000000000001" customHeight="1" x14ac:dyDescent="0.2">
      <c r="BC794" s="91"/>
      <c r="BE794" s="94"/>
      <c r="BF794" s="94"/>
    </row>
    <row r="795" spans="55:58" ht="20.100000000000001" customHeight="1" x14ac:dyDescent="0.2">
      <c r="BC795" s="91"/>
      <c r="BE795" s="94"/>
      <c r="BF795" s="94"/>
    </row>
    <row r="796" spans="55:58" ht="20.100000000000001" customHeight="1" x14ac:dyDescent="0.2">
      <c r="BC796" s="91"/>
      <c r="BE796" s="94"/>
      <c r="BF796" s="94"/>
    </row>
    <row r="797" spans="55:58" ht="20.100000000000001" customHeight="1" x14ac:dyDescent="0.2">
      <c r="BC797" s="91"/>
      <c r="BE797" s="94"/>
      <c r="BF797" s="94"/>
    </row>
    <row r="798" spans="55:58" ht="20.100000000000001" customHeight="1" x14ac:dyDescent="0.2">
      <c r="BC798" s="91"/>
      <c r="BE798" s="94"/>
      <c r="BF798" s="94"/>
    </row>
    <row r="799" spans="55:58" ht="20.100000000000001" customHeight="1" x14ac:dyDescent="0.2">
      <c r="BC799" s="91"/>
      <c r="BE799" s="94"/>
      <c r="BF799" s="94"/>
    </row>
    <row r="800" spans="55:58" ht="20.100000000000001" customHeight="1" x14ac:dyDescent="0.2">
      <c r="BC800" s="91"/>
      <c r="BE800" s="94"/>
      <c r="BF800" s="94"/>
    </row>
    <row r="801" spans="55:58" ht="20.100000000000001" customHeight="1" x14ac:dyDescent="0.2">
      <c r="BC801" s="91"/>
      <c r="BE801" s="94"/>
      <c r="BF801" s="94"/>
    </row>
    <row r="802" spans="55:58" ht="20.100000000000001" customHeight="1" x14ac:dyDescent="0.2">
      <c r="BC802" s="91"/>
      <c r="BE802" s="94"/>
      <c r="BF802" s="94"/>
    </row>
    <row r="803" spans="55:58" ht="20.100000000000001" customHeight="1" x14ac:dyDescent="0.2">
      <c r="BC803" s="91"/>
      <c r="BE803" s="94"/>
      <c r="BF803" s="94"/>
    </row>
    <row r="804" spans="55:58" ht="20.100000000000001" customHeight="1" x14ac:dyDescent="0.2">
      <c r="BC804" s="91"/>
      <c r="BE804" s="94"/>
      <c r="BF804" s="94"/>
    </row>
    <row r="805" spans="55:58" ht="20.100000000000001" customHeight="1" x14ac:dyDescent="0.2">
      <c r="BC805" s="91"/>
      <c r="BE805" s="94"/>
      <c r="BF805" s="94"/>
    </row>
    <row r="806" spans="55:58" ht="20.100000000000001" customHeight="1" x14ac:dyDescent="0.2">
      <c r="BC806" s="91"/>
      <c r="BE806" s="94"/>
      <c r="BF806" s="94"/>
    </row>
    <row r="807" spans="55:58" ht="20.100000000000001" customHeight="1" x14ac:dyDescent="0.2">
      <c r="BC807" s="91"/>
      <c r="BE807" s="94"/>
      <c r="BF807" s="94"/>
    </row>
    <row r="808" spans="55:58" ht="20.100000000000001" customHeight="1" x14ac:dyDescent="0.2">
      <c r="BC808" s="91"/>
      <c r="BE808" s="94"/>
      <c r="BF808" s="94"/>
    </row>
    <row r="809" spans="55:58" ht="20.100000000000001" customHeight="1" x14ac:dyDescent="0.2">
      <c r="BC809" s="91"/>
      <c r="BE809" s="94"/>
      <c r="BF809" s="94"/>
    </row>
    <row r="810" spans="55:58" ht="20.100000000000001" customHeight="1" x14ac:dyDescent="0.2">
      <c r="BC810" s="91"/>
      <c r="BE810" s="94"/>
      <c r="BF810" s="94"/>
    </row>
    <row r="811" spans="55:58" ht="20.100000000000001" customHeight="1" x14ac:dyDescent="0.2">
      <c r="BC811" s="91"/>
      <c r="BE811" s="94"/>
      <c r="BF811" s="94"/>
    </row>
    <row r="812" spans="55:58" ht="20.100000000000001" customHeight="1" x14ac:dyDescent="0.2">
      <c r="BC812" s="91"/>
      <c r="BE812" s="94"/>
      <c r="BF812" s="94"/>
    </row>
    <row r="813" spans="55:58" ht="20.100000000000001" customHeight="1" x14ac:dyDescent="0.2">
      <c r="BC813" s="91"/>
      <c r="BE813" s="94"/>
      <c r="BF813" s="94"/>
    </row>
    <row r="814" spans="55:58" ht="20.100000000000001" customHeight="1" x14ac:dyDescent="0.2">
      <c r="BE814" s="94"/>
      <c r="BF814" s="94"/>
    </row>
    <row r="815" spans="55:58" ht="20.100000000000001" customHeight="1" x14ac:dyDescent="0.2">
      <c r="BE815" s="94"/>
      <c r="BF815" s="94"/>
    </row>
    <row r="816" spans="55:58" ht="20.100000000000001" customHeight="1" x14ac:dyDescent="0.2">
      <c r="BE816" s="94"/>
      <c r="BF816" s="94"/>
    </row>
    <row r="817" spans="57:58" ht="20.100000000000001" customHeight="1" x14ac:dyDescent="0.2">
      <c r="BE817" s="94"/>
      <c r="BF817" s="94"/>
    </row>
    <row r="818" spans="57:58" ht="20.100000000000001" customHeight="1" x14ac:dyDescent="0.2">
      <c r="BE818" s="94"/>
      <c r="BF818" s="94"/>
    </row>
    <row r="819" spans="57:58" ht="20.100000000000001" customHeight="1" x14ac:dyDescent="0.2">
      <c r="BE819" s="94"/>
      <c r="BF819" s="94"/>
    </row>
    <row r="820" spans="57:58" ht="20.100000000000001" customHeight="1" x14ac:dyDescent="0.2">
      <c r="BE820" s="94"/>
      <c r="BF820" s="94"/>
    </row>
    <row r="821" spans="57:58" ht="20.100000000000001" customHeight="1" x14ac:dyDescent="0.2">
      <c r="BE821" s="94"/>
      <c r="BF821" s="94"/>
    </row>
    <row r="822" spans="57:58" ht="20.100000000000001" customHeight="1" x14ac:dyDescent="0.2">
      <c r="BE822" s="94"/>
      <c r="BF822" s="94"/>
    </row>
    <row r="823" spans="57:58" ht="20.100000000000001" customHeight="1" x14ac:dyDescent="0.2">
      <c r="BE823" s="94"/>
      <c r="BF823" s="94"/>
    </row>
    <row r="824" spans="57:58" ht="20.100000000000001" customHeight="1" x14ac:dyDescent="0.2">
      <c r="BE824" s="94"/>
      <c r="BF824" s="94"/>
    </row>
    <row r="825" spans="57:58" ht="20.100000000000001" customHeight="1" x14ac:dyDescent="0.2">
      <c r="BE825" s="94"/>
      <c r="BF825" s="94"/>
    </row>
    <row r="826" spans="57:58" ht="20.100000000000001" customHeight="1" x14ac:dyDescent="0.2">
      <c r="BE826" s="94"/>
      <c r="BF826" s="94"/>
    </row>
    <row r="827" spans="57:58" ht="20.100000000000001" customHeight="1" x14ac:dyDescent="0.2">
      <c r="BE827" s="94"/>
      <c r="BF827" s="94"/>
    </row>
    <row r="828" spans="57:58" ht="20.100000000000001" customHeight="1" x14ac:dyDescent="0.2">
      <c r="BE828" s="94"/>
      <c r="BF828" s="94"/>
    </row>
    <row r="829" spans="57:58" ht="20.100000000000001" customHeight="1" x14ac:dyDescent="0.2">
      <c r="BE829" s="94"/>
      <c r="BF829" s="94"/>
    </row>
    <row r="830" spans="57:58" ht="20.100000000000001" customHeight="1" x14ac:dyDescent="0.2">
      <c r="BE830" s="94"/>
      <c r="BF830" s="94"/>
    </row>
    <row r="831" spans="57:58" ht="20.100000000000001" customHeight="1" x14ac:dyDescent="0.2">
      <c r="BE831" s="94"/>
      <c r="BF831" s="94"/>
    </row>
    <row r="832" spans="57:58" ht="20.100000000000001" customHeight="1" x14ac:dyDescent="0.2">
      <c r="BE832" s="94"/>
      <c r="BF832" s="94"/>
    </row>
    <row r="833" spans="57:58" ht="20.100000000000001" customHeight="1" x14ac:dyDescent="0.2">
      <c r="BE833" s="94"/>
      <c r="BF833" s="94"/>
    </row>
    <row r="834" spans="57:58" ht="20.100000000000001" customHeight="1" x14ac:dyDescent="0.2">
      <c r="BE834" s="94"/>
      <c r="BF834" s="94"/>
    </row>
    <row r="835" spans="57:58" ht="20.100000000000001" customHeight="1" x14ac:dyDescent="0.2">
      <c r="BE835" s="94"/>
      <c r="BF835" s="94"/>
    </row>
    <row r="836" spans="57:58" ht="20.100000000000001" customHeight="1" x14ac:dyDescent="0.2">
      <c r="BE836" s="94"/>
      <c r="BF836" s="94"/>
    </row>
    <row r="837" spans="57:58" ht="20.100000000000001" customHeight="1" x14ac:dyDescent="0.2">
      <c r="BE837" s="94"/>
      <c r="BF837" s="94"/>
    </row>
    <row r="838" spans="57:58" ht="20.100000000000001" customHeight="1" x14ac:dyDescent="0.2">
      <c r="BE838" s="94"/>
      <c r="BF838" s="94"/>
    </row>
    <row r="839" spans="57:58" ht="20.100000000000001" customHeight="1" x14ac:dyDescent="0.2">
      <c r="BE839" s="94"/>
      <c r="BF839" s="94"/>
    </row>
    <row r="840" spans="57:58" ht="20.100000000000001" customHeight="1" x14ac:dyDescent="0.2">
      <c r="BE840" s="94"/>
      <c r="BF840" s="94"/>
    </row>
    <row r="841" spans="57:58" ht="20.100000000000001" customHeight="1" x14ac:dyDescent="0.2">
      <c r="BE841" s="94"/>
      <c r="BF841" s="94"/>
    </row>
    <row r="842" spans="57:58" ht="20.100000000000001" customHeight="1" x14ac:dyDescent="0.2">
      <c r="BE842" s="94"/>
      <c r="BF842" s="94"/>
    </row>
    <row r="843" spans="57:58" ht="20.100000000000001" customHeight="1" x14ac:dyDescent="0.2">
      <c r="BE843" s="94"/>
      <c r="BF843" s="94"/>
    </row>
    <row r="844" spans="57:58" ht="20.100000000000001" customHeight="1" x14ac:dyDescent="0.2">
      <c r="BE844" s="94"/>
      <c r="BF844" s="94"/>
    </row>
    <row r="845" spans="57:58" ht="20.100000000000001" customHeight="1" x14ac:dyDescent="0.2">
      <c r="BE845" s="94"/>
      <c r="BF845" s="94"/>
    </row>
    <row r="846" spans="57:58" ht="20.100000000000001" customHeight="1" x14ac:dyDescent="0.2">
      <c r="BE846" s="94"/>
      <c r="BF846" s="94"/>
    </row>
    <row r="847" spans="57:58" ht="20.100000000000001" customHeight="1" x14ac:dyDescent="0.2">
      <c r="BE847" s="94"/>
      <c r="BF847" s="94"/>
    </row>
    <row r="848" spans="57:58" ht="20.100000000000001" customHeight="1" x14ac:dyDescent="0.2">
      <c r="BE848" s="94"/>
      <c r="BF848" s="94"/>
    </row>
    <row r="849" spans="57:58" ht="20.100000000000001" customHeight="1" x14ac:dyDescent="0.2">
      <c r="BE849" s="94"/>
      <c r="BF849" s="94"/>
    </row>
    <row r="850" spans="57:58" ht="20.100000000000001" customHeight="1" x14ac:dyDescent="0.2">
      <c r="BE850" s="94"/>
      <c r="BF850" s="94"/>
    </row>
    <row r="851" spans="57:58" ht="20.100000000000001" customHeight="1" x14ac:dyDescent="0.2">
      <c r="BE851" s="94"/>
      <c r="BF851" s="94"/>
    </row>
    <row r="852" spans="57:58" ht="20.100000000000001" customHeight="1" x14ac:dyDescent="0.2">
      <c r="BE852" s="94"/>
      <c r="BF852" s="94"/>
    </row>
    <row r="853" spans="57:58" ht="20.100000000000001" customHeight="1" x14ac:dyDescent="0.2">
      <c r="BE853" s="94"/>
      <c r="BF853" s="94"/>
    </row>
    <row r="854" spans="57:58" ht="20.100000000000001" customHeight="1" x14ac:dyDescent="0.2">
      <c r="BE854" s="94"/>
      <c r="BF854" s="94"/>
    </row>
    <row r="855" spans="57:58" ht="20.100000000000001" customHeight="1" x14ac:dyDescent="0.2">
      <c r="BE855" s="94"/>
      <c r="BF855" s="94"/>
    </row>
    <row r="856" spans="57:58" ht="20.100000000000001" customHeight="1" x14ac:dyDescent="0.2">
      <c r="BE856" s="94"/>
      <c r="BF856" s="94"/>
    </row>
    <row r="857" spans="57:58" ht="20.100000000000001" customHeight="1" x14ac:dyDescent="0.2">
      <c r="BE857" s="94"/>
      <c r="BF857" s="94"/>
    </row>
    <row r="858" spans="57:58" ht="20.100000000000001" customHeight="1" x14ac:dyDescent="0.2">
      <c r="BE858" s="94"/>
      <c r="BF858" s="94"/>
    </row>
    <row r="859" spans="57:58" ht="20.100000000000001" customHeight="1" x14ac:dyDescent="0.2">
      <c r="BE859" s="94"/>
      <c r="BF859" s="94"/>
    </row>
    <row r="860" spans="57:58" ht="20.100000000000001" customHeight="1" x14ac:dyDescent="0.2">
      <c r="BE860" s="94"/>
      <c r="BF860" s="94"/>
    </row>
    <row r="861" spans="57:58" ht="20.100000000000001" customHeight="1" x14ac:dyDescent="0.2">
      <c r="BE861" s="94"/>
      <c r="BF861" s="94"/>
    </row>
    <row r="862" spans="57:58" ht="20.100000000000001" customHeight="1" x14ac:dyDescent="0.2">
      <c r="BE862" s="94"/>
      <c r="BF862" s="94"/>
    </row>
    <row r="863" spans="57:58" ht="20.100000000000001" customHeight="1" x14ac:dyDescent="0.2">
      <c r="BE863" s="94"/>
      <c r="BF863" s="94"/>
    </row>
    <row r="864" spans="57:58" ht="20.100000000000001" customHeight="1" x14ac:dyDescent="0.2">
      <c r="BE864" s="94"/>
      <c r="BF864" s="94"/>
    </row>
    <row r="865" spans="57:58" ht="20.100000000000001" customHeight="1" x14ac:dyDescent="0.2">
      <c r="BE865" s="94"/>
      <c r="BF865" s="94"/>
    </row>
    <row r="866" spans="57:58" ht="20.100000000000001" customHeight="1" x14ac:dyDescent="0.2">
      <c r="BE866" s="94"/>
      <c r="BF866" s="94"/>
    </row>
    <row r="867" spans="57:58" ht="20.100000000000001" customHeight="1" x14ac:dyDescent="0.2">
      <c r="BE867" s="94"/>
      <c r="BF867" s="94"/>
    </row>
    <row r="868" spans="57:58" ht="20.100000000000001" customHeight="1" x14ac:dyDescent="0.2">
      <c r="BE868" s="94"/>
      <c r="BF868" s="94"/>
    </row>
    <row r="869" spans="57:58" ht="20.100000000000001" customHeight="1" x14ac:dyDescent="0.2">
      <c r="BE869" s="94"/>
      <c r="BF869" s="94"/>
    </row>
    <row r="870" spans="57:58" ht="20.100000000000001" customHeight="1" x14ac:dyDescent="0.2">
      <c r="BE870" s="94"/>
      <c r="BF870" s="94"/>
    </row>
    <row r="871" spans="57:58" ht="20.100000000000001" customHeight="1" x14ac:dyDescent="0.2">
      <c r="BE871" s="94"/>
      <c r="BF871" s="94"/>
    </row>
    <row r="872" spans="57:58" ht="20.100000000000001" customHeight="1" x14ac:dyDescent="0.2">
      <c r="BE872" s="94"/>
      <c r="BF872" s="94"/>
    </row>
    <row r="873" spans="57:58" ht="20.100000000000001" customHeight="1" x14ac:dyDescent="0.2">
      <c r="BE873" s="94"/>
      <c r="BF873" s="94"/>
    </row>
    <row r="874" spans="57:58" ht="20.100000000000001" customHeight="1" x14ac:dyDescent="0.2">
      <c r="BE874" s="94"/>
      <c r="BF874" s="94"/>
    </row>
    <row r="875" spans="57:58" ht="20.100000000000001" customHeight="1" x14ac:dyDescent="0.2">
      <c r="BE875" s="94"/>
      <c r="BF875" s="94"/>
    </row>
  </sheetData>
  <mergeCells count="25">
    <mergeCell ref="AU4:BA4"/>
    <mergeCell ref="BD4:BE4"/>
    <mergeCell ref="B4:H4"/>
    <mergeCell ref="T4:Z4"/>
    <mergeCell ref="K4:Q4"/>
    <mergeCell ref="A1:I1"/>
    <mergeCell ref="A2:H2"/>
    <mergeCell ref="A3:H3"/>
    <mergeCell ref="AC4:AI4"/>
    <mergeCell ref="AL4:AR4"/>
    <mergeCell ref="K2:R2"/>
    <mergeCell ref="K1:R1"/>
    <mergeCell ref="K3:Q3"/>
    <mergeCell ref="T1:AA1"/>
    <mergeCell ref="T2:AA2"/>
    <mergeCell ref="T3:Z3"/>
    <mergeCell ref="AU1:BB1"/>
    <mergeCell ref="AU2:BB2"/>
    <mergeCell ref="AU3:BA3"/>
    <mergeCell ref="AC1:AJ1"/>
    <mergeCell ref="AC2:AJ2"/>
    <mergeCell ref="AC3:AI3"/>
    <mergeCell ref="AL1:AS1"/>
    <mergeCell ref="AL2:AS2"/>
    <mergeCell ref="AL3:AR3"/>
  </mergeCells>
  <printOptions horizontalCentered="1"/>
  <pageMargins left="0.7" right="0.7" top="0.75" bottom="0.75" header="0.3" footer="0.3"/>
  <pageSetup orientation="portrait" horizontalDpi="1200" verticalDpi="1200" r:id="rId1"/>
  <headerFooter>
    <oddFooter>&amp;R&amp;F
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E92"/>
  <sheetViews>
    <sheetView zoomScaleNormal="100" workbookViewId="0">
      <pane ySplit="5" topLeftCell="A69" activePane="bottomLeft" state="frozen"/>
      <selection activeCell="F9" sqref="F9"/>
      <selection pane="bottomLeft" activeCell="A2" sqref="A2:E2"/>
    </sheetView>
  </sheetViews>
  <sheetFormatPr defaultColWidth="8.85546875" defaultRowHeight="12.75" x14ac:dyDescent="0.2"/>
  <cols>
    <col min="1" max="1" width="5.28515625" style="8" customWidth="1"/>
    <col min="2" max="2" width="22.85546875" style="8" bestFit="1" customWidth="1"/>
    <col min="3" max="3" width="18.7109375" style="8" customWidth="1"/>
    <col min="4" max="5" width="17.7109375" style="8" customWidth="1"/>
    <col min="6" max="16384" width="8.85546875" style="8"/>
  </cols>
  <sheetData>
    <row r="1" spans="1:5" x14ac:dyDescent="0.2">
      <c r="A1" s="175" t="s">
        <v>81</v>
      </c>
      <c r="B1" s="176"/>
      <c r="C1" s="176"/>
      <c r="D1" s="176"/>
      <c r="E1" s="176"/>
    </row>
    <row r="2" spans="1:5" x14ac:dyDescent="0.2">
      <c r="A2" s="175" t="s">
        <v>155</v>
      </c>
      <c r="B2" s="176"/>
      <c r="C2" s="176"/>
      <c r="D2" s="176"/>
      <c r="E2" s="176"/>
    </row>
    <row r="3" spans="1:5" x14ac:dyDescent="0.2">
      <c r="A3" s="175" t="s">
        <v>126</v>
      </c>
      <c r="B3" s="176"/>
      <c r="C3" s="176"/>
      <c r="D3" s="176"/>
      <c r="E3" s="176"/>
    </row>
    <row r="5" spans="1:5" s="97" customFormat="1" ht="13.5" thickBot="1" x14ac:dyDescent="0.3">
      <c r="A5" s="95" t="s">
        <v>25</v>
      </c>
      <c r="B5" s="96"/>
      <c r="C5" s="96"/>
      <c r="D5" s="96"/>
      <c r="E5" s="96"/>
    </row>
    <row r="6" spans="1:5" s="97" customFormat="1" x14ac:dyDescent="0.25">
      <c r="A6" s="98"/>
      <c r="B6" s="99"/>
      <c r="C6" s="99"/>
      <c r="D6" s="99"/>
      <c r="E6" s="99"/>
    </row>
    <row r="7" spans="1:5" s="97" customFormat="1" x14ac:dyDescent="0.25">
      <c r="B7" s="100" t="s">
        <v>26</v>
      </c>
      <c r="C7" s="101">
        <v>44985</v>
      </c>
      <c r="D7" s="102"/>
      <c r="E7" s="103"/>
    </row>
    <row r="8" spans="1:5" s="97" customFormat="1" ht="13.5" thickBot="1" x14ac:dyDescent="0.3">
      <c r="B8" s="100" t="s">
        <v>27</v>
      </c>
      <c r="C8" s="101">
        <v>44992</v>
      </c>
      <c r="D8" s="102"/>
      <c r="E8" s="103"/>
    </row>
    <row r="9" spans="1:5" s="97" customFormat="1" x14ac:dyDescent="0.2">
      <c r="B9" s="100" t="s">
        <v>28</v>
      </c>
      <c r="C9" s="127" t="s">
        <v>133</v>
      </c>
      <c r="D9" s="142"/>
      <c r="E9" s="101"/>
    </row>
    <row r="10" spans="1:5" s="97" customFormat="1" ht="13.5" thickBot="1" x14ac:dyDescent="0.25">
      <c r="B10" s="100" t="s">
        <v>29</v>
      </c>
      <c r="C10" s="144" t="s">
        <v>135</v>
      </c>
    </row>
    <row r="11" spans="1:5" s="97" customFormat="1" x14ac:dyDescent="0.25">
      <c r="C11" s="143"/>
    </row>
    <row r="12" spans="1:5" ht="25.5" x14ac:dyDescent="0.2">
      <c r="B12" s="182" t="s">
        <v>30</v>
      </c>
      <c r="C12" s="182"/>
      <c r="D12" s="104" t="s">
        <v>31</v>
      </c>
      <c r="E12" s="104" t="s">
        <v>32</v>
      </c>
    </row>
    <row r="13" spans="1:5" ht="27" customHeight="1" x14ac:dyDescent="0.2">
      <c r="B13" s="183" t="s">
        <v>33</v>
      </c>
      <c r="C13" s="183"/>
      <c r="D13" s="105">
        <v>0</v>
      </c>
      <c r="E13" s="106" t="s">
        <v>5</v>
      </c>
    </row>
    <row r="14" spans="1:5" x14ac:dyDescent="0.2">
      <c r="B14" s="184" t="s">
        <v>34</v>
      </c>
      <c r="C14" s="184"/>
      <c r="D14" s="107">
        <v>6185222</v>
      </c>
      <c r="E14" s="106" t="s">
        <v>5</v>
      </c>
    </row>
    <row r="15" spans="1:5" x14ac:dyDescent="0.2">
      <c r="B15" s="184" t="s">
        <v>35</v>
      </c>
      <c r="C15" s="184"/>
      <c r="D15" s="107">
        <f>D13+D14</f>
        <v>6185222</v>
      </c>
      <c r="E15" s="108" t="s">
        <v>5</v>
      </c>
    </row>
    <row r="16" spans="1:5" x14ac:dyDescent="0.2">
      <c r="B16" s="184" t="s">
        <v>36</v>
      </c>
      <c r="C16" s="184"/>
      <c r="D16" s="109">
        <v>48.5</v>
      </c>
      <c r="E16" s="108" t="s">
        <v>5</v>
      </c>
    </row>
    <row r="17" spans="1:5" s="97" customFormat="1" x14ac:dyDescent="0.25"/>
    <row r="18" spans="1:5" s="97" customFormat="1" x14ac:dyDescent="0.25"/>
    <row r="19" spans="1:5" s="97" customFormat="1" ht="13.5" thickBot="1" x14ac:dyDescent="0.3">
      <c r="A19" s="95" t="s">
        <v>37</v>
      </c>
      <c r="B19" s="96"/>
      <c r="C19" s="96"/>
      <c r="D19" s="96"/>
      <c r="E19" s="96"/>
    </row>
    <row r="20" spans="1:5" s="97" customFormat="1" x14ac:dyDescent="0.25">
      <c r="A20" s="98"/>
      <c r="B20" s="99"/>
      <c r="C20" s="99"/>
      <c r="D20" s="99"/>
      <c r="E20" s="99"/>
    </row>
    <row r="21" spans="1:5" s="97" customFormat="1" x14ac:dyDescent="0.25">
      <c r="B21" s="100" t="s">
        <v>26</v>
      </c>
      <c r="C21" s="101">
        <v>45077</v>
      </c>
    </row>
    <row r="22" spans="1:5" s="97" customFormat="1" ht="13.5" thickBot="1" x14ac:dyDescent="0.3">
      <c r="B22" s="100" t="s">
        <v>27</v>
      </c>
      <c r="C22" s="101">
        <v>45084</v>
      </c>
    </row>
    <row r="23" spans="1:5" s="97" customFormat="1" x14ac:dyDescent="0.2">
      <c r="B23" s="100" t="s">
        <v>28</v>
      </c>
      <c r="C23" s="127" t="s">
        <v>133</v>
      </c>
    </row>
    <row r="24" spans="1:5" s="97" customFormat="1" ht="13.5" thickBot="1" x14ac:dyDescent="0.25">
      <c r="B24" s="100" t="s">
        <v>29</v>
      </c>
      <c r="C24" s="144" t="s">
        <v>135</v>
      </c>
    </row>
    <row r="25" spans="1:5" s="97" customFormat="1" x14ac:dyDescent="0.25"/>
    <row r="26" spans="1:5" s="97" customFormat="1" ht="25.5" x14ac:dyDescent="0.25">
      <c r="B26" s="182" t="s">
        <v>30</v>
      </c>
      <c r="C26" s="182"/>
      <c r="D26" s="104" t="s">
        <v>31</v>
      </c>
      <c r="E26" s="104" t="s">
        <v>32</v>
      </c>
    </row>
    <row r="27" spans="1:5" s="97" customFormat="1" ht="27" customHeight="1" x14ac:dyDescent="0.25">
      <c r="B27" s="183" t="s">
        <v>33</v>
      </c>
      <c r="C27" s="183"/>
      <c r="D27" s="105">
        <v>0</v>
      </c>
      <c r="E27" s="106" t="s">
        <v>5</v>
      </c>
    </row>
    <row r="28" spans="1:5" s="97" customFormat="1" x14ac:dyDescent="0.25">
      <c r="B28" s="184" t="s">
        <v>34</v>
      </c>
      <c r="C28" s="184"/>
      <c r="D28" s="107">
        <v>8585000</v>
      </c>
      <c r="E28" s="110">
        <v>2450000</v>
      </c>
    </row>
    <row r="29" spans="1:5" s="97" customFormat="1" x14ac:dyDescent="0.25">
      <c r="B29" s="184" t="s">
        <v>35</v>
      </c>
      <c r="C29" s="184"/>
      <c r="D29" s="107">
        <f>D27+D28</f>
        <v>8585000</v>
      </c>
      <c r="E29" s="110">
        <f>E28</f>
        <v>2450000</v>
      </c>
    </row>
    <row r="30" spans="1:5" s="97" customFormat="1" x14ac:dyDescent="0.25">
      <c r="B30" s="184" t="s">
        <v>36</v>
      </c>
      <c r="C30" s="184"/>
      <c r="D30" s="109">
        <v>56.01</v>
      </c>
      <c r="E30" s="109">
        <v>31.12</v>
      </c>
    </row>
    <row r="31" spans="1:5" s="97" customFormat="1" x14ac:dyDescent="0.25"/>
    <row r="32" spans="1:5" s="97" customFormat="1" x14ac:dyDescent="0.25"/>
    <row r="33" spans="1:5" s="97" customFormat="1" ht="13.5" thickBot="1" x14ac:dyDescent="0.3">
      <c r="A33" s="95" t="s">
        <v>38</v>
      </c>
      <c r="B33" s="96"/>
      <c r="C33" s="96"/>
      <c r="D33" s="96"/>
      <c r="E33" s="96"/>
    </row>
    <row r="34" spans="1:5" s="97" customFormat="1" x14ac:dyDescent="0.25">
      <c r="A34" s="98"/>
      <c r="B34" s="99"/>
      <c r="C34" s="99"/>
      <c r="D34" s="99"/>
      <c r="E34" s="99"/>
    </row>
    <row r="35" spans="1:5" s="97" customFormat="1" x14ac:dyDescent="0.25">
      <c r="B35" s="100" t="s">
        <v>26</v>
      </c>
      <c r="C35" s="101">
        <v>45147</v>
      </c>
      <c r="D35" s="102"/>
      <c r="E35" s="103"/>
    </row>
    <row r="36" spans="1:5" s="97" customFormat="1" ht="13.5" thickBot="1" x14ac:dyDescent="0.3">
      <c r="B36" s="100" t="s">
        <v>27</v>
      </c>
      <c r="C36" s="101">
        <v>45154</v>
      </c>
      <c r="D36" s="102"/>
      <c r="E36" s="103"/>
    </row>
    <row r="37" spans="1:5" s="97" customFormat="1" x14ac:dyDescent="0.2">
      <c r="B37" s="100" t="s">
        <v>28</v>
      </c>
      <c r="C37" s="127" t="s">
        <v>133</v>
      </c>
      <c r="D37" s="102"/>
      <c r="E37" s="101"/>
    </row>
    <row r="38" spans="1:5" s="97" customFormat="1" ht="13.5" thickBot="1" x14ac:dyDescent="0.25">
      <c r="B38" s="100" t="s">
        <v>29</v>
      </c>
      <c r="C38" s="144" t="s">
        <v>135</v>
      </c>
    </row>
    <row r="39" spans="1:5" s="97" customFormat="1" x14ac:dyDescent="0.25"/>
    <row r="40" spans="1:5" s="97" customFormat="1" ht="25.5" x14ac:dyDescent="0.25">
      <c r="B40" s="182" t="s">
        <v>30</v>
      </c>
      <c r="C40" s="182"/>
      <c r="D40" s="104" t="s">
        <v>39</v>
      </c>
      <c r="E40" s="104" t="s">
        <v>40</v>
      </c>
    </row>
    <row r="41" spans="1:5" s="97" customFormat="1" x14ac:dyDescent="0.25">
      <c r="B41" s="184" t="s">
        <v>35</v>
      </c>
      <c r="C41" s="184"/>
      <c r="D41" s="107">
        <v>527000</v>
      </c>
      <c r="E41" s="107">
        <v>527000</v>
      </c>
    </row>
    <row r="42" spans="1:5" s="97" customFormat="1" x14ac:dyDescent="0.25">
      <c r="B42" s="184" t="s">
        <v>36</v>
      </c>
      <c r="C42" s="184"/>
      <c r="D42" s="109">
        <v>51.9</v>
      </c>
      <c r="E42" s="109">
        <v>66.680000000000007</v>
      </c>
    </row>
    <row r="43" spans="1:5" s="97" customFormat="1" x14ac:dyDescent="0.25"/>
    <row r="44" spans="1:5" s="97" customFormat="1" x14ac:dyDescent="0.25"/>
    <row r="45" spans="1:5" s="97" customFormat="1" ht="13.5" thickBot="1" x14ac:dyDescent="0.3">
      <c r="A45" s="95" t="s">
        <v>41</v>
      </c>
      <c r="B45" s="96"/>
      <c r="C45" s="96"/>
      <c r="D45" s="96"/>
      <c r="E45" s="96"/>
    </row>
    <row r="46" spans="1:5" s="97" customFormat="1" x14ac:dyDescent="0.25"/>
    <row r="47" spans="1:5" s="97" customFormat="1" x14ac:dyDescent="0.25">
      <c r="B47" s="100" t="s">
        <v>26</v>
      </c>
      <c r="C47" s="101">
        <v>45168</v>
      </c>
      <c r="D47" s="102"/>
      <c r="E47" s="103"/>
    </row>
    <row r="48" spans="1:5" s="97" customFormat="1" ht="13.5" thickBot="1" x14ac:dyDescent="0.3">
      <c r="B48" s="100" t="s">
        <v>27</v>
      </c>
      <c r="C48" s="101">
        <v>45175</v>
      </c>
      <c r="D48" s="102"/>
      <c r="E48" s="103"/>
    </row>
    <row r="49" spans="1:5" s="97" customFormat="1" x14ac:dyDescent="0.2">
      <c r="B49" s="100" t="s">
        <v>28</v>
      </c>
      <c r="C49" s="127" t="s">
        <v>133</v>
      </c>
      <c r="D49" s="102"/>
      <c r="E49" s="101"/>
    </row>
    <row r="50" spans="1:5" s="97" customFormat="1" ht="13.5" thickBot="1" x14ac:dyDescent="0.25">
      <c r="B50" s="100" t="s">
        <v>29</v>
      </c>
      <c r="C50" s="144" t="s">
        <v>135</v>
      </c>
    </row>
    <row r="51" spans="1:5" s="97" customFormat="1" x14ac:dyDescent="0.25"/>
    <row r="52" spans="1:5" s="97" customFormat="1" ht="25.5" x14ac:dyDescent="0.25">
      <c r="B52" s="182" t="s">
        <v>30</v>
      </c>
      <c r="C52" s="182"/>
      <c r="D52" s="104" t="s">
        <v>31</v>
      </c>
      <c r="E52" s="104" t="s">
        <v>32</v>
      </c>
    </row>
    <row r="53" spans="1:5" s="97" customFormat="1" ht="27" customHeight="1" x14ac:dyDescent="0.25">
      <c r="B53" s="183" t="s">
        <v>33</v>
      </c>
      <c r="C53" s="183"/>
      <c r="D53" s="107">
        <v>2927349</v>
      </c>
      <c r="E53" s="106" t="s">
        <v>5</v>
      </c>
    </row>
    <row r="54" spans="1:5" s="97" customFormat="1" x14ac:dyDescent="0.25">
      <c r="B54" s="184" t="s">
        <v>34</v>
      </c>
      <c r="C54" s="184"/>
      <c r="D54" s="107">
        <v>5657651</v>
      </c>
      <c r="E54" s="106" t="s">
        <v>5</v>
      </c>
    </row>
    <row r="55" spans="1:5" s="97" customFormat="1" x14ac:dyDescent="0.25">
      <c r="B55" s="184" t="s">
        <v>35</v>
      </c>
      <c r="C55" s="184"/>
      <c r="D55" s="107">
        <f>D53+D54</f>
        <v>8585000</v>
      </c>
      <c r="E55" s="106" t="s">
        <v>5</v>
      </c>
    </row>
    <row r="56" spans="1:5" s="97" customFormat="1" x14ac:dyDescent="0.25">
      <c r="B56" s="184" t="s">
        <v>36</v>
      </c>
      <c r="C56" s="184"/>
      <c r="D56" s="109">
        <v>63.03</v>
      </c>
      <c r="E56" s="106" t="s">
        <v>5</v>
      </c>
    </row>
    <row r="57" spans="1:5" s="97" customFormat="1" x14ac:dyDescent="0.25"/>
    <row r="58" spans="1:5" s="97" customFormat="1" x14ac:dyDescent="0.25"/>
    <row r="59" spans="1:5" s="97" customFormat="1" ht="13.5" thickBot="1" x14ac:dyDescent="0.3">
      <c r="A59" s="95" t="s">
        <v>42</v>
      </c>
      <c r="B59" s="96"/>
      <c r="C59" s="96"/>
      <c r="D59" s="96"/>
      <c r="E59" s="96"/>
    </row>
    <row r="60" spans="1:5" s="97" customFormat="1" x14ac:dyDescent="0.25"/>
    <row r="61" spans="1:5" s="97" customFormat="1" x14ac:dyDescent="0.25">
      <c r="B61" s="100" t="s">
        <v>26</v>
      </c>
      <c r="C61" s="101">
        <v>42316</v>
      </c>
      <c r="D61" s="102"/>
      <c r="E61" s="103"/>
    </row>
    <row r="62" spans="1:5" s="97" customFormat="1" ht="13.5" thickBot="1" x14ac:dyDescent="0.3">
      <c r="B62" s="100" t="s">
        <v>27</v>
      </c>
      <c r="C62" s="101">
        <v>45245</v>
      </c>
      <c r="D62" s="102"/>
      <c r="E62" s="103"/>
    </row>
    <row r="63" spans="1:5" s="97" customFormat="1" x14ac:dyDescent="0.2">
      <c r="B63" s="100" t="s">
        <v>28</v>
      </c>
      <c r="C63" s="127" t="s">
        <v>133</v>
      </c>
      <c r="D63" s="102"/>
      <c r="E63" s="101"/>
    </row>
    <row r="64" spans="1:5" s="97" customFormat="1" ht="13.5" thickBot="1" x14ac:dyDescent="0.25">
      <c r="B64" s="100" t="s">
        <v>29</v>
      </c>
      <c r="C64" s="144" t="s">
        <v>135</v>
      </c>
    </row>
    <row r="65" spans="1:5" s="97" customFormat="1" x14ac:dyDescent="0.25"/>
    <row r="66" spans="1:5" s="97" customFormat="1" ht="25.5" x14ac:dyDescent="0.25">
      <c r="B66" s="182" t="s">
        <v>30</v>
      </c>
      <c r="C66" s="182"/>
      <c r="D66" s="104" t="s">
        <v>39</v>
      </c>
      <c r="E66" s="104" t="s">
        <v>40</v>
      </c>
    </row>
    <row r="67" spans="1:5" s="97" customFormat="1" x14ac:dyDescent="0.25">
      <c r="B67" s="184" t="s">
        <v>35</v>
      </c>
      <c r="C67" s="184"/>
      <c r="D67" s="107">
        <v>5000000</v>
      </c>
      <c r="E67" s="111" t="s">
        <v>5</v>
      </c>
    </row>
    <row r="68" spans="1:5" s="97" customFormat="1" x14ac:dyDescent="0.25">
      <c r="B68" s="184" t="s">
        <v>36</v>
      </c>
      <c r="C68" s="184"/>
      <c r="D68" s="109">
        <v>51.9</v>
      </c>
      <c r="E68" s="108" t="s">
        <v>5</v>
      </c>
    </row>
    <row r="69" spans="1:5" s="97" customFormat="1" x14ac:dyDescent="0.25"/>
    <row r="70" spans="1:5" s="97" customFormat="1" x14ac:dyDescent="0.25"/>
    <row r="71" spans="1:5" s="97" customFormat="1" ht="13.5" thickBot="1" x14ac:dyDescent="0.3">
      <c r="A71" s="95" t="s">
        <v>43</v>
      </c>
      <c r="B71" s="96"/>
      <c r="C71" s="96"/>
      <c r="D71" s="96"/>
      <c r="E71" s="96"/>
    </row>
    <row r="72" spans="1:5" s="97" customFormat="1" x14ac:dyDescent="0.25">
      <c r="A72" s="98"/>
      <c r="B72" s="99"/>
      <c r="C72" s="99"/>
      <c r="D72" s="99"/>
      <c r="E72" s="99"/>
    </row>
    <row r="73" spans="1:5" s="97" customFormat="1" x14ac:dyDescent="0.25">
      <c r="B73" s="100" t="s">
        <v>26</v>
      </c>
      <c r="C73" s="101">
        <v>45266</v>
      </c>
      <c r="D73" s="102"/>
      <c r="E73" s="103"/>
    </row>
    <row r="74" spans="1:5" s="97" customFormat="1" ht="13.5" thickBot="1" x14ac:dyDescent="0.3">
      <c r="B74" s="100" t="s">
        <v>27</v>
      </c>
      <c r="C74" s="101">
        <v>45273</v>
      </c>
      <c r="D74" s="102"/>
      <c r="E74" s="103"/>
    </row>
    <row r="75" spans="1:5" s="97" customFormat="1" x14ac:dyDescent="0.2">
      <c r="B75" s="100" t="s">
        <v>28</v>
      </c>
      <c r="C75" s="127" t="s">
        <v>133</v>
      </c>
      <c r="D75" s="102"/>
      <c r="E75" s="101"/>
    </row>
    <row r="76" spans="1:5" s="97" customFormat="1" ht="13.5" thickBot="1" x14ac:dyDescent="0.25">
      <c r="B76" s="100" t="s">
        <v>29</v>
      </c>
      <c r="C76" s="144" t="s">
        <v>135</v>
      </c>
    </row>
    <row r="77" spans="1:5" s="97" customFormat="1" x14ac:dyDescent="0.25"/>
    <row r="78" spans="1:5" s="97" customFormat="1" ht="25.5" x14ac:dyDescent="0.25">
      <c r="B78" s="182" t="s">
        <v>30</v>
      </c>
      <c r="C78" s="182"/>
      <c r="D78" s="104" t="s">
        <v>31</v>
      </c>
      <c r="E78" s="104" t="s">
        <v>32</v>
      </c>
    </row>
    <row r="79" spans="1:5" s="97" customFormat="1" ht="27" customHeight="1" x14ac:dyDescent="0.25">
      <c r="B79" s="183" t="s">
        <v>33</v>
      </c>
      <c r="C79" s="183"/>
      <c r="D79" s="107">
        <v>3699891</v>
      </c>
      <c r="E79" s="106" t="s">
        <v>5</v>
      </c>
    </row>
    <row r="80" spans="1:5" s="97" customFormat="1" x14ac:dyDescent="0.25">
      <c r="B80" s="184" t="s">
        <v>34</v>
      </c>
      <c r="C80" s="184"/>
      <c r="D80" s="107">
        <v>3442255</v>
      </c>
      <c r="E80" s="107">
        <v>2449760</v>
      </c>
    </row>
    <row r="81" spans="2:5" s="97" customFormat="1" x14ac:dyDescent="0.25">
      <c r="B81" s="184" t="s">
        <v>35</v>
      </c>
      <c r="C81" s="184"/>
      <c r="D81" s="107">
        <f>D79+D80</f>
        <v>7142146</v>
      </c>
      <c r="E81" s="107">
        <f>E80</f>
        <v>2449760</v>
      </c>
    </row>
    <row r="82" spans="2:5" s="97" customFormat="1" x14ac:dyDescent="0.25">
      <c r="B82" s="184" t="s">
        <v>36</v>
      </c>
      <c r="C82" s="184"/>
      <c r="D82" s="109">
        <v>51.89</v>
      </c>
      <c r="E82" s="112">
        <v>45</v>
      </c>
    </row>
    <row r="83" spans="2:5" s="97" customFormat="1" x14ac:dyDescent="0.25"/>
    <row r="84" spans="2:5" s="97" customFormat="1" x14ac:dyDescent="0.25"/>
    <row r="85" spans="2:5" s="97" customFormat="1" x14ac:dyDescent="0.25"/>
    <row r="86" spans="2:5" s="97" customFormat="1" x14ac:dyDescent="0.25"/>
    <row r="87" spans="2:5" s="97" customFormat="1" x14ac:dyDescent="0.25"/>
    <row r="88" spans="2:5" s="97" customFormat="1" x14ac:dyDescent="0.25"/>
    <row r="89" spans="2:5" s="97" customFormat="1" x14ac:dyDescent="0.25"/>
    <row r="90" spans="2:5" s="97" customFormat="1" x14ac:dyDescent="0.25"/>
    <row r="91" spans="2:5" s="97" customFormat="1" x14ac:dyDescent="0.25"/>
    <row r="92" spans="2:5" s="97" customFormat="1" x14ac:dyDescent="0.25"/>
  </sheetData>
  <mergeCells count="29">
    <mergeCell ref="B81:C81"/>
    <mergeCell ref="B82:C82"/>
    <mergeCell ref="B66:C66"/>
    <mergeCell ref="B67:C67"/>
    <mergeCell ref="B68:C68"/>
    <mergeCell ref="B78:C78"/>
    <mergeCell ref="B79:C79"/>
    <mergeCell ref="B80:C80"/>
    <mergeCell ref="B56:C56"/>
    <mergeCell ref="B27:C27"/>
    <mergeCell ref="B28:C28"/>
    <mergeCell ref="B29:C29"/>
    <mergeCell ref="B30:C30"/>
    <mergeCell ref="B40:C40"/>
    <mergeCell ref="B41:C41"/>
    <mergeCell ref="B42:C42"/>
    <mergeCell ref="B52:C52"/>
    <mergeCell ref="B53:C53"/>
    <mergeCell ref="B54:C54"/>
    <mergeCell ref="B55:C55"/>
    <mergeCell ref="A1:E1"/>
    <mergeCell ref="A2:E2"/>
    <mergeCell ref="A3:E3"/>
    <mergeCell ref="B26:C26"/>
    <mergeCell ref="B12:C12"/>
    <mergeCell ref="B13:C13"/>
    <mergeCell ref="B14:C14"/>
    <mergeCell ref="B15:C15"/>
    <mergeCell ref="B16:C16"/>
  </mergeCells>
  <printOptions horizontalCentered="1"/>
  <pageMargins left="0.7" right="0.7" top="0.75" bottom="0.75" header="0.3" footer="0.3"/>
  <pageSetup fitToHeight="10" orientation="portrait" horizontalDpi="1200" verticalDpi="1200" r:id="rId1"/>
  <headerFooter>
    <oddFooter>&amp;R&amp;F
&amp;A
Page &amp;P of &amp;N</oddFooter>
  </headerFooter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L39"/>
  <sheetViews>
    <sheetView zoomScaleNormal="100" workbookViewId="0">
      <pane ySplit="9" topLeftCell="A10" activePane="bottomLeft" state="frozen"/>
      <selection activeCell="F9" sqref="F9"/>
      <selection pane="bottomLeft" activeCell="A3" sqref="A3:K3"/>
    </sheetView>
  </sheetViews>
  <sheetFormatPr defaultColWidth="8.85546875" defaultRowHeight="12.75" x14ac:dyDescent="0.2"/>
  <cols>
    <col min="1" max="1" width="6.85546875" style="8" customWidth="1"/>
    <col min="2" max="2" width="11.7109375" style="8" bestFit="1" customWidth="1"/>
    <col min="3" max="3" width="13.28515625" style="8" customWidth="1"/>
    <col min="4" max="4" width="9" style="8" bestFit="1" customWidth="1"/>
    <col min="5" max="5" width="32.140625" style="8" customWidth="1"/>
    <col min="6" max="6" width="18.42578125" style="8" customWidth="1"/>
    <col min="7" max="7" width="12.7109375" style="8" customWidth="1"/>
    <col min="8" max="8" width="10.28515625" style="8" bestFit="1" customWidth="1"/>
    <col min="9" max="9" width="18.140625" style="8" bestFit="1" customWidth="1"/>
    <col min="10" max="10" width="12.28515625" style="8" bestFit="1" customWidth="1"/>
    <col min="11" max="11" width="8.85546875" style="8"/>
    <col min="12" max="12" width="10.7109375" style="8" bestFit="1" customWidth="1"/>
    <col min="13" max="13" width="9.42578125" style="8" bestFit="1" customWidth="1"/>
    <col min="14" max="16384" width="8.85546875" style="8"/>
  </cols>
  <sheetData>
    <row r="1" spans="1:12" x14ac:dyDescent="0.2">
      <c r="A1" s="175" t="s">
        <v>81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x14ac:dyDescent="0.2">
      <c r="A2" s="175" t="s">
        <v>155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">
      <c r="A3" s="175" t="s">
        <v>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x14ac:dyDescent="0.2">
      <c r="A4" s="139"/>
      <c r="B4" s="140"/>
      <c r="C4" s="140"/>
      <c r="D4" s="140"/>
      <c r="E4" s="140"/>
    </row>
    <row r="5" spans="1:12" x14ac:dyDescent="0.2">
      <c r="A5" s="13"/>
      <c r="B5" s="13"/>
      <c r="E5" s="113" t="s">
        <v>130</v>
      </c>
    </row>
    <row r="7" spans="1:12" x14ac:dyDescent="0.2">
      <c r="A7" s="16" t="s">
        <v>18</v>
      </c>
      <c r="B7" s="114"/>
      <c r="C7" s="114"/>
      <c r="G7" s="115"/>
      <c r="H7" s="116"/>
      <c r="I7" s="32"/>
    </row>
    <row r="8" spans="1:12" x14ac:dyDescent="0.2">
      <c r="A8" s="11"/>
      <c r="B8" s="114"/>
      <c r="C8" s="114"/>
      <c r="G8" s="115"/>
      <c r="H8" s="116"/>
      <c r="I8" s="32"/>
    </row>
    <row r="9" spans="1:12" ht="25.5" x14ac:dyDescent="0.2">
      <c r="A9" s="117" t="s">
        <v>7</v>
      </c>
      <c r="B9" s="117" t="s">
        <v>8</v>
      </c>
      <c r="C9" s="117" t="s">
        <v>9</v>
      </c>
      <c r="D9" s="117" t="s">
        <v>10</v>
      </c>
      <c r="E9" s="117" t="s">
        <v>11</v>
      </c>
      <c r="F9" s="117" t="s">
        <v>21</v>
      </c>
      <c r="G9" s="141" t="s">
        <v>12</v>
      </c>
      <c r="H9" s="117" t="s">
        <v>13</v>
      </c>
      <c r="I9" s="141" t="s">
        <v>14</v>
      </c>
      <c r="J9" s="117" t="s">
        <v>15</v>
      </c>
      <c r="K9" s="17" t="s">
        <v>16</v>
      </c>
    </row>
    <row r="10" spans="1:12" ht="13.5" thickBot="1" x14ac:dyDescent="0.25">
      <c r="A10" s="118" t="s">
        <v>52</v>
      </c>
      <c r="B10" s="118" t="s">
        <v>53</v>
      </c>
      <c r="C10" s="118" t="s">
        <v>54</v>
      </c>
      <c r="D10" s="118" t="s">
        <v>55</v>
      </c>
      <c r="E10" s="118" t="s">
        <v>69</v>
      </c>
      <c r="F10" s="118" t="s">
        <v>70</v>
      </c>
      <c r="G10" s="126" t="s">
        <v>71</v>
      </c>
      <c r="H10" s="118" t="s">
        <v>84</v>
      </c>
      <c r="I10" s="126" t="s">
        <v>127</v>
      </c>
      <c r="J10" s="118" t="s">
        <v>128</v>
      </c>
      <c r="K10" s="118" t="s">
        <v>129</v>
      </c>
    </row>
    <row r="11" spans="1:12" x14ac:dyDescent="0.2">
      <c r="A11" s="11">
        <v>1</v>
      </c>
      <c r="B11" s="165" t="s">
        <v>148</v>
      </c>
      <c r="C11" s="166" t="s">
        <v>148</v>
      </c>
      <c r="D11" s="11">
        <v>2023</v>
      </c>
      <c r="E11" s="146" t="s">
        <v>132</v>
      </c>
      <c r="F11" s="147" t="s">
        <v>147</v>
      </c>
      <c r="G11" s="154" t="s">
        <v>133</v>
      </c>
      <c r="H11" s="155" t="s">
        <v>134</v>
      </c>
      <c r="I11" s="156" t="s">
        <v>135</v>
      </c>
      <c r="L11" s="119"/>
    </row>
    <row r="12" spans="1:12" x14ac:dyDescent="0.2">
      <c r="A12" s="11">
        <v>2</v>
      </c>
      <c r="B12" s="167" t="s">
        <v>148</v>
      </c>
      <c r="C12" s="168" t="s">
        <v>148</v>
      </c>
      <c r="D12" s="11">
        <v>2023</v>
      </c>
      <c r="E12" s="148" t="s">
        <v>132</v>
      </c>
      <c r="F12" s="149" t="s">
        <v>147</v>
      </c>
      <c r="G12" s="150" t="s">
        <v>133</v>
      </c>
      <c r="H12" s="157" t="s">
        <v>134</v>
      </c>
      <c r="I12" s="158" t="s">
        <v>135</v>
      </c>
      <c r="L12" s="119"/>
    </row>
    <row r="13" spans="1:12" x14ac:dyDescent="0.2">
      <c r="A13" s="11">
        <v>3</v>
      </c>
      <c r="B13" s="167" t="s">
        <v>148</v>
      </c>
      <c r="C13" s="168" t="s">
        <v>148</v>
      </c>
      <c r="D13" s="11" t="s">
        <v>17</v>
      </c>
      <c r="E13" s="148" t="s">
        <v>132</v>
      </c>
      <c r="F13" s="149" t="s">
        <v>147</v>
      </c>
      <c r="G13" s="150" t="s">
        <v>133</v>
      </c>
      <c r="H13" s="157" t="s">
        <v>134</v>
      </c>
      <c r="I13" s="158" t="s">
        <v>135</v>
      </c>
    </row>
    <row r="14" spans="1:12" x14ac:dyDescent="0.2">
      <c r="A14" s="11">
        <v>5</v>
      </c>
      <c r="B14" s="167" t="s">
        <v>148</v>
      </c>
      <c r="C14" s="168" t="s">
        <v>148</v>
      </c>
      <c r="D14" s="11">
        <v>2023</v>
      </c>
      <c r="E14" s="148" t="s">
        <v>132</v>
      </c>
      <c r="F14" s="149" t="s">
        <v>147</v>
      </c>
      <c r="G14" s="150" t="s">
        <v>133</v>
      </c>
      <c r="H14" s="157" t="s">
        <v>134</v>
      </c>
      <c r="I14" s="158" t="s">
        <v>135</v>
      </c>
      <c r="L14" s="120"/>
    </row>
    <row r="15" spans="1:12" x14ac:dyDescent="0.2">
      <c r="A15" s="11">
        <v>6</v>
      </c>
      <c r="B15" s="167" t="s">
        <v>148</v>
      </c>
      <c r="C15" s="168" t="s">
        <v>148</v>
      </c>
      <c r="D15" s="11">
        <v>2023</v>
      </c>
      <c r="E15" s="148" t="s">
        <v>132</v>
      </c>
      <c r="F15" s="149" t="s">
        <v>147</v>
      </c>
      <c r="G15" s="150" t="s">
        <v>133</v>
      </c>
      <c r="H15" s="157" t="s">
        <v>134</v>
      </c>
      <c r="I15" s="158" t="s">
        <v>135</v>
      </c>
    </row>
    <row r="16" spans="1:12" x14ac:dyDescent="0.2">
      <c r="A16" s="11">
        <v>7</v>
      </c>
      <c r="B16" s="167" t="s">
        <v>148</v>
      </c>
      <c r="C16" s="168" t="s">
        <v>148</v>
      </c>
      <c r="D16" s="11">
        <v>2023</v>
      </c>
      <c r="E16" s="148" t="s">
        <v>132</v>
      </c>
      <c r="F16" s="149" t="s">
        <v>147</v>
      </c>
      <c r="G16" s="150" t="s">
        <v>133</v>
      </c>
      <c r="H16" s="157" t="s">
        <v>134</v>
      </c>
      <c r="I16" s="159" t="s">
        <v>135</v>
      </c>
    </row>
    <row r="17" spans="1:11" x14ac:dyDescent="0.2">
      <c r="A17" s="11">
        <v>8</v>
      </c>
      <c r="B17" s="167" t="s">
        <v>148</v>
      </c>
      <c r="C17" s="168" t="s">
        <v>148</v>
      </c>
      <c r="D17" s="11" t="s">
        <v>17</v>
      </c>
      <c r="E17" s="148" t="s">
        <v>132</v>
      </c>
      <c r="F17" s="149" t="s">
        <v>147</v>
      </c>
      <c r="G17" s="150" t="s">
        <v>133</v>
      </c>
      <c r="H17" s="157" t="s">
        <v>134</v>
      </c>
      <c r="I17" s="158" t="s">
        <v>135</v>
      </c>
    </row>
    <row r="18" spans="1:11" x14ac:dyDescent="0.2">
      <c r="A18" s="11">
        <v>10</v>
      </c>
      <c r="B18" s="167" t="s">
        <v>148</v>
      </c>
      <c r="C18" s="168" t="s">
        <v>148</v>
      </c>
      <c r="D18" s="11">
        <v>2023</v>
      </c>
      <c r="E18" s="148" t="s">
        <v>132</v>
      </c>
      <c r="F18" s="149" t="s">
        <v>147</v>
      </c>
      <c r="G18" s="150" t="s">
        <v>133</v>
      </c>
      <c r="H18" s="157" t="s">
        <v>134</v>
      </c>
      <c r="I18" s="158" t="s">
        <v>135</v>
      </c>
    </row>
    <row r="19" spans="1:11" ht="13.5" thickBot="1" x14ac:dyDescent="0.25">
      <c r="A19" s="11">
        <v>11</v>
      </c>
      <c r="B19" s="169" t="s">
        <v>148</v>
      </c>
      <c r="C19" s="170" t="s">
        <v>148</v>
      </c>
      <c r="D19" s="11">
        <v>2023</v>
      </c>
      <c r="E19" s="151" t="s">
        <v>132</v>
      </c>
      <c r="F19" s="152" t="s">
        <v>147</v>
      </c>
      <c r="G19" s="153" t="s">
        <v>133</v>
      </c>
      <c r="H19" s="160" t="s">
        <v>134</v>
      </c>
      <c r="I19" s="161" t="s">
        <v>135</v>
      </c>
    </row>
    <row r="21" spans="1:11" x14ac:dyDescent="0.2">
      <c r="B21" s="121"/>
    </row>
    <row r="22" spans="1:11" x14ac:dyDescent="0.2">
      <c r="B22" s="121"/>
    </row>
    <row r="23" spans="1:11" x14ac:dyDescent="0.2">
      <c r="A23" s="16" t="s">
        <v>19</v>
      </c>
      <c r="B23" s="114"/>
      <c r="C23" s="114"/>
      <c r="G23" s="115"/>
      <c r="H23" s="116"/>
      <c r="I23" s="32"/>
    </row>
    <row r="24" spans="1:11" x14ac:dyDescent="0.2">
      <c r="A24" s="11"/>
      <c r="B24" s="114"/>
      <c r="C24" s="114"/>
      <c r="G24" s="115"/>
      <c r="H24" s="116"/>
      <c r="I24" s="32"/>
    </row>
    <row r="25" spans="1:11" ht="26.25" thickBot="1" x14ac:dyDescent="0.25">
      <c r="A25" s="117" t="s">
        <v>7</v>
      </c>
      <c r="B25" s="164" t="s">
        <v>8</v>
      </c>
      <c r="C25" s="164" t="s">
        <v>9</v>
      </c>
      <c r="D25" s="117" t="s">
        <v>10</v>
      </c>
      <c r="E25" s="141" t="s">
        <v>11</v>
      </c>
      <c r="F25" s="141" t="s">
        <v>21</v>
      </c>
      <c r="G25" s="141" t="s">
        <v>12</v>
      </c>
      <c r="H25" s="141" t="s">
        <v>13</v>
      </c>
      <c r="I25" s="141" t="s">
        <v>14</v>
      </c>
      <c r="J25" s="117" t="s">
        <v>15</v>
      </c>
      <c r="K25" s="17" t="s">
        <v>16</v>
      </c>
    </row>
    <row r="26" spans="1:11" x14ac:dyDescent="0.2">
      <c r="A26" s="11">
        <v>4</v>
      </c>
      <c r="B26" s="165" t="s">
        <v>148</v>
      </c>
      <c r="C26" s="166" t="s">
        <v>148</v>
      </c>
      <c r="D26" s="11">
        <v>2023</v>
      </c>
      <c r="E26" s="146" t="s">
        <v>132</v>
      </c>
      <c r="F26" s="147" t="s">
        <v>147</v>
      </c>
      <c r="G26" s="154" t="s">
        <v>133</v>
      </c>
      <c r="H26" s="155" t="s">
        <v>134</v>
      </c>
      <c r="I26" s="162" t="s">
        <v>135</v>
      </c>
    </row>
    <row r="27" spans="1:11" ht="13.5" thickBot="1" x14ac:dyDescent="0.25">
      <c r="A27" s="11">
        <v>9</v>
      </c>
      <c r="B27" s="169" t="s">
        <v>148</v>
      </c>
      <c r="C27" s="170" t="s">
        <v>148</v>
      </c>
      <c r="D27" s="11">
        <v>2023</v>
      </c>
      <c r="E27" s="151" t="s">
        <v>132</v>
      </c>
      <c r="F27" s="152" t="s">
        <v>147</v>
      </c>
      <c r="G27" s="153" t="s">
        <v>133</v>
      </c>
      <c r="H27" s="160" t="s">
        <v>134</v>
      </c>
      <c r="I27" s="163" t="s">
        <v>135</v>
      </c>
    </row>
    <row r="29" spans="1:11" x14ac:dyDescent="0.2">
      <c r="A29" s="11"/>
      <c r="B29" s="114"/>
      <c r="C29" s="114"/>
      <c r="G29" s="115"/>
      <c r="H29" s="116"/>
      <c r="I29" s="32"/>
    </row>
    <row r="30" spans="1:11" x14ac:dyDescent="0.2">
      <c r="A30" s="11"/>
      <c r="B30" s="114"/>
      <c r="C30" s="114"/>
      <c r="G30" s="115"/>
      <c r="H30" s="116"/>
      <c r="I30" s="32"/>
    </row>
    <row r="31" spans="1:11" x14ac:dyDescent="0.2">
      <c r="A31" s="11"/>
      <c r="B31" s="114"/>
      <c r="C31" s="114"/>
      <c r="G31" s="115"/>
      <c r="H31" s="116"/>
      <c r="I31" s="115"/>
    </row>
    <row r="32" spans="1:11" x14ac:dyDescent="0.2">
      <c r="A32" s="11"/>
      <c r="B32" s="114"/>
      <c r="C32" s="114"/>
      <c r="G32" s="115"/>
      <c r="H32" s="116"/>
      <c r="I32" s="32"/>
    </row>
    <row r="33" spans="1:12" x14ac:dyDescent="0.2">
      <c r="L33" s="120"/>
    </row>
    <row r="34" spans="1:12" x14ac:dyDescent="0.2">
      <c r="A34" s="11"/>
      <c r="B34" s="114"/>
      <c r="C34" s="114"/>
      <c r="G34" s="115"/>
      <c r="H34" s="116"/>
      <c r="I34" s="32"/>
    </row>
    <row r="35" spans="1:12" x14ac:dyDescent="0.2">
      <c r="A35" s="11"/>
      <c r="B35" s="114"/>
      <c r="C35" s="114"/>
      <c r="G35" s="115"/>
      <c r="H35" s="116"/>
      <c r="I35" s="32"/>
    </row>
    <row r="36" spans="1:12" x14ac:dyDescent="0.2">
      <c r="A36" s="11"/>
      <c r="B36" s="114"/>
      <c r="C36" s="114"/>
      <c r="G36" s="115"/>
      <c r="H36" s="116"/>
      <c r="I36" s="32"/>
    </row>
    <row r="37" spans="1:12" x14ac:dyDescent="0.2">
      <c r="A37" s="11"/>
      <c r="B37" s="114"/>
      <c r="C37" s="114"/>
      <c r="G37" s="115"/>
      <c r="H37" s="116"/>
      <c r="I37" s="32"/>
    </row>
    <row r="39" spans="1:12" x14ac:dyDescent="0.2">
      <c r="A39" s="11"/>
      <c r="B39" s="114"/>
      <c r="C39" s="114"/>
      <c r="G39" s="115"/>
      <c r="H39" s="116"/>
      <c r="I39" s="32"/>
    </row>
  </sheetData>
  <mergeCells count="3">
    <mergeCell ref="A1:K1"/>
    <mergeCell ref="A2:K2"/>
    <mergeCell ref="A3:K3"/>
  </mergeCells>
  <printOptions horizontalCentered="1"/>
  <pageMargins left="1" right="1" top="1" bottom="1" header="0.5" footer="0.5"/>
  <pageSetup scale="75" orientation="landscape" horizontalDpi="1200" verticalDpi="1200" r:id="rId1"/>
  <headerFooter>
    <oddFooter>&amp;R&amp;F
&amp;A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72386F-5259-42F2-AED8-3004AAA6DFA8}"/>
</file>

<file path=customXml/itemProps2.xml><?xml version="1.0" encoding="utf-8"?>
<ds:datastoreItem xmlns:ds="http://schemas.openxmlformats.org/officeDocument/2006/customXml" ds:itemID="{4125128F-C653-458C-87C6-F814D292D85B}"/>
</file>

<file path=customXml/itemProps3.xml><?xml version="1.0" encoding="utf-8"?>
<ds:datastoreItem xmlns:ds="http://schemas.openxmlformats.org/officeDocument/2006/customXml" ds:itemID="{82FB914D-333F-49DA-A9FA-9F5320CAFDA6}"/>
</file>

<file path=customXml/itemProps4.xml><?xml version="1.0" encoding="utf-8"?>
<ds:datastoreItem xmlns:ds="http://schemas.openxmlformats.org/officeDocument/2006/customXml" ds:itemID="{14123857-E287-4309-B9A6-9EE60AA4E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REDACTED</vt:lpstr>
      <vt:lpstr>Exh CTM-3C (CCA RSM Formulas)</vt:lpstr>
      <vt:lpstr>(R) Exh CTM-3C (Bands+Calc)</vt:lpstr>
      <vt:lpstr>Exh CTM-3C (Earnings Test)</vt:lpstr>
      <vt:lpstr>Exh CTM-3C (23 Vtg Statistics)</vt:lpstr>
      <vt:lpstr>Exh CTM-3C (23 Vtg Sec Prices)</vt:lpstr>
      <vt:lpstr>(R) Exh CTM-3C (23 CCA Auction)</vt:lpstr>
      <vt:lpstr>(R) Exh CTM-3C (PSE 2023 Trx)</vt:lpstr>
      <vt:lpstr>'(R) Exh CTM-3C (PSE 2023 Trx)'!Print_Area</vt:lpstr>
      <vt:lpstr>'Exh CTM-3C (23 Vtg Sec Prices)'!Print_Area</vt:lpstr>
      <vt:lpstr>'Exh CTM-3C (23 Vtg Statistics)'!Print_Area</vt:lpstr>
      <vt:lpstr>'Exh CTM-3C (CCA RSM Formulas)'!Print_Area</vt:lpstr>
      <vt:lpstr>'Exh CTM-3C (Earnings Test)'!Print_Area</vt:lpstr>
      <vt:lpstr>'(R) Exh CTM-3C (23 CCA Auction)'!Print_Titles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Kuzma Jason</dc:creator>
  <cp:lastModifiedBy>Barnett, Donna L. (BEL)</cp:lastModifiedBy>
  <cp:lastPrinted>2024-04-23T20:55:19Z</cp:lastPrinted>
  <dcterms:created xsi:type="dcterms:W3CDTF">2024-03-31T23:42:14Z</dcterms:created>
  <dcterms:modified xsi:type="dcterms:W3CDTF">2024-04-25T01:41:45Z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