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17\2017_ WA Elec and Gas GRC\Bench Request\Bench 11\"/>
    </mc:Choice>
  </mc:AlternateContent>
  <bookViews>
    <workbookView xWindow="-945" yWindow="570" windowWidth="12120" windowHeight="2895" tabRatio="716"/>
  </bookViews>
  <sheets>
    <sheet name="Washington Electric PF" sheetId="25" r:id="rId1"/>
    <sheet name="Washington Gas PF" sheetId="28" r:id="rId2"/>
    <sheet name="AN Electric" sheetId="27" r:id="rId3"/>
    <sheet name="Total Electric Download" sheetId="38" r:id="rId4"/>
    <sheet name="AN Gas" sheetId="30" r:id="rId5"/>
    <sheet name="Gas North Download" sheetId="39" r:id="rId6"/>
    <sheet name="Pro-Forma Increases" sheetId="52" r:id="rId7"/>
  </sheets>
  <externalReferences>
    <externalReference r:id="rId8"/>
  </externalReferences>
  <definedNames>
    <definedName name="_xlnm.Print_Area" localSheetId="2">'AN Electric'!$A$1:$M$133</definedName>
    <definedName name="_xlnm.Print_Area" localSheetId="4">'AN Gas'!$A$1:$J$89</definedName>
    <definedName name="_xlnm.Print_Area" localSheetId="5">'Gas North Download'!$A$3:$E$44</definedName>
    <definedName name="_xlnm.Print_Area" localSheetId="6">'Pro-Forma Increases'!$A$1:$E$34</definedName>
    <definedName name="_xlnm.Print_Area" localSheetId="3">'Total Electric Download'!$A$3:$E$87</definedName>
    <definedName name="_xlnm.Print_Area" localSheetId="0">'Washington Electric PF'!$A$1:$O$131</definedName>
    <definedName name="_xlnm.Print_Area" localSheetId="1">'Washington Gas PF'!$A$1:$O$84</definedName>
    <definedName name="_xlnm.Print_Titles" localSheetId="2">'AN Electric'!$1:$8</definedName>
    <definedName name="_xlnm.Print_Titles" localSheetId="4">'AN Gas'!$1:$8</definedName>
    <definedName name="_xlnm.Print_Titles" localSheetId="3">'Total Electric Download'!$4:$4</definedName>
    <definedName name="_xlnm.Print_Titles" localSheetId="0">'Washington Electric PF'!$C:$E,'Washington Electric PF'!$1:$9</definedName>
    <definedName name="_xlnm.Print_Titles" localSheetId="1">'Washington Gas PF'!$C:$E,'Washington Gas PF'!$1:$10</definedName>
    <definedName name="Recover" localSheetId="6">[1]Macro1!$A$69</definedName>
    <definedName name="Recover">[1]Macro1!$A$69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X129" i="25" l="1"/>
  <c r="Z134" i="25" l="1"/>
  <c r="Z133" i="25"/>
  <c r="Y130" i="25" l="1"/>
  <c r="X130" i="25"/>
  <c r="Y129" i="25"/>
  <c r="Z129" i="25"/>
  <c r="Z130" i="25" l="1"/>
  <c r="D18" i="30"/>
  <c r="C31" i="52" l="1"/>
  <c r="O17" i="28" l="1"/>
  <c r="O22" i="28"/>
  <c r="O46" i="28"/>
  <c r="O53" i="28"/>
  <c r="O59" i="28"/>
  <c r="O66" i="28"/>
  <c r="L70" i="25"/>
  <c r="L71" i="25"/>
  <c r="L92" i="25"/>
  <c r="L93" i="25"/>
  <c r="L99" i="25"/>
  <c r="L100" i="25"/>
  <c r="L105" i="25"/>
  <c r="L106" i="25"/>
  <c r="L112" i="25"/>
  <c r="L113" i="25"/>
  <c r="L124" i="25"/>
  <c r="O124" i="25"/>
  <c r="M8" i="25"/>
  <c r="M8" i="28" s="1"/>
  <c r="L9" i="28"/>
  <c r="L8" i="28" l="1"/>
  <c r="M9" i="25"/>
  <c r="M9" i="28" s="1"/>
  <c r="D25" i="52" l="1"/>
  <c r="C25" i="52"/>
  <c r="D10" i="52"/>
  <c r="C10" i="52"/>
  <c r="C65" i="30" l="1"/>
  <c r="C72" i="30"/>
  <c r="B36" i="39"/>
  <c r="B35" i="39"/>
  <c r="B41" i="39" s="1"/>
  <c r="C77" i="30" s="1"/>
  <c r="B10" i="30"/>
  <c r="E7" i="39"/>
  <c r="E8" i="39"/>
  <c r="D41" i="39"/>
  <c r="E6" i="39"/>
  <c r="C12" i="30" s="1"/>
  <c r="C13" i="30" s="1"/>
  <c r="C66" i="30"/>
  <c r="C67" i="30"/>
  <c r="C68" i="30"/>
  <c r="C69" i="30"/>
  <c r="C71" i="30"/>
  <c r="C73" i="30"/>
  <c r="C59" i="30"/>
  <c r="C60" i="30"/>
  <c r="C61" i="30"/>
  <c r="C58" i="30"/>
  <c r="C53" i="30"/>
  <c r="C54" i="30"/>
  <c r="C52" i="30"/>
  <c r="C46" i="30"/>
  <c r="C47" i="30"/>
  <c r="C48" i="30"/>
  <c r="C45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21" i="30"/>
  <c r="D21" i="30"/>
  <c r="C18" i="30"/>
  <c r="E10" i="39"/>
  <c r="E11" i="39"/>
  <c r="E14" i="39"/>
  <c r="E15" i="39"/>
  <c r="E18" i="39"/>
  <c r="E19" i="39"/>
  <c r="E9" i="39"/>
  <c r="E12" i="39"/>
  <c r="E13" i="39"/>
  <c r="E16" i="39"/>
  <c r="E17" i="39"/>
  <c r="C41" i="39"/>
  <c r="C120" i="27"/>
  <c r="B120" i="27"/>
  <c r="C125" i="27"/>
  <c r="B113" i="27"/>
  <c r="B34" i="27"/>
  <c r="B75" i="27"/>
  <c r="B73" i="27"/>
  <c r="B74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71" i="27"/>
  <c r="B90" i="27" s="1"/>
  <c r="B57" i="27"/>
  <c r="B56" i="27"/>
  <c r="C12" i="27"/>
  <c r="B12" i="27"/>
  <c r="B13" i="27"/>
  <c r="B14" i="27"/>
  <c r="B15" i="27"/>
  <c r="B17" i="27"/>
  <c r="B18" i="27"/>
  <c r="B19" i="27"/>
  <c r="B20" i="27"/>
  <c r="B21" i="27"/>
  <c r="B25" i="27"/>
  <c r="B26" i="27"/>
  <c r="B27" i="27"/>
  <c r="B28" i="27"/>
  <c r="B29" i="27"/>
  <c r="B30" i="27"/>
  <c r="B31" i="27"/>
  <c r="B32" i="27"/>
  <c r="B33" i="27"/>
  <c r="B38" i="27"/>
  <c r="B45" i="27" s="1"/>
  <c r="B39" i="27"/>
  <c r="B40" i="27"/>
  <c r="B41" i="27"/>
  <c r="B42" i="27"/>
  <c r="B43" i="27"/>
  <c r="B44" i="27"/>
  <c r="B48" i="27"/>
  <c r="B49" i="27"/>
  <c r="B50" i="27" s="1"/>
  <c r="B55" i="27"/>
  <c r="B58" i="27"/>
  <c r="B60" i="27"/>
  <c r="B61" i="27"/>
  <c r="B62" i="27"/>
  <c r="B63" i="27"/>
  <c r="B64" i="27"/>
  <c r="B65" i="27"/>
  <c r="B66" i="27"/>
  <c r="B67" i="27"/>
  <c r="B93" i="27"/>
  <c r="B94" i="27"/>
  <c r="B95" i="27"/>
  <c r="B96" i="27"/>
  <c r="B97" i="27" s="1"/>
  <c r="B100" i="27"/>
  <c r="B101" i="27"/>
  <c r="B103" i="27" s="1"/>
  <c r="B102" i="27"/>
  <c r="B114" i="27"/>
  <c r="B115" i="27"/>
  <c r="B116" i="27"/>
  <c r="B117" i="27"/>
  <c r="B119" i="27"/>
  <c r="B121" i="27"/>
  <c r="B11" i="27"/>
  <c r="B22" i="27" s="1"/>
  <c r="C38" i="27"/>
  <c r="B75" i="38"/>
  <c r="B85" i="38"/>
  <c r="B25" i="38"/>
  <c r="B122" i="27" l="1"/>
  <c r="B35" i="27"/>
  <c r="C70" i="30"/>
  <c r="C74" i="30" s="1"/>
  <c r="C55" i="30"/>
  <c r="C62" i="30"/>
  <c r="C49" i="30"/>
  <c r="C42" i="30"/>
  <c r="B52" i="27"/>
  <c r="B68" i="27"/>
  <c r="E6" i="38"/>
  <c r="B124" i="27" l="1"/>
  <c r="C76" i="30"/>
  <c r="C78" i="30" s="1"/>
  <c r="C85" i="38"/>
  <c r="D85" i="38"/>
  <c r="D11" i="52" l="1"/>
  <c r="E20" i="39" l="1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B72" i="30" s="1"/>
  <c r="E39" i="39"/>
  <c r="E40" i="39"/>
  <c r="B70" i="30" l="1"/>
  <c r="E41" i="39"/>
  <c r="D26" i="52" l="1"/>
  <c r="E77" i="38" l="1"/>
  <c r="C59" i="27"/>
  <c r="C72" i="27"/>
  <c r="C106" i="27"/>
  <c r="C107" i="27"/>
  <c r="C108" i="27"/>
  <c r="C109" i="27"/>
  <c r="C110" i="27"/>
  <c r="C117" i="27"/>
  <c r="C118" i="27"/>
  <c r="C14" i="27" l="1"/>
  <c r="C15" i="27"/>
  <c r="C16" i="27"/>
  <c r="C18" i="27"/>
  <c r="E17" i="38"/>
  <c r="C33" i="27"/>
  <c r="C40" i="27"/>
  <c r="C41" i="27"/>
  <c r="E38" i="38"/>
  <c r="E39" i="38"/>
  <c r="E40" i="38"/>
  <c r="E55" i="38"/>
  <c r="C77" i="27"/>
  <c r="C81" i="27"/>
  <c r="C96" i="27"/>
  <c r="C114" i="27"/>
  <c r="C121" i="27"/>
  <c r="E7" i="38"/>
  <c r="C87" i="27" l="1"/>
  <c r="C62" i="27"/>
  <c r="C57" i="27"/>
  <c r="C113" i="27"/>
  <c r="C49" i="27"/>
  <c r="C42" i="27"/>
  <c r="C31" i="27"/>
  <c r="C101" i="27"/>
  <c r="C94" i="27"/>
  <c r="C83" i="27"/>
  <c r="C79" i="27"/>
  <c r="C71" i="27"/>
  <c r="C64" i="27"/>
  <c r="C60" i="27"/>
  <c r="C48" i="27"/>
  <c r="C115" i="27"/>
  <c r="C100" i="27"/>
  <c r="C86" i="27"/>
  <c r="C82" i="27"/>
  <c r="C78" i="27"/>
  <c r="C67" i="27"/>
  <c r="C63" i="27"/>
  <c r="C58" i="27"/>
  <c r="C34" i="27"/>
  <c r="C26" i="27"/>
  <c r="C19" i="27"/>
  <c r="C11" i="27"/>
  <c r="C27" i="27"/>
  <c r="C20" i="27"/>
  <c r="E62" i="38"/>
  <c r="E79" i="38"/>
  <c r="E71" i="38"/>
  <c r="E58" i="38"/>
  <c r="E46" i="38"/>
  <c r="E45" i="38"/>
  <c r="E30" i="38"/>
  <c r="E29" i="38"/>
  <c r="E23" i="38"/>
  <c r="E19" i="38"/>
  <c r="E11" i="38"/>
  <c r="E10" i="38"/>
  <c r="E50" i="38"/>
  <c r="E34" i="38"/>
  <c r="E25" i="38"/>
  <c r="E14" i="38"/>
  <c r="E73" i="38"/>
  <c r="E51" i="38"/>
  <c r="E42" i="38"/>
  <c r="E26" i="38"/>
  <c r="E18" i="38"/>
  <c r="E9" i="38"/>
  <c r="E35" i="38"/>
  <c r="E83" i="38"/>
  <c r="E63" i="38"/>
  <c r="E15" i="38"/>
  <c r="E74" i="38"/>
  <c r="E66" i="38"/>
  <c r="E47" i="38"/>
  <c r="E31" i="38"/>
  <c r="E75" i="38"/>
  <c r="E67" i="38"/>
  <c r="E59" i="38"/>
  <c r="E43" i="38"/>
  <c r="E27" i="38"/>
  <c r="E76" i="38"/>
  <c r="C102" i="27"/>
  <c r="E64" i="38"/>
  <c r="C84" i="27"/>
  <c r="E52" i="38"/>
  <c r="C73" i="27"/>
  <c r="E32" i="38"/>
  <c r="C43" i="27"/>
  <c r="E20" i="38"/>
  <c r="C28" i="27"/>
  <c r="E80" i="38"/>
  <c r="C116" i="27"/>
  <c r="E78" i="38"/>
  <c r="E57" i="38"/>
  <c r="E13" i="38"/>
  <c r="E81" i="38"/>
  <c r="C119" i="27"/>
  <c r="E72" i="38"/>
  <c r="C95" i="27"/>
  <c r="E68" i="38"/>
  <c r="C88" i="27"/>
  <c r="E60" i="38"/>
  <c r="C80" i="27"/>
  <c r="E56" i="38"/>
  <c r="C76" i="27"/>
  <c r="E48" i="38"/>
  <c r="C65" i="27"/>
  <c r="E44" i="38"/>
  <c r="C61" i="27"/>
  <c r="E36" i="38"/>
  <c r="C55" i="27"/>
  <c r="E28" i="38"/>
  <c r="C39" i="27"/>
  <c r="E24" i="38"/>
  <c r="C32" i="27"/>
  <c r="E16" i="38"/>
  <c r="C21" i="27"/>
  <c r="E12" i="38"/>
  <c r="C17" i="27"/>
  <c r="E8" i="38"/>
  <c r="C13" i="27"/>
  <c r="E82" i="38"/>
  <c r="E69" i="38"/>
  <c r="C89" i="27"/>
  <c r="E65" i="38"/>
  <c r="C85" i="27"/>
  <c r="E53" i="38"/>
  <c r="C74" i="27"/>
  <c r="E49" i="38"/>
  <c r="C66" i="27"/>
  <c r="E37" i="38"/>
  <c r="C56" i="27"/>
  <c r="E33" i="38"/>
  <c r="C44" i="27"/>
  <c r="E21" i="38"/>
  <c r="C29" i="27"/>
  <c r="C25" i="27"/>
  <c r="E70" i="38"/>
  <c r="C93" i="27"/>
  <c r="E54" i="38"/>
  <c r="C75" i="27"/>
  <c r="E22" i="38"/>
  <c r="C30" i="27"/>
  <c r="E61" i="38"/>
  <c r="E41" i="38"/>
  <c r="C50" i="27" l="1"/>
  <c r="E85" i="38"/>
  <c r="C103" i="27"/>
  <c r="C97" i="27"/>
  <c r="C22" i="27"/>
  <c r="C90" i="27"/>
  <c r="C45" i="27"/>
  <c r="C122" i="27"/>
  <c r="C35" i="27"/>
  <c r="C68" i="27"/>
  <c r="C52" i="27" l="1"/>
  <c r="F16" i="27" l="1"/>
  <c r="G16" i="27" s="1"/>
  <c r="F11" i="27"/>
  <c r="B77" i="30"/>
  <c r="E17" i="25" l="1"/>
  <c r="G17" i="25" s="1"/>
  <c r="J16" i="27"/>
  <c r="L16" i="27" s="1"/>
  <c r="G77" i="30" l="1"/>
  <c r="D77" i="30"/>
  <c r="I121" i="27"/>
  <c r="I120" i="27"/>
  <c r="I119" i="27"/>
  <c r="I118" i="27"/>
  <c r="I117" i="27"/>
  <c r="I116" i="27"/>
  <c r="I115" i="27"/>
  <c r="I114" i="27"/>
  <c r="I113" i="27"/>
  <c r="I109" i="27"/>
  <c r="I108" i="27"/>
  <c r="I107" i="27"/>
  <c r="I106" i="27"/>
  <c r="I102" i="27"/>
  <c r="I101" i="27"/>
  <c r="I100" i="27"/>
  <c r="I96" i="27"/>
  <c r="I95" i="27"/>
  <c r="I94" i="27"/>
  <c r="I93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49" i="27"/>
  <c r="I48" i="27"/>
  <c r="I44" i="27"/>
  <c r="I43" i="27"/>
  <c r="I42" i="27"/>
  <c r="I41" i="27"/>
  <c r="I40" i="27"/>
  <c r="I39" i="27"/>
  <c r="I38" i="27"/>
  <c r="I34" i="27"/>
  <c r="I33" i="27"/>
  <c r="I32" i="27"/>
  <c r="I31" i="27"/>
  <c r="I30" i="27"/>
  <c r="I29" i="27"/>
  <c r="I28" i="27"/>
  <c r="I27" i="27"/>
  <c r="I26" i="27"/>
  <c r="I25" i="27"/>
  <c r="I21" i="27"/>
  <c r="I20" i="27"/>
  <c r="I19" i="27"/>
  <c r="I18" i="27"/>
  <c r="I17" i="27"/>
  <c r="I15" i="27"/>
  <c r="I14" i="27"/>
  <c r="I13" i="27"/>
  <c r="I12" i="27"/>
  <c r="I11" i="27"/>
  <c r="E121" i="27"/>
  <c r="E120" i="27"/>
  <c r="E119" i="27"/>
  <c r="E118" i="27"/>
  <c r="E117" i="27"/>
  <c r="E116" i="27"/>
  <c r="E115" i="27"/>
  <c r="E114" i="27"/>
  <c r="E113" i="27"/>
  <c r="E109" i="27"/>
  <c r="E108" i="27"/>
  <c r="E107" i="27"/>
  <c r="E106" i="27"/>
  <c r="E102" i="27"/>
  <c r="E101" i="27"/>
  <c r="E100" i="27"/>
  <c r="E96" i="27"/>
  <c r="E95" i="27"/>
  <c r="E94" i="27"/>
  <c r="E93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49" i="27"/>
  <c r="E48" i="27"/>
  <c r="E44" i="27"/>
  <c r="E43" i="27"/>
  <c r="E42" i="27"/>
  <c r="E41" i="27"/>
  <c r="E40" i="27"/>
  <c r="E39" i="27"/>
  <c r="E38" i="27"/>
  <c r="E34" i="27"/>
  <c r="E33" i="27"/>
  <c r="E32" i="27"/>
  <c r="E31" i="27"/>
  <c r="E30" i="27"/>
  <c r="E29" i="27"/>
  <c r="E28" i="27"/>
  <c r="E27" i="27"/>
  <c r="E26" i="27"/>
  <c r="E25" i="27"/>
  <c r="E21" i="27"/>
  <c r="E20" i="27"/>
  <c r="E19" i="27"/>
  <c r="E18" i="27"/>
  <c r="E17" i="27"/>
  <c r="E15" i="27"/>
  <c r="E14" i="27"/>
  <c r="E13" i="27"/>
  <c r="E12" i="27"/>
  <c r="E11" i="27"/>
  <c r="J115" i="27"/>
  <c r="J86" i="27"/>
  <c r="E125" i="27" l="1"/>
  <c r="I125" i="27" l="1"/>
  <c r="B71" i="30" l="1"/>
  <c r="B59" i="30"/>
  <c r="B41" i="30"/>
  <c r="B30" i="30"/>
  <c r="B16" i="30"/>
  <c r="B65" i="30"/>
  <c r="B45" i="30"/>
  <c r="B32" i="30"/>
  <c r="B73" i="30"/>
  <c r="B66" i="30"/>
  <c r="B46" i="30"/>
  <c r="B34" i="30"/>
  <c r="B12" i="30"/>
  <c r="B67" i="30"/>
  <c r="B36" i="30"/>
  <c r="B25" i="30"/>
  <c r="B68" i="30"/>
  <c r="B37" i="30"/>
  <c r="B26" i="30"/>
  <c r="B52" i="30"/>
  <c r="B38" i="30"/>
  <c r="B27" i="30"/>
  <c r="B53" i="30"/>
  <c r="B39" i="30"/>
  <c r="B28" i="30"/>
  <c r="B54" i="30"/>
  <c r="B40" i="30"/>
  <c r="B29" i="30"/>
  <c r="J8" i="25"/>
  <c r="J9" i="25"/>
  <c r="D17" i="52"/>
  <c r="D32" i="52"/>
  <c r="I9" i="25"/>
  <c r="B125" i="27"/>
  <c r="D32" i="25"/>
  <c r="D54" i="25" s="1"/>
  <c r="D76" i="25" s="1"/>
  <c r="D32" i="28"/>
  <c r="E67" i="30"/>
  <c r="D67" i="30"/>
  <c r="G67" i="30"/>
  <c r="F63" i="27"/>
  <c r="B47" i="30"/>
  <c r="E21" i="30"/>
  <c r="F21" i="27"/>
  <c r="G21" i="27" s="1"/>
  <c r="F19" i="27"/>
  <c r="G19" i="27" s="1"/>
  <c r="E22" i="27"/>
  <c r="D12" i="30"/>
  <c r="D11" i="30"/>
  <c r="D10" i="30"/>
  <c r="F121" i="27"/>
  <c r="F12" i="27"/>
  <c r="G12" i="27" s="1"/>
  <c r="F17" i="27"/>
  <c r="F18" i="27"/>
  <c r="G18" i="27" s="1"/>
  <c r="F20" i="27"/>
  <c r="G20" i="27" s="1"/>
  <c r="F25" i="27"/>
  <c r="G25" i="27" s="1"/>
  <c r="F26" i="27"/>
  <c r="F27" i="27"/>
  <c r="G27" i="27" s="1"/>
  <c r="J28" i="27"/>
  <c r="F29" i="27"/>
  <c r="G29" i="27" s="1"/>
  <c r="F30" i="27"/>
  <c r="F31" i="27"/>
  <c r="J32" i="27"/>
  <c r="L32" i="27" s="1"/>
  <c r="F33" i="27"/>
  <c r="G33" i="27" s="1"/>
  <c r="F34" i="27"/>
  <c r="F38" i="27"/>
  <c r="F40" i="27"/>
  <c r="G40" i="27" s="1"/>
  <c r="J41" i="27"/>
  <c r="F42" i="27"/>
  <c r="J43" i="27"/>
  <c r="L43" i="27" s="1"/>
  <c r="F44" i="27"/>
  <c r="E50" i="27"/>
  <c r="F48" i="27"/>
  <c r="J55" i="27"/>
  <c r="J56" i="27"/>
  <c r="F57" i="27"/>
  <c r="F58" i="27"/>
  <c r="J60" i="27"/>
  <c r="F61" i="27"/>
  <c r="G61" i="27" s="1"/>
  <c r="F62" i="27"/>
  <c r="F64" i="27"/>
  <c r="F65" i="27"/>
  <c r="F66" i="27"/>
  <c r="F67" i="27"/>
  <c r="F71" i="27"/>
  <c r="J72" i="27"/>
  <c r="F73" i="27"/>
  <c r="F74" i="27"/>
  <c r="F75" i="27"/>
  <c r="F76" i="27"/>
  <c r="F77" i="27"/>
  <c r="F78" i="27"/>
  <c r="F79" i="27"/>
  <c r="J80" i="27"/>
  <c r="F81" i="27"/>
  <c r="J82" i="27"/>
  <c r="F83" i="27"/>
  <c r="J84" i="27"/>
  <c r="J85" i="27"/>
  <c r="F86" i="27"/>
  <c r="J87" i="27"/>
  <c r="J88" i="27"/>
  <c r="F89" i="27"/>
  <c r="F93" i="27"/>
  <c r="F94" i="27"/>
  <c r="F95" i="27"/>
  <c r="F96" i="27"/>
  <c r="F100" i="27"/>
  <c r="F101" i="27"/>
  <c r="F102" i="27"/>
  <c r="F106" i="27"/>
  <c r="F107" i="27"/>
  <c r="J108" i="27"/>
  <c r="J109" i="27"/>
  <c r="J114" i="27"/>
  <c r="F115" i="27"/>
  <c r="F116" i="27"/>
  <c r="F117" i="27"/>
  <c r="F118" i="27"/>
  <c r="F120" i="27"/>
  <c r="J19" i="27"/>
  <c r="J25" i="27"/>
  <c r="J26" i="27"/>
  <c r="J27" i="27"/>
  <c r="J29" i="27"/>
  <c r="J31" i="27"/>
  <c r="J33" i="27"/>
  <c r="J42" i="27"/>
  <c r="I50" i="27"/>
  <c r="G65" i="30"/>
  <c r="G10" i="30"/>
  <c r="E10" i="30"/>
  <c r="G11" i="30"/>
  <c r="E11" i="30"/>
  <c r="G12" i="30"/>
  <c r="H12" i="30"/>
  <c r="G16" i="30"/>
  <c r="E16" i="30"/>
  <c r="G17" i="30"/>
  <c r="H17" i="30"/>
  <c r="G21" i="30"/>
  <c r="G22" i="30"/>
  <c r="E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30" i="30"/>
  <c r="H30" i="30"/>
  <c r="G31" i="30"/>
  <c r="H31" i="30"/>
  <c r="G32" i="30"/>
  <c r="H32" i="30"/>
  <c r="G33" i="30"/>
  <c r="H33" i="30"/>
  <c r="G34" i="30"/>
  <c r="H34" i="30"/>
  <c r="G35" i="30"/>
  <c r="H35" i="30"/>
  <c r="G36" i="30"/>
  <c r="E36" i="30"/>
  <c r="G37" i="30"/>
  <c r="H37" i="30"/>
  <c r="G38" i="30"/>
  <c r="H38" i="30"/>
  <c r="G39" i="30"/>
  <c r="H39" i="30"/>
  <c r="G40" i="30"/>
  <c r="H40" i="30"/>
  <c r="G41" i="30"/>
  <c r="E41" i="30"/>
  <c r="G45" i="30"/>
  <c r="H45" i="30"/>
  <c r="G46" i="30"/>
  <c r="H46" i="30"/>
  <c r="G47" i="30"/>
  <c r="H47" i="30"/>
  <c r="G48" i="30"/>
  <c r="H48" i="30"/>
  <c r="G52" i="30"/>
  <c r="E52" i="30"/>
  <c r="G53" i="30"/>
  <c r="H53" i="30"/>
  <c r="G54" i="30"/>
  <c r="H54" i="30"/>
  <c r="G58" i="30"/>
  <c r="H58" i="30"/>
  <c r="G59" i="30"/>
  <c r="H59" i="30"/>
  <c r="G60" i="30"/>
  <c r="H60" i="30"/>
  <c r="G61" i="30"/>
  <c r="E61" i="30"/>
  <c r="G66" i="30"/>
  <c r="H66" i="30"/>
  <c r="G68" i="30"/>
  <c r="H68" i="30"/>
  <c r="G69" i="30"/>
  <c r="H69" i="30"/>
  <c r="G70" i="30"/>
  <c r="H70" i="30"/>
  <c r="G71" i="30"/>
  <c r="E71" i="30"/>
  <c r="G72" i="30"/>
  <c r="H72" i="30"/>
  <c r="G73" i="30"/>
  <c r="H73" i="30"/>
  <c r="D65" i="30"/>
  <c r="D16" i="30"/>
  <c r="D17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5" i="30"/>
  <c r="D46" i="30"/>
  <c r="D47" i="30"/>
  <c r="D48" i="30"/>
  <c r="D52" i="30"/>
  <c r="D53" i="30"/>
  <c r="D54" i="30"/>
  <c r="D58" i="30"/>
  <c r="D59" i="30"/>
  <c r="D60" i="30"/>
  <c r="D61" i="30"/>
  <c r="D66" i="30"/>
  <c r="D68" i="30"/>
  <c r="D69" i="30"/>
  <c r="D71" i="30"/>
  <c r="D72" i="30"/>
  <c r="D73" i="30"/>
  <c r="A1" i="30"/>
  <c r="F129" i="27"/>
  <c r="F130" i="27"/>
  <c r="F131" i="27"/>
  <c r="F128" i="27"/>
  <c r="C1" i="25"/>
  <c r="B69" i="30"/>
  <c r="B60" i="30"/>
  <c r="B61" i="30"/>
  <c r="B58" i="30"/>
  <c r="B48" i="30"/>
  <c r="B22" i="30"/>
  <c r="B23" i="30"/>
  <c r="B24" i="30"/>
  <c r="B31" i="30"/>
  <c r="B33" i="30"/>
  <c r="B35" i="30"/>
  <c r="B21" i="30"/>
  <c r="B17" i="30"/>
  <c r="B11" i="30"/>
  <c r="E82" i="30"/>
  <c r="E81" i="30"/>
  <c r="E83" i="30"/>
  <c r="E84" i="30"/>
  <c r="E85" i="30"/>
  <c r="E86" i="30"/>
  <c r="H65" i="30"/>
  <c r="F43" i="27"/>
  <c r="G43" i="27" s="1"/>
  <c r="F41" i="27"/>
  <c r="F39" i="27"/>
  <c r="J39" i="27"/>
  <c r="J20" i="27"/>
  <c r="J18" i="27"/>
  <c r="L18" i="27" s="1"/>
  <c r="J13" i="27"/>
  <c r="L13" i="27" s="1"/>
  <c r="J11" i="27"/>
  <c r="L11" i="27" s="1"/>
  <c r="F113" i="27"/>
  <c r="J21" i="27"/>
  <c r="F55" i="27"/>
  <c r="G55" i="27" s="1"/>
  <c r="J81" i="27"/>
  <c r="L81" i="27" s="1"/>
  <c r="J63" i="27"/>
  <c r="J59" i="27"/>
  <c r="L59" i="27" s="1"/>
  <c r="J58" i="27"/>
  <c r="J12" i="27"/>
  <c r="F32" i="27"/>
  <c r="G32" i="27" s="1"/>
  <c r="F28" i="27"/>
  <c r="G28" i="27" s="1"/>
  <c r="J116" i="27"/>
  <c r="L116" i="27" s="1"/>
  <c r="F59" i="27"/>
  <c r="G59" i="27" s="1"/>
  <c r="F15" i="27"/>
  <c r="G15" i="27" s="1"/>
  <c r="J15" i="27"/>
  <c r="F56" i="27"/>
  <c r="I103" i="27"/>
  <c r="J14" i="27"/>
  <c r="L14" i="27" s="1"/>
  <c r="F14" i="27"/>
  <c r="G14" i="27" s="1"/>
  <c r="J57" i="27"/>
  <c r="J61" i="27"/>
  <c r="E62" i="25" l="1"/>
  <c r="E60" i="25"/>
  <c r="E56" i="25"/>
  <c r="E15" i="25"/>
  <c r="E41" i="25"/>
  <c r="E21" i="25"/>
  <c r="E16" i="25"/>
  <c r="E33" i="25"/>
  <c r="E44" i="25"/>
  <c r="E28" i="25"/>
  <c r="E19" i="25"/>
  <c r="E20" i="25"/>
  <c r="E29" i="25"/>
  <c r="E22" i="25"/>
  <c r="E34" i="25"/>
  <c r="E30" i="25"/>
  <c r="E26" i="25"/>
  <c r="E13" i="25"/>
  <c r="I17" i="25"/>
  <c r="B42" i="30"/>
  <c r="B13" i="30"/>
  <c r="B49" i="30"/>
  <c r="B18" i="30"/>
  <c r="J9" i="28"/>
  <c r="I8" i="25"/>
  <c r="A4" i="30"/>
  <c r="J8" i="28"/>
  <c r="E29" i="30"/>
  <c r="F29" i="30" s="1"/>
  <c r="I65" i="30"/>
  <c r="B74" i="30"/>
  <c r="E66" i="30"/>
  <c r="F66" i="30" s="1"/>
  <c r="H10" i="30"/>
  <c r="I10" i="30" s="1"/>
  <c r="E23" i="30"/>
  <c r="F23" i="30" s="1"/>
  <c r="F10" i="30"/>
  <c r="F67" i="30"/>
  <c r="E12" i="30"/>
  <c r="F12" i="30" s="1"/>
  <c r="D13" i="30"/>
  <c r="F11" i="30"/>
  <c r="H67" i="30"/>
  <c r="I67" i="30" s="1"/>
  <c r="H11" i="30"/>
  <c r="I11" i="30" s="1"/>
  <c r="E31" i="30"/>
  <c r="F31" i="30" s="1"/>
  <c r="E25" i="30"/>
  <c r="F25" i="30" s="1"/>
  <c r="L15" i="27"/>
  <c r="L42" i="27"/>
  <c r="G56" i="27"/>
  <c r="G41" i="27"/>
  <c r="L61" i="27"/>
  <c r="G39" i="27"/>
  <c r="L55" i="27"/>
  <c r="L39" i="27"/>
  <c r="L26" i="27"/>
  <c r="L27" i="27"/>
  <c r="G48" i="27"/>
  <c r="G79" i="27"/>
  <c r="I22" i="27"/>
  <c r="L88" i="27"/>
  <c r="I12" i="30"/>
  <c r="G13" i="30"/>
  <c r="H21" i="30"/>
  <c r="I21" i="30" s="1"/>
  <c r="E39" i="30"/>
  <c r="F39" i="30" s="1"/>
  <c r="E32" i="30"/>
  <c r="F32" i="30" s="1"/>
  <c r="F41" i="30"/>
  <c r="F61" i="30"/>
  <c r="L29" i="27"/>
  <c r="D42" i="30"/>
  <c r="G117" i="27"/>
  <c r="L28" i="27"/>
  <c r="L41" i="27"/>
  <c r="L21" i="27"/>
  <c r="L80" i="27"/>
  <c r="G62" i="30"/>
  <c r="H16" i="30"/>
  <c r="I16" i="30" s="1"/>
  <c r="H22" i="30"/>
  <c r="I22" i="30" s="1"/>
  <c r="G18" i="30"/>
  <c r="H49" i="30"/>
  <c r="E40" i="30"/>
  <c r="F40" i="30" s="1"/>
  <c r="H52" i="30"/>
  <c r="I52" i="30" s="1"/>
  <c r="E33" i="30"/>
  <c r="F33" i="30" s="1"/>
  <c r="E48" i="30"/>
  <c r="F48" i="30" s="1"/>
  <c r="E30" i="30"/>
  <c r="F30" i="30" s="1"/>
  <c r="H41" i="30"/>
  <c r="I41" i="30" s="1"/>
  <c r="I27" i="30"/>
  <c r="E37" i="30"/>
  <c r="F37" i="30" s="1"/>
  <c r="E38" i="30"/>
  <c r="F38" i="30" s="1"/>
  <c r="E59" i="30"/>
  <c r="F59" i="30" s="1"/>
  <c r="E53" i="30"/>
  <c r="F53" i="30" s="1"/>
  <c r="E34" i="30"/>
  <c r="F34" i="30" s="1"/>
  <c r="E27" i="30"/>
  <c r="F27" i="30" s="1"/>
  <c r="E35" i="30"/>
  <c r="F35" i="30" s="1"/>
  <c r="E47" i="30"/>
  <c r="F47" i="30" s="1"/>
  <c r="E24" i="30"/>
  <c r="F24" i="30" s="1"/>
  <c r="E17" i="30"/>
  <c r="F17" i="30" s="1"/>
  <c r="E26" i="30"/>
  <c r="F26" i="30" s="1"/>
  <c r="E73" i="30"/>
  <c r="F73" i="30" s="1"/>
  <c r="E68" i="30"/>
  <c r="F68" i="30" s="1"/>
  <c r="H71" i="30"/>
  <c r="E28" i="30"/>
  <c r="F28" i="30" s="1"/>
  <c r="E70" i="30"/>
  <c r="F70" i="30" s="1"/>
  <c r="E45" i="30"/>
  <c r="F45" i="30" s="1"/>
  <c r="E72" i="30"/>
  <c r="F72" i="30" s="1"/>
  <c r="H36" i="30"/>
  <c r="I36" i="30" s="1"/>
  <c r="E58" i="30"/>
  <c r="E54" i="30"/>
  <c r="F54" i="30" s="1"/>
  <c r="H61" i="30"/>
  <c r="I61" i="30" s="1"/>
  <c r="E69" i="30"/>
  <c r="F69" i="30" s="1"/>
  <c r="E46" i="30"/>
  <c r="F46" i="30" s="1"/>
  <c r="E60" i="30"/>
  <c r="F60" i="30" s="1"/>
  <c r="I24" i="30"/>
  <c r="D55" i="30"/>
  <c r="I59" i="30"/>
  <c r="I28" i="30"/>
  <c r="I37" i="30"/>
  <c r="I66" i="30"/>
  <c r="I45" i="30"/>
  <c r="I34" i="30"/>
  <c r="G42" i="30"/>
  <c r="G55" i="30"/>
  <c r="I38" i="30"/>
  <c r="I23" i="30"/>
  <c r="G49" i="30"/>
  <c r="I48" i="30"/>
  <c r="D49" i="30"/>
  <c r="F16" i="30"/>
  <c r="D62" i="30"/>
  <c r="I25" i="30"/>
  <c r="F71" i="30"/>
  <c r="I72" i="30"/>
  <c r="D74" i="30"/>
  <c r="F52" i="30"/>
  <c r="F36" i="30"/>
  <c r="I53" i="30"/>
  <c r="I29" i="30"/>
  <c r="F22" i="30"/>
  <c r="E65" i="30"/>
  <c r="F65" i="30" s="1"/>
  <c r="I54" i="30"/>
  <c r="I30" i="30"/>
  <c r="I26" i="30"/>
  <c r="I35" i="30"/>
  <c r="I58" i="30"/>
  <c r="I68" i="30"/>
  <c r="G62" i="27"/>
  <c r="J64" i="27"/>
  <c r="L64" i="27" s="1"/>
  <c r="J38" i="27"/>
  <c r="L38" i="27" s="1"/>
  <c r="F84" i="27"/>
  <c r="G84" i="27" s="1"/>
  <c r="F80" i="27"/>
  <c r="G80" i="27" s="1"/>
  <c r="J30" i="27"/>
  <c r="L30" i="27" s="1"/>
  <c r="J34" i="27"/>
  <c r="L34" i="27" s="1"/>
  <c r="J121" i="27"/>
  <c r="L121" i="27" s="1"/>
  <c r="J44" i="27"/>
  <c r="L44" i="27" s="1"/>
  <c r="J65" i="27"/>
  <c r="L65" i="27" s="1"/>
  <c r="J95" i="27"/>
  <c r="L95" i="27" s="1"/>
  <c r="J66" i="27"/>
  <c r="L66" i="27" s="1"/>
  <c r="F72" i="27"/>
  <c r="G72" i="27" s="1"/>
  <c r="J71" i="27"/>
  <c r="L71" i="27" s="1"/>
  <c r="F87" i="27"/>
  <c r="G87" i="27" s="1"/>
  <c r="G115" i="27"/>
  <c r="E68" i="27"/>
  <c r="L60" i="27"/>
  <c r="L56" i="27"/>
  <c r="E45" i="27"/>
  <c r="L72" i="27"/>
  <c r="L85" i="27"/>
  <c r="L87" i="27"/>
  <c r="J100" i="27"/>
  <c r="L100" i="27" s="1"/>
  <c r="J48" i="27"/>
  <c r="L48" i="27" s="1"/>
  <c r="J79" i="27"/>
  <c r="L79" i="27" s="1"/>
  <c r="J77" i="27"/>
  <c r="L77" i="27" s="1"/>
  <c r="J117" i="27"/>
  <c r="L117" i="27" s="1"/>
  <c r="J93" i="27"/>
  <c r="L93" i="27" s="1"/>
  <c r="F109" i="27"/>
  <c r="G109" i="27" s="1"/>
  <c r="J106" i="27"/>
  <c r="L106" i="27" s="1"/>
  <c r="J102" i="27"/>
  <c r="L102" i="27" s="1"/>
  <c r="L86" i="27"/>
  <c r="F82" i="27"/>
  <c r="G82" i="27" s="1"/>
  <c r="L33" i="27"/>
  <c r="G26" i="27"/>
  <c r="G121" i="27"/>
  <c r="J74" i="27"/>
  <c r="L74" i="27" s="1"/>
  <c r="J78" i="27"/>
  <c r="L78" i="27" s="1"/>
  <c r="F85" i="27"/>
  <c r="G85" i="27" s="1"/>
  <c r="J40" i="27"/>
  <c r="L40" i="27" s="1"/>
  <c r="J67" i="27"/>
  <c r="L67" i="27" s="1"/>
  <c r="J76" i="27"/>
  <c r="L76" i="27" s="1"/>
  <c r="F108" i="27"/>
  <c r="G108" i="27" s="1"/>
  <c r="J89" i="27"/>
  <c r="L89" i="27" s="1"/>
  <c r="J94" i="27"/>
  <c r="L94" i="27" s="1"/>
  <c r="J107" i="27"/>
  <c r="L107" i="27" s="1"/>
  <c r="J73" i="27"/>
  <c r="L73" i="27" s="1"/>
  <c r="F88" i="27"/>
  <c r="G88" i="27" s="1"/>
  <c r="L12" i="27"/>
  <c r="I35" i="27"/>
  <c r="F13" i="27"/>
  <c r="G13" i="27" s="1"/>
  <c r="J17" i="27"/>
  <c r="L17" i="27" s="1"/>
  <c r="E35" i="27"/>
  <c r="J118" i="27"/>
  <c r="L118" i="27" s="1"/>
  <c r="L63" i="27"/>
  <c r="L20" i="27"/>
  <c r="L19" i="27"/>
  <c r="G67" i="27"/>
  <c r="E110" i="27"/>
  <c r="E97" i="27"/>
  <c r="G66" i="27"/>
  <c r="G118" i="27"/>
  <c r="G101" i="27"/>
  <c r="G65" i="27"/>
  <c r="I122" i="27"/>
  <c r="I110" i="27"/>
  <c r="I97" i="27"/>
  <c r="I90" i="27"/>
  <c r="I68" i="27"/>
  <c r="L25" i="27"/>
  <c r="G102" i="27"/>
  <c r="G89" i="27"/>
  <c r="G81" i="27"/>
  <c r="G77" i="27"/>
  <c r="G73" i="27"/>
  <c r="G31" i="27"/>
  <c r="G86" i="27"/>
  <c r="G78" i="27"/>
  <c r="G94" i="27"/>
  <c r="G75" i="27"/>
  <c r="G71" i="27"/>
  <c r="E90" i="27"/>
  <c r="E122" i="27"/>
  <c r="E103" i="27"/>
  <c r="G17" i="27"/>
  <c r="G44" i="27"/>
  <c r="G120" i="27"/>
  <c r="G96" i="27"/>
  <c r="G93" i="27"/>
  <c r="G42" i="27"/>
  <c r="G74" i="27"/>
  <c r="L57" i="27"/>
  <c r="G64" i="27"/>
  <c r="G76" i="27"/>
  <c r="J120" i="27"/>
  <c r="L120" i="27" s="1"/>
  <c r="G106" i="27"/>
  <c r="I9" i="28"/>
  <c r="I69" i="30"/>
  <c r="I31" i="30"/>
  <c r="I17" i="30"/>
  <c r="G34" i="27"/>
  <c r="I46" i="30"/>
  <c r="I39" i="30"/>
  <c r="I32" i="30"/>
  <c r="I45" i="27"/>
  <c r="I73" i="30"/>
  <c r="I60" i="30"/>
  <c r="I47" i="30"/>
  <c r="I40" i="30"/>
  <c r="I33" i="30"/>
  <c r="L31" i="27"/>
  <c r="B62" i="30"/>
  <c r="G74" i="30"/>
  <c r="G58" i="27"/>
  <c r="F21" i="30"/>
  <c r="F35" i="27"/>
  <c r="L84" i="27"/>
  <c r="I70" i="30"/>
  <c r="B55" i="30"/>
  <c r="L114" i="27"/>
  <c r="G83" i="27"/>
  <c r="G30" i="27"/>
  <c r="G107" i="27"/>
  <c r="J96" i="27"/>
  <c r="L96" i="27" s="1"/>
  <c r="L108" i="27"/>
  <c r="G11" i="27"/>
  <c r="L109" i="27"/>
  <c r="G57" i="27"/>
  <c r="G116" i="27"/>
  <c r="G95" i="27"/>
  <c r="L82" i="27"/>
  <c r="G63" i="27"/>
  <c r="G100" i="27"/>
  <c r="F103" i="27"/>
  <c r="F119" i="27"/>
  <c r="G119" i="27" s="1"/>
  <c r="J119" i="27"/>
  <c r="L119" i="27" s="1"/>
  <c r="G113" i="27"/>
  <c r="F97" i="27"/>
  <c r="F49" i="27"/>
  <c r="L58" i="27"/>
  <c r="G38" i="27"/>
  <c r="F114" i="27"/>
  <c r="G114" i="27" s="1"/>
  <c r="J113" i="27"/>
  <c r="J49" i="27"/>
  <c r="L115" i="27"/>
  <c r="J101" i="27"/>
  <c r="L101" i="27" s="1"/>
  <c r="J62" i="27"/>
  <c r="L62" i="27" s="1"/>
  <c r="J75" i="27"/>
  <c r="L75" i="27" s="1"/>
  <c r="F60" i="27"/>
  <c r="J83" i="27"/>
  <c r="L83" i="27" s="1"/>
  <c r="E70" i="28" l="1"/>
  <c r="E69" i="28"/>
  <c r="E68" i="28"/>
  <c r="E67" i="28"/>
  <c r="E76" i="28" s="1"/>
  <c r="E73" i="28"/>
  <c r="E72" i="28"/>
  <c r="E75" i="28"/>
  <c r="E71" i="28"/>
  <c r="E74" i="28"/>
  <c r="E61" i="28"/>
  <c r="E62" i="28"/>
  <c r="E63" i="28"/>
  <c r="E56" i="28"/>
  <c r="E55" i="28"/>
  <c r="E54" i="28"/>
  <c r="E47" i="28"/>
  <c r="E51" i="28" s="1"/>
  <c r="E50" i="28"/>
  <c r="E48" i="28"/>
  <c r="E49" i="28"/>
  <c r="E26" i="28"/>
  <c r="E36" i="28"/>
  <c r="E39" i="28"/>
  <c r="E38" i="28"/>
  <c r="E35" i="28"/>
  <c r="E43" i="28"/>
  <c r="E27" i="28"/>
  <c r="E24" i="28"/>
  <c r="E30" i="28"/>
  <c r="E28" i="28"/>
  <c r="E37" i="28"/>
  <c r="E34" i="28"/>
  <c r="E33" i="28"/>
  <c r="E25" i="28"/>
  <c r="E23" i="28"/>
  <c r="E44" i="28" s="1"/>
  <c r="E29" i="28"/>
  <c r="E40" i="28"/>
  <c r="E32" i="28"/>
  <c r="E42" i="28"/>
  <c r="E41" i="28"/>
  <c r="E31" i="28"/>
  <c r="E18" i="28"/>
  <c r="E19" i="28"/>
  <c r="E20" i="28" s="1"/>
  <c r="E13" i="28"/>
  <c r="E12" i="28"/>
  <c r="E15" i="28" s="1"/>
  <c r="E14" i="28"/>
  <c r="E115" i="25"/>
  <c r="E119" i="25"/>
  <c r="E114" i="25"/>
  <c r="E117" i="25"/>
  <c r="E122" i="25"/>
  <c r="E120" i="25"/>
  <c r="E121" i="25"/>
  <c r="E116" i="25"/>
  <c r="E110" i="25"/>
  <c r="E107" i="25"/>
  <c r="E108" i="25"/>
  <c r="E109" i="25"/>
  <c r="E101" i="25"/>
  <c r="E103" i="25"/>
  <c r="E102" i="25"/>
  <c r="E96" i="25"/>
  <c r="E94" i="25"/>
  <c r="E97" i="25"/>
  <c r="E95" i="25"/>
  <c r="E78" i="25"/>
  <c r="E88" i="25"/>
  <c r="E84" i="25"/>
  <c r="E72" i="25"/>
  <c r="E87" i="25"/>
  <c r="E82" i="25"/>
  <c r="G82" i="25" s="1"/>
  <c r="I82" i="25" s="1"/>
  <c r="E83" i="25"/>
  <c r="E80" i="25"/>
  <c r="E77" i="25"/>
  <c r="E79" i="25"/>
  <c r="E76" i="25"/>
  <c r="E90" i="25"/>
  <c r="E89" i="25"/>
  <c r="E73" i="25"/>
  <c r="E81" i="25"/>
  <c r="E75" i="25"/>
  <c r="E74" i="25"/>
  <c r="E86" i="25"/>
  <c r="E85" i="25"/>
  <c r="E59" i="25"/>
  <c r="E68" i="25"/>
  <c r="E65" i="25"/>
  <c r="E67" i="25"/>
  <c r="E64" i="25"/>
  <c r="E58" i="25"/>
  <c r="E66" i="25"/>
  <c r="E63" i="25"/>
  <c r="E57" i="25"/>
  <c r="E32" i="25"/>
  <c r="E49" i="25"/>
  <c r="E14" i="25"/>
  <c r="E27" i="25"/>
  <c r="E40" i="25"/>
  <c r="E12" i="25"/>
  <c r="E31" i="25"/>
  <c r="E43" i="25"/>
  <c r="E45" i="25"/>
  <c r="E39" i="25"/>
  <c r="E35" i="25"/>
  <c r="E18" i="25"/>
  <c r="E42" i="25"/>
  <c r="J17" i="25"/>
  <c r="E57" i="28"/>
  <c r="K8" i="28"/>
  <c r="K9" i="28"/>
  <c r="I8" i="28"/>
  <c r="I25" i="28"/>
  <c r="I37" i="28"/>
  <c r="E118" i="25"/>
  <c r="F13" i="30"/>
  <c r="E13" i="30"/>
  <c r="I13" i="30"/>
  <c r="H13" i="30"/>
  <c r="E52" i="27"/>
  <c r="E124" i="27" s="1"/>
  <c r="I18" i="30"/>
  <c r="H18" i="30"/>
  <c r="H55" i="30"/>
  <c r="E49" i="30"/>
  <c r="E62" i="30"/>
  <c r="E42" i="30"/>
  <c r="H74" i="30"/>
  <c r="H62" i="30"/>
  <c r="I71" i="30"/>
  <c r="E55" i="30"/>
  <c r="E18" i="30"/>
  <c r="F58" i="30"/>
  <c r="F49" i="30"/>
  <c r="H42" i="30"/>
  <c r="F18" i="30"/>
  <c r="G76" i="30"/>
  <c r="I55" i="30"/>
  <c r="E74" i="30"/>
  <c r="D76" i="30"/>
  <c r="D78" i="30" s="1"/>
  <c r="I42" i="30"/>
  <c r="I62" i="30"/>
  <c r="F55" i="30"/>
  <c r="F74" i="30"/>
  <c r="I49" i="30"/>
  <c r="J35" i="27"/>
  <c r="J22" i="27"/>
  <c r="F45" i="27"/>
  <c r="F90" i="27"/>
  <c r="J45" i="27"/>
  <c r="F110" i="27"/>
  <c r="J110" i="27"/>
  <c r="L45" i="27"/>
  <c r="I52" i="27"/>
  <c r="I124" i="27" s="1"/>
  <c r="F22" i="27"/>
  <c r="L22" i="27"/>
  <c r="L35" i="27"/>
  <c r="G110" i="27"/>
  <c r="G97" i="27"/>
  <c r="G90" i="27"/>
  <c r="G22" i="27"/>
  <c r="G35" i="27"/>
  <c r="B76" i="30"/>
  <c r="L110" i="27"/>
  <c r="F42" i="30"/>
  <c r="J97" i="27"/>
  <c r="L97" i="27"/>
  <c r="J68" i="27"/>
  <c r="F122" i="27"/>
  <c r="G45" i="27"/>
  <c r="J90" i="27"/>
  <c r="L90" i="27"/>
  <c r="L113" i="27"/>
  <c r="J122" i="27"/>
  <c r="G103" i="27"/>
  <c r="F68" i="27"/>
  <c r="G60" i="27"/>
  <c r="J50" i="27"/>
  <c r="L49" i="27"/>
  <c r="G122" i="27"/>
  <c r="J103" i="27"/>
  <c r="L103" i="27"/>
  <c r="F50" i="27"/>
  <c r="G49" i="27"/>
  <c r="L68" i="27"/>
  <c r="E91" i="25" l="1"/>
  <c r="E36" i="25"/>
  <c r="E98" i="25"/>
  <c r="E23" i="25"/>
  <c r="E123" i="25"/>
  <c r="E46" i="25"/>
  <c r="E60" i="28"/>
  <c r="E64" i="28" s="1"/>
  <c r="E111" i="25"/>
  <c r="E104" i="25"/>
  <c r="E61" i="25"/>
  <c r="E69" i="25" s="1"/>
  <c r="E50" i="25"/>
  <c r="E51" i="25" s="1"/>
  <c r="K17" i="25"/>
  <c r="L17" i="25" s="1"/>
  <c r="J25" i="28"/>
  <c r="I74" i="30"/>
  <c r="I76" i="30" s="1"/>
  <c r="J37" i="28"/>
  <c r="E78" i="28"/>
  <c r="F62" i="30"/>
  <c r="F76" i="30" s="1"/>
  <c r="G118" i="25"/>
  <c r="H76" i="30"/>
  <c r="E76" i="30"/>
  <c r="J52" i="27"/>
  <c r="J124" i="27" s="1"/>
  <c r="F52" i="27"/>
  <c r="L50" i="27"/>
  <c r="L52" i="27" s="1"/>
  <c r="G50" i="27"/>
  <c r="G52" i="27" s="1"/>
  <c r="G68" i="27"/>
  <c r="L122" i="27"/>
  <c r="E53" i="25" l="1"/>
  <c r="E125" i="25" s="1"/>
  <c r="O17" i="25"/>
  <c r="K37" i="28"/>
  <c r="K25" i="28"/>
  <c r="L25" i="28" s="1"/>
  <c r="G31" i="28"/>
  <c r="E79" i="28"/>
  <c r="I118" i="25"/>
  <c r="F124" i="27"/>
  <c r="G41" i="28"/>
  <c r="G26" i="28"/>
  <c r="G38" i="28"/>
  <c r="G69" i="28"/>
  <c r="G49" i="28"/>
  <c r="G33" i="28"/>
  <c r="G48" i="28"/>
  <c r="G34" i="28"/>
  <c r="G62" i="28"/>
  <c r="G54" i="28"/>
  <c r="G28" i="28"/>
  <c r="G13" i="28"/>
  <c r="G36" i="28"/>
  <c r="G29" i="28"/>
  <c r="G43" i="28"/>
  <c r="G14" i="28"/>
  <c r="G71" i="28"/>
  <c r="G19" i="28"/>
  <c r="G32" i="28"/>
  <c r="G50" i="28"/>
  <c r="G63" i="28"/>
  <c r="G74" i="28"/>
  <c r="G75" i="28"/>
  <c r="G56" i="28"/>
  <c r="G70" i="28"/>
  <c r="G55" i="28"/>
  <c r="G30" i="28"/>
  <c r="G35" i="28"/>
  <c r="G73" i="28"/>
  <c r="G61" i="28"/>
  <c r="G24" i="28"/>
  <c r="G39" i="28"/>
  <c r="G72" i="28"/>
  <c r="G40" i="28"/>
  <c r="G27" i="28"/>
  <c r="G42" i="28"/>
  <c r="G68" i="28"/>
  <c r="G124" i="27"/>
  <c r="L124" i="27"/>
  <c r="M25" i="28" l="1"/>
  <c r="O25" i="28"/>
  <c r="O37" i="28"/>
  <c r="M17" i="25"/>
  <c r="L37" i="28"/>
  <c r="E126" i="25"/>
  <c r="J118" i="25"/>
  <c r="I39" i="28"/>
  <c r="I35" i="28"/>
  <c r="I50" i="28"/>
  <c r="I36" i="28"/>
  <c r="I49" i="28"/>
  <c r="I41" i="28"/>
  <c r="I72" i="28"/>
  <c r="I70" i="28"/>
  <c r="I63" i="28"/>
  <c r="I54" i="28"/>
  <c r="I33" i="28"/>
  <c r="I26" i="28"/>
  <c r="I40" i="28"/>
  <c r="I74" i="28"/>
  <c r="I19" i="28"/>
  <c r="I28" i="28"/>
  <c r="I48" i="28"/>
  <c r="I38" i="28"/>
  <c r="I27" i="28"/>
  <c r="I24" i="28"/>
  <c r="I30" i="28"/>
  <c r="I75" i="28"/>
  <c r="I32" i="28"/>
  <c r="I43" i="28"/>
  <c r="I34" i="28"/>
  <c r="I31" i="28"/>
  <c r="I42" i="28"/>
  <c r="I56" i="28"/>
  <c r="I14" i="28"/>
  <c r="I62" i="28"/>
  <c r="I68" i="28"/>
  <c r="I73" i="28"/>
  <c r="I71" i="28"/>
  <c r="I55" i="28"/>
  <c r="I61" i="28"/>
  <c r="I29" i="28"/>
  <c r="I13" i="28"/>
  <c r="I69" i="28"/>
  <c r="G18" i="25"/>
  <c r="G101" i="25"/>
  <c r="G88" i="25"/>
  <c r="G78" i="25"/>
  <c r="G34" i="25"/>
  <c r="G42" i="25"/>
  <c r="G90" i="25"/>
  <c r="G64" i="25"/>
  <c r="G16" i="25"/>
  <c r="G67" i="25"/>
  <c r="G122" i="25"/>
  <c r="G57" i="25"/>
  <c r="G35" i="25"/>
  <c r="G115" i="25"/>
  <c r="G30" i="25"/>
  <c r="G74" i="25"/>
  <c r="G89" i="25"/>
  <c r="G40" i="25"/>
  <c r="G20" i="25"/>
  <c r="G33" i="25"/>
  <c r="G86" i="25"/>
  <c r="G41" i="25"/>
  <c r="G109" i="25"/>
  <c r="G13" i="25"/>
  <c r="G110" i="25"/>
  <c r="G21" i="25"/>
  <c r="G31" i="25"/>
  <c r="G45" i="25"/>
  <c r="G62" i="25"/>
  <c r="G108" i="25"/>
  <c r="G119" i="25"/>
  <c r="G121" i="25"/>
  <c r="G68" i="25"/>
  <c r="G117" i="25"/>
  <c r="G15" i="25"/>
  <c r="G96" i="25"/>
  <c r="G76" i="25"/>
  <c r="G65" i="25"/>
  <c r="G77" i="25"/>
  <c r="G75" i="25"/>
  <c r="G120" i="25"/>
  <c r="G27" i="25"/>
  <c r="G85" i="25"/>
  <c r="G103" i="25"/>
  <c r="G19" i="25"/>
  <c r="G116" i="25"/>
  <c r="G59" i="25"/>
  <c r="G80" i="25"/>
  <c r="G81" i="25"/>
  <c r="G73" i="25"/>
  <c r="G102" i="25"/>
  <c r="G63" i="25"/>
  <c r="G84" i="25"/>
  <c r="G50" i="25"/>
  <c r="G44" i="25"/>
  <c r="G29" i="25"/>
  <c r="G87" i="25"/>
  <c r="G95" i="25"/>
  <c r="G60" i="25"/>
  <c r="G43" i="25"/>
  <c r="G61" i="25"/>
  <c r="G22" i="25"/>
  <c r="G83" i="25"/>
  <c r="G32" i="25"/>
  <c r="G14" i="25"/>
  <c r="G28" i="25"/>
  <c r="G66" i="25"/>
  <c r="G79" i="25"/>
  <c r="G58" i="25"/>
  <c r="G97" i="25"/>
  <c r="G57" i="28"/>
  <c r="M37" i="28" l="1"/>
  <c r="J68" i="28"/>
  <c r="J32" i="28"/>
  <c r="J19" i="28"/>
  <c r="J33" i="28"/>
  <c r="J43" i="28"/>
  <c r="J24" i="28"/>
  <c r="J28" i="28"/>
  <c r="J26" i="28"/>
  <c r="J36" i="28"/>
  <c r="J14" i="28"/>
  <c r="J34" i="28"/>
  <c r="J30" i="28"/>
  <c r="J48" i="28"/>
  <c r="J40" i="28"/>
  <c r="J39" i="28"/>
  <c r="J42" i="28"/>
  <c r="J27" i="28"/>
  <c r="J31" i="28"/>
  <c r="J75" i="28"/>
  <c r="J38" i="28"/>
  <c r="J54" i="28"/>
  <c r="J41" i="28"/>
  <c r="J35" i="28"/>
  <c r="K118" i="25"/>
  <c r="L118" i="25" s="1"/>
  <c r="J50" i="28"/>
  <c r="J72" i="28"/>
  <c r="I57" i="28"/>
  <c r="J62" i="28"/>
  <c r="J56" i="28"/>
  <c r="J70" i="28"/>
  <c r="J73" i="28"/>
  <c r="J71" i="28"/>
  <c r="J49" i="28"/>
  <c r="J55" i="28"/>
  <c r="J74" i="28"/>
  <c r="J63" i="28"/>
  <c r="J13" i="28"/>
  <c r="J61" i="28"/>
  <c r="J29" i="28"/>
  <c r="I27" i="25"/>
  <c r="I28" i="25"/>
  <c r="I22" i="25"/>
  <c r="I87" i="25"/>
  <c r="I81" i="25"/>
  <c r="I120" i="25"/>
  <c r="I68" i="25"/>
  <c r="I110" i="25"/>
  <c r="I89" i="25"/>
  <c r="I67" i="25"/>
  <c r="I101" i="25"/>
  <c r="I95" i="25"/>
  <c r="I73" i="25"/>
  <c r="I117" i="25"/>
  <c r="I108" i="25"/>
  <c r="I41" i="25"/>
  <c r="I115" i="25"/>
  <c r="I90" i="25"/>
  <c r="I88" i="25"/>
  <c r="I79" i="25"/>
  <c r="I32" i="25"/>
  <c r="I60" i="25"/>
  <c r="I44" i="25"/>
  <c r="I102" i="25"/>
  <c r="I59" i="25"/>
  <c r="I85" i="25"/>
  <c r="I77" i="25"/>
  <c r="I15" i="25"/>
  <c r="I119" i="25"/>
  <c r="I31" i="25"/>
  <c r="I109" i="25"/>
  <c r="I20" i="25"/>
  <c r="I30" i="25"/>
  <c r="I122" i="25"/>
  <c r="I64" i="25"/>
  <c r="I78" i="25"/>
  <c r="I18" i="25"/>
  <c r="J69" i="28"/>
  <c r="I97" i="25"/>
  <c r="I84" i="25"/>
  <c r="I19" i="25"/>
  <c r="I76" i="25"/>
  <c r="I62" i="25"/>
  <c r="I86" i="25"/>
  <c r="I35" i="25"/>
  <c r="I42" i="25"/>
  <c r="I66" i="25"/>
  <c r="I83" i="25"/>
  <c r="I50" i="25"/>
  <c r="I116" i="25"/>
  <c r="I65" i="25"/>
  <c r="I21" i="25"/>
  <c r="I40" i="25"/>
  <c r="I58" i="25"/>
  <c r="I14" i="25"/>
  <c r="I61" i="25"/>
  <c r="I43" i="25"/>
  <c r="I29" i="25"/>
  <c r="I63" i="25"/>
  <c r="I80" i="25"/>
  <c r="I103" i="25"/>
  <c r="I75" i="25"/>
  <c r="I96" i="25"/>
  <c r="I121" i="25"/>
  <c r="I45" i="25"/>
  <c r="I13" i="25"/>
  <c r="I33" i="25"/>
  <c r="I74" i="25"/>
  <c r="I57" i="25"/>
  <c r="I16" i="25"/>
  <c r="I34" i="25"/>
  <c r="G47" i="28"/>
  <c r="G18" i="28"/>
  <c r="G60" i="28"/>
  <c r="G23" i="28"/>
  <c r="G67" i="28"/>
  <c r="G12" i="28"/>
  <c r="O118" i="25" l="1"/>
  <c r="K60" i="28"/>
  <c r="K49" i="28"/>
  <c r="K56" i="28"/>
  <c r="K50" i="28"/>
  <c r="O50" i="28" s="1"/>
  <c r="K54" i="28"/>
  <c r="K27" i="28"/>
  <c r="K36" i="28"/>
  <c r="L36" i="28" s="1"/>
  <c r="K43" i="28"/>
  <c r="K29" i="28"/>
  <c r="K63" i="28"/>
  <c r="K38" i="28"/>
  <c r="K42" i="28"/>
  <c r="K30" i="28"/>
  <c r="O30" i="28" s="1"/>
  <c r="K33" i="28"/>
  <c r="K61" i="28"/>
  <c r="K74" i="28"/>
  <c r="L74" i="28" s="1"/>
  <c r="K35" i="28"/>
  <c r="O35" i="28" s="1"/>
  <c r="K75" i="28"/>
  <c r="L75" i="28" s="1"/>
  <c r="K34" i="28"/>
  <c r="O34" i="28" s="1"/>
  <c r="K19" i="28"/>
  <c r="L19" i="28" s="1"/>
  <c r="K13" i="28"/>
  <c r="L13" i="28" s="1"/>
  <c r="K55" i="28"/>
  <c r="L55" i="28" s="1"/>
  <c r="K70" i="28"/>
  <c r="K72" i="28"/>
  <c r="K41" i="28"/>
  <c r="K31" i="28"/>
  <c r="K40" i="28"/>
  <c r="O40" i="28" s="1"/>
  <c r="K32" i="28"/>
  <c r="O32" i="28" s="1"/>
  <c r="K48" i="28"/>
  <c r="O48" i="28" s="1"/>
  <c r="K26" i="28"/>
  <c r="K71" i="28"/>
  <c r="K62" i="28"/>
  <c r="K14" i="28"/>
  <c r="L14" i="28" s="1"/>
  <c r="K28" i="28"/>
  <c r="L28" i="28" s="1"/>
  <c r="K24" i="28"/>
  <c r="L24" i="28" s="1"/>
  <c r="K73" i="28"/>
  <c r="L73" i="28" s="1"/>
  <c r="K69" i="28"/>
  <c r="L69" i="28" s="1"/>
  <c r="K39" i="28"/>
  <c r="L39" i="28" s="1"/>
  <c r="K68" i="28"/>
  <c r="O68" i="28" s="1"/>
  <c r="J16" i="25"/>
  <c r="K16" i="25" s="1"/>
  <c r="J50" i="25"/>
  <c r="J42" i="25"/>
  <c r="J79" i="25"/>
  <c r="J95" i="25"/>
  <c r="J81" i="25"/>
  <c r="J22" i="25"/>
  <c r="J34" i="25"/>
  <c r="J96" i="25"/>
  <c r="J66" i="25"/>
  <c r="J67" i="25"/>
  <c r="J45" i="25"/>
  <c r="J103" i="25"/>
  <c r="J61" i="25"/>
  <c r="J21" i="25"/>
  <c r="J35" i="25"/>
  <c r="J19" i="25"/>
  <c r="J78" i="25"/>
  <c r="J20" i="25"/>
  <c r="J15" i="25"/>
  <c r="J102" i="25"/>
  <c r="J88" i="25"/>
  <c r="J108" i="25"/>
  <c r="K110" i="25"/>
  <c r="J87" i="25"/>
  <c r="J13" i="25"/>
  <c r="J40" i="25"/>
  <c r="J97" i="25"/>
  <c r="J41" i="25"/>
  <c r="J89" i="25"/>
  <c r="J33" i="25"/>
  <c r="J63" i="25"/>
  <c r="J62" i="25"/>
  <c r="J60" i="25"/>
  <c r="J73" i="25"/>
  <c r="J120" i="25"/>
  <c r="J80" i="25"/>
  <c r="J83" i="25"/>
  <c r="J86" i="25"/>
  <c r="J84" i="25"/>
  <c r="K109" i="25"/>
  <c r="J77" i="25"/>
  <c r="J44" i="25"/>
  <c r="J68" i="25"/>
  <c r="J27" i="25"/>
  <c r="K108" i="25"/>
  <c r="J57" i="28"/>
  <c r="I64" i="28"/>
  <c r="I23" i="28"/>
  <c r="I47" i="28"/>
  <c r="I67" i="28"/>
  <c r="I18" i="28"/>
  <c r="J109" i="25"/>
  <c r="J29" i="25"/>
  <c r="J82" i="25"/>
  <c r="J117" i="25"/>
  <c r="J119" i="25"/>
  <c r="J121" i="25"/>
  <c r="J18" i="25"/>
  <c r="J32" i="25"/>
  <c r="I12" i="28"/>
  <c r="J75" i="25"/>
  <c r="J116" i="25"/>
  <c r="J64" i="25"/>
  <c r="J74" i="25"/>
  <c r="J14" i="25"/>
  <c r="J30" i="25"/>
  <c r="J59" i="25"/>
  <c r="J90" i="25"/>
  <c r="J110" i="25"/>
  <c r="J57" i="25"/>
  <c r="J43" i="25"/>
  <c r="J58" i="25"/>
  <c r="J65" i="25"/>
  <c r="J76" i="25"/>
  <c r="J115" i="25"/>
  <c r="J101" i="25"/>
  <c r="J28" i="25"/>
  <c r="J122" i="25"/>
  <c r="J31" i="25"/>
  <c r="J85" i="25"/>
  <c r="G15" i="28"/>
  <c r="G44" i="28"/>
  <c r="G76" i="28"/>
  <c r="G51" i="28"/>
  <c r="G20" i="28"/>
  <c r="G64" i="28"/>
  <c r="G39" i="25"/>
  <c r="G49" i="25"/>
  <c r="G114" i="25"/>
  <c r="G94" i="25"/>
  <c r="G12" i="25"/>
  <c r="G26" i="25"/>
  <c r="G56" i="25"/>
  <c r="G72" i="25"/>
  <c r="G107" i="25"/>
  <c r="L108" i="25" l="1"/>
  <c r="M13" i="28"/>
  <c r="M19" i="28"/>
  <c r="M39" i="28"/>
  <c r="M36" i="28"/>
  <c r="O24" i="28"/>
  <c r="O36" i="28"/>
  <c r="M55" i="28"/>
  <c r="M69" i="28"/>
  <c r="M73" i="28"/>
  <c r="O73" i="28"/>
  <c r="M75" i="28"/>
  <c r="L26" i="28"/>
  <c r="O26" i="28"/>
  <c r="L31" i="28"/>
  <c r="O31" i="28"/>
  <c r="L33" i="28"/>
  <c r="O33" i="28"/>
  <c r="L63" i="28"/>
  <c r="O63" i="28"/>
  <c r="L49" i="28"/>
  <c r="O49" i="28"/>
  <c r="O55" i="28"/>
  <c r="O28" i="28"/>
  <c r="J12" i="28"/>
  <c r="O29" i="28"/>
  <c r="L54" i="28"/>
  <c r="O54" i="28"/>
  <c r="O60" i="28"/>
  <c r="O14" i="28"/>
  <c r="O13" i="28"/>
  <c r="L62" i="28"/>
  <c r="O62" i="28"/>
  <c r="L72" i="28"/>
  <c r="O72" i="28"/>
  <c r="O42" i="28"/>
  <c r="L43" i="28"/>
  <c r="O43" i="28"/>
  <c r="O69" i="28"/>
  <c r="O39" i="28"/>
  <c r="O74" i="28"/>
  <c r="O27" i="28"/>
  <c r="L71" i="28"/>
  <c r="O71" i="28"/>
  <c r="L70" i="28"/>
  <c r="O70" i="28"/>
  <c r="L38" i="28"/>
  <c r="O38" i="28"/>
  <c r="L56" i="28"/>
  <c r="O56" i="28"/>
  <c r="O41" i="28"/>
  <c r="O19" i="28"/>
  <c r="O75" i="28"/>
  <c r="O61" i="28"/>
  <c r="L109" i="25"/>
  <c r="L110" i="25"/>
  <c r="L16" i="25"/>
  <c r="M118" i="25"/>
  <c r="O109" i="25"/>
  <c r="O16" i="25"/>
  <c r="O110" i="25"/>
  <c r="O108" i="25"/>
  <c r="L60" i="28"/>
  <c r="L27" i="28"/>
  <c r="M24" i="28"/>
  <c r="L40" i="28"/>
  <c r="M14" i="28"/>
  <c r="L34" i="28"/>
  <c r="L61" i="28"/>
  <c r="L68" i="28"/>
  <c r="M74" i="28"/>
  <c r="L50" i="28"/>
  <c r="L48" i="28"/>
  <c r="M28" i="28"/>
  <c r="L30" i="28"/>
  <c r="L35" i="28"/>
  <c r="L32" i="28"/>
  <c r="L41" i="28"/>
  <c r="L42" i="28"/>
  <c r="L29" i="28"/>
  <c r="K57" i="28"/>
  <c r="L57" i="28" s="1"/>
  <c r="M108" i="25"/>
  <c r="K28" i="25"/>
  <c r="K43" i="25"/>
  <c r="L43" i="25" s="1"/>
  <c r="K64" i="25"/>
  <c r="L64" i="25" s="1"/>
  <c r="K32" i="25"/>
  <c r="L32" i="25" s="1"/>
  <c r="K68" i="25"/>
  <c r="L68" i="25" s="1"/>
  <c r="K120" i="25"/>
  <c r="L120" i="25" s="1"/>
  <c r="K15" i="25"/>
  <c r="L15" i="25" s="1"/>
  <c r="K34" i="25"/>
  <c r="K20" i="25"/>
  <c r="L20" i="25" s="1"/>
  <c r="K67" i="25"/>
  <c r="L67" i="25" s="1"/>
  <c r="K22" i="25"/>
  <c r="L22" i="25" s="1"/>
  <c r="K75" i="25"/>
  <c r="K83" i="25"/>
  <c r="K78" i="25"/>
  <c r="L78" i="25" s="1"/>
  <c r="K61" i="25"/>
  <c r="K58" i="25"/>
  <c r="L58" i="25" s="1"/>
  <c r="K57" i="25"/>
  <c r="L57" i="25" s="1"/>
  <c r="K80" i="25"/>
  <c r="L80" i="25" s="1"/>
  <c r="K62" i="25"/>
  <c r="L62" i="25" s="1"/>
  <c r="K87" i="25"/>
  <c r="K19" i="25"/>
  <c r="L19" i="25" s="1"/>
  <c r="K103" i="25"/>
  <c r="L103" i="25" s="1"/>
  <c r="K96" i="25"/>
  <c r="L96" i="25" s="1"/>
  <c r="K95" i="25"/>
  <c r="L95" i="25" s="1"/>
  <c r="K81" i="25"/>
  <c r="L81" i="25" s="1"/>
  <c r="K44" i="25"/>
  <c r="L44" i="25" s="1"/>
  <c r="K88" i="25"/>
  <c r="L88" i="25" s="1"/>
  <c r="K27" i="25"/>
  <c r="L27" i="25" s="1"/>
  <c r="K77" i="25"/>
  <c r="L77" i="25" s="1"/>
  <c r="I76" i="28"/>
  <c r="J23" i="28"/>
  <c r="K50" i="25"/>
  <c r="L50" i="25" s="1"/>
  <c r="K40" i="25"/>
  <c r="L40" i="25" s="1"/>
  <c r="K60" i="25"/>
  <c r="K84" i="25"/>
  <c r="L84" i="25" s="1"/>
  <c r="K79" i="25"/>
  <c r="K35" i="25"/>
  <c r="K66" i="25"/>
  <c r="L66" i="25" s="1"/>
  <c r="K63" i="25"/>
  <c r="L63" i="25" s="1"/>
  <c r="K41" i="25"/>
  <c r="L41" i="25" s="1"/>
  <c r="K59" i="25"/>
  <c r="L59" i="25" s="1"/>
  <c r="K42" i="25"/>
  <c r="L42" i="25" s="1"/>
  <c r="K101" i="25"/>
  <c r="L101" i="25" s="1"/>
  <c r="K117" i="25"/>
  <c r="L117" i="25" s="1"/>
  <c r="K97" i="25"/>
  <c r="L97" i="25" s="1"/>
  <c r="K76" i="25"/>
  <c r="L76" i="25" s="1"/>
  <c r="K73" i="25"/>
  <c r="O73" i="25" s="1"/>
  <c r="K33" i="25"/>
  <c r="L33" i="25" s="1"/>
  <c r="K86" i="25"/>
  <c r="L86" i="25" s="1"/>
  <c r="K45" i="25"/>
  <c r="K21" i="25"/>
  <c r="L21" i="25" s="1"/>
  <c r="K13" i="25"/>
  <c r="L13" i="25" s="1"/>
  <c r="K102" i="25"/>
  <c r="K89" i="25"/>
  <c r="L89" i="25" s="1"/>
  <c r="K85" i="25"/>
  <c r="L85" i="25" s="1"/>
  <c r="K74" i="25"/>
  <c r="K14" i="25"/>
  <c r="L14" i="25" s="1"/>
  <c r="K121" i="25"/>
  <c r="L121" i="25" s="1"/>
  <c r="K90" i="25"/>
  <c r="O90" i="25" s="1"/>
  <c r="K122" i="25"/>
  <c r="K115" i="25"/>
  <c r="O115" i="25" s="1"/>
  <c r="K119" i="25"/>
  <c r="L119" i="25" s="1"/>
  <c r="K82" i="25"/>
  <c r="O82" i="25" s="1"/>
  <c r="K116" i="25"/>
  <c r="L116" i="25" s="1"/>
  <c r="K65" i="25"/>
  <c r="L65" i="25" s="1"/>
  <c r="K30" i="25"/>
  <c r="O30" i="25" s="1"/>
  <c r="K29" i="25"/>
  <c r="L29" i="25" s="1"/>
  <c r="K31" i="25"/>
  <c r="L31" i="25" s="1"/>
  <c r="K18" i="25"/>
  <c r="O18" i="25" s="1"/>
  <c r="I44" i="28"/>
  <c r="J67" i="28"/>
  <c r="I20" i="28"/>
  <c r="J47" i="28"/>
  <c r="J18" i="28"/>
  <c r="I51" i="28"/>
  <c r="J64" i="28"/>
  <c r="I15" i="28"/>
  <c r="I114" i="25"/>
  <c r="I12" i="25"/>
  <c r="J104" i="25"/>
  <c r="G78" i="28"/>
  <c r="I26" i="25"/>
  <c r="G36" i="25"/>
  <c r="I107" i="25"/>
  <c r="G111" i="25"/>
  <c r="G98" i="25"/>
  <c r="I94" i="25"/>
  <c r="I72" i="25"/>
  <c r="G91" i="25"/>
  <c r="I56" i="25"/>
  <c r="G69" i="25"/>
  <c r="G104" i="25"/>
  <c r="I49" i="25"/>
  <c r="G51" i="25"/>
  <c r="G46" i="25"/>
  <c r="I39" i="25"/>
  <c r="G23" i="25"/>
  <c r="G123" i="25"/>
  <c r="M62" i="28" l="1"/>
  <c r="M42" i="28"/>
  <c r="M27" i="28"/>
  <c r="M26" i="28"/>
  <c r="M32" i="28"/>
  <c r="M40" i="28"/>
  <c r="M38" i="28"/>
  <c r="M31" i="28"/>
  <c r="M30" i="28"/>
  <c r="M34" i="28"/>
  <c r="M43" i="28"/>
  <c r="M33" i="28"/>
  <c r="M41" i="28"/>
  <c r="M29" i="28"/>
  <c r="M35" i="28"/>
  <c r="M50" i="28"/>
  <c r="M48" i="28"/>
  <c r="M49" i="28"/>
  <c r="M56" i="28"/>
  <c r="M54" i="28"/>
  <c r="M57" i="28"/>
  <c r="M60" i="28"/>
  <c r="M63" i="28"/>
  <c r="M61" i="28"/>
  <c r="M72" i="28"/>
  <c r="M68" i="28"/>
  <c r="M70" i="28"/>
  <c r="M71" i="28"/>
  <c r="O57" i="28"/>
  <c r="S57" i="28" s="1"/>
  <c r="M109" i="25"/>
  <c r="M110" i="25"/>
  <c r="O45" i="25"/>
  <c r="L45" i="25"/>
  <c r="L34" i="25"/>
  <c r="M34" i="25" s="1"/>
  <c r="L18" i="25"/>
  <c r="L30" i="25"/>
  <c r="L28" i="25"/>
  <c r="M28" i="25" s="1"/>
  <c r="L35" i="25"/>
  <c r="L61" i="25"/>
  <c r="M61" i="25" s="1"/>
  <c r="L60" i="25"/>
  <c r="O66" i="25"/>
  <c r="L79" i="25"/>
  <c r="L82" i="25"/>
  <c r="L83" i="25"/>
  <c r="O74" i="25"/>
  <c r="L74" i="25"/>
  <c r="L73" i="25"/>
  <c r="L87" i="25"/>
  <c r="L90" i="25"/>
  <c r="L75" i="25"/>
  <c r="L102" i="25"/>
  <c r="L115" i="25"/>
  <c r="L122" i="25"/>
  <c r="M122" i="25" s="1"/>
  <c r="M16" i="25"/>
  <c r="O87" i="25"/>
  <c r="O60" i="25"/>
  <c r="O117" i="25"/>
  <c r="O116" i="25"/>
  <c r="O122" i="25"/>
  <c r="O119" i="25"/>
  <c r="O121" i="25"/>
  <c r="O120" i="25"/>
  <c r="O101" i="25"/>
  <c r="O103" i="25"/>
  <c r="O102" i="25"/>
  <c r="O95" i="25"/>
  <c r="O97" i="25"/>
  <c r="O96" i="25"/>
  <c r="O89" i="25"/>
  <c r="O81" i="25"/>
  <c r="O78" i="25"/>
  <c r="O79" i="25"/>
  <c r="O83" i="25"/>
  <c r="O80" i="25"/>
  <c r="O86" i="25"/>
  <c r="O88" i="25"/>
  <c r="O85" i="25"/>
  <c r="O77" i="25"/>
  <c r="O76" i="25"/>
  <c r="O84" i="25"/>
  <c r="O75" i="25"/>
  <c r="O59" i="25"/>
  <c r="O57" i="25"/>
  <c r="O68" i="25"/>
  <c r="O65" i="25"/>
  <c r="O62" i="25"/>
  <c r="O64" i="25"/>
  <c r="O63" i="25"/>
  <c r="O67" i="25"/>
  <c r="O61" i="25"/>
  <c r="O58" i="25"/>
  <c r="O32" i="25"/>
  <c r="O34" i="25"/>
  <c r="O22" i="25"/>
  <c r="O15" i="25"/>
  <c r="O50" i="25"/>
  <c r="O29" i="25"/>
  <c r="O42" i="25"/>
  <c r="O28" i="25"/>
  <c r="O35" i="25"/>
  <c r="O13" i="25"/>
  <c r="O33" i="25"/>
  <c r="O44" i="25"/>
  <c r="O31" i="25"/>
  <c r="O27" i="25"/>
  <c r="O21" i="25"/>
  <c r="O20" i="25"/>
  <c r="O40" i="25"/>
  <c r="O19" i="25"/>
  <c r="O43" i="25"/>
  <c r="O41" i="25"/>
  <c r="O14" i="25"/>
  <c r="K12" i="28"/>
  <c r="O12" i="28" s="1"/>
  <c r="K47" i="28"/>
  <c r="L47" i="28" s="1"/>
  <c r="K64" i="28"/>
  <c r="K67" i="28"/>
  <c r="K23" i="28"/>
  <c r="K18" i="28"/>
  <c r="L18" i="28" s="1"/>
  <c r="M80" i="25"/>
  <c r="M31" i="25"/>
  <c r="M117" i="25"/>
  <c r="G53" i="25"/>
  <c r="K104" i="25"/>
  <c r="J51" i="28"/>
  <c r="J44" i="28"/>
  <c r="J20" i="28"/>
  <c r="J49" i="25"/>
  <c r="J39" i="25"/>
  <c r="J56" i="25"/>
  <c r="J94" i="25"/>
  <c r="J107" i="25"/>
  <c r="J72" i="25"/>
  <c r="J26" i="25"/>
  <c r="J114" i="25"/>
  <c r="J76" i="28"/>
  <c r="K107" i="25"/>
  <c r="J12" i="25"/>
  <c r="I78" i="28"/>
  <c r="J15" i="28"/>
  <c r="I104" i="25"/>
  <c r="I91" i="25"/>
  <c r="I36" i="25"/>
  <c r="I23" i="25"/>
  <c r="I123" i="25"/>
  <c r="I51" i="25"/>
  <c r="I98" i="25"/>
  <c r="I111" i="25"/>
  <c r="I69" i="25"/>
  <c r="I46" i="25"/>
  <c r="M47" i="28" l="1"/>
  <c r="O64" i="28"/>
  <c r="L23" i="28"/>
  <c r="O23" i="28"/>
  <c r="O47" i="28"/>
  <c r="L67" i="28"/>
  <c r="O67" i="28"/>
  <c r="O18" i="28"/>
  <c r="M83" i="25"/>
  <c r="M87" i="25"/>
  <c r="L107" i="25"/>
  <c r="M79" i="25"/>
  <c r="L104" i="25"/>
  <c r="M35" i="25"/>
  <c r="M75" i="25"/>
  <c r="M60" i="25"/>
  <c r="M102" i="25"/>
  <c r="M115" i="25"/>
  <c r="M121" i="25"/>
  <c r="M119" i="25"/>
  <c r="M120" i="25"/>
  <c r="M116" i="25"/>
  <c r="M101" i="25"/>
  <c r="M103" i="25"/>
  <c r="M97" i="25"/>
  <c r="M95" i="25"/>
  <c r="M96" i="25"/>
  <c r="M86" i="25"/>
  <c r="M84" i="25"/>
  <c r="M73" i="25"/>
  <c r="M78" i="25"/>
  <c r="M88" i="25"/>
  <c r="M85" i="25"/>
  <c r="M81" i="25"/>
  <c r="M77" i="25"/>
  <c r="M90" i="25"/>
  <c r="M76" i="25"/>
  <c r="M89" i="25"/>
  <c r="M82" i="25"/>
  <c r="M74" i="25"/>
  <c r="M62" i="25"/>
  <c r="M59" i="25"/>
  <c r="M58" i="25"/>
  <c r="M65" i="25"/>
  <c r="M66" i="25"/>
  <c r="M67" i="25"/>
  <c r="M57" i="25"/>
  <c r="M63" i="25"/>
  <c r="M64" i="25"/>
  <c r="M68" i="25"/>
  <c r="M18" i="25"/>
  <c r="M21" i="25"/>
  <c r="M44" i="25"/>
  <c r="M13" i="25"/>
  <c r="M43" i="25"/>
  <c r="M20" i="25"/>
  <c r="M22" i="25"/>
  <c r="M27" i="25"/>
  <c r="M32" i="25"/>
  <c r="M41" i="25"/>
  <c r="M29" i="25"/>
  <c r="M45" i="25"/>
  <c r="M14" i="25"/>
  <c r="M19" i="25"/>
  <c r="M42" i="25"/>
  <c r="M15" i="25"/>
  <c r="M40" i="25"/>
  <c r="M30" i="25"/>
  <c r="M50" i="25"/>
  <c r="M33" i="25"/>
  <c r="O104" i="25"/>
  <c r="S104" i="25" s="1"/>
  <c r="O107" i="25"/>
  <c r="M18" i="28"/>
  <c r="L64" i="28"/>
  <c r="L12" i="28"/>
  <c r="K76" i="28"/>
  <c r="L76" i="28" s="1"/>
  <c r="K51" i="28"/>
  <c r="L51" i="28" s="1"/>
  <c r="K20" i="28"/>
  <c r="O20" i="28" s="1"/>
  <c r="S20" i="28" s="1"/>
  <c r="K94" i="25"/>
  <c r="L94" i="25" s="1"/>
  <c r="J91" i="25"/>
  <c r="K39" i="25"/>
  <c r="L39" i="25" s="1"/>
  <c r="K12" i="25"/>
  <c r="L12" i="25" s="1"/>
  <c r="J69" i="25"/>
  <c r="K15" i="28"/>
  <c r="O15" i="28" s="1"/>
  <c r="S15" i="28" s="1"/>
  <c r="K44" i="28"/>
  <c r="J111" i="25"/>
  <c r="I53" i="25"/>
  <c r="K111" i="25"/>
  <c r="K26" i="25"/>
  <c r="L26" i="25" s="1"/>
  <c r="J98" i="25"/>
  <c r="K56" i="25"/>
  <c r="L56" i="25" s="1"/>
  <c r="K49" i="25"/>
  <c r="L49" i="25" s="1"/>
  <c r="J123" i="25"/>
  <c r="J51" i="25"/>
  <c r="J46" i="25"/>
  <c r="J36" i="25"/>
  <c r="K114" i="25"/>
  <c r="L114" i="25" s="1"/>
  <c r="K72" i="25"/>
  <c r="L72" i="25" s="1"/>
  <c r="J23" i="25"/>
  <c r="G125" i="25"/>
  <c r="J78" i="28"/>
  <c r="M23" i="28" l="1"/>
  <c r="M51" i="28"/>
  <c r="M64" i="28"/>
  <c r="M76" i="28"/>
  <c r="M67" i="28"/>
  <c r="M12" i="28"/>
  <c r="L44" i="28"/>
  <c r="O44" i="28"/>
  <c r="S44" i="28" s="1"/>
  <c r="O51" i="28"/>
  <c r="S51" i="28" s="1"/>
  <c r="O76" i="28"/>
  <c r="S76" i="28" s="1"/>
  <c r="M107" i="25"/>
  <c r="L111" i="25"/>
  <c r="M104" i="25"/>
  <c r="O111" i="25"/>
  <c r="S111" i="25" s="1"/>
  <c r="O114" i="25"/>
  <c r="O94" i="25"/>
  <c r="O72" i="25"/>
  <c r="O56" i="25"/>
  <c r="O26" i="25"/>
  <c r="O39" i="25"/>
  <c r="O49" i="25"/>
  <c r="O12" i="25"/>
  <c r="L20" i="28"/>
  <c r="L15" i="28"/>
  <c r="K78" i="28"/>
  <c r="K98" i="25"/>
  <c r="L98" i="25" s="1"/>
  <c r="K46" i="25"/>
  <c r="L46" i="25" s="1"/>
  <c r="K51" i="25"/>
  <c r="L51" i="25" s="1"/>
  <c r="K36" i="25"/>
  <c r="L36" i="25" s="1"/>
  <c r="K91" i="25"/>
  <c r="L91" i="25" s="1"/>
  <c r="K69" i="25"/>
  <c r="L69" i="25" s="1"/>
  <c r="K123" i="25"/>
  <c r="L123" i="25" s="1"/>
  <c r="K23" i="25"/>
  <c r="L23" i="25" s="1"/>
  <c r="J53" i="25"/>
  <c r="J125" i="25" s="1"/>
  <c r="I125" i="25"/>
  <c r="S78" i="28" l="1"/>
  <c r="S80" i="28"/>
  <c r="M15" i="28"/>
  <c r="M20" i="28"/>
  <c r="M44" i="28"/>
  <c r="L78" i="28"/>
  <c r="O78" i="28"/>
  <c r="M111" i="25"/>
  <c r="M23" i="25"/>
  <c r="O123" i="25"/>
  <c r="S123" i="25" s="1"/>
  <c r="O98" i="25"/>
  <c r="S98" i="25" s="1"/>
  <c r="O91" i="25"/>
  <c r="S91" i="25" s="1"/>
  <c r="O69" i="25"/>
  <c r="S69" i="25" s="1"/>
  <c r="O51" i="25"/>
  <c r="O23" i="25"/>
  <c r="O46" i="25"/>
  <c r="O36" i="25"/>
  <c r="M114" i="25"/>
  <c r="M72" i="25"/>
  <c r="M94" i="25"/>
  <c r="M26" i="25"/>
  <c r="M36" i="25"/>
  <c r="M49" i="25"/>
  <c r="M12" i="25"/>
  <c r="M91" i="25"/>
  <c r="M46" i="25"/>
  <c r="M39" i="25"/>
  <c r="M56" i="25"/>
  <c r="K53" i="25"/>
  <c r="O53" i="25" s="1"/>
  <c r="S53" i="25" s="1"/>
  <c r="S125" i="25" l="1"/>
  <c r="M78" i="28"/>
  <c r="P78" i="28" s="1"/>
  <c r="L53" i="25"/>
  <c r="M98" i="25"/>
  <c r="M123" i="25"/>
  <c r="M69" i="25"/>
  <c r="M51" i="25"/>
  <c r="K125" i="25"/>
  <c r="S127" i="25" s="1"/>
  <c r="O125" i="25" l="1"/>
  <c r="L125" i="25"/>
  <c r="M53" i="25"/>
  <c r="C124" i="27"/>
  <c r="J131" i="27" s="1"/>
  <c r="M125" i="25" l="1"/>
</calcChain>
</file>

<file path=xl/sharedStrings.xml><?xml version="1.0" encoding="utf-8"?>
<sst xmlns="http://schemas.openxmlformats.org/spreadsheetml/2006/main" count="393" uniqueCount="211">
  <si>
    <t>Total</t>
  </si>
  <si>
    <t>Adjusted</t>
  </si>
  <si>
    <t>Transmission</t>
  </si>
  <si>
    <t>Total Transmission</t>
  </si>
  <si>
    <t>Distribution</t>
  </si>
  <si>
    <t>Total Distribution</t>
  </si>
  <si>
    <t>Customer Accounts</t>
  </si>
  <si>
    <t>Total Cust Accounts</t>
  </si>
  <si>
    <t>Cust Service &amp; Info</t>
  </si>
  <si>
    <t>Total Cust Svc &amp; Info</t>
  </si>
  <si>
    <t>Sales</t>
  </si>
  <si>
    <t>Total Sales</t>
  </si>
  <si>
    <t>Admin &amp; General</t>
  </si>
  <si>
    <t>Total Admin &amp; General</t>
  </si>
  <si>
    <t>Direct</t>
  </si>
  <si>
    <t>Alloc</t>
  </si>
  <si>
    <t>Allocated</t>
  </si>
  <si>
    <t>TOTAL</t>
  </si>
  <si>
    <t>Number of Cust</t>
  </si>
  <si>
    <t>Distr Op Exp</t>
  </si>
  <si>
    <t>4-Factor</t>
  </si>
  <si>
    <t>Total Allocated</t>
  </si>
  <si>
    <t>Percentage Increase Adjustments</t>
  </si>
  <si>
    <t>AVISTA UTILITIES</t>
  </si>
  <si>
    <t>Natural Gas System Labor Dollars</t>
  </si>
  <si>
    <t>Throughput</t>
  </si>
  <si>
    <t>a</t>
  </si>
  <si>
    <t>UNION</t>
  </si>
  <si>
    <t>Total Production</t>
  </si>
  <si>
    <t>Total Underground Storage</t>
  </si>
  <si>
    <t>Total WA</t>
  </si>
  <si>
    <t>Production</t>
  </si>
  <si>
    <t>Steam</t>
  </si>
  <si>
    <t>Supervision &amp; Eng.</t>
  </si>
  <si>
    <t>Fuel</t>
  </si>
  <si>
    <t>Steam Expense</t>
  </si>
  <si>
    <t>Electric Expense</t>
  </si>
  <si>
    <t>Misc. Steam Pwr. Exp.</t>
  </si>
  <si>
    <t>Structures</t>
  </si>
  <si>
    <t>Boiler Plant</t>
  </si>
  <si>
    <t>Electric Plant</t>
  </si>
  <si>
    <t>Misc. Steam Plant</t>
  </si>
  <si>
    <t>Total Steam</t>
  </si>
  <si>
    <t>Hydro</t>
  </si>
  <si>
    <t>Water For Power</t>
  </si>
  <si>
    <t>Hydraulic Expense</t>
  </si>
  <si>
    <t>Misc. Hydro Expense</t>
  </si>
  <si>
    <t>Res., Dams &amp; Wtrways</t>
  </si>
  <si>
    <t>Misc. Hydro Plant</t>
  </si>
  <si>
    <t>Total Hydro</t>
  </si>
  <si>
    <t>Other Generation</t>
  </si>
  <si>
    <t>Generation Expense</t>
  </si>
  <si>
    <t>Misc. Other Gen.</t>
  </si>
  <si>
    <t>Gen. &amp; Elec. Equip.</t>
  </si>
  <si>
    <t>Misc. Other Gen. Plant</t>
  </si>
  <si>
    <t>Total Other Generation</t>
  </si>
  <si>
    <t>Other Power Supply</t>
  </si>
  <si>
    <t>Sys. Cntrol &amp; Ld. Disp.</t>
  </si>
  <si>
    <t>Other Expense</t>
  </si>
  <si>
    <t>Total Other Power Supply</t>
  </si>
  <si>
    <t>Load Dispatching</t>
  </si>
  <si>
    <t>Station Expense</t>
  </si>
  <si>
    <t>Overhead Line Exp.</t>
  </si>
  <si>
    <t>Underground Line Exp.</t>
  </si>
  <si>
    <t>Misc. Trans. Exp.</t>
  </si>
  <si>
    <t>Station Equip.</t>
  </si>
  <si>
    <t>Overhead Lines</t>
  </si>
  <si>
    <t>Underground Lines</t>
  </si>
  <si>
    <t>Misc. Trans. Plant</t>
  </si>
  <si>
    <t>St. Lt. &amp; Signl. Sys.</t>
  </si>
  <si>
    <t>Meter Expense</t>
  </si>
  <si>
    <t>Cust. Install. Expense</t>
  </si>
  <si>
    <t>Misc. Dist. Expense</t>
  </si>
  <si>
    <t>Rent</t>
  </si>
  <si>
    <t>Station Equipment</t>
  </si>
  <si>
    <t>Undergrd. Lines</t>
  </si>
  <si>
    <t>Line Transformers</t>
  </si>
  <si>
    <t xml:space="preserve">St. Lt. &amp; Signl. Sys. </t>
  </si>
  <si>
    <t>Meters</t>
  </si>
  <si>
    <t>Supervision</t>
  </si>
  <si>
    <t>Meter Reading Exp.</t>
  </si>
  <si>
    <t>Cust. Records &amp; Coll.</t>
  </si>
  <si>
    <t>Misc. Cust. Accts.</t>
  </si>
  <si>
    <t>Cust. Assistance Exp.</t>
  </si>
  <si>
    <t>Advertising</t>
  </si>
  <si>
    <t>Miscellaneous</t>
  </si>
  <si>
    <t>Demonstrating &amp; Selling</t>
  </si>
  <si>
    <t>Misc Cust Serv &amp; Info</t>
  </si>
  <si>
    <t>Salaries</t>
  </si>
  <si>
    <t>Office Supplies &amp; Exp.</t>
  </si>
  <si>
    <t>Outside Services</t>
  </si>
  <si>
    <t>Injuries &amp; Damages</t>
  </si>
  <si>
    <t>Empl. Pensions &amp; Bene.</t>
  </si>
  <si>
    <t>Franchise Requirements</t>
  </si>
  <si>
    <t>Reg. Comm. Expenses</t>
  </si>
  <si>
    <t>Misc. General Exp.</t>
  </si>
  <si>
    <t>Mtce. of Gen. Plant</t>
  </si>
  <si>
    <t>Total Electric Labor</t>
  </si>
  <si>
    <t>Electric System Labor Dollars</t>
  </si>
  <si>
    <t>Wash</t>
  </si>
  <si>
    <t>Idaho</t>
  </si>
  <si>
    <t>WA</t>
  </si>
  <si>
    <t>ID</t>
  </si>
  <si>
    <t>P/T Ratio</t>
  </si>
  <si>
    <t>Total Admin &amp; Gen</t>
  </si>
  <si>
    <t>Adjusted Natural Gas System Labor Dollars - Washington</t>
  </si>
  <si>
    <t>Underground Storage</t>
  </si>
  <si>
    <t>Four Factor</t>
  </si>
  <si>
    <t>Therms Purchased</t>
  </si>
  <si>
    <t>System Contract Demand</t>
  </si>
  <si>
    <t>Summary</t>
  </si>
  <si>
    <t>Washington and Idaho</t>
  </si>
  <si>
    <t>Total WA &amp; ID Gas Labor</t>
  </si>
  <si>
    <t>Total WA  Gas Labor</t>
  </si>
  <si>
    <t>Source:  E-ALL-12A</t>
  </si>
  <si>
    <t>Source:  G-ALL-12A</t>
  </si>
  <si>
    <t>Sum</t>
  </si>
  <si>
    <t>807.xx</t>
  </si>
  <si>
    <t>807-Administrative Expenses</t>
  </si>
  <si>
    <t>807-Purchased Gas Expenses</t>
  </si>
  <si>
    <t>813-Other Gas Expenses</t>
  </si>
  <si>
    <t>814-Oper. supervision &amp; engineering</t>
  </si>
  <si>
    <t>820-Meas. &amp; reg. station expenses</t>
  </si>
  <si>
    <t>870-Oper. supervision &amp; engineering</t>
  </si>
  <si>
    <t>871-Distribution Load Dispatching</t>
  </si>
  <si>
    <t>874-Mains &amp; services expenses</t>
  </si>
  <si>
    <t>875-Meas. &amp; reg. station exp.-General</t>
  </si>
  <si>
    <t>876-Meas. &amp; reg. station exp.-Industrial</t>
  </si>
  <si>
    <t>877-Meas. &amp; reg. station exp.-City gate</t>
  </si>
  <si>
    <t>878-Meter &amp; house regulator expenses</t>
  </si>
  <si>
    <t>879-Customer installations expenses</t>
  </si>
  <si>
    <t>880-Other expenses</t>
  </si>
  <si>
    <t>885-Maint. supervision &amp; engineering</t>
  </si>
  <si>
    <t>886-Structures &amp; Improvements</t>
  </si>
  <si>
    <t>887-Maint. of mains</t>
  </si>
  <si>
    <t>889-Maint. meas. &amp; reg. st. equip.-General</t>
  </si>
  <si>
    <t>890-Maint. meas. &amp; reg. st. equip.-Indust</t>
  </si>
  <si>
    <t>891-Maint. meas. &amp; reg. st. equip.-City gate</t>
  </si>
  <si>
    <t>892-Maint. of services &amp; lines</t>
  </si>
  <si>
    <t>893-Maint. meters &amp; house regulators</t>
  </si>
  <si>
    <t>901-Supervision</t>
  </si>
  <si>
    <t>902-Meter reading expenses</t>
  </si>
  <si>
    <t>903-Customer records &amp; collection exp</t>
  </si>
  <si>
    <t>905- Misc. customer accounts expenses</t>
  </si>
  <si>
    <t>908-Customer assistance expenses</t>
  </si>
  <si>
    <t>909-Advertising</t>
  </si>
  <si>
    <t>910-Misc Customer Service &amp; Info Exp</t>
  </si>
  <si>
    <t>911-Supervision</t>
  </si>
  <si>
    <t>912-Demonstrating &amp; selling expenses</t>
  </si>
  <si>
    <t>913-Advertising</t>
  </si>
  <si>
    <t>916- Misc Sales Expense</t>
  </si>
  <si>
    <t>920-Administrative &amp; general salaries</t>
  </si>
  <si>
    <t>923-Outside services employed</t>
  </si>
  <si>
    <t>924-Property insurance</t>
  </si>
  <si>
    <t>925-Injuries &amp; damages</t>
  </si>
  <si>
    <t>928-Regulatory commission expenses</t>
  </si>
  <si>
    <t>930-Misc. general expenses</t>
  </si>
  <si>
    <t>935-Maintenance of general plant</t>
  </si>
  <si>
    <t xml:space="preserve">ADMIN </t>
  </si>
  <si>
    <t>Total Oth Power Supply</t>
  </si>
  <si>
    <t>Allocation Factors</t>
  </si>
  <si>
    <t xml:space="preserve">Allocation Factors: </t>
  </si>
  <si>
    <t>881-Rents</t>
  </si>
  <si>
    <t>Ferc Acct</t>
  </si>
  <si>
    <t>Adjusted Electric Labor Dollars - Washington</t>
  </si>
  <si>
    <t>Acct Year</t>
  </si>
  <si>
    <t>Amount to Allocate</t>
  </si>
  <si>
    <t>Direct Washington</t>
  </si>
  <si>
    <t>Transmission Rent</t>
  </si>
  <si>
    <t>Admin Expense</t>
  </si>
  <si>
    <t>557/558</t>
  </si>
  <si>
    <t>WA Total</t>
  </si>
  <si>
    <t>ID Total</t>
  </si>
  <si>
    <t>Electric Adjusted Total</t>
  </si>
  <si>
    <t>2017 Adjustment</t>
  </si>
  <si>
    <t xml:space="preserve">Total  </t>
  </si>
  <si>
    <t>Total To Allocated AA and AN</t>
  </si>
  <si>
    <t xml:space="preserve">*excludes Officer </t>
  </si>
  <si>
    <t>March 26, 2016 increase</t>
  </si>
  <si>
    <t>Factor to adjust Jan 1 2016 - March 26, 2016</t>
  </si>
  <si>
    <t>March 1, 2016 increase</t>
  </si>
  <si>
    <t>Factor to adjust Jan 1 2016 - Feb 28, 2016</t>
  </si>
  <si>
    <t xml:space="preserve">2018 increase </t>
  </si>
  <si>
    <t>Adjustment</t>
  </si>
  <si>
    <t>(this annualizes the 12 ME 12.31.2016)</t>
  </si>
  <si>
    <t>Factor to adjust  March 27, 2018</t>
  </si>
  <si>
    <t>(this takes into effect March 27, 2017 - March 26, 2018)</t>
  </si>
  <si>
    <t>(this takes into effect March 27, 2018 - March 26, 2019)</t>
  </si>
  <si>
    <t>(this annualizes the 12 ME 12.31.2016 to 02.28.2017)</t>
  </si>
  <si>
    <t>(this takes into effect March 01, 2017 - Feb 28, 2018)</t>
  </si>
  <si>
    <t>Factor to adjust  March 1, 2018 increase</t>
  </si>
  <si>
    <t>2016-2018</t>
  </si>
  <si>
    <t>03.2016-02.2017</t>
  </si>
  <si>
    <t>03.2017-02.2018</t>
  </si>
  <si>
    <t>03.2018-02.2019</t>
  </si>
  <si>
    <t>03.2019-04.2019</t>
  </si>
  <si>
    <t>05.2019-04.2019</t>
  </si>
  <si>
    <t>Total Customer Accounts</t>
  </si>
  <si>
    <t>03.2019-04.2020</t>
  </si>
  <si>
    <t>Total Labor</t>
  </si>
  <si>
    <t>check</t>
  </si>
  <si>
    <t>Natural Gas</t>
  </si>
  <si>
    <t>Electric</t>
  </si>
  <si>
    <t>Note: Expenses primarily comprised of regular labor, paid time off loading, and overtime (does not include payroll tax).</t>
  </si>
  <si>
    <t>(this takes into effect March 01, 2018 -Feb 28 2019)</t>
  </si>
  <si>
    <t>Adjustment % to annualize Increase</t>
  </si>
  <si>
    <t>Washington Electric</t>
  </si>
  <si>
    <t>Washington Natural Gas</t>
  </si>
  <si>
    <t>Executive Officer</t>
  </si>
  <si>
    <t>Non-Executive Employee</t>
  </si>
  <si>
    <t>2017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</si>
</sst>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Union &quot;0.000%"/>
    <numFmt numFmtId="166" formatCode="&quot;Admin &quot;0.000%"/>
    <numFmt numFmtId="167" formatCode="#,###,###,###,###.00"/>
    <numFmt numFmtId="168" formatCode="_(&quot;$&quot;* #,##0_);_(&quot;$&quot;* \(#,##0\);_(&quot;$&quot;* &quot;-&quot;??_);_(@_)"/>
    <numFmt numFmtId="169" formatCode="0.000"/>
  </numFmts>
  <fonts count="36">
    <font>
      <sz val="10"/>
      <name val="Times New Roman"/>
    </font>
    <font>
      <sz val="10"/>
      <name val="Times New Roman"/>
      <family val="1"/>
    </font>
    <font>
      <sz val="10"/>
      <name val="Geneva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color indexed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0"/>
      <color indexed="8"/>
      <name val="MS Sans Serif"/>
      <family val="2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name val="Times New Roman"/>
      <family val="1"/>
    </font>
    <font>
      <sz val="10"/>
      <color indexed="14"/>
      <name val="Times New Roman"/>
      <family val="1"/>
    </font>
    <font>
      <sz val="9"/>
      <name val="Times New Roman"/>
      <family val="1"/>
    </font>
    <font>
      <u/>
      <sz val="9.9499999999999993"/>
      <color indexed="8"/>
      <name val="Times New Roman"/>
      <family val="1"/>
    </font>
    <font>
      <sz val="10"/>
      <name val="Tahoma"/>
      <family val="2"/>
    </font>
    <font>
      <sz val="10"/>
      <name val="NewCenturySchlbk"/>
    </font>
    <font>
      <sz val="10"/>
      <name val="NewCenturySchlbk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u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8"/>
      <color indexed="10"/>
      <name val="Times New Roman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3333FF"/>
      <name val="Times New Roman"/>
      <family val="1"/>
    </font>
    <font>
      <b/>
      <sz val="12"/>
      <color rgb="FF3333FF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5" fillId="0" borderId="0"/>
    <xf numFmtId="0" fontId="1" fillId="0" borderId="0"/>
    <xf numFmtId="0" fontId="19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74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9" fontId="6" fillId="0" borderId="0" xfId="0" applyNumberFormat="1" applyFont="1"/>
    <xf numFmtId="39" fontId="6" fillId="0" borderId="0" xfId="0" applyNumberFormat="1" applyFont="1" applyBorder="1"/>
    <xf numFmtId="0" fontId="4" fillId="0" borderId="0" xfId="11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4" fillId="0" borderId="0" xfId="10" applyFont="1" applyAlignment="1">
      <alignment horizontal="left"/>
    </xf>
    <xf numFmtId="0" fontId="6" fillId="0" borderId="0" xfId="10" applyFont="1"/>
    <xf numFmtId="0" fontId="6" fillId="0" borderId="0" xfId="10" applyFont="1" applyAlignment="1">
      <alignment horizontal="left"/>
    </xf>
    <xf numFmtId="0" fontId="6" fillId="0" borderId="0" xfId="10" applyFont="1" applyAlignment="1">
      <alignment horizontal="right"/>
    </xf>
    <xf numFmtId="37" fontId="6" fillId="0" borderId="0" xfId="0" applyNumberFormat="1" applyFont="1"/>
    <xf numFmtId="37" fontId="6" fillId="0" borderId="0" xfId="0" applyNumberFormat="1" applyFont="1" applyBorder="1"/>
    <xf numFmtId="37" fontId="4" fillId="0" borderId="0" xfId="1" applyNumberFormat="1" applyFont="1"/>
    <xf numFmtId="37" fontId="6" fillId="0" borderId="0" xfId="1" applyNumberFormat="1" applyFont="1"/>
    <xf numFmtId="37" fontId="6" fillId="0" borderId="2" xfId="10" applyNumberFormat="1" applyFont="1" applyBorder="1"/>
    <xf numFmtId="37" fontId="6" fillId="0" borderId="0" xfId="10" applyNumberFormat="1" applyFont="1"/>
    <xf numFmtId="0" fontId="10" fillId="0" borderId="0" xfId="11" applyFont="1"/>
    <xf numFmtId="0" fontId="13" fillId="0" borderId="0" xfId="0" applyFont="1"/>
    <xf numFmtId="0" fontId="6" fillId="0" borderId="0" xfId="0" applyFont="1" applyBorder="1" applyAlignment="1">
      <alignment horizontal="center"/>
    </xf>
    <xf numFmtId="0" fontId="12" fillId="0" borderId="0" xfId="11" applyFont="1" applyBorder="1"/>
    <xf numFmtId="164" fontId="14" fillId="0" borderId="0" xfId="11" applyNumberFormat="1" applyFont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Alignment="1">
      <alignment horizontal="left"/>
    </xf>
    <xf numFmtId="0" fontId="7" fillId="0" borderId="0" xfId="0" applyFont="1"/>
    <xf numFmtId="37" fontId="6" fillId="0" borderId="2" xfId="0" applyNumberFormat="1" applyFont="1" applyBorder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39" fontId="8" fillId="0" borderId="0" xfId="0" applyNumberFormat="1" applyFont="1"/>
    <xf numFmtId="164" fontId="6" fillId="0" borderId="0" xfId="0" applyNumberFormat="1" applyFont="1"/>
    <xf numFmtId="39" fontId="6" fillId="0" borderId="2" xfId="0" applyNumberFormat="1" applyFont="1" applyBorder="1"/>
    <xf numFmtId="0" fontId="6" fillId="0" borderId="1" xfId="10" applyFont="1" applyBorder="1" applyAlignment="1">
      <alignment horizontal="right"/>
    </xf>
    <xf numFmtId="164" fontId="6" fillId="0" borderId="0" xfId="10" applyNumberFormat="1" applyFont="1"/>
    <xf numFmtId="39" fontId="6" fillId="0" borderId="0" xfId="10" applyNumberFormat="1" applyFont="1"/>
    <xf numFmtId="39" fontId="6" fillId="0" borderId="2" xfId="10" applyNumberFormat="1" applyFont="1" applyBorder="1"/>
    <xf numFmtId="37" fontId="4" fillId="0" borderId="0" xfId="0" applyNumberFormat="1" applyFont="1"/>
    <xf numFmtId="0" fontId="9" fillId="0" borderId="0" xfId="1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11" applyNumberFormat="1" applyFont="1" applyBorder="1"/>
    <xf numFmtId="39" fontId="8" fillId="0" borderId="0" xfId="10" applyNumberFormat="1" applyFont="1"/>
    <xf numFmtId="2" fontId="6" fillId="0" borderId="0" xfId="10" applyNumberFormat="1" applyFont="1" applyAlignment="1">
      <alignment horizontal="left"/>
    </xf>
    <xf numFmtId="0" fontId="6" fillId="2" borderId="0" xfId="0" applyFont="1" applyFill="1"/>
    <xf numFmtId="39" fontId="6" fillId="2" borderId="2" xfId="0" applyNumberFormat="1" applyFont="1" applyFill="1" applyBorder="1"/>
    <xf numFmtId="39" fontId="6" fillId="2" borderId="2" xfId="10" applyNumberFormat="1" applyFont="1" applyFill="1" applyBorder="1"/>
    <xf numFmtId="0" fontId="6" fillId="3" borderId="0" xfId="0" applyFont="1" applyFill="1" applyAlignment="1">
      <alignment horizontal="left"/>
    </xf>
    <xf numFmtId="0" fontId="6" fillId="3" borderId="0" xfId="10" applyFont="1" applyFill="1" applyAlignment="1">
      <alignment horizontal="left"/>
    </xf>
    <xf numFmtId="10" fontId="15" fillId="0" borderId="0" xfId="11" applyNumberFormat="1" applyFont="1" applyFill="1"/>
    <xf numFmtId="39" fontId="6" fillId="0" borderId="0" xfId="0" applyNumberFormat="1" applyFont="1" applyFill="1"/>
    <xf numFmtId="0" fontId="8" fillId="0" borderId="0" xfId="0" applyFont="1" applyAlignment="1">
      <alignment horizontal="center"/>
    </xf>
    <xf numFmtId="0" fontId="8" fillId="0" borderId="0" xfId="11" applyFont="1"/>
    <xf numFmtId="0" fontId="16" fillId="0" borderId="0" xfId="10" applyFont="1" applyAlignment="1">
      <alignment horizontal="left"/>
    </xf>
    <xf numFmtId="0" fontId="16" fillId="0" borderId="0" xfId="0" applyFont="1"/>
    <xf numFmtId="0" fontId="6" fillId="0" borderId="0" xfId="0" applyFont="1" applyFill="1" applyBorder="1"/>
    <xf numFmtId="39" fontId="6" fillId="0" borderId="2" xfId="10" applyNumberFormat="1" applyFont="1" applyFill="1" applyBorder="1"/>
    <xf numFmtId="10" fontId="8" fillId="0" borderId="0" xfId="11" applyNumberFormat="1" applyFont="1" applyFill="1"/>
    <xf numFmtId="0" fontId="8" fillId="0" borderId="0" xfId="11" applyFont="1" applyFill="1" applyAlignment="1">
      <alignment horizontal="center"/>
    </xf>
    <xf numFmtId="164" fontId="6" fillId="0" borderId="0" xfId="10" applyNumberFormat="1" applyFont="1" applyFill="1"/>
    <xf numFmtId="43" fontId="6" fillId="0" borderId="0" xfId="10" applyNumberFormat="1" applyFont="1"/>
    <xf numFmtId="39" fontId="6" fillId="0" borderId="0" xfId="0" applyNumberFormat="1" applyFont="1" applyFill="1" applyBorder="1"/>
    <xf numFmtId="0" fontId="6" fillId="0" borderId="0" xfId="10" applyFont="1" applyFill="1"/>
    <xf numFmtId="39" fontId="12" fillId="0" borderId="0" xfId="0" applyNumberFormat="1" applyFont="1"/>
    <xf numFmtId="39" fontId="12" fillId="0" borderId="2" xfId="0" applyNumberFormat="1" applyFont="1" applyBorder="1"/>
    <xf numFmtId="43" fontId="6" fillId="0" borderId="0" xfId="0" applyNumberFormat="1" applyFont="1"/>
    <xf numFmtId="0" fontId="4" fillId="0" borderId="0" xfId="0" applyFont="1"/>
    <xf numFmtId="0" fontId="4" fillId="0" borderId="0" xfId="0" applyFont="1" applyBorder="1"/>
    <xf numFmtId="164" fontId="4" fillId="0" borderId="0" xfId="11" applyNumberFormat="1" applyFont="1" applyFill="1" applyBorder="1"/>
    <xf numFmtId="0" fontId="6" fillId="5" borderId="0" xfId="10" applyFont="1" applyFill="1"/>
    <xf numFmtId="0" fontId="6" fillId="5" borderId="0" xfId="0" applyFont="1" applyFill="1"/>
    <xf numFmtId="0" fontId="4" fillId="0" borderId="5" xfId="0" applyFont="1" applyFill="1" applyBorder="1"/>
    <xf numFmtId="0" fontId="6" fillId="0" borderId="1" xfId="1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8" fillId="0" borderId="0" xfId="0" applyNumberFormat="1" applyFont="1" applyFill="1"/>
    <xf numFmtId="164" fontId="6" fillId="0" borderId="0" xfId="0" applyNumberFormat="1" applyFont="1" applyFill="1"/>
    <xf numFmtId="0" fontId="4" fillId="0" borderId="5" xfId="10" applyFont="1" applyFill="1" applyBorder="1"/>
    <xf numFmtId="0" fontId="6" fillId="0" borderId="5" xfId="10" applyFont="1" applyFill="1" applyBorder="1"/>
    <xf numFmtId="0" fontId="6" fillId="0" borderId="0" xfId="10" applyFont="1" applyFill="1" applyAlignment="1">
      <alignment horizontal="right"/>
    </xf>
    <xf numFmtId="164" fontId="8" fillId="0" borderId="0" xfId="10" applyNumberFormat="1" applyFont="1" applyFill="1"/>
    <xf numFmtId="37" fontId="1" fillId="0" borderId="0" xfId="0" applyNumberFormat="1" applyFont="1"/>
    <xf numFmtId="43" fontId="6" fillId="0" borderId="0" xfId="10" applyNumberFormat="1" applyFont="1" applyFill="1"/>
    <xf numFmtId="37" fontId="1" fillId="0" borderId="2" xfId="0" applyNumberFormat="1" applyFont="1" applyBorder="1"/>
    <xf numFmtId="37" fontId="22" fillId="0" borderId="0" xfId="0" applyNumberFormat="1" applyFont="1" applyAlignment="1">
      <alignment horizontal="center"/>
    </xf>
    <xf numFmtId="37" fontId="22" fillId="0" borderId="0" xfId="10" applyNumberFormat="1" applyFont="1"/>
    <xf numFmtId="0" fontId="22" fillId="0" borderId="0" xfId="0" applyFont="1"/>
    <xf numFmtId="0" fontId="22" fillId="0" borderId="0" xfId="10" applyFont="1"/>
    <xf numFmtId="43" fontId="22" fillId="0" borderId="0" xfId="0" applyNumberFormat="1" applyFont="1" applyFill="1" applyAlignment="1">
      <alignment horizontal="center"/>
    </xf>
    <xf numFmtId="43" fontId="22" fillId="0" borderId="0" xfId="0" applyNumberFormat="1" applyFont="1" applyAlignment="1">
      <alignment horizontal="center"/>
    </xf>
    <xf numFmtId="39" fontId="6" fillId="0" borderId="2" xfId="0" applyNumberFormat="1" applyFont="1" applyFill="1" applyBorder="1"/>
    <xf numFmtId="39" fontId="12" fillId="0" borderId="2" xfId="0" applyNumberFormat="1" applyFont="1" applyFill="1" applyBorder="1"/>
    <xf numFmtId="39" fontId="12" fillId="0" borderId="0" xfId="0" applyNumberFormat="1" applyFont="1" applyFill="1"/>
    <xf numFmtId="39" fontId="13" fillId="0" borderId="2" xfId="0" applyNumberFormat="1" applyFont="1" applyFill="1" applyBorder="1"/>
    <xf numFmtId="39" fontId="13" fillId="0" borderId="0" xfId="0" applyNumberFormat="1" applyFont="1" applyFill="1"/>
    <xf numFmtId="0" fontId="21" fillId="0" borderId="0" xfId="11" applyFont="1"/>
    <xf numFmtId="0" fontId="23" fillId="0" borderId="0" xfId="11" applyFont="1"/>
    <xf numFmtId="165" fontId="24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39" fontId="25" fillId="0" borderId="0" xfId="0" applyNumberFormat="1" applyFont="1"/>
    <xf numFmtId="0" fontId="25" fillId="0" borderId="0" xfId="0" applyFont="1"/>
    <xf numFmtId="0" fontId="25" fillId="0" borderId="0" xfId="0" applyFont="1" applyBorder="1"/>
    <xf numFmtId="0" fontId="1" fillId="0" borderId="0" xfId="11" applyFont="1"/>
    <xf numFmtId="164" fontId="1" fillId="0" borderId="0" xfId="11" applyNumberFormat="1" applyFont="1" applyBorder="1"/>
    <xf numFmtId="0" fontId="1" fillId="0" borderId="0" xfId="11" applyFont="1" applyBorder="1"/>
    <xf numFmtId="0" fontId="1" fillId="0" borderId="1" xfId="11" applyFont="1" applyFill="1" applyBorder="1"/>
    <xf numFmtId="0" fontId="2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39" fontId="21" fillId="0" borderId="3" xfId="0" applyNumberFormat="1" applyFont="1" applyFill="1" applyBorder="1"/>
    <xf numFmtId="164" fontId="21" fillId="0" borderId="0" xfId="0" applyNumberFormat="1" applyFont="1" applyFill="1" applyBorder="1"/>
    <xf numFmtId="164" fontId="6" fillId="0" borderId="0" xfId="0" applyNumberFormat="1" applyFont="1" applyBorder="1"/>
    <xf numFmtId="43" fontId="6" fillId="0" borderId="0" xfId="0" applyNumberFormat="1" applyFont="1" applyBorder="1"/>
    <xf numFmtId="0" fontId="1" fillId="0" borderId="0" xfId="11" applyFont="1" applyBorder="1" applyAlignment="1">
      <alignment horizontal="center"/>
    </xf>
    <xf numFmtId="0" fontId="15" fillId="0" borderId="0" xfId="11" applyFont="1"/>
    <xf numFmtId="0" fontId="26" fillId="0" borderId="0" xfId="11" applyFont="1"/>
    <xf numFmtId="164" fontId="1" fillId="5" borderId="4" xfId="11" applyNumberFormat="1" applyFont="1" applyFill="1" applyBorder="1"/>
    <xf numFmtId="164" fontId="23" fillId="0" borderId="0" xfId="11" applyNumberFormat="1" applyFont="1" applyBorder="1"/>
    <xf numFmtId="164" fontId="22" fillId="0" borderId="0" xfId="11" applyNumberFormat="1" applyFont="1" applyBorder="1"/>
    <xf numFmtId="0" fontId="21" fillId="0" borderId="0" xfId="11" applyFont="1" applyBorder="1"/>
    <xf numFmtId="0" fontId="21" fillId="0" borderId="0" xfId="11" applyFont="1" applyFill="1" applyBorder="1"/>
    <xf numFmtId="0" fontId="23" fillId="0" borderId="0" xfId="11" applyFont="1" applyBorder="1"/>
    <xf numFmtId="0" fontId="23" fillId="0" borderId="0" xfId="11" applyFont="1" applyFill="1" applyBorder="1"/>
    <xf numFmtId="10" fontId="8" fillId="0" borderId="0" xfId="11" applyNumberFormat="1" applyFont="1" applyFill="1" applyBorder="1"/>
    <xf numFmtId="0" fontId="10" fillId="0" borderId="0" xfId="0" applyFont="1" applyBorder="1" applyAlignment="1">
      <alignment horizontal="center"/>
    </xf>
    <xf numFmtId="10" fontId="4" fillId="0" borderId="0" xfId="1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7" fontId="1" fillId="0" borderId="0" xfId="10" applyNumberFormat="1" applyFont="1"/>
    <xf numFmtId="37" fontId="1" fillId="0" borderId="0" xfId="0" applyNumberFormat="1" applyFont="1" applyBorder="1"/>
    <xf numFmtId="0" fontId="1" fillId="0" borderId="0" xfId="11" applyFont="1" applyFill="1"/>
    <xf numFmtId="39" fontId="6" fillId="0" borderId="3" xfId="0" applyNumberFormat="1" applyFont="1" applyFill="1" applyBorder="1"/>
    <xf numFmtId="0" fontId="27" fillId="0" borderId="0" xfId="0" applyFont="1"/>
    <xf numFmtId="37" fontId="4" fillId="0" borderId="2" xfId="0" applyNumberFormat="1" applyFont="1" applyBorder="1"/>
    <xf numFmtId="0" fontId="7" fillId="0" borderId="0" xfId="0" applyFont="1" applyBorder="1"/>
    <xf numFmtId="39" fontId="25" fillId="0" borderId="0" xfId="0" applyNumberFormat="1" applyFont="1" applyBorder="1"/>
    <xf numFmtId="0" fontId="6" fillId="5" borderId="20" xfId="10" applyFont="1" applyFill="1" applyBorder="1" applyAlignment="1">
      <alignment horizontal="right"/>
    </xf>
    <xf numFmtId="0" fontId="6" fillId="5" borderId="21" xfId="10" applyFont="1" applyFill="1" applyBorder="1" applyAlignment="1">
      <alignment horizontal="right"/>
    </xf>
    <xf numFmtId="0" fontId="6" fillId="5" borderId="22" xfId="10" applyFont="1" applyFill="1" applyBorder="1"/>
    <xf numFmtId="39" fontId="6" fillId="5" borderId="22" xfId="10" applyNumberFormat="1" applyFont="1" applyFill="1" applyBorder="1"/>
    <xf numFmtId="39" fontId="6" fillId="5" borderId="23" xfId="10" applyNumberFormat="1" applyFont="1" applyFill="1" applyBorder="1"/>
    <xf numFmtId="39" fontId="6" fillId="5" borderId="24" xfId="10" applyNumberFormat="1" applyFont="1" applyFill="1" applyBorder="1"/>
    <xf numFmtId="39" fontId="21" fillId="0" borderId="0" xfId="0" applyNumberFormat="1" applyFont="1" applyFill="1" applyBorder="1"/>
    <xf numFmtId="0" fontId="6" fillId="5" borderId="20" xfId="0" applyFont="1" applyFill="1" applyBorder="1" applyAlignment="1">
      <alignment horizontal="right"/>
    </xf>
    <xf numFmtId="0" fontId="6" fillId="5" borderId="21" xfId="0" applyFont="1" applyFill="1" applyBorder="1" applyAlignment="1">
      <alignment horizontal="right"/>
    </xf>
    <xf numFmtId="0" fontId="6" fillId="5" borderId="22" xfId="0" applyFont="1" applyFill="1" applyBorder="1"/>
    <xf numFmtId="39" fontId="6" fillId="5" borderId="22" xfId="0" applyNumberFormat="1" applyFont="1" applyFill="1" applyBorder="1"/>
    <xf numFmtId="39" fontId="6" fillId="5" borderId="23" xfId="0" applyNumberFormat="1" applyFont="1" applyFill="1" applyBorder="1"/>
    <xf numFmtId="39" fontId="6" fillId="5" borderId="24" xfId="0" applyNumberFormat="1" applyFont="1" applyFill="1" applyBorder="1"/>
    <xf numFmtId="167" fontId="29" fillId="4" borderId="7" xfId="7" applyNumberFormat="1" applyFont="1" applyFill="1" applyBorder="1" applyAlignment="1">
      <alignment horizontal="right" vertical="top"/>
    </xf>
    <xf numFmtId="0" fontId="29" fillId="0" borderId="7" xfId="0" applyFont="1" applyFill="1" applyBorder="1" applyAlignment="1">
      <alignment horizontal="left" vertical="top"/>
    </xf>
    <xf numFmtId="0" fontId="28" fillId="0" borderId="0" xfId="0" applyFont="1" applyFill="1"/>
    <xf numFmtId="0" fontId="28" fillId="0" borderId="0" xfId="0" applyFont="1" applyFill="1" applyBorder="1"/>
    <xf numFmtId="0" fontId="30" fillId="0" borderId="0" xfId="0" applyFont="1" applyFill="1"/>
    <xf numFmtId="0" fontId="31" fillId="0" borderId="7" xfId="0" applyFont="1" applyFill="1" applyBorder="1" applyAlignment="1">
      <alignment horizontal="left" vertical="top"/>
    </xf>
    <xf numFmtId="43" fontId="29" fillId="0" borderId="8" xfId="1" applyFont="1" applyFill="1" applyBorder="1" applyAlignment="1">
      <alignment horizontal="right" vertical="top"/>
    </xf>
    <xf numFmtId="43" fontId="29" fillId="0" borderId="9" xfId="1" applyFont="1" applyFill="1" applyBorder="1" applyAlignment="1">
      <alignment horizontal="right" vertical="top"/>
    </xf>
    <xf numFmtId="0" fontId="31" fillId="0" borderId="7" xfId="0" applyFont="1" applyFill="1" applyBorder="1" applyAlignment="1">
      <alignment horizontal="center" vertical="top" wrapText="1"/>
    </xf>
    <xf numFmtId="43" fontId="31" fillId="0" borderId="15" xfId="1" applyFont="1" applyFill="1" applyBorder="1" applyAlignment="1">
      <alignment horizontal="center" vertical="center" wrapText="1"/>
    </xf>
    <xf numFmtId="43" fontId="31" fillId="0" borderId="12" xfId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43" fontId="29" fillId="0" borderId="13" xfId="1" applyFont="1" applyFill="1" applyBorder="1" applyAlignment="1">
      <alignment horizontal="right" vertical="top"/>
    </xf>
    <xf numFmtId="167" fontId="29" fillId="4" borderId="7" xfId="0" applyNumberFormat="1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center"/>
    </xf>
    <xf numFmtId="167" fontId="29" fillId="0" borderId="0" xfId="0" applyNumberFormat="1" applyFont="1" applyFill="1" applyBorder="1" applyAlignment="1">
      <alignment horizontal="right" vertical="top"/>
    </xf>
    <xf numFmtId="10" fontId="28" fillId="0" borderId="0" xfId="0" applyNumberFormat="1" applyFont="1" applyFill="1" applyBorder="1"/>
    <xf numFmtId="43" fontId="28" fillId="0" borderId="0" xfId="1" applyFont="1" applyFill="1" applyBorder="1"/>
    <xf numFmtId="0" fontId="29" fillId="0" borderId="10" xfId="0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left"/>
    </xf>
    <xf numFmtId="43" fontId="30" fillId="7" borderId="17" xfId="1" applyFont="1" applyFill="1" applyBorder="1" applyAlignment="1">
      <alignment horizontal="right"/>
    </xf>
    <xf numFmtId="0" fontId="28" fillId="0" borderId="0" xfId="0" applyFont="1" applyFill="1" applyAlignment="1">
      <alignment horizontal="left"/>
    </xf>
    <xf numFmtId="43" fontId="28" fillId="0" borderId="0" xfId="1" applyFont="1" applyFill="1" applyAlignment="1">
      <alignment horizontal="right"/>
    </xf>
    <xf numFmtId="43" fontId="31" fillId="0" borderId="11" xfId="1" applyFont="1" applyFill="1" applyBorder="1" applyAlignment="1">
      <alignment horizontal="right" vertical="top"/>
    </xf>
    <xf numFmtId="168" fontId="28" fillId="0" borderId="0" xfId="3" applyNumberFormat="1" applyFont="1" applyFill="1"/>
    <xf numFmtId="0" fontId="28" fillId="0" borderId="6" xfId="0" applyFont="1" applyFill="1" applyBorder="1" applyAlignment="1">
      <alignment horizontal="left"/>
    </xf>
    <xf numFmtId="0" fontId="30" fillId="0" borderId="6" xfId="0" applyFont="1" applyFill="1" applyBorder="1"/>
    <xf numFmtId="43" fontId="30" fillId="5" borderId="14" xfId="1" applyFont="1" applyFill="1" applyBorder="1" applyAlignment="1">
      <alignment horizontal="right"/>
    </xf>
    <xf numFmtId="43" fontId="28" fillId="0" borderId="0" xfId="1" applyFont="1" applyFill="1" applyBorder="1" applyAlignment="1">
      <alignment horizontal="right"/>
    </xf>
    <xf numFmtId="10" fontId="1" fillId="5" borderId="4" xfId="11" applyNumberFormat="1" applyFont="1" applyFill="1" applyBorder="1"/>
    <xf numFmtId="37" fontId="1" fillId="0" borderId="2" xfId="10" applyNumberFormat="1" applyFont="1" applyBorder="1"/>
    <xf numFmtId="0" fontId="6" fillId="0" borderId="1" xfId="10" applyFont="1" applyFill="1" applyBorder="1" applyAlignment="1">
      <alignment horizontal="right"/>
    </xf>
    <xf numFmtId="39" fontId="8" fillId="0" borderId="0" xfId="0" applyNumberFormat="1" applyFont="1" applyFill="1"/>
    <xf numFmtId="39" fontId="6" fillId="0" borderId="0" xfId="10" applyNumberFormat="1" applyFont="1" applyFill="1"/>
    <xf numFmtId="43" fontId="31" fillId="0" borderId="19" xfId="1" applyFont="1" applyFill="1" applyBorder="1" applyAlignment="1">
      <alignment horizontal="center" vertical="center" wrapText="1"/>
    </xf>
    <xf numFmtId="43" fontId="31" fillId="0" borderId="18" xfId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9" fontId="1" fillId="0" borderId="0" xfId="12" applyFont="1"/>
    <xf numFmtId="0" fontId="3" fillId="0" borderId="0" xfId="11" applyFont="1"/>
    <xf numFmtId="0" fontId="3" fillId="0" borderId="0" xfId="0" applyFont="1" applyFill="1" applyBorder="1" applyAlignment="1">
      <alignment horizontal="center"/>
    </xf>
    <xf numFmtId="37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left" vertical="top"/>
    </xf>
    <xf numFmtId="0" fontId="31" fillId="0" borderId="26" xfId="0" applyFont="1" applyFill="1" applyBorder="1" applyAlignment="1">
      <alignment horizontal="left" vertical="top"/>
    </xf>
    <xf numFmtId="0" fontId="31" fillId="0" borderId="25" xfId="0" applyFont="1" applyFill="1" applyBorder="1" applyAlignment="1">
      <alignment horizontal="center" vertical="center" wrapText="1"/>
    </xf>
    <xf numFmtId="43" fontId="31" fillId="0" borderId="26" xfId="1" applyFont="1" applyFill="1" applyBorder="1" applyAlignment="1">
      <alignment horizontal="right" vertical="top"/>
    </xf>
    <xf numFmtId="0" fontId="4" fillId="0" borderId="0" xfId="0" applyFont="1" applyFill="1"/>
    <xf numFmtId="0" fontId="4" fillId="0" borderId="0" xfId="10" applyFont="1"/>
    <xf numFmtId="37" fontId="4" fillId="0" borderId="0" xfId="10" applyNumberFormat="1" applyFont="1" applyBorder="1"/>
    <xf numFmtId="37" fontId="4" fillId="0" borderId="0" xfId="10" applyNumberFormat="1" applyFont="1"/>
    <xf numFmtId="0" fontId="1" fillId="0" borderId="0" xfId="10" applyFont="1"/>
    <xf numFmtId="43" fontId="31" fillId="0" borderId="27" xfId="1" applyFont="1" applyFill="1" applyBorder="1" applyAlignment="1">
      <alignment horizontal="center" vertical="center"/>
    </xf>
    <xf numFmtId="43" fontId="31" fillId="0" borderId="28" xfId="1" applyFont="1" applyFill="1" applyBorder="1" applyAlignment="1">
      <alignment horizontal="right" vertical="top"/>
    </xf>
    <xf numFmtId="167" fontId="29" fillId="4" borderId="29" xfId="7" applyNumberFormat="1" applyFont="1" applyFill="1" applyBorder="1" applyAlignment="1">
      <alignment horizontal="right" vertical="top"/>
    </xf>
    <xf numFmtId="43" fontId="30" fillId="5" borderId="30" xfId="1" applyFont="1" applyFill="1" applyBorder="1" applyAlignment="1">
      <alignment horizontal="right"/>
    </xf>
    <xf numFmtId="43" fontId="31" fillId="0" borderId="32" xfId="1" applyFont="1" applyFill="1" applyBorder="1" applyAlignment="1">
      <alignment horizontal="right" vertical="top"/>
    </xf>
    <xf numFmtId="167" fontId="29" fillId="4" borderId="33" xfId="7" applyNumberFormat="1" applyFont="1" applyFill="1" applyBorder="1" applyAlignment="1">
      <alignment horizontal="right" vertical="top"/>
    </xf>
    <xf numFmtId="43" fontId="30" fillId="5" borderId="34" xfId="1" applyFont="1" applyFill="1" applyBorder="1" applyAlignment="1">
      <alignment horizontal="right"/>
    </xf>
    <xf numFmtId="43" fontId="31" fillId="0" borderId="31" xfId="1" applyFont="1" applyFill="1" applyBorder="1" applyAlignment="1">
      <alignment horizontal="center" vertical="center" wrapText="1"/>
    </xf>
    <xf numFmtId="0" fontId="4" fillId="0" borderId="0" xfId="11" applyFont="1" applyFill="1"/>
    <xf numFmtId="167" fontId="29" fillId="0" borderId="7" xfId="7" applyNumberFormat="1" applyFont="1" applyFill="1" applyBorder="1" applyAlignment="1">
      <alignment horizontal="right" vertical="top"/>
    </xf>
    <xf numFmtId="17" fontId="1" fillId="0" borderId="0" xfId="11" quotePrefix="1" applyNumberFormat="1" applyFont="1"/>
    <xf numFmtId="15" fontId="1" fillId="0" borderId="0" xfId="11" quotePrefix="1" applyNumberFormat="1" applyFont="1"/>
    <xf numFmtId="169" fontId="1" fillId="0" borderId="1" xfId="11" applyNumberFormat="1" applyFont="1" applyFill="1" applyBorder="1"/>
    <xf numFmtId="16" fontId="1" fillId="0" borderId="0" xfId="11" applyNumberFormat="1" applyFont="1"/>
    <xf numFmtId="43" fontId="22" fillId="0" borderId="0" xfId="1" applyNumberFormat="1" applyFont="1" applyBorder="1"/>
    <xf numFmtId="0" fontId="8" fillId="0" borderId="0" xfId="11" quotePrefix="1" applyFont="1" applyFill="1" applyAlignment="1">
      <alignment horizontal="center"/>
    </xf>
    <xf numFmtId="44" fontId="6" fillId="0" borderId="0" xfId="3" applyFont="1"/>
    <xf numFmtId="0" fontId="32" fillId="0" borderId="0" xfId="0" applyFont="1" applyAlignment="1">
      <alignment horizontal="center"/>
    </xf>
    <xf numFmtId="0" fontId="32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166" fontId="21" fillId="6" borderId="0" xfId="0" applyNumberFormat="1" applyFont="1" applyFill="1" applyAlignment="1">
      <alignment horizontal="center"/>
    </xf>
    <xf numFmtId="165" fontId="24" fillId="6" borderId="0" xfId="0" applyNumberFormat="1" applyFont="1" applyFill="1" applyAlignment="1">
      <alignment horizontal="center"/>
    </xf>
    <xf numFmtId="0" fontId="3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32" fillId="0" borderId="0" xfId="0" applyFont="1" applyFill="1" applyAlignment="1">
      <alignment horizontal="center"/>
    </xf>
    <xf numFmtId="165" fontId="24" fillId="8" borderId="0" xfId="0" applyNumberFormat="1" applyFont="1" applyFill="1" applyAlignment="1">
      <alignment horizontal="center"/>
    </xf>
    <xf numFmtId="0" fontId="8" fillId="8" borderId="0" xfId="0" applyFont="1" applyFill="1" applyAlignment="1">
      <alignment horizontal="center"/>
    </xf>
    <xf numFmtId="166" fontId="21" fillId="8" borderId="0" xfId="0" applyNumberFormat="1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166" fontId="21" fillId="5" borderId="0" xfId="0" applyNumberFormat="1" applyFont="1" applyFill="1" applyAlignment="1">
      <alignment horizontal="center"/>
    </xf>
    <xf numFmtId="165" fontId="24" fillId="5" borderId="0" xfId="0" applyNumberFormat="1" applyFont="1" applyFill="1" applyAlignment="1">
      <alignment horizontal="center"/>
    </xf>
    <xf numFmtId="37" fontId="4" fillId="5" borderId="0" xfId="1" applyNumberFormat="1" applyFont="1" applyFill="1"/>
    <xf numFmtId="37" fontId="6" fillId="5" borderId="0" xfId="1" applyNumberFormat="1" applyFont="1" applyFill="1"/>
    <xf numFmtId="37" fontId="6" fillId="5" borderId="2" xfId="0" applyNumberFormat="1" applyFont="1" applyFill="1" applyBorder="1"/>
    <xf numFmtId="37" fontId="6" fillId="5" borderId="0" xfId="0" applyNumberFormat="1" applyFont="1" applyFill="1"/>
    <xf numFmtId="37" fontId="1" fillId="5" borderId="2" xfId="0" applyNumberFormat="1" applyFont="1" applyFill="1" applyBorder="1"/>
    <xf numFmtId="10" fontId="4" fillId="5" borderId="0" xfId="12" applyNumberFormat="1" applyFont="1" applyFill="1"/>
    <xf numFmtId="0" fontId="33" fillId="0" borderId="6" xfId="0" applyFont="1" applyBorder="1" applyAlignment="1">
      <alignment horizontal="center"/>
    </xf>
    <xf numFmtId="37" fontId="6" fillId="0" borderId="2" xfId="10" applyNumberFormat="1" applyFont="1" applyFill="1" applyBorder="1"/>
    <xf numFmtId="37" fontId="6" fillId="0" borderId="0" xfId="10" applyNumberFormat="1" applyFont="1" applyFill="1"/>
    <xf numFmtId="37" fontId="4" fillId="0" borderId="0" xfId="0" applyNumberFormat="1" applyFont="1" applyFill="1"/>
    <xf numFmtId="37" fontId="6" fillId="0" borderId="0" xfId="0" applyNumberFormat="1" applyFont="1" applyFill="1"/>
    <xf numFmtId="37" fontId="1" fillId="0" borderId="2" xfId="10" applyNumberFormat="1" applyFont="1" applyFill="1" applyBorder="1"/>
    <xf numFmtId="0" fontId="1" fillId="0" borderId="0" xfId="0" applyFont="1" applyFill="1"/>
    <xf numFmtId="37" fontId="4" fillId="0" borderId="0" xfId="10" applyNumberFormat="1" applyFont="1" applyFill="1"/>
    <xf numFmtId="0" fontId="22" fillId="0" borderId="0" xfId="0" applyFont="1" applyFill="1" applyAlignment="1">
      <alignment horizontal="center"/>
    </xf>
    <xf numFmtId="37" fontId="22" fillId="0" borderId="0" xfId="10" applyNumberFormat="1" applyFont="1" applyFill="1"/>
    <xf numFmtId="0" fontId="22" fillId="0" borderId="0" xfId="0" applyFont="1" applyFill="1"/>
    <xf numFmtId="0" fontId="8" fillId="0" borderId="0" xfId="0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68" fontId="6" fillId="0" borderId="0" xfId="3" applyNumberFormat="1" applyFont="1"/>
    <xf numFmtId="0" fontId="6" fillId="9" borderId="35" xfId="0" applyFont="1" applyFill="1" applyBorder="1" applyAlignment="1">
      <alignment horizontal="center"/>
    </xf>
    <xf numFmtId="0" fontId="6" fillId="9" borderId="37" xfId="0" applyFont="1" applyFill="1" applyBorder="1"/>
    <xf numFmtId="0" fontId="6" fillId="9" borderId="38" xfId="0" applyFont="1" applyFill="1" applyBorder="1"/>
    <xf numFmtId="0" fontId="4" fillId="9" borderId="37" xfId="0" applyFont="1" applyFill="1" applyBorder="1"/>
    <xf numFmtId="168" fontId="6" fillId="9" borderId="38" xfId="3" applyNumberFormat="1" applyFont="1" applyFill="1" applyBorder="1"/>
    <xf numFmtId="0" fontId="6" fillId="9" borderId="39" xfId="0" applyFont="1" applyFill="1" applyBorder="1"/>
    <xf numFmtId="168" fontId="6" fillId="9" borderId="40" xfId="3" applyNumberFormat="1" applyFont="1" applyFill="1" applyBorder="1"/>
    <xf numFmtId="0" fontId="6" fillId="9" borderId="42" xfId="0" applyFont="1" applyFill="1" applyBorder="1"/>
    <xf numFmtId="168" fontId="6" fillId="9" borderId="42" xfId="3" applyNumberFormat="1" applyFont="1" applyFill="1" applyBorder="1"/>
    <xf numFmtId="168" fontId="6" fillId="9" borderId="43" xfId="3" applyNumberFormat="1" applyFont="1" applyFill="1" applyBorder="1"/>
    <xf numFmtId="0" fontId="4" fillId="0" borderId="0" xfId="0" applyFont="1" applyFill="1" applyBorder="1"/>
    <xf numFmtId="168" fontId="6" fillId="0" borderId="0" xfId="3" applyNumberFormat="1" applyFont="1" applyFill="1" applyBorder="1"/>
    <xf numFmtId="0" fontId="1" fillId="0" borderId="0" xfId="0" applyFont="1" applyFill="1" applyBorder="1"/>
    <xf numFmtId="0" fontId="4" fillId="9" borderId="41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4">
    <cellStyle name="Comma" xfId="1" builtinId="3"/>
    <cellStyle name="Comma 2" xfId="2"/>
    <cellStyle name="Currency" xfId="3" builtinId="4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Normal 5" xfId="9"/>
    <cellStyle name="Normal_1296GasLabor$" xfId="10"/>
    <cellStyle name="Normal_LaborAdj%" xfId="11"/>
    <cellStyle name="Percent" xfId="12" builtinId="5"/>
    <cellStyle name="Percent 2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2\2012%20WA%20GRC\Adjustments\Adjustments\PF%20-%20Labor&amp;Benefit\2012%20Info\Downloads\Total%20Labor%20for%20Pension-Med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Labor"/>
      <sheetName val="Macro1"/>
    </sheetNames>
    <sheetDataSet>
      <sheetData sheetId="0" refreshError="1"/>
      <sheetData sheetId="1">
        <row r="69">
          <cell r="A6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1:Z136"/>
  <sheetViews>
    <sheetView tabSelected="1" zoomScaleNormal="100" zoomScaleSheetLayoutView="85" workbookViewId="0">
      <pane xSplit="3" ySplit="9" topLeftCell="D10" activePane="bottomRight" state="frozen"/>
      <selection activeCell="F23" sqref="F23"/>
      <selection pane="topRight" activeCell="F23" sqref="F23"/>
      <selection pane="bottomLeft" activeCell="F23" sqref="F23"/>
      <selection pane="bottomRight" activeCell="I136" sqref="I136"/>
    </sheetView>
  </sheetViews>
  <sheetFormatPr defaultColWidth="9.33203125" defaultRowHeight="12.75" outlineLevelRow="1"/>
  <cols>
    <col min="1" max="2" width="3.83203125" style="2" customWidth="1"/>
    <col min="3" max="3" width="34.5" style="2" customWidth="1"/>
    <col min="4" max="4" width="24.33203125" style="2" hidden="1" customWidth="1"/>
    <col min="5" max="5" width="18.1640625" style="128" hidden="1" customWidth="1"/>
    <col min="6" max="6" width="10.6640625" style="70" hidden="1" customWidth="1"/>
    <col min="7" max="7" width="14.6640625" style="2" bestFit="1" customWidth="1"/>
    <col min="8" max="8" width="2.83203125" style="11" customWidth="1"/>
    <col min="9" max="11" width="20.33203125" style="2" bestFit="1" customWidth="1"/>
    <col min="12" max="13" width="20.33203125" style="2" hidden="1" customWidth="1"/>
    <col min="14" max="14" width="9.33203125" style="2"/>
    <col min="15" max="15" width="20.33203125" style="2" bestFit="1" customWidth="1"/>
    <col min="16" max="16" width="9.33203125" style="2"/>
    <col min="17" max="17" width="9.83203125" style="2" bestFit="1" customWidth="1"/>
    <col min="18" max="18" width="9.33203125" style="2"/>
    <col min="19" max="19" width="17.5" style="2" customWidth="1"/>
    <col min="20" max="22" width="9.33203125" style="2"/>
    <col min="23" max="23" width="25.33203125" style="2" customWidth="1"/>
    <col min="24" max="26" width="14.1640625" style="2" bestFit="1" customWidth="1"/>
    <col min="27" max="16384" width="9.33203125" style="2"/>
  </cols>
  <sheetData>
    <row r="1" spans="2:26">
      <c r="C1" s="30" t="str">
        <f>'AN Electric'!A1</f>
        <v>AVISTA UTILITIES</v>
      </c>
      <c r="D1" s="1"/>
      <c r="I1" s="29"/>
      <c r="J1" s="225"/>
      <c r="K1" s="226"/>
      <c r="L1" s="29"/>
      <c r="M1" s="29"/>
    </row>
    <row r="2" spans="2:26">
      <c r="C2" s="1" t="s">
        <v>164</v>
      </c>
      <c r="D2" s="1"/>
      <c r="I2" s="59"/>
      <c r="J2" s="59"/>
      <c r="K2" s="59"/>
      <c r="L2" s="192"/>
      <c r="M2" s="59"/>
    </row>
    <row r="3" spans="2:26" ht="15.75" customHeight="1">
      <c r="C3" s="271"/>
      <c r="D3" s="271"/>
      <c r="E3" s="271"/>
    </row>
    <row r="4" spans="2:26" ht="15.75">
      <c r="C4" s="271"/>
      <c r="D4" s="271"/>
      <c r="E4" s="271"/>
      <c r="I4" s="227"/>
      <c r="J4" s="227"/>
      <c r="K4" s="227"/>
      <c r="L4" s="227"/>
      <c r="M4" s="227"/>
      <c r="O4" s="224"/>
    </row>
    <row r="5" spans="2:26" ht="14.25">
      <c r="C5" s="272"/>
      <c r="D5" s="272"/>
      <c r="E5" s="272"/>
      <c r="I5" s="227"/>
      <c r="J5" s="227"/>
      <c r="K5" s="227"/>
      <c r="L5" s="227"/>
      <c r="M5" s="227"/>
    </row>
    <row r="6" spans="2:26" ht="15.75">
      <c r="C6" s="1"/>
      <c r="D6" s="1"/>
      <c r="I6" s="220" t="s">
        <v>192</v>
      </c>
      <c r="J6" s="220" t="s">
        <v>193</v>
      </c>
      <c r="K6" s="220" t="s">
        <v>194</v>
      </c>
      <c r="L6" s="231" t="s">
        <v>198</v>
      </c>
      <c r="M6" s="231"/>
      <c r="O6" s="241" t="s">
        <v>110</v>
      </c>
      <c r="S6" s="241" t="s">
        <v>199</v>
      </c>
    </row>
    <row r="7" spans="2:26" s="3" customFormat="1">
      <c r="E7" s="129"/>
      <c r="F7" s="44"/>
      <c r="H7" s="25"/>
      <c r="I7" s="221">
        <v>2016</v>
      </c>
      <c r="J7" s="221">
        <v>2017</v>
      </c>
      <c r="K7" s="221">
        <v>2018</v>
      </c>
      <c r="L7" s="232">
        <v>2019</v>
      </c>
      <c r="M7" s="232">
        <v>2020</v>
      </c>
      <c r="O7" s="55"/>
      <c r="P7" s="2"/>
      <c r="Q7" s="2"/>
      <c r="S7" s="252" t="s">
        <v>202</v>
      </c>
    </row>
    <row r="8" spans="2:26" s="3" customFormat="1">
      <c r="E8" s="129"/>
      <c r="F8" s="44"/>
      <c r="G8" s="3" t="s">
        <v>1</v>
      </c>
      <c r="H8" s="25"/>
      <c r="I8" s="222">
        <f>'Pro-Forma Increases'!D26</f>
        <v>4.8599999999999997E-3</v>
      </c>
      <c r="J8" s="222">
        <f>'Pro-Forma Increases'!D28</f>
        <v>0.03</v>
      </c>
      <c r="K8" s="222">
        <v>0.03</v>
      </c>
      <c r="L8" s="233">
        <v>0.03</v>
      </c>
      <c r="M8" s="233">
        <f>0.06-L8</f>
        <v>0.03</v>
      </c>
      <c r="O8" s="222" t="s">
        <v>191</v>
      </c>
    </row>
    <row r="9" spans="2:26" s="4" customFormat="1">
      <c r="E9" s="5" t="s">
        <v>30</v>
      </c>
      <c r="F9" s="126"/>
      <c r="G9" s="5" t="s">
        <v>30</v>
      </c>
      <c r="H9" s="5"/>
      <c r="I9" s="223">
        <f>'Pro-Forma Increases'!D11</f>
        <v>7.1399999999999996E-3</v>
      </c>
      <c r="J9" s="223">
        <f>'Pro-Forma Increases'!D13</f>
        <v>0.03</v>
      </c>
      <c r="K9" s="223">
        <v>0.03</v>
      </c>
      <c r="L9" s="234">
        <v>0.03</v>
      </c>
      <c r="M9" s="234">
        <f>0.06-L9</f>
        <v>0.03</v>
      </c>
      <c r="O9" s="223" t="s">
        <v>183</v>
      </c>
      <c r="W9" s="190"/>
      <c r="X9" s="190"/>
      <c r="Y9" s="190"/>
      <c r="Z9" s="190"/>
    </row>
    <row r="10" spans="2:26" hidden="1" outlineLevel="1">
      <c r="C10" s="2" t="s">
        <v>31</v>
      </c>
      <c r="L10" s="74"/>
      <c r="M10" s="74"/>
      <c r="W10" s="59"/>
      <c r="X10" s="59"/>
      <c r="Y10" s="59"/>
      <c r="Z10" s="59"/>
    </row>
    <row r="11" spans="2:26" hidden="1" outlineLevel="1">
      <c r="C11" s="2" t="s">
        <v>32</v>
      </c>
      <c r="E11" s="31"/>
      <c r="F11" s="134"/>
      <c r="G11" s="31"/>
      <c r="H11" s="136"/>
      <c r="L11" s="74"/>
      <c r="M11" s="74"/>
      <c r="W11" s="59"/>
      <c r="X11" s="59"/>
      <c r="Y11" s="59"/>
      <c r="Z11" s="59"/>
    </row>
    <row r="12" spans="2:26" hidden="1" outlineLevel="1">
      <c r="B12" s="2" t="s">
        <v>26</v>
      </c>
      <c r="C12" s="1">
        <v>500</v>
      </c>
      <c r="D12" s="1" t="s">
        <v>33</v>
      </c>
      <c r="E12" s="84">
        <f>'AN Electric'!G11</f>
        <v>99239</v>
      </c>
      <c r="F12" s="42"/>
      <c r="G12" s="17">
        <f t="shared" ref="G12:G22" si="0">F12+E12</f>
        <v>99239</v>
      </c>
      <c r="H12" s="18"/>
      <c r="I12" s="19">
        <f t="shared" ref="I12:I22" si="1">ROUND(IF($B12="a",G12*I$8,G12*I$9),0)</f>
        <v>482</v>
      </c>
      <c r="J12" s="19">
        <f t="shared" ref="J12:J22" si="2">ROUND(IF($B12="a",(G12+I12)*J$8,(G12+I12)*J$9),0)</f>
        <v>2992</v>
      </c>
      <c r="K12" s="19">
        <f t="shared" ref="K12:K22" si="3">ROUND(IF($B12="a",(G12+I12+J12)*K$8,(G12+I12+J12)*K$9),0)</f>
        <v>3081</v>
      </c>
      <c r="L12" s="235">
        <f t="shared" ref="L12:L23" si="4">ROUND(IF($B12="a",(G12+I12+J12+K12)*L$8,(G12+I12+J12+K12)*L$9),0)</f>
        <v>3174</v>
      </c>
      <c r="M12" s="235">
        <f t="shared" ref="M12:M23" si="5">ROUND(IF($B12="a",(G12+I12+J12+K12+L12)*L$8,(G12+I12+J12+K12+L12)*L$9),0)</f>
        <v>3269</v>
      </c>
      <c r="O12" s="19">
        <f t="shared" ref="O12:O23" si="6">I12+J12+K12</f>
        <v>6555</v>
      </c>
      <c r="W12" s="59"/>
      <c r="X12" s="59"/>
      <c r="Y12" s="59"/>
      <c r="Z12" s="59"/>
    </row>
    <row r="13" spans="2:26" hidden="1" outlineLevel="1">
      <c r="C13" s="1">
        <v>501</v>
      </c>
      <c r="D13" s="1" t="s">
        <v>34</v>
      </c>
      <c r="E13" s="84">
        <f>'AN Electric'!G12</f>
        <v>536319</v>
      </c>
      <c r="F13" s="42"/>
      <c r="G13" s="17">
        <f t="shared" si="0"/>
        <v>536319</v>
      </c>
      <c r="H13" s="18"/>
      <c r="I13" s="20">
        <f t="shared" si="1"/>
        <v>3829</v>
      </c>
      <c r="J13" s="20">
        <f t="shared" si="2"/>
        <v>16204</v>
      </c>
      <c r="K13" s="20">
        <f t="shared" si="3"/>
        <v>16691</v>
      </c>
      <c r="L13" s="236">
        <f t="shared" si="4"/>
        <v>17191</v>
      </c>
      <c r="M13" s="236">
        <f t="shared" si="5"/>
        <v>17707</v>
      </c>
      <c r="O13" s="20">
        <f t="shared" si="6"/>
        <v>36724</v>
      </c>
      <c r="W13" s="59"/>
      <c r="X13" s="59"/>
      <c r="Y13" s="59"/>
      <c r="Z13" s="59"/>
    </row>
    <row r="14" spans="2:26" hidden="1" outlineLevel="1">
      <c r="C14" s="1">
        <v>502</v>
      </c>
      <c r="D14" s="1" t="s">
        <v>35</v>
      </c>
      <c r="E14" s="84">
        <f>'AN Electric'!G13</f>
        <v>331058</v>
      </c>
      <c r="F14" s="42"/>
      <c r="G14" s="17">
        <f t="shared" si="0"/>
        <v>331058</v>
      </c>
      <c r="H14" s="18"/>
      <c r="I14" s="20">
        <f t="shared" si="1"/>
        <v>2364</v>
      </c>
      <c r="J14" s="20">
        <f t="shared" si="2"/>
        <v>10003</v>
      </c>
      <c r="K14" s="20">
        <f t="shared" si="3"/>
        <v>10303</v>
      </c>
      <c r="L14" s="236">
        <f t="shared" si="4"/>
        <v>10612</v>
      </c>
      <c r="M14" s="236">
        <f t="shared" si="5"/>
        <v>10930</v>
      </c>
      <c r="O14" s="20">
        <f t="shared" si="6"/>
        <v>22670</v>
      </c>
      <c r="W14" s="59"/>
      <c r="X14" s="59"/>
      <c r="Y14" s="59"/>
      <c r="Z14" s="59"/>
    </row>
    <row r="15" spans="2:26" hidden="1" outlineLevel="1">
      <c r="C15" s="1">
        <v>505</v>
      </c>
      <c r="D15" s="1" t="s">
        <v>36</v>
      </c>
      <c r="E15" s="84">
        <f>'AN Electric'!G14</f>
        <v>337171</v>
      </c>
      <c r="F15" s="42"/>
      <c r="G15" s="17">
        <f t="shared" si="0"/>
        <v>337171</v>
      </c>
      <c r="H15" s="18"/>
      <c r="I15" s="20">
        <f t="shared" si="1"/>
        <v>2407</v>
      </c>
      <c r="J15" s="20">
        <f t="shared" si="2"/>
        <v>10187</v>
      </c>
      <c r="K15" s="20">
        <f t="shared" si="3"/>
        <v>10493</v>
      </c>
      <c r="L15" s="236">
        <f t="shared" si="4"/>
        <v>10808</v>
      </c>
      <c r="M15" s="236">
        <f t="shared" si="5"/>
        <v>11132</v>
      </c>
      <c r="O15" s="20">
        <f t="shared" si="6"/>
        <v>23087</v>
      </c>
      <c r="W15" s="59"/>
      <c r="X15" s="59"/>
      <c r="Y15" s="59"/>
      <c r="Z15" s="59"/>
    </row>
    <row r="16" spans="2:26" hidden="1" outlineLevel="1">
      <c r="C16" s="1">
        <v>506</v>
      </c>
      <c r="D16" s="1" t="s">
        <v>37</v>
      </c>
      <c r="E16" s="84">
        <f>'AN Electric'!G15</f>
        <v>188086</v>
      </c>
      <c r="F16" s="42"/>
      <c r="G16" s="17">
        <f t="shared" si="0"/>
        <v>188086</v>
      </c>
      <c r="H16" s="18"/>
      <c r="I16" s="20">
        <f t="shared" si="1"/>
        <v>1343</v>
      </c>
      <c r="J16" s="20">
        <f t="shared" si="2"/>
        <v>5683</v>
      </c>
      <c r="K16" s="20">
        <f t="shared" si="3"/>
        <v>5853</v>
      </c>
      <c r="L16" s="236">
        <f t="shared" si="4"/>
        <v>6029</v>
      </c>
      <c r="M16" s="236">
        <f t="shared" si="5"/>
        <v>6210</v>
      </c>
      <c r="O16" s="20">
        <f t="shared" si="6"/>
        <v>12879</v>
      </c>
      <c r="W16" s="59"/>
      <c r="X16" s="59"/>
      <c r="Y16" s="59"/>
      <c r="Z16" s="59"/>
    </row>
    <row r="17" spans="2:26" hidden="1" outlineLevel="1">
      <c r="C17" s="1">
        <v>507</v>
      </c>
      <c r="D17" s="1"/>
      <c r="E17" s="84">
        <f>'AN Electric'!G16</f>
        <v>0</v>
      </c>
      <c r="F17" s="42"/>
      <c r="G17" s="17">
        <f t="shared" si="0"/>
        <v>0</v>
      </c>
      <c r="H17" s="18"/>
      <c r="I17" s="20">
        <f t="shared" si="1"/>
        <v>0</v>
      </c>
      <c r="J17" s="20">
        <f t="shared" si="2"/>
        <v>0</v>
      </c>
      <c r="K17" s="20">
        <f t="shared" si="3"/>
        <v>0</v>
      </c>
      <c r="L17" s="236">
        <f t="shared" si="4"/>
        <v>0</v>
      </c>
      <c r="M17" s="236">
        <f t="shared" si="5"/>
        <v>0</v>
      </c>
      <c r="O17" s="20">
        <f t="shared" si="6"/>
        <v>0</v>
      </c>
      <c r="W17" s="59"/>
      <c r="X17" s="59"/>
      <c r="Y17" s="59"/>
      <c r="Z17" s="59"/>
    </row>
    <row r="18" spans="2:26" hidden="1" outlineLevel="1">
      <c r="B18" s="2" t="s">
        <v>26</v>
      </c>
      <c r="C18" s="1">
        <v>510</v>
      </c>
      <c r="D18" s="1" t="s">
        <v>33</v>
      </c>
      <c r="E18" s="84">
        <f>'AN Electric'!G17</f>
        <v>63177</v>
      </c>
      <c r="F18" s="42"/>
      <c r="G18" s="17">
        <f t="shared" si="0"/>
        <v>63177</v>
      </c>
      <c r="H18" s="18"/>
      <c r="I18" s="19">
        <f t="shared" si="1"/>
        <v>307</v>
      </c>
      <c r="J18" s="19">
        <f t="shared" si="2"/>
        <v>1905</v>
      </c>
      <c r="K18" s="19">
        <f t="shared" si="3"/>
        <v>1962</v>
      </c>
      <c r="L18" s="235">
        <f t="shared" si="4"/>
        <v>2021</v>
      </c>
      <c r="M18" s="235">
        <f t="shared" si="5"/>
        <v>2081</v>
      </c>
      <c r="O18" s="19">
        <f t="shared" si="6"/>
        <v>4174</v>
      </c>
      <c r="W18" s="59"/>
      <c r="X18" s="59"/>
      <c r="Y18" s="59"/>
      <c r="Z18" s="59"/>
    </row>
    <row r="19" spans="2:26" hidden="1" outlineLevel="1">
      <c r="C19" s="1">
        <v>511</v>
      </c>
      <c r="D19" s="1" t="s">
        <v>38</v>
      </c>
      <c r="E19" s="84">
        <f>'AN Electric'!G18</f>
        <v>6923</v>
      </c>
      <c r="F19" s="42"/>
      <c r="G19" s="17">
        <f t="shared" si="0"/>
        <v>6923</v>
      </c>
      <c r="H19" s="18"/>
      <c r="I19" s="20">
        <f t="shared" si="1"/>
        <v>49</v>
      </c>
      <c r="J19" s="20">
        <f t="shared" si="2"/>
        <v>209</v>
      </c>
      <c r="K19" s="20">
        <f t="shared" si="3"/>
        <v>215</v>
      </c>
      <c r="L19" s="236">
        <f t="shared" si="4"/>
        <v>222</v>
      </c>
      <c r="M19" s="236">
        <f t="shared" si="5"/>
        <v>229</v>
      </c>
      <c r="O19" s="20">
        <f t="shared" si="6"/>
        <v>473</v>
      </c>
      <c r="W19" s="59"/>
      <c r="X19" s="59"/>
      <c r="Y19" s="59"/>
      <c r="Z19" s="59"/>
    </row>
    <row r="20" spans="2:26" hidden="1" outlineLevel="1">
      <c r="C20" s="1">
        <v>512</v>
      </c>
      <c r="D20" s="1" t="s">
        <v>39</v>
      </c>
      <c r="E20" s="84">
        <f>'AN Electric'!G19</f>
        <v>451515</v>
      </c>
      <c r="F20" s="42"/>
      <c r="G20" s="17">
        <f t="shared" si="0"/>
        <v>451515</v>
      </c>
      <c r="H20" s="18"/>
      <c r="I20" s="20">
        <f t="shared" si="1"/>
        <v>3224</v>
      </c>
      <c r="J20" s="20">
        <f t="shared" si="2"/>
        <v>13642</v>
      </c>
      <c r="K20" s="20">
        <f t="shared" si="3"/>
        <v>14051</v>
      </c>
      <c r="L20" s="236">
        <f t="shared" si="4"/>
        <v>14473</v>
      </c>
      <c r="M20" s="236">
        <f t="shared" si="5"/>
        <v>14907</v>
      </c>
      <c r="O20" s="20">
        <f t="shared" si="6"/>
        <v>30917</v>
      </c>
      <c r="W20" s="59"/>
      <c r="X20" s="59"/>
      <c r="Y20" s="59"/>
      <c r="Z20" s="59"/>
    </row>
    <row r="21" spans="2:26" hidden="1" outlineLevel="1">
      <c r="C21" s="1">
        <v>513</v>
      </c>
      <c r="D21" s="1" t="s">
        <v>40</v>
      </c>
      <c r="E21" s="84">
        <f>'AN Electric'!G20</f>
        <v>46920</v>
      </c>
      <c r="F21" s="42"/>
      <c r="G21" s="17">
        <f t="shared" si="0"/>
        <v>46920</v>
      </c>
      <c r="H21" s="18"/>
      <c r="I21" s="20">
        <f t="shared" si="1"/>
        <v>335</v>
      </c>
      <c r="J21" s="20">
        <f t="shared" si="2"/>
        <v>1418</v>
      </c>
      <c r="K21" s="20">
        <f t="shared" si="3"/>
        <v>1460</v>
      </c>
      <c r="L21" s="236">
        <f t="shared" si="4"/>
        <v>1504</v>
      </c>
      <c r="M21" s="236">
        <f t="shared" si="5"/>
        <v>1549</v>
      </c>
      <c r="O21" s="20">
        <f t="shared" si="6"/>
        <v>3213</v>
      </c>
      <c r="W21" s="59"/>
      <c r="X21" s="59"/>
      <c r="Y21" s="59"/>
      <c r="Z21" s="59"/>
    </row>
    <row r="22" spans="2:26" hidden="1" outlineLevel="1">
      <c r="C22" s="1">
        <v>514</v>
      </c>
      <c r="D22" s="1" t="s">
        <v>41</v>
      </c>
      <c r="E22" s="84">
        <f>'AN Electric'!G21</f>
        <v>91478</v>
      </c>
      <c r="F22" s="42"/>
      <c r="G22" s="17">
        <f t="shared" si="0"/>
        <v>91478</v>
      </c>
      <c r="H22" s="18"/>
      <c r="I22" s="20">
        <f t="shared" si="1"/>
        <v>653</v>
      </c>
      <c r="J22" s="20">
        <f t="shared" si="2"/>
        <v>2764</v>
      </c>
      <c r="K22" s="20">
        <f t="shared" si="3"/>
        <v>2847</v>
      </c>
      <c r="L22" s="236">
        <f t="shared" si="4"/>
        <v>2932</v>
      </c>
      <c r="M22" s="236">
        <f t="shared" si="5"/>
        <v>3020</v>
      </c>
      <c r="O22" s="20">
        <f t="shared" si="6"/>
        <v>6264</v>
      </c>
      <c r="W22" s="59"/>
      <c r="X22" s="59"/>
      <c r="Y22" s="59"/>
      <c r="Z22" s="59"/>
    </row>
    <row r="23" spans="2:26" hidden="1" outlineLevel="1">
      <c r="C23" s="2" t="s">
        <v>42</v>
      </c>
      <c r="E23" s="86">
        <f>SUM(E12:E22)</f>
        <v>2151886</v>
      </c>
      <c r="F23" s="135"/>
      <c r="G23" s="32">
        <f t="shared" ref="G23:J23" si="7">SUM(G12:G22)</f>
        <v>2151886</v>
      </c>
      <c r="H23" s="18"/>
      <c r="I23" s="32">
        <f t="shared" si="7"/>
        <v>14993</v>
      </c>
      <c r="J23" s="32">
        <f t="shared" si="7"/>
        <v>65007</v>
      </c>
      <c r="K23" s="32">
        <f>SUM(K12:K22)</f>
        <v>66956</v>
      </c>
      <c r="L23" s="237">
        <f t="shared" si="4"/>
        <v>68965</v>
      </c>
      <c r="M23" s="237">
        <f t="shared" si="5"/>
        <v>71034</v>
      </c>
      <c r="O23" s="32">
        <f t="shared" si="6"/>
        <v>146956</v>
      </c>
      <c r="W23" s="59"/>
      <c r="X23" s="59"/>
      <c r="Y23" s="59"/>
      <c r="Z23" s="59"/>
    </row>
    <row r="24" spans="2:26" hidden="1" outlineLevel="1">
      <c r="E24" s="84"/>
      <c r="F24" s="42"/>
      <c r="G24" s="17"/>
      <c r="H24" s="18"/>
      <c r="I24" s="17"/>
      <c r="J24" s="17"/>
      <c r="K24" s="17"/>
      <c r="L24" s="238"/>
      <c r="M24" s="238"/>
      <c r="O24" s="17"/>
      <c r="W24" s="59"/>
      <c r="X24" s="59"/>
      <c r="Y24" s="59"/>
      <c r="Z24" s="59"/>
    </row>
    <row r="25" spans="2:26" hidden="1" outlineLevel="1">
      <c r="C25" s="2" t="s">
        <v>43</v>
      </c>
      <c r="E25" s="84"/>
      <c r="F25" s="42"/>
      <c r="G25" s="17"/>
      <c r="H25" s="18"/>
      <c r="I25" s="17"/>
      <c r="J25" s="17"/>
      <c r="K25" s="17"/>
      <c r="L25" s="238"/>
      <c r="M25" s="238"/>
      <c r="O25" s="17"/>
      <c r="W25" s="59"/>
      <c r="X25" s="59"/>
      <c r="Y25" s="59"/>
      <c r="Z25" s="59"/>
    </row>
    <row r="26" spans="2:26" hidden="1" outlineLevel="1">
      <c r="B26" s="2" t="s">
        <v>26</v>
      </c>
      <c r="C26" s="1">
        <v>535</v>
      </c>
      <c r="D26" s="1" t="s">
        <v>33</v>
      </c>
      <c r="E26" s="84">
        <f>'AN Electric'!G25</f>
        <v>836239</v>
      </c>
      <c r="F26" s="42"/>
      <c r="G26" s="17">
        <f t="shared" ref="G26:G35" si="8">F26+E26</f>
        <v>836239</v>
      </c>
      <c r="H26" s="18"/>
      <c r="I26" s="19">
        <f t="shared" ref="I26:I35" si="9">ROUND(IF($B26="a",G26*I$8,G26*I$9),0)</f>
        <v>4064</v>
      </c>
      <c r="J26" s="19">
        <f t="shared" ref="J26:J35" si="10">ROUND(IF($B26="a",(G26+I26)*J$8,(G26+I26)*J$9),0)</f>
        <v>25209</v>
      </c>
      <c r="K26" s="19">
        <f t="shared" ref="K26:K35" si="11">ROUND(IF($B26="a",(G26+I26+J26)*K$8,(G26+I26+J26)*K$9),0)</f>
        <v>25965</v>
      </c>
      <c r="L26" s="235">
        <f t="shared" ref="L26:L36" si="12">ROUND(IF($B26="a",(G26+I26+J26+K26)*L$8,(G26+I26+J26+K26)*L$9),0)</f>
        <v>26744</v>
      </c>
      <c r="M26" s="235">
        <f t="shared" ref="M26:M36" si="13">ROUND(IF($B26="a",(G26+I26+J26+K26+L26)*L$8,(G26+I26+J26+K26+L26)*L$9),0)</f>
        <v>27547</v>
      </c>
      <c r="O26" s="19">
        <f t="shared" ref="O26:O36" si="14">I26+J26+K26</f>
        <v>55238</v>
      </c>
      <c r="W26" s="59"/>
      <c r="X26" s="59"/>
      <c r="Y26" s="59"/>
      <c r="Z26" s="59"/>
    </row>
    <row r="27" spans="2:26" hidden="1" outlineLevel="1">
      <c r="C27" s="1">
        <v>536</v>
      </c>
      <c r="D27" s="1" t="s">
        <v>44</v>
      </c>
      <c r="E27" s="84">
        <f>'AN Electric'!G26</f>
        <v>5425</v>
      </c>
      <c r="F27" s="42"/>
      <c r="G27" s="17">
        <f t="shared" si="8"/>
        <v>5425</v>
      </c>
      <c r="H27" s="18"/>
      <c r="I27" s="20">
        <f t="shared" si="9"/>
        <v>39</v>
      </c>
      <c r="J27" s="20">
        <f t="shared" si="10"/>
        <v>164</v>
      </c>
      <c r="K27" s="20">
        <f t="shared" si="11"/>
        <v>169</v>
      </c>
      <c r="L27" s="236">
        <f t="shared" si="12"/>
        <v>174</v>
      </c>
      <c r="M27" s="236">
        <f t="shared" si="13"/>
        <v>179</v>
      </c>
      <c r="O27" s="20">
        <f t="shared" si="14"/>
        <v>372</v>
      </c>
      <c r="W27" s="59"/>
      <c r="X27" s="59"/>
      <c r="Y27" s="59"/>
      <c r="Z27" s="59"/>
    </row>
    <row r="28" spans="2:26" hidden="1" outlineLevel="1">
      <c r="C28" s="1">
        <v>537</v>
      </c>
      <c r="D28" s="1" t="s">
        <v>45</v>
      </c>
      <c r="E28" s="84">
        <f>'AN Electric'!G27</f>
        <v>327779</v>
      </c>
      <c r="F28" s="42"/>
      <c r="G28" s="17">
        <f t="shared" si="8"/>
        <v>327779</v>
      </c>
      <c r="H28" s="18"/>
      <c r="I28" s="19">
        <f t="shared" si="9"/>
        <v>2340</v>
      </c>
      <c r="J28" s="19">
        <f t="shared" si="10"/>
        <v>9904</v>
      </c>
      <c r="K28" s="19">
        <f t="shared" si="11"/>
        <v>10201</v>
      </c>
      <c r="L28" s="235">
        <f t="shared" si="12"/>
        <v>10507</v>
      </c>
      <c r="M28" s="235">
        <f t="shared" si="13"/>
        <v>10822</v>
      </c>
      <c r="O28" s="19">
        <f t="shared" si="14"/>
        <v>22445</v>
      </c>
      <c r="W28" s="59"/>
      <c r="X28" s="59"/>
      <c r="Y28" s="59"/>
      <c r="Z28" s="59"/>
    </row>
    <row r="29" spans="2:26" hidden="1" outlineLevel="1">
      <c r="C29" s="1">
        <v>538</v>
      </c>
      <c r="D29" s="1" t="s">
        <v>36</v>
      </c>
      <c r="E29" s="84">
        <f>'AN Electric'!G28</f>
        <v>2978614</v>
      </c>
      <c r="F29" s="42"/>
      <c r="G29" s="17">
        <f t="shared" si="8"/>
        <v>2978614</v>
      </c>
      <c r="H29" s="18"/>
      <c r="I29" s="20">
        <f t="shared" si="9"/>
        <v>21267</v>
      </c>
      <c r="J29" s="20">
        <f t="shared" si="10"/>
        <v>89996</v>
      </c>
      <c r="K29" s="20">
        <f t="shared" si="11"/>
        <v>92696</v>
      </c>
      <c r="L29" s="236">
        <f t="shared" si="12"/>
        <v>95477</v>
      </c>
      <c r="M29" s="236">
        <f t="shared" si="13"/>
        <v>98342</v>
      </c>
      <c r="O29" s="20">
        <f t="shared" si="14"/>
        <v>203959</v>
      </c>
      <c r="W29" s="59"/>
      <c r="X29" s="59"/>
      <c r="Y29" s="59"/>
      <c r="Z29" s="59"/>
    </row>
    <row r="30" spans="2:26" hidden="1" outlineLevel="1">
      <c r="C30" s="1">
        <v>539</v>
      </c>
      <c r="D30" s="1" t="s">
        <v>46</v>
      </c>
      <c r="E30" s="84">
        <f>'AN Electric'!G29</f>
        <v>88699</v>
      </c>
      <c r="F30" s="42"/>
      <c r="G30" s="17">
        <f t="shared" si="8"/>
        <v>88699</v>
      </c>
      <c r="H30" s="18"/>
      <c r="I30" s="20">
        <f t="shared" si="9"/>
        <v>633</v>
      </c>
      <c r="J30" s="20">
        <f t="shared" si="10"/>
        <v>2680</v>
      </c>
      <c r="K30" s="20">
        <f t="shared" si="11"/>
        <v>2760</v>
      </c>
      <c r="L30" s="236">
        <f t="shared" si="12"/>
        <v>2843</v>
      </c>
      <c r="M30" s="236">
        <f t="shared" si="13"/>
        <v>2928</v>
      </c>
      <c r="O30" s="20">
        <f t="shared" si="14"/>
        <v>6073</v>
      </c>
      <c r="W30" s="59"/>
      <c r="X30" s="59"/>
      <c r="Y30" s="59"/>
      <c r="Z30" s="59"/>
    </row>
    <row r="31" spans="2:26" hidden="1" outlineLevel="1">
      <c r="B31" s="2" t="s">
        <v>26</v>
      </c>
      <c r="C31" s="1">
        <v>541</v>
      </c>
      <c r="D31" s="1" t="s">
        <v>33</v>
      </c>
      <c r="E31" s="84">
        <f>'AN Electric'!G30</f>
        <v>326900</v>
      </c>
      <c r="F31" s="42"/>
      <c r="G31" s="17">
        <f>F31+E31</f>
        <v>326900</v>
      </c>
      <c r="H31" s="18"/>
      <c r="I31" s="19">
        <f t="shared" si="9"/>
        <v>1589</v>
      </c>
      <c r="J31" s="19">
        <f t="shared" si="10"/>
        <v>9855</v>
      </c>
      <c r="K31" s="19">
        <f t="shared" si="11"/>
        <v>10150</v>
      </c>
      <c r="L31" s="235">
        <f t="shared" si="12"/>
        <v>10455</v>
      </c>
      <c r="M31" s="235">
        <f t="shared" si="13"/>
        <v>10768</v>
      </c>
      <c r="O31" s="19">
        <f t="shared" si="14"/>
        <v>21594</v>
      </c>
      <c r="W31" s="59"/>
      <c r="X31" s="59"/>
      <c r="Y31" s="59"/>
      <c r="Z31" s="59"/>
    </row>
    <row r="32" spans="2:26" hidden="1" outlineLevel="1">
      <c r="C32" s="1">
        <v>542</v>
      </c>
      <c r="D32" s="1">
        <f>D9</f>
        <v>0</v>
      </c>
      <c r="E32" s="84">
        <f>'AN Electric'!G31</f>
        <v>94776</v>
      </c>
      <c r="F32" s="42"/>
      <c r="G32" s="17">
        <f t="shared" si="8"/>
        <v>94776</v>
      </c>
      <c r="H32" s="18"/>
      <c r="I32" s="20">
        <f t="shared" si="9"/>
        <v>677</v>
      </c>
      <c r="J32" s="20">
        <f t="shared" si="10"/>
        <v>2864</v>
      </c>
      <c r="K32" s="20">
        <f t="shared" si="11"/>
        <v>2950</v>
      </c>
      <c r="L32" s="236">
        <f t="shared" si="12"/>
        <v>3038</v>
      </c>
      <c r="M32" s="236">
        <f t="shared" si="13"/>
        <v>3129</v>
      </c>
      <c r="O32" s="20">
        <f t="shared" si="14"/>
        <v>6491</v>
      </c>
      <c r="W32" s="59"/>
      <c r="X32" s="59"/>
      <c r="Y32" s="59"/>
      <c r="Z32" s="59"/>
    </row>
    <row r="33" spans="2:26" hidden="1" outlineLevel="1">
      <c r="C33" s="1">
        <v>543</v>
      </c>
      <c r="D33" s="1" t="s">
        <v>47</v>
      </c>
      <c r="E33" s="84">
        <f>'AN Electric'!G32</f>
        <v>360129</v>
      </c>
      <c r="F33" s="42"/>
      <c r="G33" s="17">
        <f t="shared" si="8"/>
        <v>360129</v>
      </c>
      <c r="H33" s="18"/>
      <c r="I33" s="20">
        <f t="shared" si="9"/>
        <v>2571</v>
      </c>
      <c r="J33" s="20">
        <f t="shared" si="10"/>
        <v>10881</v>
      </c>
      <c r="K33" s="20">
        <f t="shared" si="11"/>
        <v>11207</v>
      </c>
      <c r="L33" s="236">
        <f t="shared" si="12"/>
        <v>11544</v>
      </c>
      <c r="M33" s="236">
        <f t="shared" si="13"/>
        <v>11890</v>
      </c>
      <c r="O33" s="20">
        <f t="shared" si="14"/>
        <v>24659</v>
      </c>
      <c r="W33" s="59"/>
      <c r="X33" s="59"/>
      <c r="Y33" s="59"/>
      <c r="Z33" s="59"/>
    </row>
    <row r="34" spans="2:26" hidden="1" outlineLevel="1">
      <c r="C34" s="1">
        <v>544</v>
      </c>
      <c r="D34" s="1" t="s">
        <v>40</v>
      </c>
      <c r="E34" s="84">
        <f>'AN Electric'!G33</f>
        <v>1011297</v>
      </c>
      <c r="F34" s="42"/>
      <c r="G34" s="17">
        <f t="shared" si="8"/>
        <v>1011297</v>
      </c>
      <c r="H34" s="18"/>
      <c r="I34" s="20">
        <f t="shared" si="9"/>
        <v>7221</v>
      </c>
      <c r="J34" s="20">
        <f t="shared" si="10"/>
        <v>30556</v>
      </c>
      <c r="K34" s="20">
        <f t="shared" si="11"/>
        <v>31472</v>
      </c>
      <c r="L34" s="236">
        <f t="shared" si="12"/>
        <v>32416</v>
      </c>
      <c r="M34" s="236">
        <f t="shared" si="13"/>
        <v>33389</v>
      </c>
      <c r="O34" s="20">
        <f t="shared" si="14"/>
        <v>69249</v>
      </c>
      <c r="W34" s="59"/>
      <c r="X34" s="59"/>
      <c r="Y34" s="59"/>
      <c r="Z34" s="59"/>
    </row>
    <row r="35" spans="2:26" hidden="1" outlineLevel="1">
      <c r="C35" s="1">
        <v>545</v>
      </c>
      <c r="D35" s="1" t="s">
        <v>48</v>
      </c>
      <c r="E35" s="84">
        <f>'AN Electric'!G34</f>
        <v>219737</v>
      </c>
      <c r="F35" s="42"/>
      <c r="G35" s="17">
        <f t="shared" si="8"/>
        <v>219737</v>
      </c>
      <c r="H35" s="18"/>
      <c r="I35" s="20">
        <f t="shared" si="9"/>
        <v>1569</v>
      </c>
      <c r="J35" s="20">
        <f t="shared" si="10"/>
        <v>6639</v>
      </c>
      <c r="K35" s="20">
        <f t="shared" si="11"/>
        <v>6838</v>
      </c>
      <c r="L35" s="236">
        <f t="shared" si="12"/>
        <v>7043</v>
      </c>
      <c r="M35" s="236">
        <f t="shared" si="13"/>
        <v>7255</v>
      </c>
      <c r="O35" s="20">
        <f t="shared" si="14"/>
        <v>15046</v>
      </c>
      <c r="W35" s="59"/>
      <c r="X35" s="59"/>
      <c r="Y35" s="59"/>
      <c r="Z35" s="59"/>
    </row>
    <row r="36" spans="2:26" hidden="1" outlineLevel="1">
      <c r="C36" s="2" t="s">
        <v>49</v>
      </c>
      <c r="E36" s="86">
        <f>SUM(E24:E35)</f>
        <v>6249595</v>
      </c>
      <c r="F36" s="135"/>
      <c r="G36" s="32">
        <f t="shared" ref="G36:J36" si="15">SUM(G26:G35)</f>
        <v>6249595</v>
      </c>
      <c r="H36" s="18"/>
      <c r="I36" s="32">
        <f t="shared" si="15"/>
        <v>41970</v>
      </c>
      <c r="J36" s="32">
        <f t="shared" si="15"/>
        <v>188748</v>
      </c>
      <c r="K36" s="32">
        <f>SUM(K26:K35)</f>
        <v>194408</v>
      </c>
      <c r="L36" s="237">
        <f t="shared" si="12"/>
        <v>200242</v>
      </c>
      <c r="M36" s="237">
        <f t="shared" si="13"/>
        <v>206249</v>
      </c>
      <c r="O36" s="32">
        <f t="shared" si="14"/>
        <v>425126</v>
      </c>
      <c r="W36" s="59"/>
      <c r="X36" s="59"/>
      <c r="Y36" s="59"/>
      <c r="Z36" s="59"/>
    </row>
    <row r="37" spans="2:26" hidden="1" outlineLevel="1">
      <c r="E37" s="84"/>
      <c r="F37" s="42"/>
      <c r="G37" s="17"/>
      <c r="H37" s="18"/>
      <c r="I37" s="17"/>
      <c r="J37" s="17"/>
      <c r="K37" s="17"/>
      <c r="L37" s="238"/>
      <c r="M37" s="238"/>
      <c r="O37" s="17"/>
      <c r="W37" s="59"/>
      <c r="X37" s="59"/>
      <c r="Y37" s="59"/>
      <c r="Z37" s="59"/>
    </row>
    <row r="38" spans="2:26" hidden="1" outlineLevel="1">
      <c r="C38" s="2" t="s">
        <v>50</v>
      </c>
      <c r="E38" s="84"/>
      <c r="F38" s="42"/>
      <c r="G38" s="17"/>
      <c r="H38" s="18"/>
      <c r="I38" s="17"/>
      <c r="J38" s="17"/>
      <c r="K38" s="17"/>
      <c r="L38" s="238"/>
      <c r="M38" s="238"/>
      <c r="O38" s="17"/>
      <c r="W38" s="59"/>
      <c r="X38" s="59"/>
      <c r="Y38" s="59"/>
      <c r="Z38" s="59"/>
    </row>
    <row r="39" spans="2:26" hidden="1" outlineLevel="1">
      <c r="B39" s="2" t="s">
        <v>26</v>
      </c>
      <c r="C39" s="1">
        <v>546</v>
      </c>
      <c r="D39" s="1" t="s">
        <v>33</v>
      </c>
      <c r="E39" s="84">
        <f>'AN Electric'!G38</f>
        <v>94027</v>
      </c>
      <c r="F39" s="42"/>
      <c r="G39" s="17">
        <f t="shared" ref="G39:G45" si="16">F39+E39</f>
        <v>94027</v>
      </c>
      <c r="H39" s="18"/>
      <c r="I39" s="19">
        <f t="shared" ref="I39:I45" si="17">ROUND(IF($B39="a",G39*I$8,G39*I$9),0)</f>
        <v>457</v>
      </c>
      <c r="J39" s="19">
        <f t="shared" ref="J39:J45" si="18">ROUND(IF($B39="a",(G39+I39)*J$8,(G39+I39)*J$9),0)</f>
        <v>2835</v>
      </c>
      <c r="K39" s="19">
        <f t="shared" ref="K39:K45" si="19">ROUND(IF($B39="a",(G39+I39+J39)*K$8,(G39+I39+J39)*K$9),0)</f>
        <v>2920</v>
      </c>
      <c r="L39" s="235">
        <f t="shared" ref="L39:L46" si="20">ROUND(IF($B39="a",(G39+I39+J39+K39)*L$8,(G39+I39+J39+K39)*L$9),0)</f>
        <v>3007</v>
      </c>
      <c r="M39" s="235">
        <f t="shared" ref="M39:M46" si="21">ROUND(IF($B39="a",(G39+I39+J39+K39+L39)*L$8,(G39+I39+J39+K39+L39)*L$9),0)</f>
        <v>3097</v>
      </c>
      <c r="O39" s="19">
        <f t="shared" ref="O39:O46" si="22">I39+J39+K39</f>
        <v>6212</v>
      </c>
      <c r="W39" s="59"/>
      <c r="X39" s="59"/>
      <c r="Y39" s="59"/>
      <c r="Z39" s="59"/>
    </row>
    <row r="40" spans="2:26" hidden="1" outlineLevel="1">
      <c r="C40" s="1">
        <v>548</v>
      </c>
      <c r="D40" s="1" t="s">
        <v>51</v>
      </c>
      <c r="E40" s="84">
        <f>'AN Electric'!G39</f>
        <v>167698</v>
      </c>
      <c r="F40" s="42"/>
      <c r="G40" s="17">
        <f t="shared" si="16"/>
        <v>167698</v>
      </c>
      <c r="H40" s="18"/>
      <c r="I40" s="20">
        <f t="shared" si="17"/>
        <v>1197</v>
      </c>
      <c r="J40" s="20">
        <f t="shared" si="18"/>
        <v>5067</v>
      </c>
      <c r="K40" s="20">
        <f t="shared" si="19"/>
        <v>5219</v>
      </c>
      <c r="L40" s="236">
        <f t="shared" si="20"/>
        <v>5375</v>
      </c>
      <c r="M40" s="236">
        <f t="shared" si="21"/>
        <v>5537</v>
      </c>
      <c r="O40" s="20">
        <f t="shared" si="22"/>
        <v>11483</v>
      </c>
      <c r="W40" s="59"/>
      <c r="X40" s="59"/>
      <c r="Y40" s="59"/>
      <c r="Z40" s="59"/>
    </row>
    <row r="41" spans="2:26" hidden="1" outlineLevel="1">
      <c r="C41" s="1">
        <v>549</v>
      </c>
      <c r="D41" s="1" t="s">
        <v>52</v>
      </c>
      <c r="E41" s="84">
        <f>'AN Electric'!G40</f>
        <v>74586</v>
      </c>
      <c r="F41" s="42"/>
      <c r="G41" s="17">
        <f t="shared" si="16"/>
        <v>74586</v>
      </c>
      <c r="H41" s="18"/>
      <c r="I41" s="20">
        <f t="shared" si="17"/>
        <v>533</v>
      </c>
      <c r="J41" s="20">
        <f t="shared" si="18"/>
        <v>2254</v>
      </c>
      <c r="K41" s="20">
        <f t="shared" si="19"/>
        <v>2321</v>
      </c>
      <c r="L41" s="236">
        <f t="shared" si="20"/>
        <v>2391</v>
      </c>
      <c r="M41" s="236">
        <f t="shared" si="21"/>
        <v>2463</v>
      </c>
      <c r="O41" s="20">
        <f t="shared" si="22"/>
        <v>5108</v>
      </c>
      <c r="W41" s="59"/>
      <c r="X41" s="59"/>
      <c r="Y41" s="59"/>
      <c r="Z41" s="59"/>
    </row>
    <row r="42" spans="2:26" hidden="1" outlineLevel="1">
      <c r="B42" s="2" t="s">
        <v>26</v>
      </c>
      <c r="C42" s="1">
        <v>551</v>
      </c>
      <c r="D42" s="1" t="s">
        <v>33</v>
      </c>
      <c r="E42" s="84">
        <f>'AN Electric'!G41</f>
        <v>165644</v>
      </c>
      <c r="F42" s="42"/>
      <c r="G42" s="17">
        <f t="shared" si="16"/>
        <v>165644</v>
      </c>
      <c r="H42" s="18"/>
      <c r="I42" s="19">
        <f t="shared" si="17"/>
        <v>805</v>
      </c>
      <c r="J42" s="19">
        <f t="shared" si="18"/>
        <v>4993</v>
      </c>
      <c r="K42" s="19">
        <f t="shared" si="19"/>
        <v>5143</v>
      </c>
      <c r="L42" s="235">
        <f t="shared" si="20"/>
        <v>5298</v>
      </c>
      <c r="M42" s="235">
        <f t="shared" si="21"/>
        <v>5456</v>
      </c>
      <c r="O42" s="19">
        <f t="shared" si="22"/>
        <v>10941</v>
      </c>
      <c r="W42" s="59"/>
      <c r="X42" s="59"/>
      <c r="Y42" s="59"/>
      <c r="Z42" s="59"/>
    </row>
    <row r="43" spans="2:26" hidden="1" outlineLevel="1">
      <c r="C43" s="1">
        <v>552</v>
      </c>
      <c r="D43" s="1" t="s">
        <v>38</v>
      </c>
      <c r="E43" s="84">
        <f>'AN Electric'!G42</f>
        <v>316</v>
      </c>
      <c r="F43" s="42"/>
      <c r="G43" s="17">
        <f t="shared" si="16"/>
        <v>316</v>
      </c>
      <c r="H43" s="18"/>
      <c r="I43" s="20">
        <f t="shared" si="17"/>
        <v>2</v>
      </c>
      <c r="J43" s="20">
        <f t="shared" si="18"/>
        <v>10</v>
      </c>
      <c r="K43" s="20">
        <f t="shared" si="19"/>
        <v>10</v>
      </c>
      <c r="L43" s="236">
        <f t="shared" si="20"/>
        <v>10</v>
      </c>
      <c r="M43" s="236">
        <f t="shared" si="21"/>
        <v>10</v>
      </c>
      <c r="O43" s="20">
        <f t="shared" si="22"/>
        <v>22</v>
      </c>
      <c r="W43" s="59"/>
      <c r="X43" s="59"/>
      <c r="Y43" s="59"/>
      <c r="Z43" s="59"/>
    </row>
    <row r="44" spans="2:26" hidden="1" outlineLevel="1">
      <c r="C44" s="1">
        <v>553</v>
      </c>
      <c r="D44" s="1" t="s">
        <v>53</v>
      </c>
      <c r="E44" s="84">
        <f>'AN Electric'!G43</f>
        <v>40705</v>
      </c>
      <c r="F44" s="42"/>
      <c r="G44" s="17">
        <f t="shared" si="16"/>
        <v>40705</v>
      </c>
      <c r="H44" s="18"/>
      <c r="I44" s="20">
        <f t="shared" si="17"/>
        <v>291</v>
      </c>
      <c r="J44" s="20">
        <f t="shared" si="18"/>
        <v>1230</v>
      </c>
      <c r="K44" s="20">
        <f t="shared" si="19"/>
        <v>1267</v>
      </c>
      <c r="L44" s="236">
        <f t="shared" si="20"/>
        <v>1305</v>
      </c>
      <c r="M44" s="236">
        <f t="shared" si="21"/>
        <v>1344</v>
      </c>
      <c r="O44" s="20">
        <f t="shared" si="22"/>
        <v>2788</v>
      </c>
      <c r="W44" s="59"/>
      <c r="X44" s="59"/>
      <c r="Y44" s="59"/>
      <c r="Z44" s="59"/>
    </row>
    <row r="45" spans="2:26" hidden="1" outlineLevel="1">
      <c r="C45" s="1">
        <v>554</v>
      </c>
      <c r="D45" s="1" t="s">
        <v>54</v>
      </c>
      <c r="E45" s="84">
        <f>'AN Electric'!G44</f>
        <v>54117</v>
      </c>
      <c r="F45" s="42"/>
      <c r="G45" s="17">
        <f t="shared" si="16"/>
        <v>54117</v>
      </c>
      <c r="H45" s="18"/>
      <c r="I45" s="20">
        <f t="shared" si="17"/>
        <v>386</v>
      </c>
      <c r="J45" s="20">
        <f t="shared" si="18"/>
        <v>1635</v>
      </c>
      <c r="K45" s="20">
        <f t="shared" si="19"/>
        <v>1684</v>
      </c>
      <c r="L45" s="236">
        <f t="shared" si="20"/>
        <v>1735</v>
      </c>
      <c r="M45" s="236">
        <f t="shared" si="21"/>
        <v>1787</v>
      </c>
      <c r="O45" s="20">
        <f t="shared" si="22"/>
        <v>3705</v>
      </c>
      <c r="W45" s="59"/>
      <c r="X45" s="59"/>
      <c r="Y45" s="59"/>
      <c r="Z45" s="59"/>
    </row>
    <row r="46" spans="2:26" hidden="1" outlineLevel="1">
      <c r="C46" s="2" t="s">
        <v>55</v>
      </c>
      <c r="E46" s="86">
        <f>SUM(E39:E45)</f>
        <v>597093</v>
      </c>
      <c r="F46" s="135"/>
      <c r="G46" s="32">
        <f t="shared" ref="G46:J46" si="23">SUM(G39:G45)</f>
        <v>597093</v>
      </c>
      <c r="H46" s="18"/>
      <c r="I46" s="32">
        <f t="shared" si="23"/>
        <v>3671</v>
      </c>
      <c r="J46" s="32">
        <f t="shared" si="23"/>
        <v>18024</v>
      </c>
      <c r="K46" s="32">
        <f>SUM(K39:K45)</f>
        <v>18564</v>
      </c>
      <c r="L46" s="237">
        <f t="shared" si="20"/>
        <v>19121</v>
      </c>
      <c r="M46" s="237">
        <f t="shared" si="21"/>
        <v>19694</v>
      </c>
      <c r="O46" s="32">
        <f t="shared" si="22"/>
        <v>40259</v>
      </c>
      <c r="W46" s="59"/>
      <c r="X46" s="59"/>
      <c r="Y46" s="59"/>
      <c r="Z46" s="59"/>
    </row>
    <row r="47" spans="2:26" hidden="1" outlineLevel="1">
      <c r="E47" s="84"/>
      <c r="F47" s="42"/>
      <c r="G47" s="17"/>
      <c r="H47" s="18"/>
      <c r="I47" s="17"/>
      <c r="J47" s="17"/>
      <c r="K47" s="17"/>
      <c r="L47" s="238"/>
      <c r="M47" s="238"/>
      <c r="O47" s="17"/>
      <c r="W47" s="59"/>
      <c r="X47" s="59"/>
      <c r="Y47" s="59"/>
      <c r="Z47" s="59"/>
    </row>
    <row r="48" spans="2:26" hidden="1" outlineLevel="1">
      <c r="C48" s="2" t="s">
        <v>56</v>
      </c>
      <c r="E48" s="84"/>
      <c r="F48" s="42"/>
      <c r="G48" s="17"/>
      <c r="H48" s="18"/>
      <c r="I48" s="17"/>
      <c r="J48" s="17"/>
      <c r="K48" s="17"/>
      <c r="L48" s="238"/>
      <c r="M48" s="238"/>
      <c r="O48" s="17"/>
      <c r="W48" s="59"/>
      <c r="X48" s="59"/>
      <c r="Y48" s="59"/>
      <c r="Z48" s="59"/>
    </row>
    <row r="49" spans="2:26" hidden="1" outlineLevel="1">
      <c r="B49" s="2" t="s">
        <v>26</v>
      </c>
      <c r="C49" s="1">
        <v>556</v>
      </c>
      <c r="D49" s="1" t="s">
        <v>57</v>
      </c>
      <c r="E49" s="84">
        <f>'AN Electric'!G48</f>
        <v>168250</v>
      </c>
      <c r="F49" s="42"/>
      <c r="G49" s="17">
        <f>F49+E49</f>
        <v>168250</v>
      </c>
      <c r="H49" s="18"/>
      <c r="I49" s="19">
        <f>ROUND(IF($B49="a",G49*I$8,G49*I$9),0)</f>
        <v>818</v>
      </c>
      <c r="J49" s="19">
        <f>ROUND(IF($B49="a",(G49+I49)*J$8,(G49+I49)*J$9),0)</f>
        <v>5072</v>
      </c>
      <c r="K49" s="19">
        <f>ROUND(IF($B49="a",(G49+I49+J49)*K$8,(G49+I49+J49)*K$9),0)</f>
        <v>5224</v>
      </c>
      <c r="L49" s="235">
        <f>ROUND(IF($B49="a",(G49+I49+J49+K49)*L$8,(G49+I49+J49+K49)*L$9),0)</f>
        <v>5381</v>
      </c>
      <c r="M49" s="235">
        <f>ROUND(IF($B49="a",(G49+I49+J49+K49+L49)*L$8,(G49+I49+J49+K49+L49)*L$9),0)</f>
        <v>5542</v>
      </c>
      <c r="O49" s="19">
        <f>I49+J49+K49</f>
        <v>11114</v>
      </c>
      <c r="W49" s="59"/>
      <c r="X49" s="59"/>
      <c r="Y49" s="59"/>
      <c r="Z49" s="59"/>
    </row>
    <row r="50" spans="2:26" hidden="1" outlineLevel="1">
      <c r="B50" s="2" t="s">
        <v>26</v>
      </c>
      <c r="C50" s="1" t="s">
        <v>170</v>
      </c>
      <c r="D50" s="1" t="s">
        <v>58</v>
      </c>
      <c r="E50" s="84">
        <f>'AN Electric'!G49</f>
        <v>2214470</v>
      </c>
      <c r="F50" s="42"/>
      <c r="G50" s="17">
        <f>F50+E50</f>
        <v>2214470</v>
      </c>
      <c r="H50" s="18"/>
      <c r="I50" s="19">
        <f>ROUND(IF($B50="a",G50*I$8,G50*I$9),0)</f>
        <v>10762</v>
      </c>
      <c r="J50" s="19">
        <f>ROUND(IF($B50="a",(G50+I50)*J$8,(G50+I50)*J$9),0)</f>
        <v>66757</v>
      </c>
      <c r="K50" s="19">
        <f>ROUND(IF($B50="a",(G50+I50+J50)*K$8,(G50+I50+J50)*K$9),0)</f>
        <v>68760</v>
      </c>
      <c r="L50" s="235">
        <f>ROUND(IF($B50="a",(G50+I50+J50+K50)*L$8,(G50+I50+J50+K50)*L$9),0)</f>
        <v>70822</v>
      </c>
      <c r="M50" s="235">
        <f>ROUND(IF($B50="a",(G50+I50+J50+K50+L50)*L$8,(G50+I50+J50+K50+L50)*L$9),0)</f>
        <v>72947</v>
      </c>
      <c r="O50" s="19">
        <f>I50+J50+K50</f>
        <v>146279</v>
      </c>
      <c r="W50" s="59"/>
      <c r="X50" s="59"/>
      <c r="Y50" s="59"/>
      <c r="Z50" s="59"/>
    </row>
    <row r="51" spans="2:26" hidden="1" outlineLevel="1">
      <c r="C51" s="2" t="s">
        <v>59</v>
      </c>
      <c r="E51" s="86">
        <f>SUM(E49:E50)</f>
        <v>2382720</v>
      </c>
      <c r="F51" s="135"/>
      <c r="G51" s="32">
        <f t="shared" ref="G51:J51" si="24">SUM(G49:G50)</f>
        <v>2382720</v>
      </c>
      <c r="H51" s="18"/>
      <c r="I51" s="32">
        <f t="shared" si="24"/>
        <v>11580</v>
      </c>
      <c r="J51" s="32">
        <f t="shared" si="24"/>
        <v>71829</v>
      </c>
      <c r="K51" s="32">
        <f>SUM(K49:K50)</f>
        <v>73984</v>
      </c>
      <c r="L51" s="237">
        <f>ROUND(IF($B51="a",(G51+I51+J51+K51)*L$8,(G51+I51+J51+K51)*L$9),0)</f>
        <v>76203</v>
      </c>
      <c r="M51" s="237">
        <f>ROUND(IF($B51="a",(G51+I51+J51+K51+L51)*L$8,(G51+I51+J51+K51+L51)*L$9),0)</f>
        <v>78489</v>
      </c>
      <c r="O51" s="32">
        <f>I51+J51+K51</f>
        <v>157393</v>
      </c>
      <c r="W51" s="59"/>
      <c r="X51" s="59"/>
      <c r="Y51" s="59"/>
      <c r="Z51" s="59"/>
    </row>
    <row r="52" spans="2:26" hidden="1" outlineLevel="1">
      <c r="E52" s="84"/>
      <c r="F52" s="42"/>
      <c r="G52" s="17"/>
      <c r="H52" s="18"/>
      <c r="I52" s="17"/>
      <c r="J52" s="17"/>
      <c r="K52" s="17"/>
      <c r="L52" s="238"/>
      <c r="M52" s="238"/>
      <c r="O52" s="17"/>
      <c r="W52" s="59"/>
      <c r="X52" s="59"/>
      <c r="Y52" s="59"/>
      <c r="Z52" s="59"/>
    </row>
    <row r="53" spans="2:26" collapsed="1">
      <c r="C53" s="2" t="s">
        <v>28</v>
      </c>
      <c r="E53" s="135">
        <f>E23+E36+E46+E51</f>
        <v>11381294</v>
      </c>
      <c r="F53" s="135"/>
      <c r="G53" s="86">
        <f>G23+G36+G46+G51</f>
        <v>11381294</v>
      </c>
      <c r="H53" s="131"/>
      <c r="I53" s="86">
        <f>I23+I36+I46+I51</f>
        <v>72214</v>
      </c>
      <c r="J53" s="86">
        <f t="shared" ref="J53" si="25">J23+J36+J46+J51</f>
        <v>343608</v>
      </c>
      <c r="K53" s="86">
        <f>K23+K36+K46+K51</f>
        <v>353912</v>
      </c>
      <c r="L53" s="239">
        <f>ROUND(IF($B53="a",(G53+I53+J53+K53)*L$8,(G53+I53+J53+K53)*L$9),0)</f>
        <v>364531</v>
      </c>
      <c r="M53" s="239">
        <f>ROUND(IF($B53="a",(G53+I53+J53+K53+L53)*L$8,(G53+I53+J53+K53+L53)*L$9),0)</f>
        <v>375467</v>
      </c>
      <c r="O53" s="86">
        <f>I53+J53+K53</f>
        <v>769734</v>
      </c>
      <c r="S53" s="86">
        <f>G53+O53</f>
        <v>12151028</v>
      </c>
      <c r="W53" s="266"/>
      <c r="X53" s="59"/>
      <c r="Y53" s="59"/>
      <c r="Z53" s="59"/>
    </row>
    <row r="54" spans="2:26">
      <c r="D54" s="2">
        <f>D32</f>
        <v>0</v>
      </c>
      <c r="E54" s="84"/>
      <c r="F54" s="42"/>
      <c r="G54" s="17"/>
      <c r="H54" s="18"/>
      <c r="I54" s="17"/>
      <c r="J54" s="17"/>
      <c r="K54" s="17"/>
      <c r="L54" s="238"/>
      <c r="M54" s="238"/>
      <c r="O54" s="17"/>
      <c r="S54" s="17"/>
      <c r="W54" s="59"/>
      <c r="X54" s="267"/>
      <c r="Y54" s="267"/>
      <c r="Z54" s="267"/>
    </row>
    <row r="55" spans="2:26" hidden="1" outlineLevel="1">
      <c r="C55" s="2" t="s">
        <v>2</v>
      </c>
      <c r="E55" s="84"/>
      <c r="F55" s="42"/>
      <c r="G55" s="17"/>
      <c r="H55" s="18"/>
      <c r="I55" s="17"/>
      <c r="J55" s="17"/>
      <c r="K55" s="17"/>
      <c r="L55" s="238"/>
      <c r="M55" s="238"/>
      <c r="O55" s="17"/>
      <c r="S55" s="17"/>
      <c r="W55" s="59"/>
      <c r="X55" s="267"/>
      <c r="Y55" s="267"/>
      <c r="Z55" s="267"/>
    </row>
    <row r="56" spans="2:26" hidden="1" outlineLevel="1">
      <c r="B56" s="2" t="s">
        <v>26</v>
      </c>
      <c r="C56" s="1">
        <v>560</v>
      </c>
      <c r="D56" s="1" t="s">
        <v>33</v>
      </c>
      <c r="E56" s="84">
        <f>'AN Electric'!G55</f>
        <v>841855</v>
      </c>
      <c r="F56" s="42"/>
      <c r="G56" s="17">
        <f t="shared" ref="G56:G68" si="26">F56+E56</f>
        <v>841855</v>
      </c>
      <c r="H56" s="18"/>
      <c r="I56" s="19">
        <f t="shared" ref="I56:I68" si="27">ROUND(IF($B56="a",G56*I$8,G56*I$9),0)</f>
        <v>4091</v>
      </c>
      <c r="J56" s="19">
        <f t="shared" ref="J56:J68" si="28">ROUND(IF($B56="a",(G56+I56)*J$8,(G56+I56)*J$9),0)</f>
        <v>25378</v>
      </c>
      <c r="K56" s="19">
        <f t="shared" ref="K56:K68" si="29">ROUND(IF($B56="a",(G56+I56+J56)*K$8,(G56+I56+J56)*K$9),0)</f>
        <v>26140</v>
      </c>
      <c r="L56" s="235">
        <f t="shared" ref="L56:L87" si="30">ROUND(IF($B56="a",(G56+I56+J56+K56)*L$8,(G56+I56+J56+K56)*L$9),0)</f>
        <v>26924</v>
      </c>
      <c r="M56" s="235">
        <f t="shared" ref="M56:M69" si="31">ROUND(IF($B56="a",(G56+I56+J56+K56+L56)*L$8,(G56+I56+J56+K56+L56)*L$9),0)</f>
        <v>27732</v>
      </c>
      <c r="O56" s="19">
        <f t="shared" ref="O56:O69" si="32">I56+J56+K56</f>
        <v>55609</v>
      </c>
      <c r="S56" s="19"/>
      <c r="W56" s="59"/>
      <c r="X56" s="267"/>
      <c r="Y56" s="267"/>
      <c r="Z56" s="267"/>
    </row>
    <row r="57" spans="2:26" hidden="1" outlineLevel="1">
      <c r="B57" s="2" t="s">
        <v>26</v>
      </c>
      <c r="C57" s="1">
        <v>561</v>
      </c>
      <c r="D57" s="1" t="s">
        <v>60</v>
      </c>
      <c r="E57" s="84">
        <f>'AN Electric'!G56</f>
        <v>1080088</v>
      </c>
      <c r="F57" s="42"/>
      <c r="G57" s="17">
        <f t="shared" si="26"/>
        <v>1080088</v>
      </c>
      <c r="H57" s="18"/>
      <c r="I57" s="19">
        <f t="shared" si="27"/>
        <v>5249</v>
      </c>
      <c r="J57" s="19">
        <f t="shared" si="28"/>
        <v>32560</v>
      </c>
      <c r="K57" s="19">
        <f t="shared" si="29"/>
        <v>33537</v>
      </c>
      <c r="L57" s="235">
        <f t="shared" si="30"/>
        <v>34543</v>
      </c>
      <c r="M57" s="235">
        <f t="shared" si="31"/>
        <v>35579</v>
      </c>
      <c r="O57" s="19">
        <f t="shared" si="32"/>
        <v>71346</v>
      </c>
      <c r="S57" s="19"/>
      <c r="W57" s="59"/>
      <c r="X57" s="267"/>
      <c r="Y57" s="267"/>
      <c r="Z57" s="267"/>
    </row>
    <row r="58" spans="2:26" hidden="1" outlineLevel="1">
      <c r="C58" s="1">
        <v>562</v>
      </c>
      <c r="D58" s="1" t="s">
        <v>61</v>
      </c>
      <c r="E58" s="84">
        <f>'AN Electric'!G57</f>
        <v>106128</v>
      </c>
      <c r="F58" s="42"/>
      <c r="G58" s="17">
        <f t="shared" si="26"/>
        <v>106128</v>
      </c>
      <c r="H58" s="18"/>
      <c r="I58" s="20">
        <f t="shared" si="27"/>
        <v>758</v>
      </c>
      <c r="J58" s="20">
        <f t="shared" si="28"/>
        <v>3207</v>
      </c>
      <c r="K58" s="20">
        <f t="shared" si="29"/>
        <v>3303</v>
      </c>
      <c r="L58" s="236">
        <f t="shared" si="30"/>
        <v>3402</v>
      </c>
      <c r="M58" s="236">
        <f t="shared" si="31"/>
        <v>3504</v>
      </c>
      <c r="O58" s="20">
        <f t="shared" si="32"/>
        <v>7268</v>
      </c>
      <c r="S58" s="20"/>
      <c r="W58" s="59"/>
      <c r="X58" s="267"/>
      <c r="Y58" s="267"/>
      <c r="Z58" s="267"/>
    </row>
    <row r="59" spans="2:26" hidden="1" outlineLevel="1">
      <c r="C59" s="1">
        <v>563</v>
      </c>
      <c r="D59" s="1" t="s">
        <v>62</v>
      </c>
      <c r="E59" s="84">
        <f>'AN Electric'!G58</f>
        <v>27568</v>
      </c>
      <c r="F59" s="42"/>
      <c r="G59" s="17">
        <f t="shared" si="26"/>
        <v>27568</v>
      </c>
      <c r="H59" s="18"/>
      <c r="I59" s="20">
        <f t="shared" si="27"/>
        <v>197</v>
      </c>
      <c r="J59" s="20">
        <f t="shared" si="28"/>
        <v>833</v>
      </c>
      <c r="K59" s="20">
        <f t="shared" si="29"/>
        <v>858</v>
      </c>
      <c r="L59" s="236">
        <f t="shared" si="30"/>
        <v>884</v>
      </c>
      <c r="M59" s="236">
        <f t="shared" si="31"/>
        <v>910</v>
      </c>
      <c r="O59" s="20">
        <f t="shared" si="32"/>
        <v>1888</v>
      </c>
      <c r="S59" s="20"/>
      <c r="W59" s="59"/>
      <c r="X59" s="267"/>
      <c r="Y59" s="267"/>
      <c r="Z59" s="267"/>
    </row>
    <row r="60" spans="2:26" hidden="1" outlineLevel="1">
      <c r="C60" s="1">
        <v>564</v>
      </c>
      <c r="D60" s="1" t="s">
        <v>63</v>
      </c>
      <c r="E60" s="84">
        <f>'AN Electric'!G59</f>
        <v>0</v>
      </c>
      <c r="F60" s="42"/>
      <c r="G60" s="17">
        <f t="shared" si="26"/>
        <v>0</v>
      </c>
      <c r="H60" s="18"/>
      <c r="I60" s="20">
        <f t="shared" si="27"/>
        <v>0</v>
      </c>
      <c r="J60" s="20">
        <f t="shared" si="28"/>
        <v>0</v>
      </c>
      <c r="K60" s="20">
        <f t="shared" si="29"/>
        <v>0</v>
      </c>
      <c r="L60" s="236">
        <f t="shared" si="30"/>
        <v>0</v>
      </c>
      <c r="M60" s="236">
        <f t="shared" si="31"/>
        <v>0</v>
      </c>
      <c r="O60" s="20">
        <f t="shared" si="32"/>
        <v>0</v>
      </c>
      <c r="S60" s="20"/>
      <c r="W60" s="59"/>
      <c r="X60" s="267"/>
      <c r="Y60" s="267"/>
      <c r="Z60" s="267"/>
    </row>
    <row r="61" spans="2:26" hidden="1" outlineLevel="1">
      <c r="C61" s="28">
        <v>566</v>
      </c>
      <c r="D61" s="28" t="s">
        <v>64</v>
      </c>
      <c r="E61" s="84">
        <f>'AN Electric'!G60</f>
        <v>363804</v>
      </c>
      <c r="F61" s="42"/>
      <c r="G61" s="17">
        <f t="shared" si="26"/>
        <v>363804</v>
      </c>
      <c r="H61" s="18"/>
      <c r="I61" s="20">
        <f t="shared" si="27"/>
        <v>2598</v>
      </c>
      <c r="J61" s="20">
        <f t="shared" si="28"/>
        <v>10992</v>
      </c>
      <c r="K61" s="20">
        <f t="shared" si="29"/>
        <v>11322</v>
      </c>
      <c r="L61" s="236">
        <f t="shared" si="30"/>
        <v>11661</v>
      </c>
      <c r="M61" s="236">
        <f t="shared" si="31"/>
        <v>12011</v>
      </c>
      <c r="O61" s="20">
        <f t="shared" si="32"/>
        <v>24912</v>
      </c>
      <c r="S61" s="20"/>
      <c r="W61" s="59"/>
      <c r="X61" s="267"/>
      <c r="Y61" s="267"/>
      <c r="Z61" s="267"/>
    </row>
    <row r="62" spans="2:26" hidden="1" outlineLevel="1">
      <c r="B62" s="29"/>
      <c r="C62" s="28">
        <v>567</v>
      </c>
      <c r="D62" s="28" t="s">
        <v>168</v>
      </c>
      <c r="E62" s="84">
        <f>'AN Electric'!G61</f>
        <v>15174</v>
      </c>
      <c r="F62" s="42"/>
      <c r="G62" s="17">
        <f t="shared" si="26"/>
        <v>15174</v>
      </c>
      <c r="H62" s="18"/>
      <c r="I62" s="20">
        <f t="shared" si="27"/>
        <v>108</v>
      </c>
      <c r="J62" s="20">
        <f t="shared" si="28"/>
        <v>458</v>
      </c>
      <c r="K62" s="20">
        <f t="shared" si="29"/>
        <v>472</v>
      </c>
      <c r="L62" s="236">
        <f t="shared" si="30"/>
        <v>486</v>
      </c>
      <c r="M62" s="236">
        <f t="shared" si="31"/>
        <v>501</v>
      </c>
      <c r="O62" s="20">
        <f t="shared" si="32"/>
        <v>1038</v>
      </c>
      <c r="S62" s="20"/>
      <c r="W62" s="59"/>
      <c r="X62" s="267"/>
      <c r="Y62" s="267"/>
      <c r="Z62" s="267"/>
    </row>
    <row r="63" spans="2:26" hidden="1" outlineLevel="1">
      <c r="B63" s="2" t="s">
        <v>26</v>
      </c>
      <c r="C63" s="1">
        <v>568</v>
      </c>
      <c r="D63" s="1" t="s">
        <v>33</v>
      </c>
      <c r="E63" s="84">
        <f>'AN Electric'!G62</f>
        <v>367214</v>
      </c>
      <c r="F63" s="42"/>
      <c r="G63" s="17">
        <f t="shared" si="26"/>
        <v>367214</v>
      </c>
      <c r="H63" s="18"/>
      <c r="I63" s="19">
        <f t="shared" si="27"/>
        <v>1785</v>
      </c>
      <c r="J63" s="19">
        <f t="shared" si="28"/>
        <v>11070</v>
      </c>
      <c r="K63" s="19">
        <f t="shared" si="29"/>
        <v>11402</v>
      </c>
      <c r="L63" s="235">
        <f t="shared" si="30"/>
        <v>11744</v>
      </c>
      <c r="M63" s="235">
        <f t="shared" si="31"/>
        <v>12096</v>
      </c>
      <c r="O63" s="19">
        <f t="shared" si="32"/>
        <v>24257</v>
      </c>
      <c r="S63" s="19"/>
      <c r="W63" s="59"/>
      <c r="X63" s="267"/>
      <c r="Y63" s="267"/>
      <c r="Z63" s="267"/>
    </row>
    <row r="64" spans="2:26" hidden="1" outlineLevel="1">
      <c r="C64" s="1">
        <v>569</v>
      </c>
      <c r="D64" s="1" t="s">
        <v>38</v>
      </c>
      <c r="E64" s="84">
        <f>'AN Electric'!G63</f>
        <v>185213</v>
      </c>
      <c r="F64" s="42"/>
      <c r="G64" s="17">
        <f t="shared" si="26"/>
        <v>185213</v>
      </c>
      <c r="H64" s="18"/>
      <c r="I64" s="20">
        <f t="shared" si="27"/>
        <v>1322</v>
      </c>
      <c r="J64" s="20">
        <f t="shared" si="28"/>
        <v>5596</v>
      </c>
      <c r="K64" s="20">
        <f t="shared" si="29"/>
        <v>5764</v>
      </c>
      <c r="L64" s="236">
        <f t="shared" si="30"/>
        <v>5937</v>
      </c>
      <c r="M64" s="236">
        <f t="shared" si="31"/>
        <v>6115</v>
      </c>
      <c r="O64" s="20">
        <f t="shared" si="32"/>
        <v>12682</v>
      </c>
      <c r="S64" s="20"/>
      <c r="W64" s="59"/>
      <c r="X64" s="267"/>
      <c r="Y64" s="267"/>
      <c r="Z64" s="267"/>
    </row>
    <row r="65" spans="2:26" hidden="1" outlineLevel="1">
      <c r="C65" s="1">
        <v>570</v>
      </c>
      <c r="D65" s="1" t="s">
        <v>65</v>
      </c>
      <c r="E65" s="84">
        <f>'AN Electric'!G64</f>
        <v>408574</v>
      </c>
      <c r="F65" s="42"/>
      <c r="G65" s="17">
        <f t="shared" si="26"/>
        <v>408574</v>
      </c>
      <c r="H65" s="18"/>
      <c r="I65" s="20">
        <f t="shared" si="27"/>
        <v>2917</v>
      </c>
      <c r="J65" s="20">
        <f t="shared" si="28"/>
        <v>12345</v>
      </c>
      <c r="K65" s="20">
        <f t="shared" si="29"/>
        <v>12715</v>
      </c>
      <c r="L65" s="236">
        <f t="shared" si="30"/>
        <v>13097</v>
      </c>
      <c r="M65" s="236">
        <f t="shared" si="31"/>
        <v>13489</v>
      </c>
      <c r="O65" s="20">
        <f t="shared" si="32"/>
        <v>27977</v>
      </c>
      <c r="S65" s="20"/>
      <c r="W65" s="59"/>
      <c r="X65" s="267"/>
      <c r="Y65" s="267"/>
      <c r="Z65" s="267"/>
    </row>
    <row r="66" spans="2:26" hidden="1" outlineLevel="1">
      <c r="C66" s="1">
        <v>571</v>
      </c>
      <c r="D66" s="1" t="s">
        <v>66</v>
      </c>
      <c r="E66" s="84">
        <f>'AN Electric'!G65</f>
        <v>17455</v>
      </c>
      <c r="F66" s="42"/>
      <c r="G66" s="17">
        <f t="shared" si="26"/>
        <v>17455</v>
      </c>
      <c r="H66" s="18"/>
      <c r="I66" s="20">
        <f t="shared" si="27"/>
        <v>125</v>
      </c>
      <c r="J66" s="20">
        <f t="shared" si="28"/>
        <v>527</v>
      </c>
      <c r="K66" s="20">
        <f t="shared" si="29"/>
        <v>543</v>
      </c>
      <c r="L66" s="236">
        <f t="shared" si="30"/>
        <v>560</v>
      </c>
      <c r="M66" s="236">
        <f t="shared" si="31"/>
        <v>576</v>
      </c>
      <c r="O66" s="20">
        <f t="shared" si="32"/>
        <v>1195</v>
      </c>
      <c r="S66" s="20"/>
      <c r="W66" s="59"/>
      <c r="X66" s="267"/>
      <c r="Y66" s="267"/>
      <c r="Z66" s="267"/>
    </row>
    <row r="67" spans="2:26" hidden="1" outlineLevel="1">
      <c r="C67" s="1">
        <v>572</v>
      </c>
      <c r="D67" s="1" t="s">
        <v>67</v>
      </c>
      <c r="E67" s="84">
        <f>'AN Electric'!G66</f>
        <v>978</v>
      </c>
      <c r="F67" s="42"/>
      <c r="G67" s="17">
        <f t="shared" si="26"/>
        <v>978</v>
      </c>
      <c r="H67" s="18"/>
      <c r="I67" s="20">
        <f t="shared" si="27"/>
        <v>7</v>
      </c>
      <c r="J67" s="20">
        <f t="shared" si="28"/>
        <v>30</v>
      </c>
      <c r="K67" s="20">
        <f t="shared" si="29"/>
        <v>30</v>
      </c>
      <c r="L67" s="236">
        <f t="shared" si="30"/>
        <v>31</v>
      </c>
      <c r="M67" s="236">
        <f t="shared" si="31"/>
        <v>32</v>
      </c>
      <c r="O67" s="20">
        <f t="shared" si="32"/>
        <v>67</v>
      </c>
      <c r="S67" s="20"/>
      <c r="W67" s="59"/>
      <c r="X67" s="267"/>
      <c r="Y67" s="267"/>
      <c r="Z67" s="267"/>
    </row>
    <row r="68" spans="2:26" hidden="1" outlineLevel="1">
      <c r="C68" s="1">
        <v>573</v>
      </c>
      <c r="D68" s="1" t="s">
        <v>68</v>
      </c>
      <c r="E68" s="84">
        <f>'AN Electric'!G67</f>
        <v>9758</v>
      </c>
      <c r="F68" s="42"/>
      <c r="G68" s="17">
        <f t="shared" si="26"/>
        <v>9758</v>
      </c>
      <c r="H68" s="18"/>
      <c r="I68" s="20">
        <f t="shared" si="27"/>
        <v>70</v>
      </c>
      <c r="J68" s="20">
        <f t="shared" si="28"/>
        <v>295</v>
      </c>
      <c r="K68" s="20">
        <f t="shared" si="29"/>
        <v>304</v>
      </c>
      <c r="L68" s="236">
        <f t="shared" si="30"/>
        <v>313</v>
      </c>
      <c r="M68" s="236">
        <f t="shared" si="31"/>
        <v>322</v>
      </c>
      <c r="O68" s="20">
        <f t="shared" si="32"/>
        <v>669</v>
      </c>
      <c r="S68" s="20"/>
      <c r="W68" s="59"/>
      <c r="X68" s="267"/>
      <c r="Y68" s="267"/>
      <c r="Z68" s="267"/>
    </row>
    <row r="69" spans="2:26" collapsed="1">
      <c r="C69" s="2" t="s">
        <v>3</v>
      </c>
      <c r="E69" s="86">
        <f>SUM(E56:E68)</f>
        <v>3423809</v>
      </c>
      <c r="F69" s="135"/>
      <c r="G69" s="32">
        <f t="shared" ref="G69:J69" si="33">SUM(G56:G68)</f>
        <v>3423809</v>
      </c>
      <c r="H69" s="18"/>
      <c r="I69" s="32">
        <f t="shared" si="33"/>
        <v>19227</v>
      </c>
      <c r="J69" s="32">
        <f t="shared" si="33"/>
        <v>103291</v>
      </c>
      <c r="K69" s="32">
        <f>SUM(K56:K68)</f>
        <v>106390</v>
      </c>
      <c r="L69" s="237">
        <f t="shared" si="30"/>
        <v>109582</v>
      </c>
      <c r="M69" s="237">
        <f t="shared" si="31"/>
        <v>112869</v>
      </c>
      <c r="O69" s="32">
        <f t="shared" si="32"/>
        <v>228908</v>
      </c>
      <c r="S69" s="32">
        <f>G69+O69</f>
        <v>3652717</v>
      </c>
      <c r="W69" s="59"/>
      <c r="X69" s="267"/>
      <c r="Y69" s="267"/>
      <c r="Z69" s="267"/>
    </row>
    <row r="70" spans="2:26">
      <c r="E70" s="84"/>
      <c r="F70" s="42"/>
      <c r="G70" s="17"/>
      <c r="H70" s="18"/>
      <c r="I70" s="17"/>
      <c r="J70" s="17"/>
      <c r="K70" s="17"/>
      <c r="L70" s="238">
        <f t="shared" si="30"/>
        <v>0</v>
      </c>
      <c r="M70" s="238"/>
      <c r="O70" s="17"/>
      <c r="S70" s="17"/>
      <c r="W70" s="59"/>
      <c r="X70" s="267"/>
      <c r="Y70" s="267"/>
      <c r="Z70" s="267"/>
    </row>
    <row r="71" spans="2:26" hidden="1" outlineLevel="1">
      <c r="C71" s="2" t="s">
        <v>4</v>
      </c>
      <c r="E71" s="84"/>
      <c r="F71" s="42"/>
      <c r="G71" s="17"/>
      <c r="H71" s="18"/>
      <c r="I71" s="17"/>
      <c r="J71" s="17"/>
      <c r="K71" s="17"/>
      <c r="L71" s="238">
        <f t="shared" si="30"/>
        <v>0</v>
      </c>
      <c r="M71" s="238"/>
      <c r="O71" s="17"/>
      <c r="S71" s="17"/>
      <c r="W71" s="59"/>
      <c r="X71" s="267"/>
      <c r="Y71" s="267"/>
      <c r="Z71" s="267"/>
    </row>
    <row r="72" spans="2:26" hidden="1" outlineLevel="1">
      <c r="B72" s="2" t="s">
        <v>26</v>
      </c>
      <c r="C72" s="1">
        <v>580</v>
      </c>
      <c r="D72" s="1" t="s">
        <v>33</v>
      </c>
      <c r="E72" s="84">
        <f>'AN Electric'!G71</f>
        <v>1746459</v>
      </c>
      <c r="F72" s="42"/>
      <c r="G72" s="17">
        <f t="shared" ref="G72:G90" si="34">F72+E72</f>
        <v>1746459</v>
      </c>
      <c r="H72" s="18"/>
      <c r="I72" s="19">
        <f t="shared" ref="I72:I90" si="35">ROUND(IF($B72="a",G72*I$8,G72*I$9),0)</f>
        <v>8488</v>
      </c>
      <c r="J72" s="19">
        <f t="shared" ref="J72:J90" si="36">ROUND(IF($B72="a",(G72+I72)*J$8,(G72+I72)*J$9),0)</f>
        <v>52648</v>
      </c>
      <c r="K72" s="19">
        <f t="shared" ref="K72:K90" si="37">ROUND(IF($B72="a",(G72+I72+J72)*K$8,(G72+I72+J72)*K$9),0)</f>
        <v>54228</v>
      </c>
      <c r="L72" s="235">
        <f t="shared" si="30"/>
        <v>55855</v>
      </c>
      <c r="M72" s="235">
        <f t="shared" ref="M72:M91" si="38">ROUND(IF($B72="a",(G72+I72+J72+K72+L72)*L$8,(G72+I72+J72+K72+L72)*L$9),0)</f>
        <v>57530</v>
      </c>
      <c r="O72" s="19">
        <f t="shared" ref="O72:O91" si="39">I72+J72+K72</f>
        <v>115364</v>
      </c>
      <c r="S72" s="19"/>
      <c r="W72" s="59"/>
      <c r="X72" s="267"/>
      <c r="Y72" s="267"/>
      <c r="Z72" s="267"/>
    </row>
    <row r="73" spans="2:26" hidden="1" outlineLevel="1">
      <c r="B73" s="2" t="s">
        <v>26</v>
      </c>
      <c r="C73" s="1">
        <v>581</v>
      </c>
      <c r="D73" s="1" t="s">
        <v>60</v>
      </c>
      <c r="E73" s="84">
        <f>'AN Electric'!G72</f>
        <v>0</v>
      </c>
      <c r="F73" s="42"/>
      <c r="G73" s="17">
        <f t="shared" si="34"/>
        <v>0</v>
      </c>
      <c r="H73" s="18"/>
      <c r="I73" s="19">
        <f t="shared" si="35"/>
        <v>0</v>
      </c>
      <c r="J73" s="19">
        <f t="shared" si="36"/>
        <v>0</v>
      </c>
      <c r="K73" s="19">
        <f t="shared" si="37"/>
        <v>0</v>
      </c>
      <c r="L73" s="235">
        <f t="shared" si="30"/>
        <v>0</v>
      </c>
      <c r="M73" s="235">
        <f t="shared" si="38"/>
        <v>0</v>
      </c>
      <c r="O73" s="19">
        <f t="shared" si="39"/>
        <v>0</v>
      </c>
      <c r="S73" s="19"/>
      <c r="W73" s="59"/>
      <c r="X73" s="267"/>
      <c r="Y73" s="267"/>
      <c r="Z73" s="267"/>
    </row>
    <row r="74" spans="2:26" hidden="1" outlineLevel="1">
      <c r="C74" s="1">
        <v>582</v>
      </c>
      <c r="D74" s="1" t="s">
        <v>61</v>
      </c>
      <c r="E74" s="84">
        <f>'AN Electric'!G73</f>
        <v>168519</v>
      </c>
      <c r="F74" s="42"/>
      <c r="G74" s="17">
        <f t="shared" si="34"/>
        <v>168519</v>
      </c>
      <c r="H74" s="18"/>
      <c r="I74" s="20">
        <f t="shared" si="35"/>
        <v>1203</v>
      </c>
      <c r="J74" s="20">
        <f t="shared" si="36"/>
        <v>5092</v>
      </c>
      <c r="K74" s="20">
        <f t="shared" si="37"/>
        <v>5244</v>
      </c>
      <c r="L74" s="236">
        <f t="shared" si="30"/>
        <v>5402</v>
      </c>
      <c r="M74" s="236">
        <f t="shared" si="38"/>
        <v>5564</v>
      </c>
      <c r="O74" s="20">
        <f t="shared" si="39"/>
        <v>11539</v>
      </c>
      <c r="S74" s="20"/>
      <c r="W74" s="59"/>
      <c r="X74" s="267"/>
      <c r="Y74" s="267"/>
      <c r="Z74" s="267"/>
    </row>
    <row r="75" spans="2:26" hidden="1" outlineLevel="1">
      <c r="C75" s="1">
        <v>583</v>
      </c>
      <c r="D75" s="1" t="s">
        <v>62</v>
      </c>
      <c r="E75" s="84">
        <f>'AN Electric'!G74</f>
        <v>581203</v>
      </c>
      <c r="F75" s="42"/>
      <c r="G75" s="17">
        <f t="shared" si="34"/>
        <v>581203</v>
      </c>
      <c r="H75" s="18"/>
      <c r="I75" s="20">
        <f t="shared" si="35"/>
        <v>4150</v>
      </c>
      <c r="J75" s="20">
        <f t="shared" si="36"/>
        <v>17561</v>
      </c>
      <c r="K75" s="20">
        <f t="shared" si="37"/>
        <v>18087</v>
      </c>
      <c r="L75" s="236">
        <f t="shared" si="30"/>
        <v>18630</v>
      </c>
      <c r="M75" s="236">
        <f t="shared" si="38"/>
        <v>19189</v>
      </c>
      <c r="O75" s="20">
        <f t="shared" si="39"/>
        <v>39798</v>
      </c>
      <c r="S75" s="20"/>
      <c r="W75" s="59"/>
      <c r="X75" s="267"/>
      <c r="Y75" s="267"/>
      <c r="Z75" s="267"/>
    </row>
    <row r="76" spans="2:26" hidden="1" outlineLevel="1">
      <c r="C76" s="1">
        <v>584</v>
      </c>
      <c r="D76" s="1">
        <f>D54</f>
        <v>0</v>
      </c>
      <c r="E76" s="84">
        <f>'AN Electric'!G75</f>
        <v>267176</v>
      </c>
      <c r="F76" s="42"/>
      <c r="G76" s="17">
        <f t="shared" si="34"/>
        <v>267176</v>
      </c>
      <c r="H76" s="18"/>
      <c r="I76" s="20">
        <f t="shared" si="35"/>
        <v>1908</v>
      </c>
      <c r="J76" s="20">
        <f t="shared" si="36"/>
        <v>8073</v>
      </c>
      <c r="K76" s="20">
        <f t="shared" si="37"/>
        <v>8315</v>
      </c>
      <c r="L76" s="236">
        <f t="shared" si="30"/>
        <v>8564</v>
      </c>
      <c r="M76" s="236">
        <f t="shared" si="38"/>
        <v>8821</v>
      </c>
      <c r="O76" s="20">
        <f t="shared" si="39"/>
        <v>18296</v>
      </c>
      <c r="S76" s="20"/>
      <c r="W76" s="59"/>
      <c r="X76" s="267"/>
      <c r="Y76" s="267"/>
      <c r="Z76" s="267"/>
    </row>
    <row r="77" spans="2:26" hidden="1" outlineLevel="1">
      <c r="C77" s="1">
        <v>585</v>
      </c>
      <c r="D77" s="1" t="s">
        <v>69</v>
      </c>
      <c r="E77" s="84">
        <f>'AN Electric'!G76</f>
        <v>3794</v>
      </c>
      <c r="F77" s="42"/>
      <c r="G77" s="17">
        <f t="shared" si="34"/>
        <v>3794</v>
      </c>
      <c r="H77" s="18"/>
      <c r="I77" s="20">
        <f t="shared" si="35"/>
        <v>27</v>
      </c>
      <c r="J77" s="20">
        <f t="shared" si="36"/>
        <v>115</v>
      </c>
      <c r="K77" s="20">
        <f t="shared" si="37"/>
        <v>118</v>
      </c>
      <c r="L77" s="236">
        <f t="shared" si="30"/>
        <v>122</v>
      </c>
      <c r="M77" s="236">
        <f t="shared" si="38"/>
        <v>125</v>
      </c>
      <c r="O77" s="20">
        <f t="shared" si="39"/>
        <v>260</v>
      </c>
      <c r="S77" s="20"/>
      <c r="W77" s="59"/>
      <c r="X77" s="267"/>
      <c r="Y77" s="267"/>
      <c r="Z77" s="267"/>
    </row>
    <row r="78" spans="2:26" hidden="1" outlineLevel="1">
      <c r="C78" s="1">
        <v>586</v>
      </c>
      <c r="D78" s="1" t="s">
        <v>70</v>
      </c>
      <c r="E78" s="84">
        <f>'AN Electric'!G77</f>
        <v>741852</v>
      </c>
      <c r="F78" s="42"/>
      <c r="G78" s="17">
        <f t="shared" si="34"/>
        <v>741852</v>
      </c>
      <c r="H78" s="18"/>
      <c r="I78" s="20">
        <f t="shared" si="35"/>
        <v>5297</v>
      </c>
      <c r="J78" s="20">
        <f t="shared" si="36"/>
        <v>22414</v>
      </c>
      <c r="K78" s="20">
        <f t="shared" si="37"/>
        <v>23087</v>
      </c>
      <c r="L78" s="236">
        <f t="shared" si="30"/>
        <v>23780</v>
      </c>
      <c r="M78" s="236">
        <f t="shared" si="38"/>
        <v>24493</v>
      </c>
      <c r="O78" s="20">
        <f t="shared" si="39"/>
        <v>50798</v>
      </c>
      <c r="S78" s="20"/>
      <c r="W78" s="59"/>
      <c r="X78" s="267"/>
      <c r="Y78" s="267"/>
      <c r="Z78" s="267"/>
    </row>
    <row r="79" spans="2:26" hidden="1" outlineLevel="1">
      <c r="C79" s="1">
        <v>587</v>
      </c>
      <c r="D79" s="1" t="s">
        <v>71</v>
      </c>
      <c r="E79" s="84">
        <f>'AN Electric'!G78</f>
        <v>238050</v>
      </c>
      <c r="F79" s="42"/>
      <c r="G79" s="17">
        <f t="shared" si="34"/>
        <v>238050</v>
      </c>
      <c r="H79" s="18"/>
      <c r="I79" s="20">
        <f t="shared" si="35"/>
        <v>1700</v>
      </c>
      <c r="J79" s="20">
        <f t="shared" si="36"/>
        <v>7193</v>
      </c>
      <c r="K79" s="20">
        <f t="shared" si="37"/>
        <v>7408</v>
      </c>
      <c r="L79" s="236">
        <f t="shared" si="30"/>
        <v>7631</v>
      </c>
      <c r="M79" s="236">
        <f t="shared" si="38"/>
        <v>7859</v>
      </c>
      <c r="O79" s="20">
        <f t="shared" si="39"/>
        <v>16301</v>
      </c>
      <c r="S79" s="20"/>
      <c r="W79" s="59"/>
      <c r="X79" s="267"/>
      <c r="Y79" s="267"/>
      <c r="Z79" s="267"/>
    </row>
    <row r="80" spans="2:26" hidden="1" outlineLevel="1">
      <c r="C80" s="1">
        <v>588</v>
      </c>
      <c r="D80" s="1" t="s">
        <v>72</v>
      </c>
      <c r="E80" s="84">
        <f>'AN Electric'!G79</f>
        <v>2571459</v>
      </c>
      <c r="F80" s="42"/>
      <c r="G80" s="17">
        <f t="shared" si="34"/>
        <v>2571459</v>
      </c>
      <c r="H80" s="18"/>
      <c r="I80" s="20">
        <f t="shared" si="35"/>
        <v>18360</v>
      </c>
      <c r="J80" s="20">
        <f t="shared" si="36"/>
        <v>77695</v>
      </c>
      <c r="K80" s="20">
        <f t="shared" si="37"/>
        <v>80025</v>
      </c>
      <c r="L80" s="236">
        <f t="shared" si="30"/>
        <v>82426</v>
      </c>
      <c r="M80" s="236">
        <f t="shared" si="38"/>
        <v>84899</v>
      </c>
      <c r="O80" s="20">
        <f t="shared" si="39"/>
        <v>176080</v>
      </c>
      <c r="S80" s="20"/>
      <c r="W80" s="59"/>
      <c r="X80" s="267"/>
      <c r="Y80" s="267"/>
      <c r="Z80" s="267"/>
    </row>
    <row r="81" spans="2:26" hidden="1" outlineLevel="1">
      <c r="C81" s="1">
        <v>589</v>
      </c>
      <c r="D81" s="1" t="s">
        <v>73</v>
      </c>
      <c r="E81" s="84">
        <f>'AN Electric'!G80</f>
        <v>13323</v>
      </c>
      <c r="F81" s="42"/>
      <c r="G81" s="17">
        <f t="shared" si="34"/>
        <v>13323</v>
      </c>
      <c r="H81" s="18"/>
      <c r="I81" s="20">
        <f t="shared" si="35"/>
        <v>95</v>
      </c>
      <c r="J81" s="20">
        <f t="shared" si="36"/>
        <v>403</v>
      </c>
      <c r="K81" s="20">
        <f t="shared" si="37"/>
        <v>415</v>
      </c>
      <c r="L81" s="236">
        <f t="shared" si="30"/>
        <v>427</v>
      </c>
      <c r="M81" s="236">
        <f t="shared" si="38"/>
        <v>440</v>
      </c>
      <c r="O81" s="20">
        <f t="shared" si="39"/>
        <v>913</v>
      </c>
      <c r="S81" s="20"/>
      <c r="W81" s="59"/>
      <c r="X81" s="267"/>
      <c r="Y81" s="267"/>
      <c r="Z81" s="267"/>
    </row>
    <row r="82" spans="2:26" hidden="1" outlineLevel="1">
      <c r="B82" s="2" t="s">
        <v>26</v>
      </c>
      <c r="C82" s="1">
        <v>590</v>
      </c>
      <c r="D82" s="1" t="s">
        <v>33</v>
      </c>
      <c r="E82" s="84">
        <f>'AN Electric'!G81</f>
        <v>427400</v>
      </c>
      <c r="F82" s="42"/>
      <c r="G82" s="17">
        <f t="shared" si="34"/>
        <v>427400</v>
      </c>
      <c r="H82" s="18"/>
      <c r="I82" s="19">
        <f t="shared" si="35"/>
        <v>2077</v>
      </c>
      <c r="J82" s="19">
        <f t="shared" si="36"/>
        <v>12884</v>
      </c>
      <c r="K82" s="19">
        <f t="shared" si="37"/>
        <v>13271</v>
      </c>
      <c r="L82" s="235">
        <f t="shared" si="30"/>
        <v>13669</v>
      </c>
      <c r="M82" s="235">
        <f t="shared" si="38"/>
        <v>14079</v>
      </c>
      <c r="O82" s="19">
        <f t="shared" si="39"/>
        <v>28232</v>
      </c>
      <c r="S82" s="19"/>
      <c r="W82" s="59"/>
      <c r="X82" s="267"/>
      <c r="Y82" s="267"/>
      <c r="Z82" s="267"/>
    </row>
    <row r="83" spans="2:26" hidden="1" outlineLevel="1">
      <c r="C83" s="1">
        <v>591</v>
      </c>
      <c r="D83" s="1" t="s">
        <v>38</v>
      </c>
      <c r="E83" s="84">
        <f>'AN Electric'!G82</f>
        <v>122666</v>
      </c>
      <c r="F83" s="42"/>
      <c r="G83" s="17">
        <f t="shared" si="34"/>
        <v>122666</v>
      </c>
      <c r="H83" s="18"/>
      <c r="I83" s="20">
        <f t="shared" si="35"/>
        <v>876</v>
      </c>
      <c r="J83" s="20">
        <f t="shared" si="36"/>
        <v>3706</v>
      </c>
      <c r="K83" s="20">
        <f t="shared" si="37"/>
        <v>3817</v>
      </c>
      <c r="L83" s="236">
        <f t="shared" si="30"/>
        <v>3932</v>
      </c>
      <c r="M83" s="236">
        <f t="shared" si="38"/>
        <v>4050</v>
      </c>
      <c r="O83" s="20">
        <f t="shared" si="39"/>
        <v>8399</v>
      </c>
      <c r="S83" s="20"/>
      <c r="W83" s="59"/>
      <c r="X83" s="267"/>
      <c r="Y83" s="267"/>
      <c r="Z83" s="267"/>
    </row>
    <row r="84" spans="2:26" hidden="1" outlineLevel="1">
      <c r="C84" s="1">
        <v>592</v>
      </c>
      <c r="D84" s="1" t="s">
        <v>74</v>
      </c>
      <c r="E84" s="84">
        <f>'AN Electric'!G83</f>
        <v>311034</v>
      </c>
      <c r="F84" s="42"/>
      <c r="G84" s="17">
        <f t="shared" si="34"/>
        <v>311034</v>
      </c>
      <c r="H84" s="18"/>
      <c r="I84" s="20">
        <f t="shared" si="35"/>
        <v>2221</v>
      </c>
      <c r="J84" s="20">
        <f t="shared" si="36"/>
        <v>9398</v>
      </c>
      <c r="K84" s="20">
        <f t="shared" si="37"/>
        <v>9680</v>
      </c>
      <c r="L84" s="236">
        <f t="shared" si="30"/>
        <v>9970</v>
      </c>
      <c r="M84" s="236">
        <f t="shared" si="38"/>
        <v>10269</v>
      </c>
      <c r="O84" s="20">
        <f t="shared" si="39"/>
        <v>21299</v>
      </c>
      <c r="S84" s="20"/>
      <c r="W84" s="59"/>
      <c r="X84" s="267"/>
      <c r="Y84" s="267"/>
      <c r="Z84" s="267"/>
    </row>
    <row r="85" spans="2:26" hidden="1" outlineLevel="1">
      <c r="C85" s="1">
        <v>593</v>
      </c>
      <c r="D85" s="1" t="s">
        <v>66</v>
      </c>
      <c r="E85" s="84">
        <f>'AN Electric'!G84</f>
        <v>966197</v>
      </c>
      <c r="F85" s="42"/>
      <c r="G85" s="17">
        <f t="shared" si="34"/>
        <v>966197</v>
      </c>
      <c r="H85" s="18"/>
      <c r="I85" s="20">
        <f t="shared" si="35"/>
        <v>6899</v>
      </c>
      <c r="J85" s="20">
        <f t="shared" si="36"/>
        <v>29193</v>
      </c>
      <c r="K85" s="20">
        <f t="shared" si="37"/>
        <v>30069</v>
      </c>
      <c r="L85" s="236">
        <f t="shared" si="30"/>
        <v>30971</v>
      </c>
      <c r="M85" s="236">
        <f t="shared" si="38"/>
        <v>31900</v>
      </c>
      <c r="O85" s="20">
        <f t="shared" si="39"/>
        <v>66161</v>
      </c>
      <c r="S85" s="20"/>
      <c r="W85" s="59"/>
      <c r="X85" s="267"/>
      <c r="Y85" s="267"/>
      <c r="Z85" s="267"/>
    </row>
    <row r="86" spans="2:26" hidden="1" outlineLevel="1">
      <c r="C86" s="1">
        <v>594</v>
      </c>
      <c r="D86" s="1" t="s">
        <v>75</v>
      </c>
      <c r="E86" s="84">
        <f>'AN Electric'!G85</f>
        <v>276581</v>
      </c>
      <c r="F86" s="42"/>
      <c r="G86" s="17">
        <f t="shared" si="34"/>
        <v>276581</v>
      </c>
      <c r="H86" s="18"/>
      <c r="I86" s="20">
        <f t="shared" si="35"/>
        <v>1975</v>
      </c>
      <c r="J86" s="20">
        <f t="shared" si="36"/>
        <v>8357</v>
      </c>
      <c r="K86" s="20">
        <f t="shared" si="37"/>
        <v>8607</v>
      </c>
      <c r="L86" s="236">
        <f t="shared" si="30"/>
        <v>8866</v>
      </c>
      <c r="M86" s="236">
        <f t="shared" si="38"/>
        <v>9132</v>
      </c>
      <c r="O86" s="20">
        <f t="shared" si="39"/>
        <v>18939</v>
      </c>
      <c r="S86" s="20"/>
      <c r="W86" s="59"/>
      <c r="X86" s="267"/>
      <c r="Y86" s="267"/>
      <c r="Z86" s="267"/>
    </row>
    <row r="87" spans="2:26" hidden="1" outlineLevel="1">
      <c r="C87" s="1">
        <v>595</v>
      </c>
      <c r="D87" s="1" t="s">
        <v>76</v>
      </c>
      <c r="E87" s="84">
        <f>'AN Electric'!G86</f>
        <v>178700</v>
      </c>
      <c r="F87" s="42"/>
      <c r="G87" s="17">
        <f t="shared" si="34"/>
        <v>178700</v>
      </c>
      <c r="H87" s="18"/>
      <c r="I87" s="20">
        <f t="shared" si="35"/>
        <v>1276</v>
      </c>
      <c r="J87" s="20">
        <f t="shared" si="36"/>
        <v>5399</v>
      </c>
      <c r="K87" s="20">
        <f t="shared" si="37"/>
        <v>5561</v>
      </c>
      <c r="L87" s="236">
        <f t="shared" si="30"/>
        <v>5728</v>
      </c>
      <c r="M87" s="236">
        <f t="shared" si="38"/>
        <v>5900</v>
      </c>
      <c r="O87" s="20">
        <f t="shared" si="39"/>
        <v>12236</v>
      </c>
      <c r="S87" s="20"/>
      <c r="W87" s="59"/>
      <c r="X87" s="267"/>
      <c r="Y87" s="267"/>
      <c r="Z87" s="267"/>
    </row>
    <row r="88" spans="2:26" hidden="1" outlineLevel="1">
      <c r="C88" s="1">
        <v>596</v>
      </c>
      <c r="D88" s="1" t="s">
        <v>77</v>
      </c>
      <c r="E88" s="84">
        <f>'AN Electric'!G87</f>
        <v>149629</v>
      </c>
      <c r="F88" s="42"/>
      <c r="G88" s="17">
        <f t="shared" si="34"/>
        <v>149629</v>
      </c>
      <c r="H88" s="18"/>
      <c r="I88" s="20">
        <f t="shared" si="35"/>
        <v>1068</v>
      </c>
      <c r="J88" s="20">
        <f t="shared" si="36"/>
        <v>4521</v>
      </c>
      <c r="K88" s="20">
        <f t="shared" si="37"/>
        <v>4657</v>
      </c>
      <c r="L88" s="236">
        <f t="shared" ref="L88:L119" si="40">ROUND(IF($B88="a",(G88+I88+J88+K88)*L$8,(G88+I88+J88+K88)*L$9),0)</f>
        <v>4796</v>
      </c>
      <c r="M88" s="236">
        <f t="shared" si="38"/>
        <v>4940</v>
      </c>
      <c r="O88" s="20">
        <f t="shared" si="39"/>
        <v>10246</v>
      </c>
      <c r="S88" s="20"/>
      <c r="W88" s="59"/>
      <c r="X88" s="267"/>
      <c r="Y88" s="267"/>
      <c r="Z88" s="267"/>
    </row>
    <row r="89" spans="2:26" hidden="1" outlineLevel="1">
      <c r="C89" s="1">
        <v>597</v>
      </c>
      <c r="D89" s="1" t="s">
        <v>78</v>
      </c>
      <c r="E89" s="84">
        <f>'AN Electric'!G88</f>
        <v>9901</v>
      </c>
      <c r="F89" s="42"/>
      <c r="G89" s="17">
        <f t="shared" si="34"/>
        <v>9901</v>
      </c>
      <c r="H89" s="18"/>
      <c r="I89" s="20">
        <f t="shared" si="35"/>
        <v>71</v>
      </c>
      <c r="J89" s="20">
        <f t="shared" si="36"/>
        <v>299</v>
      </c>
      <c r="K89" s="20">
        <f t="shared" si="37"/>
        <v>308</v>
      </c>
      <c r="L89" s="236">
        <f t="shared" si="40"/>
        <v>317</v>
      </c>
      <c r="M89" s="236">
        <f t="shared" si="38"/>
        <v>327</v>
      </c>
      <c r="O89" s="20">
        <f t="shared" si="39"/>
        <v>678</v>
      </c>
      <c r="S89" s="20"/>
      <c r="W89" s="59"/>
      <c r="X89" s="267"/>
      <c r="Y89" s="267"/>
      <c r="Z89" s="267"/>
    </row>
    <row r="90" spans="2:26" hidden="1" outlineLevel="1">
      <c r="C90" s="1">
        <v>598</v>
      </c>
      <c r="D90" s="1" t="s">
        <v>72</v>
      </c>
      <c r="E90" s="84">
        <f>'AN Electric'!G89</f>
        <v>129223</v>
      </c>
      <c r="F90" s="42"/>
      <c r="G90" s="17">
        <f t="shared" si="34"/>
        <v>129223</v>
      </c>
      <c r="H90" s="18"/>
      <c r="I90" s="20">
        <f t="shared" si="35"/>
        <v>923</v>
      </c>
      <c r="J90" s="20">
        <f t="shared" si="36"/>
        <v>3904</v>
      </c>
      <c r="K90" s="20">
        <f t="shared" si="37"/>
        <v>4022</v>
      </c>
      <c r="L90" s="236">
        <f t="shared" si="40"/>
        <v>4142</v>
      </c>
      <c r="M90" s="236">
        <f t="shared" si="38"/>
        <v>4266</v>
      </c>
      <c r="O90" s="20">
        <f t="shared" si="39"/>
        <v>8849</v>
      </c>
      <c r="S90" s="20"/>
      <c r="W90" s="59"/>
      <c r="X90" s="267"/>
      <c r="Y90" s="267"/>
      <c r="Z90" s="267"/>
    </row>
    <row r="91" spans="2:26" collapsed="1">
      <c r="C91" s="2" t="s">
        <v>5</v>
      </c>
      <c r="E91" s="86">
        <f>SUM(E72:E90)</f>
        <v>8903166</v>
      </c>
      <c r="F91" s="135"/>
      <c r="G91" s="32">
        <f t="shared" ref="G91:J91" si="41">SUM(G72:G90)</f>
        <v>8903166</v>
      </c>
      <c r="H91" s="18"/>
      <c r="I91" s="32">
        <f t="shared" si="41"/>
        <v>58614</v>
      </c>
      <c r="J91" s="32">
        <f t="shared" si="41"/>
        <v>268855</v>
      </c>
      <c r="K91" s="32">
        <f>SUM(K72:K90)</f>
        <v>276919</v>
      </c>
      <c r="L91" s="237">
        <f t="shared" si="40"/>
        <v>285227</v>
      </c>
      <c r="M91" s="237">
        <f t="shared" si="38"/>
        <v>293783</v>
      </c>
      <c r="O91" s="32">
        <f t="shared" si="39"/>
        <v>604388</v>
      </c>
      <c r="S91" s="32">
        <f>G91+O91</f>
        <v>9507554</v>
      </c>
      <c r="W91" s="266"/>
      <c r="X91" s="267"/>
      <c r="Y91" s="267"/>
      <c r="Z91" s="267"/>
    </row>
    <row r="92" spans="2:26">
      <c r="E92" s="84"/>
      <c r="F92" s="42"/>
      <c r="G92" s="17"/>
      <c r="H92" s="18"/>
      <c r="I92" s="17"/>
      <c r="J92" s="17"/>
      <c r="K92" s="17"/>
      <c r="L92" s="238">
        <f t="shared" si="40"/>
        <v>0</v>
      </c>
      <c r="M92" s="238"/>
      <c r="O92" s="17"/>
      <c r="S92" s="17"/>
      <c r="W92" s="268"/>
      <c r="X92" s="267"/>
      <c r="Y92" s="267"/>
      <c r="Z92" s="267"/>
    </row>
    <row r="93" spans="2:26" hidden="1" outlineLevel="1">
      <c r="C93" s="2" t="s">
        <v>6</v>
      </c>
      <c r="E93" s="84"/>
      <c r="F93" s="42"/>
      <c r="G93" s="17"/>
      <c r="H93" s="18"/>
      <c r="I93" s="17"/>
      <c r="J93" s="17"/>
      <c r="K93" s="17"/>
      <c r="L93" s="238">
        <f t="shared" si="40"/>
        <v>0</v>
      </c>
      <c r="M93" s="238"/>
      <c r="O93" s="17"/>
      <c r="S93" s="17"/>
      <c r="W93" s="59"/>
      <c r="X93" s="267"/>
      <c r="Y93" s="267"/>
      <c r="Z93" s="267"/>
    </row>
    <row r="94" spans="2:26" hidden="1" outlineLevel="1">
      <c r="B94" s="2" t="s">
        <v>26</v>
      </c>
      <c r="C94" s="1">
        <v>901</v>
      </c>
      <c r="D94" s="1" t="s">
        <v>79</v>
      </c>
      <c r="E94" s="84">
        <f>'AN Electric'!G93</f>
        <v>133172</v>
      </c>
      <c r="F94" s="42"/>
      <c r="G94" s="17">
        <f>F94+E94</f>
        <v>133172</v>
      </c>
      <c r="H94" s="18"/>
      <c r="I94" s="19">
        <f>ROUND(IF($B94="a",G94*I$8,G94*I$9),0)</f>
        <v>647</v>
      </c>
      <c r="J94" s="19">
        <f>ROUND(IF($B94="a",(G94+I94)*J$8,(G94+I94)*J$9),0)</f>
        <v>4015</v>
      </c>
      <c r="K94" s="19">
        <f>ROUND(IF($B94="a",(G94+I94+J94)*K$8,(G94+I94+J94)*K$9),0)</f>
        <v>4135</v>
      </c>
      <c r="L94" s="235">
        <f t="shared" si="40"/>
        <v>4259</v>
      </c>
      <c r="M94" s="235">
        <f>ROUND(IF($B94="a",(G94+I94+J94+K94+L94)*L$8,(G94+I94+J94+K94+L94)*L$9),0)</f>
        <v>4387</v>
      </c>
      <c r="O94" s="19">
        <f>I94+J94+K94</f>
        <v>8797</v>
      </c>
      <c r="S94" s="19"/>
      <c r="W94" s="59"/>
      <c r="X94" s="267"/>
      <c r="Y94" s="267"/>
      <c r="Z94" s="267"/>
    </row>
    <row r="95" spans="2:26" hidden="1" outlineLevel="1">
      <c r="B95" s="2" t="s">
        <v>26</v>
      </c>
      <c r="C95" s="1">
        <v>902</v>
      </c>
      <c r="D95" s="1" t="s">
        <v>80</v>
      </c>
      <c r="E95" s="84">
        <f>'AN Electric'!G94</f>
        <v>1544127</v>
      </c>
      <c r="F95" s="42"/>
      <c r="G95" s="17">
        <f>F95+E95</f>
        <v>1544127</v>
      </c>
      <c r="H95" s="18"/>
      <c r="I95" s="19">
        <f>ROUND(IF($B95="a",G95*I$8,G95*I$9),0)</f>
        <v>7504</v>
      </c>
      <c r="J95" s="19">
        <f>ROUND(IF($B95="a",(G95+I95)*J$8,(G95+I95)*J$9),0)</f>
        <v>46549</v>
      </c>
      <c r="K95" s="19">
        <f>ROUND(IF($B95="a",(G95+I95+J95)*K$8,(G95+I95+J95)*K$9),0)</f>
        <v>47945</v>
      </c>
      <c r="L95" s="235">
        <f t="shared" si="40"/>
        <v>49384</v>
      </c>
      <c r="M95" s="235">
        <f>ROUND(IF($B95="a",(G95+I95+J95+K95+L95)*L$8,(G95+I95+J95+K95+L95)*L$9),0)</f>
        <v>50865</v>
      </c>
      <c r="O95" s="19">
        <f>I95+J95+K95</f>
        <v>101998</v>
      </c>
      <c r="S95" s="19"/>
      <c r="W95" s="59"/>
      <c r="X95" s="267"/>
      <c r="Y95" s="267"/>
      <c r="Z95" s="267"/>
    </row>
    <row r="96" spans="2:26" hidden="1" outlineLevel="1">
      <c r="B96" s="2" t="s">
        <v>26</v>
      </c>
      <c r="C96" s="1">
        <v>903</v>
      </c>
      <c r="D96" s="1" t="s">
        <v>81</v>
      </c>
      <c r="E96" s="84">
        <f>'AN Electric'!G95</f>
        <v>3128538</v>
      </c>
      <c r="F96" s="42"/>
      <c r="G96" s="17">
        <f>F96+E96</f>
        <v>3128538</v>
      </c>
      <c r="H96" s="18"/>
      <c r="I96" s="19">
        <f>ROUND(IF($B96="a",G96*I$8,G96*I$9),0)</f>
        <v>15205</v>
      </c>
      <c r="J96" s="19">
        <f>ROUND(IF($B96="a",(G96+I96)*J$8,(G96+I96)*J$9),0)</f>
        <v>94312</v>
      </c>
      <c r="K96" s="19">
        <f>ROUND(IF($B96="a",(G96+I96+J96)*K$8,(G96+I96+J96)*K$9),0)</f>
        <v>97142</v>
      </c>
      <c r="L96" s="235">
        <f t="shared" si="40"/>
        <v>100056</v>
      </c>
      <c r="M96" s="235">
        <f>ROUND(IF($B96="a",(G96+I96+J96+K96+L96)*L$8,(G96+I96+J96+K96+L96)*L$9),0)</f>
        <v>103058</v>
      </c>
      <c r="O96" s="19">
        <f>I96+J96+K96</f>
        <v>206659</v>
      </c>
      <c r="S96" s="19"/>
      <c r="W96" s="59"/>
      <c r="X96" s="267"/>
      <c r="Y96" s="267"/>
      <c r="Z96" s="267"/>
    </row>
    <row r="97" spans="2:26" hidden="1" outlineLevel="1">
      <c r="B97" s="2" t="s">
        <v>26</v>
      </c>
      <c r="C97" s="1">
        <v>905</v>
      </c>
      <c r="D97" s="1" t="s">
        <v>82</v>
      </c>
      <c r="E97" s="84">
        <f>'AN Electric'!G96</f>
        <v>75874</v>
      </c>
      <c r="F97" s="42"/>
      <c r="G97" s="17">
        <f>F97+E97</f>
        <v>75874</v>
      </c>
      <c r="H97" s="18"/>
      <c r="I97" s="19">
        <f>ROUND(IF($B97="a",G97*I$8,G97*I$9),0)</f>
        <v>369</v>
      </c>
      <c r="J97" s="19">
        <f>ROUND(IF($B97="a",(G97+I97)*J$8,(G97+I97)*J$9),0)</f>
        <v>2287</v>
      </c>
      <c r="K97" s="19">
        <f>ROUND(IF($B97="a",(G97+I97+J97)*K$8,(G97+I97+J97)*K$9),0)</f>
        <v>2356</v>
      </c>
      <c r="L97" s="235">
        <f t="shared" si="40"/>
        <v>2427</v>
      </c>
      <c r="M97" s="235">
        <f>ROUND(IF($B97="a",(G97+I97+J97+K97+L97)*L$8,(G97+I97+J97+K97+L97)*L$9),0)</f>
        <v>2499</v>
      </c>
      <c r="O97" s="19">
        <f>I97+J97+K97</f>
        <v>5012</v>
      </c>
      <c r="S97" s="19"/>
      <c r="W97" s="59"/>
      <c r="X97" s="267"/>
      <c r="Y97" s="267"/>
      <c r="Z97" s="267"/>
    </row>
    <row r="98" spans="2:26" collapsed="1">
      <c r="C98" s="2" t="s">
        <v>197</v>
      </c>
      <c r="E98" s="86">
        <f>SUM(E92:E97)</f>
        <v>4881711</v>
      </c>
      <c r="F98" s="135"/>
      <c r="G98" s="32">
        <f t="shared" ref="G98:J98" si="42">SUM(G94:G97)</f>
        <v>4881711</v>
      </c>
      <c r="H98" s="18"/>
      <c r="I98" s="32">
        <f t="shared" si="42"/>
        <v>23725</v>
      </c>
      <c r="J98" s="32">
        <f t="shared" si="42"/>
        <v>147163</v>
      </c>
      <c r="K98" s="32">
        <f>SUM(K94:K97)</f>
        <v>151578</v>
      </c>
      <c r="L98" s="237">
        <f t="shared" si="40"/>
        <v>156125</v>
      </c>
      <c r="M98" s="237">
        <f>ROUND(IF($B98="a",(G98+I98+J98+K98+L98)*L$8,(G98+I98+J98+K98+L98)*L$9),0)</f>
        <v>160809</v>
      </c>
      <c r="O98" s="32">
        <f>I98+J98+K98</f>
        <v>322466</v>
      </c>
      <c r="S98" s="32">
        <f>G98+O98</f>
        <v>5204177</v>
      </c>
      <c r="W98" s="59"/>
      <c r="X98" s="267"/>
      <c r="Y98" s="267"/>
      <c r="Z98" s="267"/>
    </row>
    <row r="99" spans="2:26">
      <c r="E99" s="84"/>
      <c r="F99" s="42"/>
      <c r="G99" s="17"/>
      <c r="H99" s="18"/>
      <c r="I99" s="17"/>
      <c r="J99" s="17"/>
      <c r="K99" s="17"/>
      <c r="L99" s="238">
        <f t="shared" si="40"/>
        <v>0</v>
      </c>
      <c r="M99" s="238"/>
      <c r="O99" s="17"/>
      <c r="S99" s="17"/>
      <c r="W99" s="59"/>
      <c r="X99" s="267"/>
      <c r="Y99" s="267"/>
      <c r="Z99" s="267"/>
    </row>
    <row r="100" spans="2:26" hidden="1" outlineLevel="1">
      <c r="C100" s="2" t="s">
        <v>8</v>
      </c>
      <c r="E100" s="84"/>
      <c r="F100" s="42"/>
      <c r="G100" s="17"/>
      <c r="H100" s="18"/>
      <c r="I100" s="17"/>
      <c r="J100" s="17"/>
      <c r="K100" s="17"/>
      <c r="L100" s="238">
        <f t="shared" si="40"/>
        <v>0</v>
      </c>
      <c r="M100" s="238"/>
      <c r="O100" s="17"/>
      <c r="S100" s="17"/>
      <c r="X100" s="255"/>
      <c r="Y100" s="255"/>
      <c r="Z100" s="255"/>
    </row>
    <row r="101" spans="2:26" hidden="1" outlineLevel="1">
      <c r="B101" s="2" t="s">
        <v>26</v>
      </c>
      <c r="C101" s="1">
        <v>908</v>
      </c>
      <c r="D101" s="1" t="s">
        <v>83</v>
      </c>
      <c r="E101" s="84">
        <f>'AN Electric'!G100</f>
        <v>224501</v>
      </c>
      <c r="F101" s="42"/>
      <c r="G101" s="17">
        <f>F101+E101</f>
        <v>224501</v>
      </c>
      <c r="H101" s="18"/>
      <c r="I101" s="19">
        <f>ROUND(IF($B101="a",G101*I$8,G101*I$9),0)</f>
        <v>1091</v>
      </c>
      <c r="J101" s="19">
        <f>ROUND(IF($B101="a",(G101+I101)*J$8,(G101+I101)*J$9),0)</f>
        <v>6768</v>
      </c>
      <c r="K101" s="19">
        <f>ROUND(IF($B101="a",(G101+I101+J101)*K$8,(G101+I101+J101)*K$9),0)</f>
        <v>6971</v>
      </c>
      <c r="L101" s="235">
        <f t="shared" si="40"/>
        <v>7180</v>
      </c>
      <c r="M101" s="235">
        <f>ROUND(IF($B101="a",(G101+I101+J101+K101+L101)*L$8,(G101+I101+J101+K101+L101)*L$9),0)</f>
        <v>7395</v>
      </c>
      <c r="O101" s="19">
        <f>I101+J101+K101</f>
        <v>14830</v>
      </c>
      <c r="S101" s="19"/>
      <c r="X101" s="255"/>
      <c r="Y101" s="255"/>
      <c r="Z101" s="255"/>
    </row>
    <row r="102" spans="2:26" hidden="1" outlineLevel="1">
      <c r="B102" s="2" t="s">
        <v>26</v>
      </c>
      <c r="C102" s="1">
        <v>909</v>
      </c>
      <c r="D102" s="1" t="s">
        <v>84</v>
      </c>
      <c r="E102" s="84">
        <f>'AN Electric'!G101</f>
        <v>140256</v>
      </c>
      <c r="F102" s="42"/>
      <c r="G102" s="17">
        <f>F102+E102</f>
        <v>140256</v>
      </c>
      <c r="H102" s="18"/>
      <c r="I102" s="19">
        <f>ROUND(IF($B102="a",G102*I$8,G102*I$9),0)</f>
        <v>682</v>
      </c>
      <c r="J102" s="19">
        <f>ROUND(IF($B102="a",(G102+I102)*J$8,(G102+I102)*J$9),0)</f>
        <v>4228</v>
      </c>
      <c r="K102" s="19">
        <f>ROUND(IF($B102="a",(G102+I102+J102)*K$8,(G102+I102+J102)*K$9),0)</f>
        <v>4355</v>
      </c>
      <c r="L102" s="235">
        <f t="shared" si="40"/>
        <v>4486</v>
      </c>
      <c r="M102" s="235">
        <f>ROUND(IF($B102="a",(G102+I102+J102+K102+L102)*L$8,(G102+I102+J102+K102+L102)*L$9),0)</f>
        <v>4620</v>
      </c>
      <c r="O102" s="19">
        <f>I102+J102+K102</f>
        <v>9265</v>
      </c>
      <c r="S102" s="19"/>
      <c r="X102" s="255"/>
      <c r="Y102" s="255"/>
      <c r="Z102" s="255"/>
    </row>
    <row r="103" spans="2:26" hidden="1" outlineLevel="1">
      <c r="B103" s="2" t="s">
        <v>26</v>
      </c>
      <c r="C103" s="1">
        <v>910</v>
      </c>
      <c r="D103" s="1" t="s">
        <v>85</v>
      </c>
      <c r="E103" s="84">
        <f>'AN Electric'!G102</f>
        <v>35661</v>
      </c>
      <c r="F103" s="42"/>
      <c r="G103" s="17">
        <f>F103+E103</f>
        <v>35661</v>
      </c>
      <c r="H103" s="18"/>
      <c r="I103" s="19">
        <f>ROUND(IF($B103="a",G103*I$8,G103*I$9),0)</f>
        <v>173</v>
      </c>
      <c r="J103" s="19">
        <f>ROUND(IF($B103="a",(G103+I103)*J$8,(G103+I103)*J$9),0)</f>
        <v>1075</v>
      </c>
      <c r="K103" s="19">
        <f>ROUND(IF($B103="a",(G103+I103+J103)*K$8,(G103+I103+J103)*K$9),0)</f>
        <v>1107</v>
      </c>
      <c r="L103" s="235">
        <f t="shared" si="40"/>
        <v>1140</v>
      </c>
      <c r="M103" s="235">
        <f>ROUND(IF($B103="a",(G103+I103+J103+K103+L103)*L$8,(G103+I103+J103+K103+L103)*L$9),0)</f>
        <v>1175</v>
      </c>
      <c r="O103" s="19">
        <f>I103+J103+K103</f>
        <v>2355</v>
      </c>
      <c r="S103" s="19"/>
      <c r="X103" s="255"/>
      <c r="Y103" s="255"/>
      <c r="Z103" s="255"/>
    </row>
    <row r="104" spans="2:26" collapsed="1">
      <c r="C104" s="2" t="s">
        <v>9</v>
      </c>
      <c r="E104" s="86">
        <f>SUM(E101:E103)</f>
        <v>400418</v>
      </c>
      <c r="F104" s="135"/>
      <c r="G104" s="32">
        <f>SUM(G101:G103)</f>
        <v>400418</v>
      </c>
      <c r="H104" s="18"/>
      <c r="I104" s="32">
        <f>SUM(I101:I103)</f>
        <v>1946</v>
      </c>
      <c r="J104" s="32">
        <f>SUM(J101:J103)</f>
        <v>12071</v>
      </c>
      <c r="K104" s="32">
        <f>SUM(K101:K103)</f>
        <v>12433</v>
      </c>
      <c r="L104" s="237">
        <f t="shared" si="40"/>
        <v>12806</v>
      </c>
      <c r="M104" s="237">
        <f>ROUND(IF($B104="a",(G104+I104+J104+K104+L104)*L$8,(G104+I104+J104+K104+L104)*L$9),0)</f>
        <v>13190</v>
      </c>
      <c r="O104" s="32">
        <f>I104+J104+K104</f>
        <v>26450</v>
      </c>
      <c r="S104" s="32">
        <f>G104+O104</f>
        <v>426868</v>
      </c>
      <c r="W104" s="128"/>
      <c r="X104" s="255"/>
      <c r="Y104" s="255"/>
      <c r="Z104" s="255"/>
    </row>
    <row r="105" spans="2:26">
      <c r="E105" s="84"/>
      <c r="F105" s="42"/>
      <c r="G105" s="17"/>
      <c r="H105" s="18"/>
      <c r="I105" s="17"/>
      <c r="J105" s="17"/>
      <c r="K105" s="17"/>
      <c r="L105" s="238">
        <f t="shared" si="40"/>
        <v>0</v>
      </c>
      <c r="M105" s="238"/>
      <c r="O105" s="17"/>
      <c r="S105" s="17"/>
    </row>
    <row r="106" spans="2:26" hidden="1" outlineLevel="1">
      <c r="C106" s="2" t="s">
        <v>10</v>
      </c>
      <c r="E106" s="84"/>
      <c r="F106" s="42"/>
      <c r="G106" s="17"/>
      <c r="H106" s="18"/>
      <c r="I106" s="17"/>
      <c r="J106" s="17"/>
      <c r="K106" s="17"/>
      <c r="L106" s="238">
        <f t="shared" si="40"/>
        <v>0</v>
      </c>
      <c r="M106" s="238"/>
      <c r="O106" s="17"/>
      <c r="S106" s="17"/>
    </row>
    <row r="107" spans="2:26" hidden="1" outlineLevel="1">
      <c r="B107" s="2" t="s">
        <v>26</v>
      </c>
      <c r="C107" s="1">
        <v>911</v>
      </c>
      <c r="D107" s="2" t="s">
        <v>79</v>
      </c>
      <c r="E107" s="84">
        <f>'AN Electric'!G106</f>
        <v>0</v>
      </c>
      <c r="F107" s="42"/>
      <c r="G107" s="17">
        <f>F107+E107</f>
        <v>0</v>
      </c>
      <c r="H107" s="18"/>
      <c r="I107" s="19">
        <f>ROUND(IF($B107="a",G107*I$8,G107*I$9),0)</f>
        <v>0</v>
      </c>
      <c r="J107" s="19">
        <f>ROUND(IF($B107="a",(G107+I107)*J$8,(G107+I107)*J$9),0)</f>
        <v>0</v>
      </c>
      <c r="K107" s="19">
        <f>ROUND(IF($B107="a",(G107+I107)*K$8,(G107+I107+J107)*K$9),0)</f>
        <v>0</v>
      </c>
      <c r="L107" s="235">
        <f t="shared" si="40"/>
        <v>0</v>
      </c>
      <c r="M107" s="235">
        <f>ROUND(IF($B107="a",(G107+I107+J107+K107+L107)*L$8,(G107+I107+J107+K107+L107)*L$9),0)</f>
        <v>0</v>
      </c>
      <c r="O107" s="19">
        <f>I107+J107+K107</f>
        <v>0</v>
      </c>
      <c r="S107" s="19"/>
    </row>
    <row r="108" spans="2:26" hidden="1" outlineLevel="1">
      <c r="B108" s="2" t="s">
        <v>26</v>
      </c>
      <c r="C108" s="1">
        <v>912</v>
      </c>
      <c r="D108" s="1" t="s">
        <v>86</v>
      </c>
      <c r="E108" s="84">
        <f>'AN Electric'!G107</f>
        <v>0</v>
      </c>
      <c r="F108" s="42"/>
      <c r="G108" s="17">
        <f>F108+E108</f>
        <v>0</v>
      </c>
      <c r="H108" s="18"/>
      <c r="I108" s="19">
        <f>ROUND(IF($B108="a",G108*I$8,G108*I$9),0)</f>
        <v>0</v>
      </c>
      <c r="J108" s="19">
        <f>ROUND(IF($B108="a",(G108+I108)*J$8,(G108+I108)*J$9),0)</f>
        <v>0</v>
      </c>
      <c r="K108" s="19">
        <f>ROUND(IF($B108="a",(G108+I108)*K$8,(G108+I108+J108)*K$9),0)</f>
        <v>0</v>
      </c>
      <c r="L108" s="235">
        <f t="shared" si="40"/>
        <v>0</v>
      </c>
      <c r="M108" s="235">
        <f>ROUND(IF($B108="a",(G108+I108+J108+K108+L108)*L$8,(G108+I108+J108+K108+L108)*L$9),0)</f>
        <v>0</v>
      </c>
      <c r="O108" s="19">
        <f>I108+J108+K108</f>
        <v>0</v>
      </c>
      <c r="S108" s="19"/>
    </row>
    <row r="109" spans="2:26" hidden="1" outlineLevel="1">
      <c r="B109" s="2" t="s">
        <v>26</v>
      </c>
      <c r="C109" s="1">
        <v>913</v>
      </c>
      <c r="D109" s="1" t="s">
        <v>84</v>
      </c>
      <c r="E109" s="84">
        <f>'AN Electric'!G108</f>
        <v>0</v>
      </c>
      <c r="F109" s="42"/>
      <c r="G109" s="17">
        <f>F109+E109</f>
        <v>0</v>
      </c>
      <c r="H109" s="18"/>
      <c r="I109" s="19">
        <f>ROUND(IF($B109="a",G109*I$8,G109*I$9),0)</f>
        <v>0</v>
      </c>
      <c r="J109" s="19">
        <f>ROUND(IF($B109="a",(G109+I109)*J$8,(G109+I109)*J$9),0)</f>
        <v>0</v>
      </c>
      <c r="K109" s="19">
        <f>ROUND(IF($B109="a",(G109+I109)*K$8,(G109+I109+J109)*K$9),0)</f>
        <v>0</v>
      </c>
      <c r="L109" s="235">
        <f t="shared" si="40"/>
        <v>0</v>
      </c>
      <c r="M109" s="235">
        <f>ROUND(IF($B109="a",(G109+I109+J109+K109+L109)*L$8,(G109+I109+J109+K109+L109)*L$9),0)</f>
        <v>0</v>
      </c>
      <c r="O109" s="19">
        <f>I109+J109+K109</f>
        <v>0</v>
      </c>
      <c r="S109" s="19"/>
    </row>
    <row r="110" spans="2:26" hidden="1" outlineLevel="1">
      <c r="B110" s="2" t="s">
        <v>26</v>
      </c>
      <c r="C110" s="1">
        <v>916</v>
      </c>
      <c r="D110" s="1" t="s">
        <v>87</v>
      </c>
      <c r="E110" s="84">
        <f>'AN Electric'!G109</f>
        <v>0</v>
      </c>
      <c r="F110" s="42"/>
      <c r="G110" s="17">
        <f>F110+E110</f>
        <v>0</v>
      </c>
      <c r="H110" s="18"/>
      <c r="I110" s="19">
        <f>ROUND(IF($B110="a",G110*I$8,G110*I$9),0)</f>
        <v>0</v>
      </c>
      <c r="J110" s="19">
        <f>ROUND(IF($B110="a",(G110+I110)*J$8,(G110+I110)*J$9),0)</f>
        <v>0</v>
      </c>
      <c r="K110" s="19">
        <f>ROUND(IF($B110="a",(G110+I110)*K$8,(G110+I110+J110)*K$9),0)</f>
        <v>0</v>
      </c>
      <c r="L110" s="235">
        <f t="shared" si="40"/>
        <v>0</v>
      </c>
      <c r="M110" s="235">
        <f>ROUND(IF($B110="a",(G110+I110+J110+K110+L110)*L$8,(G110+I110+J110+K110+L110)*L$9),0)</f>
        <v>0</v>
      </c>
      <c r="O110" s="19">
        <f>I110+J110+K110</f>
        <v>0</v>
      </c>
      <c r="S110" s="19"/>
    </row>
    <row r="111" spans="2:26" collapsed="1">
      <c r="C111" s="2" t="s">
        <v>11</v>
      </c>
      <c r="E111" s="86">
        <f>'AN Electric'!G110</f>
        <v>0</v>
      </c>
      <c r="F111" s="135"/>
      <c r="G111" s="32">
        <f t="shared" ref="G111:I111" si="43">SUM(G107:G110)</f>
        <v>0</v>
      </c>
      <c r="H111" s="18"/>
      <c r="I111" s="32">
        <f t="shared" si="43"/>
        <v>0</v>
      </c>
      <c r="J111" s="32">
        <f>SUM(J107:J110)</f>
        <v>0</v>
      </c>
      <c r="K111" s="32">
        <f>SUM(K107:K110)</f>
        <v>0</v>
      </c>
      <c r="L111" s="237">
        <f t="shared" si="40"/>
        <v>0</v>
      </c>
      <c r="M111" s="237">
        <f>ROUND(IF($B111="a",(G111+I111+J111+K111+L111)*L$8,(G111+I111+J111+K111+L111)*L$9),0)</f>
        <v>0</v>
      </c>
      <c r="O111" s="32">
        <f>I111+J111+K111</f>
        <v>0</v>
      </c>
      <c r="S111" s="32">
        <f>G111+O111</f>
        <v>0</v>
      </c>
    </row>
    <row r="112" spans="2:26">
      <c r="E112" s="84"/>
      <c r="F112" s="42"/>
      <c r="G112" s="17"/>
      <c r="H112" s="18"/>
      <c r="I112" s="17"/>
      <c r="J112" s="17"/>
      <c r="K112" s="17"/>
      <c r="L112" s="238">
        <f t="shared" si="40"/>
        <v>0</v>
      </c>
      <c r="M112" s="238"/>
      <c r="O112" s="17"/>
      <c r="S112" s="17"/>
    </row>
    <row r="113" spans="2:26">
      <c r="C113" s="2" t="s">
        <v>12</v>
      </c>
      <c r="E113" s="84"/>
      <c r="F113" s="42"/>
      <c r="G113" s="17"/>
      <c r="H113" s="18"/>
      <c r="I113" s="17"/>
      <c r="J113" s="17"/>
      <c r="K113" s="17"/>
      <c r="L113" s="238">
        <f t="shared" si="40"/>
        <v>0</v>
      </c>
      <c r="M113" s="238"/>
      <c r="O113" s="17"/>
      <c r="S113" s="17"/>
    </row>
    <row r="114" spans="2:26" hidden="1" outlineLevel="1">
      <c r="B114" s="2" t="s">
        <v>26</v>
      </c>
      <c r="C114" s="1">
        <v>920</v>
      </c>
      <c r="D114" s="1" t="s">
        <v>88</v>
      </c>
      <c r="E114" s="84">
        <f>'AN Electric'!G113+4</f>
        <v>11244331</v>
      </c>
      <c r="F114" s="42"/>
      <c r="G114" s="17">
        <f t="shared" ref="G114:G122" si="44">F114+E114</f>
        <v>11244331</v>
      </c>
      <c r="H114" s="18"/>
      <c r="I114" s="19">
        <f t="shared" ref="I114:I122" si="45">ROUND(IF($B114="a",G114*I$8,G114*I$9),0)</f>
        <v>54647</v>
      </c>
      <c r="J114" s="19">
        <f t="shared" ref="J114:J122" si="46">ROUND(IF($B114="a",(G114+I114)*J$8,(G114+I114)*J$9),0)</f>
        <v>338969</v>
      </c>
      <c r="K114" s="19">
        <f t="shared" ref="K114:K122" si="47">ROUND(IF($B114="a",(G114+I114+J114)*K$8,(G114+I114+J114)*K$9),0)</f>
        <v>349138</v>
      </c>
      <c r="L114" s="235">
        <f t="shared" si="40"/>
        <v>359613</v>
      </c>
      <c r="M114" s="235">
        <f t="shared" ref="M114:M123" si="48">ROUND(IF($B114="a",(G114+I114+J114+K114+L114)*L$8,(G114+I114+J114+K114+L114)*L$9),0)</f>
        <v>370401</v>
      </c>
      <c r="O114" s="19">
        <f t="shared" ref="O114:O125" si="49">I114+J114+K114</f>
        <v>742754</v>
      </c>
      <c r="S114" s="19"/>
    </row>
    <row r="115" spans="2:26" hidden="1" outlineLevel="1">
      <c r="B115" s="2" t="s">
        <v>26</v>
      </c>
      <c r="C115" s="1">
        <v>921</v>
      </c>
      <c r="D115" s="1" t="s">
        <v>89</v>
      </c>
      <c r="E115" s="84">
        <f>'AN Electric'!G114</f>
        <v>159221</v>
      </c>
      <c r="F115" s="42"/>
      <c r="G115" s="17">
        <f t="shared" si="44"/>
        <v>159221</v>
      </c>
      <c r="H115" s="18"/>
      <c r="I115" s="19">
        <f t="shared" si="45"/>
        <v>774</v>
      </c>
      <c r="J115" s="19">
        <f t="shared" si="46"/>
        <v>4800</v>
      </c>
      <c r="K115" s="19">
        <f t="shared" si="47"/>
        <v>4944</v>
      </c>
      <c r="L115" s="235">
        <f t="shared" si="40"/>
        <v>5092</v>
      </c>
      <c r="M115" s="235">
        <f t="shared" si="48"/>
        <v>5245</v>
      </c>
      <c r="O115" s="19">
        <f t="shared" si="49"/>
        <v>10518</v>
      </c>
      <c r="S115" s="19"/>
    </row>
    <row r="116" spans="2:26" hidden="1" outlineLevel="1">
      <c r="B116" s="2" t="s">
        <v>26</v>
      </c>
      <c r="C116" s="1">
        <v>923</v>
      </c>
      <c r="D116" s="1" t="s">
        <v>90</v>
      </c>
      <c r="E116" s="84">
        <f>'AN Electric'!G115</f>
        <v>29327</v>
      </c>
      <c r="F116" s="42"/>
      <c r="G116" s="17">
        <f t="shared" si="44"/>
        <v>29327</v>
      </c>
      <c r="H116" s="18"/>
      <c r="I116" s="19">
        <f t="shared" si="45"/>
        <v>143</v>
      </c>
      <c r="J116" s="19">
        <f t="shared" si="46"/>
        <v>884</v>
      </c>
      <c r="K116" s="19">
        <f t="shared" si="47"/>
        <v>911</v>
      </c>
      <c r="L116" s="235">
        <f t="shared" si="40"/>
        <v>938</v>
      </c>
      <c r="M116" s="235">
        <f t="shared" si="48"/>
        <v>966</v>
      </c>
      <c r="O116" s="19">
        <f t="shared" si="49"/>
        <v>1938</v>
      </c>
      <c r="S116" s="19"/>
    </row>
    <row r="117" spans="2:26" hidden="1" outlineLevel="1">
      <c r="B117" s="2" t="s">
        <v>26</v>
      </c>
      <c r="C117" s="1">
        <v>925</v>
      </c>
      <c r="D117" s="1" t="s">
        <v>91</v>
      </c>
      <c r="E117" s="84">
        <f>'AN Electric'!G116</f>
        <v>357</v>
      </c>
      <c r="F117" s="42"/>
      <c r="G117" s="17">
        <f t="shared" si="44"/>
        <v>357</v>
      </c>
      <c r="H117" s="18"/>
      <c r="I117" s="19">
        <f t="shared" si="45"/>
        <v>2</v>
      </c>
      <c r="J117" s="19">
        <f t="shared" si="46"/>
        <v>11</v>
      </c>
      <c r="K117" s="19">
        <f t="shared" si="47"/>
        <v>11</v>
      </c>
      <c r="L117" s="235">
        <f t="shared" si="40"/>
        <v>11</v>
      </c>
      <c r="M117" s="235">
        <f t="shared" si="48"/>
        <v>12</v>
      </c>
      <c r="O117" s="19">
        <f t="shared" si="49"/>
        <v>24</v>
      </c>
      <c r="S117" s="19"/>
    </row>
    <row r="118" spans="2:26" hidden="1" outlineLevel="1">
      <c r="B118" s="2" t="s">
        <v>26</v>
      </c>
      <c r="C118" s="1">
        <v>926</v>
      </c>
      <c r="D118" s="1" t="s">
        <v>92</v>
      </c>
      <c r="E118" s="84">
        <f>'AN Electric'!G117</f>
        <v>198513</v>
      </c>
      <c r="F118" s="42"/>
      <c r="G118" s="17">
        <f>F118+E118</f>
        <v>198513</v>
      </c>
      <c r="H118" s="18"/>
      <c r="I118" s="19">
        <f t="shared" si="45"/>
        <v>965</v>
      </c>
      <c r="J118" s="19">
        <f t="shared" si="46"/>
        <v>5984</v>
      </c>
      <c r="K118" s="19">
        <f t="shared" si="47"/>
        <v>6164</v>
      </c>
      <c r="L118" s="235">
        <f t="shared" si="40"/>
        <v>6349</v>
      </c>
      <c r="M118" s="235">
        <f t="shared" si="48"/>
        <v>6539</v>
      </c>
      <c r="O118" s="19">
        <f t="shared" si="49"/>
        <v>13113</v>
      </c>
      <c r="S118" s="19"/>
    </row>
    <row r="119" spans="2:26" hidden="1" outlineLevel="1">
      <c r="B119" s="2" t="s">
        <v>26</v>
      </c>
      <c r="C119" s="1">
        <v>927</v>
      </c>
      <c r="D119" s="1" t="s">
        <v>93</v>
      </c>
      <c r="E119" s="84">
        <f>'AN Electric'!G118</f>
        <v>0</v>
      </c>
      <c r="F119" s="42"/>
      <c r="G119" s="17">
        <f>F119+E119</f>
        <v>0</v>
      </c>
      <c r="H119" s="18"/>
      <c r="I119" s="19">
        <f t="shared" si="45"/>
        <v>0</v>
      </c>
      <c r="J119" s="19">
        <f t="shared" si="46"/>
        <v>0</v>
      </c>
      <c r="K119" s="19">
        <f t="shared" si="47"/>
        <v>0</v>
      </c>
      <c r="L119" s="235">
        <f t="shared" si="40"/>
        <v>0</v>
      </c>
      <c r="M119" s="235">
        <f t="shared" si="48"/>
        <v>0</v>
      </c>
      <c r="O119" s="19">
        <f t="shared" si="49"/>
        <v>0</v>
      </c>
      <c r="S119" s="19"/>
    </row>
    <row r="120" spans="2:26" hidden="1" outlineLevel="1">
      <c r="B120" s="2" t="s">
        <v>26</v>
      </c>
      <c r="C120" s="1">
        <v>928</v>
      </c>
      <c r="D120" s="1" t="s">
        <v>94</v>
      </c>
      <c r="E120" s="84">
        <f>'AN Electric'!G119</f>
        <v>926270</v>
      </c>
      <c r="F120" s="42"/>
      <c r="G120" s="17">
        <f t="shared" si="44"/>
        <v>926270</v>
      </c>
      <c r="H120" s="18"/>
      <c r="I120" s="19">
        <f t="shared" si="45"/>
        <v>4502</v>
      </c>
      <c r="J120" s="19">
        <f t="shared" si="46"/>
        <v>27923</v>
      </c>
      <c r="K120" s="19">
        <f t="shared" si="47"/>
        <v>28761</v>
      </c>
      <c r="L120" s="235">
        <f t="shared" ref="L120:L125" si="50">ROUND(IF($B120="a",(G120+I120+J120+K120)*L$8,(G120+I120+J120+K120)*L$9),0)</f>
        <v>29624</v>
      </c>
      <c r="M120" s="235">
        <f t="shared" si="48"/>
        <v>30512</v>
      </c>
      <c r="O120" s="19">
        <f t="shared" si="49"/>
        <v>61186</v>
      </c>
      <c r="S120" s="19"/>
    </row>
    <row r="121" spans="2:26" hidden="1" outlineLevel="1">
      <c r="B121" s="2" t="s">
        <v>26</v>
      </c>
      <c r="C121" s="1">
        <v>930</v>
      </c>
      <c r="D121" s="1" t="s">
        <v>95</v>
      </c>
      <c r="E121" s="84">
        <f>'AN Electric'!G120</f>
        <v>175576</v>
      </c>
      <c r="F121" s="42"/>
      <c r="G121" s="17">
        <f t="shared" si="44"/>
        <v>175576</v>
      </c>
      <c r="H121" s="18"/>
      <c r="I121" s="19">
        <f t="shared" si="45"/>
        <v>853</v>
      </c>
      <c r="J121" s="19">
        <f t="shared" si="46"/>
        <v>5293</v>
      </c>
      <c r="K121" s="19">
        <f t="shared" si="47"/>
        <v>5452</v>
      </c>
      <c r="L121" s="235">
        <f t="shared" si="50"/>
        <v>5615</v>
      </c>
      <c r="M121" s="235">
        <f t="shared" si="48"/>
        <v>5784</v>
      </c>
      <c r="O121" s="19">
        <f t="shared" si="49"/>
        <v>11598</v>
      </c>
      <c r="S121" s="19"/>
    </row>
    <row r="122" spans="2:26" hidden="1" outlineLevel="1">
      <c r="B122" s="128" t="s">
        <v>26</v>
      </c>
      <c r="C122" s="1">
        <v>935</v>
      </c>
      <c r="D122" s="1" t="s">
        <v>96</v>
      </c>
      <c r="E122" s="84">
        <f>'AN Electric'!G121</f>
        <v>1076417</v>
      </c>
      <c r="F122" s="42"/>
      <c r="G122" s="17">
        <f t="shared" si="44"/>
        <v>1076417</v>
      </c>
      <c r="H122" s="18"/>
      <c r="I122" s="19">
        <f t="shared" si="45"/>
        <v>5231</v>
      </c>
      <c r="J122" s="19">
        <f t="shared" si="46"/>
        <v>32449</v>
      </c>
      <c r="K122" s="19">
        <f t="shared" si="47"/>
        <v>33423</v>
      </c>
      <c r="L122" s="235">
        <f t="shared" si="50"/>
        <v>34426</v>
      </c>
      <c r="M122" s="235">
        <f t="shared" si="48"/>
        <v>35458</v>
      </c>
      <c r="O122" s="19">
        <f t="shared" si="49"/>
        <v>71103</v>
      </c>
      <c r="S122" s="19"/>
    </row>
    <row r="123" spans="2:26" collapsed="1">
      <c r="C123" s="2" t="s">
        <v>13</v>
      </c>
      <c r="E123" s="86">
        <f>SUM(E114:E122)</f>
        <v>13810012</v>
      </c>
      <c r="F123" s="135"/>
      <c r="G123" s="32">
        <f>SUM(G114:G122)</f>
        <v>13810012</v>
      </c>
      <c r="H123" s="18"/>
      <c r="I123" s="32">
        <f>SUM(I114:I122)</f>
        <v>67117</v>
      </c>
      <c r="J123" s="32">
        <f>SUM(J114:J122)</f>
        <v>416313</v>
      </c>
      <c r="K123" s="32">
        <f>SUM(K114:K122)</f>
        <v>428804</v>
      </c>
      <c r="L123" s="237">
        <f t="shared" si="50"/>
        <v>441667</v>
      </c>
      <c r="M123" s="237">
        <f t="shared" si="48"/>
        <v>454917</v>
      </c>
      <c r="O123" s="32">
        <f t="shared" si="49"/>
        <v>912234</v>
      </c>
      <c r="S123" s="32">
        <f>G123+O123</f>
        <v>14722246</v>
      </c>
    </row>
    <row r="124" spans="2:26">
      <c r="E124" s="84"/>
      <c r="F124" s="42"/>
      <c r="G124" s="17"/>
      <c r="H124" s="18"/>
      <c r="I124" s="17"/>
      <c r="J124" s="17"/>
      <c r="K124" s="17"/>
      <c r="L124" s="238">
        <f t="shared" si="50"/>
        <v>0</v>
      </c>
      <c r="M124" s="238"/>
      <c r="O124" s="17">
        <f t="shared" si="49"/>
        <v>0</v>
      </c>
      <c r="S124" s="17"/>
    </row>
    <row r="125" spans="2:26">
      <c r="C125" s="2" t="s">
        <v>97</v>
      </c>
      <c r="E125" s="135">
        <f>E123+E111+E104+E98+E91+E69+E53</f>
        <v>42800410</v>
      </c>
      <c r="F125" s="135"/>
      <c r="G125" s="32">
        <f>G123+G111+G104+G98+G91+G69+G53</f>
        <v>42800410</v>
      </c>
      <c r="H125" s="18"/>
      <c r="I125" s="32">
        <f>I123+I111+I104+I98+I91+I69+I53</f>
        <v>242843</v>
      </c>
      <c r="J125" s="32">
        <f>J123+J111+J104+J98+J91+J69+J53</f>
        <v>1291301</v>
      </c>
      <c r="K125" s="32">
        <f>K123+K111+K104+K98+K91+K69+K53</f>
        <v>1330036</v>
      </c>
      <c r="L125" s="237">
        <f t="shared" si="50"/>
        <v>1369938</v>
      </c>
      <c r="M125" s="237">
        <f>ROUND(IF($B125="a",(G125+I125+J125+K125+L125)*L$8,(G125+I125+J125+K125+L125)*L$9),0)</f>
        <v>1411036</v>
      </c>
      <c r="O125" s="32">
        <f t="shared" si="49"/>
        <v>2864180</v>
      </c>
      <c r="Q125" s="17"/>
      <c r="S125" s="32">
        <f>SUM(S53:S123)</f>
        <v>45664590</v>
      </c>
    </row>
    <row r="126" spans="2:26" s="70" customFormat="1">
      <c r="E126" s="87">
        <f>'AN Electric'!G124</f>
        <v>42800408</v>
      </c>
      <c r="F126" s="87"/>
      <c r="H126" s="71"/>
      <c r="I126" s="127"/>
      <c r="J126" s="127"/>
      <c r="K126" s="127"/>
      <c r="L126" s="240"/>
      <c r="M126" s="240"/>
      <c r="O126" s="127"/>
    </row>
    <row r="127" spans="2:26">
      <c r="G127" s="102"/>
      <c r="H127" s="137"/>
      <c r="I127" s="103"/>
      <c r="J127" s="127"/>
      <c r="K127" s="127"/>
      <c r="L127" s="127"/>
      <c r="M127" s="127"/>
      <c r="O127" s="127"/>
      <c r="R127" s="2" t="s">
        <v>200</v>
      </c>
      <c r="S127" s="17">
        <f>G125+I125+J125+K125</f>
        <v>45664590</v>
      </c>
      <c r="W127" s="256"/>
      <c r="X127" s="269" t="s">
        <v>210</v>
      </c>
      <c r="Y127" s="269">
        <v>2018</v>
      </c>
      <c r="Z127" s="270" t="s">
        <v>0</v>
      </c>
    </row>
    <row r="128" spans="2:26">
      <c r="D128" s="9"/>
      <c r="E128" s="84"/>
      <c r="F128" s="42"/>
      <c r="G128" s="103"/>
      <c r="H128" s="104"/>
      <c r="I128" s="103"/>
      <c r="J128" s="127"/>
      <c r="K128" s="127"/>
      <c r="L128" s="127"/>
      <c r="M128" s="127"/>
      <c r="O128" s="127"/>
      <c r="W128" s="259" t="s">
        <v>209</v>
      </c>
      <c r="X128" s="263"/>
      <c r="Y128" s="263"/>
      <c r="Z128" s="258"/>
    </row>
    <row r="129" spans="3:26">
      <c r="C129" s="70" t="s">
        <v>203</v>
      </c>
      <c r="G129" s="103"/>
      <c r="H129" s="104"/>
      <c r="I129" s="103"/>
      <c r="J129" s="127"/>
      <c r="K129" s="127"/>
      <c r="L129" s="127"/>
      <c r="M129" s="127"/>
      <c r="O129" s="127"/>
      <c r="W129" s="257" t="s">
        <v>206</v>
      </c>
      <c r="X129" s="264">
        <f>I125+J125</f>
        <v>1534144</v>
      </c>
      <c r="Y129" s="264">
        <f>J125</f>
        <v>1291301</v>
      </c>
      <c r="Z129" s="260">
        <f>SUM(X129:Y129)</f>
        <v>2825445</v>
      </c>
    </row>
    <row r="130" spans="3:26">
      <c r="G130" s="103"/>
      <c r="H130" s="104"/>
      <c r="I130" s="103"/>
      <c r="J130" s="103"/>
      <c r="K130" s="103"/>
      <c r="L130" s="103"/>
      <c r="M130" s="103"/>
      <c r="O130" s="103"/>
      <c r="W130" s="257" t="s">
        <v>207</v>
      </c>
      <c r="X130" s="264">
        <f>'Washington Gas PF'!I78+'Washington Gas PF'!J78</f>
        <v>469263</v>
      </c>
      <c r="Y130" s="264">
        <f>'Washington Gas PF'!K78</f>
        <v>404701</v>
      </c>
      <c r="Z130" s="260">
        <f>SUM(X130:Y130)</f>
        <v>873964</v>
      </c>
    </row>
    <row r="131" spans="3:26">
      <c r="G131" s="103"/>
      <c r="H131" s="104"/>
      <c r="I131" s="103"/>
      <c r="J131" s="103"/>
      <c r="K131" s="103"/>
      <c r="L131" s="103"/>
      <c r="M131" s="103"/>
      <c r="O131" s="103"/>
      <c r="W131" s="257"/>
      <c r="X131" s="264"/>
      <c r="Y131" s="264"/>
      <c r="Z131" s="260"/>
    </row>
    <row r="132" spans="3:26">
      <c r="G132" s="103"/>
      <c r="H132" s="104"/>
      <c r="I132" s="103"/>
      <c r="J132" s="103"/>
      <c r="K132" s="103"/>
      <c r="L132" s="103"/>
      <c r="M132" s="103"/>
      <c r="O132" s="103"/>
      <c r="W132" s="259" t="s">
        <v>208</v>
      </c>
      <c r="X132" s="264"/>
      <c r="Y132" s="264"/>
      <c r="Z132" s="260"/>
    </row>
    <row r="133" spans="3:26">
      <c r="W133" s="257" t="s">
        <v>206</v>
      </c>
      <c r="X133" s="264">
        <v>-33335</v>
      </c>
      <c r="Y133" s="264">
        <v>0</v>
      </c>
      <c r="Z133" s="260">
        <f>SUM(X133:Y133)</f>
        <v>-33335</v>
      </c>
    </row>
    <row r="134" spans="3:26">
      <c r="W134" s="261" t="s">
        <v>207</v>
      </c>
      <c r="X134" s="265">
        <v>-9603</v>
      </c>
      <c r="Y134" s="265">
        <v>0</v>
      </c>
      <c r="Z134" s="262">
        <f>SUM(X134:Y134)</f>
        <v>-9603</v>
      </c>
    </row>
    <row r="135" spans="3:26">
      <c r="G135" s="218"/>
    </row>
    <row r="136" spans="3:26">
      <c r="F136" s="42"/>
      <c r="I136" s="17"/>
      <c r="J136" s="17"/>
      <c r="K136" s="17"/>
      <c r="L136" s="17"/>
      <c r="M136" s="17"/>
      <c r="O136" s="17"/>
    </row>
  </sheetData>
  <mergeCells count="3">
    <mergeCell ref="C3:E3"/>
    <mergeCell ref="C4:E4"/>
    <mergeCell ref="C5:E5"/>
  </mergeCells>
  <phoneticPr fontId="0" type="noConversion"/>
  <pageMargins left="1" right="0.21" top="0.75" bottom="0.78" header="0.25" footer="0.25"/>
  <pageSetup scale="80" fitToHeight="3" orientation="landscape" r:id="rId1"/>
  <headerFooter alignWithMargins="0">
    <oddFooter>&amp;LBench Request No. 11 - Attachment E&amp;RPage: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X244"/>
  <sheetViews>
    <sheetView zoomScaleNormal="100" zoomScaleSheetLayoutView="100" workbookViewId="0">
      <pane xSplit="1" ySplit="9" topLeftCell="B10" activePane="bottomRight" state="frozen"/>
      <selection activeCell="W127" sqref="W127:Z134"/>
      <selection pane="topRight" activeCell="W127" sqref="W127:Z134"/>
      <selection pane="bottomLeft" activeCell="W127" sqref="W127:Z134"/>
      <selection pane="bottomRight" activeCell="W127" sqref="W127:Z134"/>
    </sheetView>
  </sheetViews>
  <sheetFormatPr defaultColWidth="9.33203125" defaultRowHeight="12.75" outlineLevelRow="1"/>
  <cols>
    <col min="1" max="1" width="2.33203125" style="2" customWidth="1"/>
    <col min="2" max="2" width="3" style="2" customWidth="1"/>
    <col min="3" max="3" width="5.5" style="14" customWidth="1"/>
    <col min="4" max="4" width="33.5" style="14" customWidth="1"/>
    <col min="5" max="6" width="12.1640625" style="2" hidden="1" customWidth="1"/>
    <col min="7" max="7" width="14.33203125" style="2" bestFit="1" customWidth="1"/>
    <col min="8" max="8" width="5.33203125" style="2" customWidth="1"/>
    <col min="9" max="9" width="16.6640625" style="2" customWidth="1"/>
    <col min="10" max="10" width="14.33203125" style="2" bestFit="1" customWidth="1"/>
    <col min="11" max="11" width="16.6640625" style="2" customWidth="1"/>
    <col min="12" max="13" width="14.33203125" style="2" hidden="1" customWidth="1"/>
    <col min="14" max="14" width="9.33203125" style="2"/>
    <col min="15" max="15" width="20.83203125" style="2" customWidth="1"/>
    <col min="16" max="16" width="9.83203125" style="2" bestFit="1" customWidth="1"/>
    <col min="17" max="18" width="9.33203125" style="2"/>
    <col min="19" max="19" width="15.33203125" style="2" customWidth="1"/>
    <col min="20" max="16384" width="9.33203125" style="2"/>
  </cols>
  <sheetData>
    <row r="1" spans="2:19" ht="15.75">
      <c r="C1" s="43" t="s">
        <v>23</v>
      </c>
      <c r="D1" s="13"/>
      <c r="P1" s="3"/>
      <c r="Q1" s="3"/>
    </row>
    <row r="2" spans="2:19">
      <c r="C2" s="15" t="s">
        <v>105</v>
      </c>
      <c r="D2" s="15"/>
      <c r="P2" s="3"/>
      <c r="Q2" s="3"/>
    </row>
    <row r="3" spans="2:19">
      <c r="C3" s="273"/>
      <c r="D3" s="273"/>
      <c r="E3" s="273"/>
      <c r="P3" s="3"/>
      <c r="Q3" s="3"/>
    </row>
    <row r="4" spans="2:19">
      <c r="C4" s="273"/>
      <c r="D4" s="273"/>
      <c r="E4" s="273"/>
      <c r="P4" s="3"/>
      <c r="Q4" s="3"/>
    </row>
    <row r="5" spans="2:19">
      <c r="C5" s="273"/>
      <c r="D5" s="273"/>
      <c r="E5" s="273"/>
      <c r="P5" s="3"/>
      <c r="Q5" s="3"/>
    </row>
    <row r="6" spans="2:19" ht="15.75" customHeight="1">
      <c r="C6" s="15"/>
      <c r="D6" s="15"/>
      <c r="I6" s="220" t="s">
        <v>192</v>
      </c>
      <c r="J6" s="220" t="s">
        <v>193</v>
      </c>
      <c r="K6" s="220" t="s">
        <v>194</v>
      </c>
      <c r="L6" s="219" t="s">
        <v>195</v>
      </c>
      <c r="M6" s="219" t="s">
        <v>196</v>
      </c>
      <c r="O6" s="241" t="s">
        <v>110</v>
      </c>
      <c r="P6" s="3"/>
      <c r="Q6" s="3"/>
      <c r="S6" s="241" t="s">
        <v>199</v>
      </c>
    </row>
    <row r="7" spans="2:19">
      <c r="C7" s="16"/>
      <c r="D7" s="16"/>
      <c r="E7" s="3"/>
      <c r="F7" s="3"/>
      <c r="G7" s="3"/>
      <c r="H7" s="3"/>
      <c r="I7" s="221">
        <v>2016</v>
      </c>
      <c r="J7" s="221">
        <v>2017</v>
      </c>
      <c r="K7" s="221">
        <v>2018</v>
      </c>
      <c r="L7" s="229">
        <v>2019</v>
      </c>
      <c r="M7" s="55">
        <v>2020</v>
      </c>
      <c r="O7" s="55"/>
      <c r="P7" s="3"/>
      <c r="Q7" s="3"/>
      <c r="S7" s="252" t="s">
        <v>201</v>
      </c>
    </row>
    <row r="8" spans="2:19">
      <c r="C8" s="16"/>
      <c r="D8" s="16"/>
      <c r="E8" s="3"/>
      <c r="F8" s="3"/>
      <c r="G8" s="3" t="s">
        <v>1</v>
      </c>
      <c r="H8" s="3"/>
      <c r="I8" s="222">
        <f>'Washington Electric PF'!I8</f>
        <v>4.8599999999999997E-3</v>
      </c>
      <c r="J8" s="222">
        <f>'Washington Electric PF'!J8</f>
        <v>0.03</v>
      </c>
      <c r="K8" s="222">
        <f>'Washington Electric PF'!K8</f>
        <v>0.03</v>
      </c>
      <c r="L8" s="230">
        <f>'Washington Electric PF'!L8</f>
        <v>0.03</v>
      </c>
      <c r="M8" s="101">
        <f>'Washington Electric PF'!M8</f>
        <v>0.03</v>
      </c>
      <c r="O8" s="222" t="s">
        <v>191</v>
      </c>
      <c r="P8" s="3"/>
      <c r="Q8" s="3"/>
      <c r="S8" s="253"/>
    </row>
    <row r="9" spans="2:19">
      <c r="E9" s="5" t="s">
        <v>30</v>
      </c>
      <c r="F9" s="5"/>
      <c r="G9" s="5" t="s">
        <v>30</v>
      </c>
      <c r="H9" s="5"/>
      <c r="I9" s="223">
        <f>'Washington Electric PF'!I9</f>
        <v>7.1399999999999996E-3</v>
      </c>
      <c r="J9" s="223">
        <f>'Washington Electric PF'!J9</f>
        <v>0.03</v>
      </c>
      <c r="K9" s="223">
        <f>'Washington Electric PF'!K9</f>
        <v>0.03</v>
      </c>
      <c r="L9" s="228">
        <f>'Washington Electric PF'!L9</f>
        <v>0.03</v>
      </c>
      <c r="M9" s="100">
        <f>'Washington Electric PF'!M9</f>
        <v>0.03</v>
      </c>
      <c r="O9" s="223" t="s">
        <v>183</v>
      </c>
      <c r="P9" s="4"/>
      <c r="Q9" s="4"/>
      <c r="S9" s="254"/>
    </row>
    <row r="10" spans="2:19">
      <c r="E10" s="5"/>
      <c r="F10" s="5"/>
      <c r="G10" s="5"/>
      <c r="H10" s="5"/>
      <c r="I10" s="5"/>
      <c r="J10" s="5"/>
      <c r="K10" s="5"/>
      <c r="L10" s="5"/>
      <c r="M10" s="5"/>
      <c r="O10" s="5"/>
      <c r="S10" s="5"/>
    </row>
    <row r="11" spans="2:19" hidden="1" outlineLevel="1">
      <c r="C11" s="14" t="s">
        <v>31</v>
      </c>
      <c r="E11" s="5"/>
      <c r="F11" s="5"/>
      <c r="G11" s="5"/>
      <c r="H11" s="5"/>
      <c r="I11" s="5"/>
      <c r="J11" s="5"/>
      <c r="L11" s="5"/>
      <c r="M11" s="5"/>
      <c r="O11" s="5"/>
      <c r="S11" s="5"/>
    </row>
    <row r="12" spans="2:19" s="70" customFormat="1" hidden="1" outlineLevel="1">
      <c r="B12" s="70" t="s">
        <v>26</v>
      </c>
      <c r="C12" s="30" t="s">
        <v>118</v>
      </c>
      <c r="D12" s="13"/>
      <c r="E12" s="42">
        <f>'AN Gas'!F10</f>
        <v>0</v>
      </c>
      <c r="F12" s="42"/>
      <c r="G12" s="42">
        <f>F12+E12</f>
        <v>0</v>
      </c>
      <c r="H12" s="42"/>
      <c r="I12" s="42">
        <f>ROUND(IF($B12="a",G12*I$8,G12*I$9),0)</f>
        <v>0</v>
      </c>
      <c r="J12" s="42">
        <f>ROUND(IF($B12="a",(G12+I12)*J$8,(G12+I12)*J$9),0)</f>
        <v>0</v>
      </c>
      <c r="K12" s="42">
        <f>ROUND(IF($B12="a",(G12+I12+J12)*K$8,(G12+I12+J12)*K$9),0)</f>
        <v>0</v>
      </c>
      <c r="L12" s="42">
        <f>ROUND(IF($B12="a",(G12+I12+J12+K12)*L$8,(G12+I12+J12+K12)*L$9),0)</f>
        <v>0</v>
      </c>
      <c r="M12" s="42">
        <f>ROUND(IF($B12="a",(G12+I12+J12+K12+L12)*M$8,(G12+I12+J12+K12+L12)*M$9),0)</f>
        <v>0</v>
      </c>
      <c r="O12" s="42">
        <f>I12+J12+K12</f>
        <v>0</v>
      </c>
      <c r="S12" s="42"/>
    </row>
    <row r="13" spans="2:19" s="70" customFormat="1" hidden="1" outlineLevel="1">
      <c r="B13" s="70" t="s">
        <v>26</v>
      </c>
      <c r="C13" s="30" t="s">
        <v>119</v>
      </c>
      <c r="D13" s="13"/>
      <c r="E13" s="42">
        <f>'AN Gas'!F11</f>
        <v>0</v>
      </c>
      <c r="F13" s="42"/>
      <c r="G13" s="42">
        <f>F13+E13</f>
        <v>0</v>
      </c>
      <c r="H13" s="42"/>
      <c r="I13" s="42">
        <f t="shared" ref="I13:I75" si="0">ROUND(IF($B13="a",G13*I$8,G13*I$9),0)</f>
        <v>0</v>
      </c>
      <c r="J13" s="42">
        <f t="shared" ref="J13:J75" si="1">ROUND(IF($B13="a",(G13+I13)*J$8,(G13+I13)*J$9),0)</f>
        <v>0</v>
      </c>
      <c r="K13" s="42">
        <f t="shared" ref="K13:K76" si="2">ROUND(IF($B13="a",(G13+I13+J13)*K$8,(G13+I13+J13)*K$9),0)</f>
        <v>0</v>
      </c>
      <c r="L13" s="42">
        <f t="shared" ref="L13:L76" si="3">ROUND(IF($B13="a",(G13+I13+J13+K13)*L$8,(G13+I13+J13+K13)*L$9),0)</f>
        <v>0</v>
      </c>
      <c r="M13" s="42">
        <f t="shared" ref="M13:M76" si="4">ROUND(IF($B13="a",(G13+I13+J13+K13+L13)*M$8,(G13+I13+J13+K13+L13)*M$9),0)</f>
        <v>0</v>
      </c>
      <c r="O13" s="42">
        <f t="shared" ref="O13:O76" si="5">I13+J13+K13</f>
        <v>0</v>
      </c>
      <c r="S13" s="42"/>
    </row>
    <row r="14" spans="2:19" s="70" customFormat="1" hidden="1" outlineLevel="1">
      <c r="B14" s="70" t="s">
        <v>26</v>
      </c>
      <c r="C14" s="30" t="s">
        <v>120</v>
      </c>
      <c r="D14" s="13"/>
      <c r="E14" s="42">
        <f>'AN Gas'!F12</f>
        <v>462744</v>
      </c>
      <c r="F14" s="42"/>
      <c r="G14" s="42">
        <f>F14+E14</f>
        <v>462744</v>
      </c>
      <c r="H14" s="42"/>
      <c r="I14" s="42">
        <f t="shared" si="0"/>
        <v>2249</v>
      </c>
      <c r="J14" s="42">
        <f t="shared" si="1"/>
        <v>13950</v>
      </c>
      <c r="K14" s="42">
        <f>ROUND(IF($B14="a",(G14+I14+J14)*K$8,(G14+I14+J14)*K$9),0)</f>
        <v>14368</v>
      </c>
      <c r="L14" s="42">
        <f t="shared" si="3"/>
        <v>14799</v>
      </c>
      <c r="M14" s="42">
        <f t="shared" si="4"/>
        <v>15243</v>
      </c>
      <c r="O14" s="42">
        <f t="shared" si="5"/>
        <v>30567</v>
      </c>
      <c r="S14" s="42"/>
    </row>
    <row r="15" spans="2:19" collapsed="1">
      <c r="C15" s="14" t="s">
        <v>28</v>
      </c>
      <c r="E15" s="21">
        <f>SUM(E12:E14)</f>
        <v>462744</v>
      </c>
      <c r="F15" s="21"/>
      <c r="G15" s="21">
        <f t="shared" ref="G15:J15" si="6">SUM(G12:G14)</f>
        <v>462744</v>
      </c>
      <c r="H15" s="21"/>
      <c r="I15" s="21">
        <f t="shared" si="6"/>
        <v>2249</v>
      </c>
      <c r="J15" s="21">
        <f t="shared" si="6"/>
        <v>13950</v>
      </c>
      <c r="K15" s="242">
        <f t="shared" si="2"/>
        <v>14368</v>
      </c>
      <c r="L15" s="242">
        <f t="shared" si="3"/>
        <v>14799</v>
      </c>
      <c r="M15" s="242">
        <f t="shared" si="4"/>
        <v>15243</v>
      </c>
      <c r="N15" s="29"/>
      <c r="O15" s="21">
        <f t="shared" si="5"/>
        <v>30567</v>
      </c>
      <c r="S15" s="21">
        <f>O15+G15</f>
        <v>493311</v>
      </c>
    </row>
    <row r="16" spans="2:19">
      <c r="E16" s="22"/>
      <c r="F16" s="22"/>
      <c r="G16" s="22"/>
      <c r="H16" s="22"/>
      <c r="I16" s="22"/>
      <c r="J16" s="22"/>
      <c r="K16" s="243"/>
      <c r="L16" s="243"/>
      <c r="M16" s="243"/>
      <c r="N16" s="29"/>
      <c r="O16" s="22"/>
      <c r="S16" s="22"/>
    </row>
    <row r="17" spans="2:19" hidden="1" outlineLevel="1">
      <c r="C17" s="14" t="s">
        <v>106</v>
      </c>
      <c r="E17" s="22"/>
      <c r="F17" s="22"/>
      <c r="G17" s="22"/>
      <c r="H17" s="22"/>
      <c r="I17" s="22"/>
      <c r="J17" s="22"/>
      <c r="K17" s="191"/>
      <c r="L17" s="243"/>
      <c r="M17" s="243"/>
      <c r="N17" s="29"/>
      <c r="O17" s="22">
        <f t="shared" si="5"/>
        <v>0</v>
      </c>
      <c r="S17" s="22"/>
    </row>
    <row r="18" spans="2:19" s="70" customFormat="1" hidden="1" outlineLevel="1">
      <c r="B18" s="70" t="s">
        <v>26</v>
      </c>
      <c r="C18" s="30" t="s">
        <v>121</v>
      </c>
      <c r="D18" s="13"/>
      <c r="E18" s="42">
        <f>'AN Gas'!F16</f>
        <v>6324</v>
      </c>
      <c r="F18" s="42"/>
      <c r="G18" s="42">
        <f>F18+E18</f>
        <v>6324</v>
      </c>
      <c r="H18" s="42"/>
      <c r="I18" s="42">
        <f t="shared" si="0"/>
        <v>31</v>
      </c>
      <c r="J18" s="42">
        <f t="shared" si="1"/>
        <v>191</v>
      </c>
      <c r="K18" s="244">
        <f t="shared" si="2"/>
        <v>196</v>
      </c>
      <c r="L18" s="244">
        <f t="shared" si="3"/>
        <v>202</v>
      </c>
      <c r="M18" s="244">
        <f t="shared" si="4"/>
        <v>208</v>
      </c>
      <c r="N18" s="197"/>
      <c r="O18" s="42">
        <f t="shared" si="5"/>
        <v>418</v>
      </c>
      <c r="S18" s="42"/>
    </row>
    <row r="19" spans="2:19" hidden="1" outlineLevel="1">
      <c r="C19" s="1" t="s">
        <v>122</v>
      </c>
      <c r="D19" s="15"/>
      <c r="E19" s="17">
        <f>'AN Gas'!F17</f>
        <v>0</v>
      </c>
      <c r="F19" s="17"/>
      <c r="G19" s="17">
        <f>F19+E19</f>
        <v>0</v>
      </c>
      <c r="H19" s="17"/>
      <c r="I19" s="17">
        <f t="shared" si="0"/>
        <v>0</v>
      </c>
      <c r="J19" s="17">
        <f t="shared" si="1"/>
        <v>0</v>
      </c>
      <c r="K19" s="245">
        <f t="shared" si="2"/>
        <v>0</v>
      </c>
      <c r="L19" s="245">
        <f t="shared" si="3"/>
        <v>0</v>
      </c>
      <c r="M19" s="245">
        <f t="shared" si="4"/>
        <v>0</v>
      </c>
      <c r="N19" s="29"/>
      <c r="O19" s="17">
        <f t="shared" si="5"/>
        <v>0</v>
      </c>
      <c r="S19" s="17"/>
    </row>
    <row r="20" spans="2:19" collapsed="1">
      <c r="C20" s="15" t="s">
        <v>29</v>
      </c>
      <c r="D20" s="15"/>
      <c r="E20" s="21">
        <f>SUM(E16:E19)</f>
        <v>6324</v>
      </c>
      <c r="F20" s="21"/>
      <c r="G20" s="21">
        <f t="shared" ref="G20:J20" si="7">SUM(G17:G19)</f>
        <v>6324</v>
      </c>
      <c r="H20" s="21"/>
      <c r="I20" s="21">
        <f t="shared" si="7"/>
        <v>31</v>
      </c>
      <c r="J20" s="21">
        <f t="shared" si="7"/>
        <v>191</v>
      </c>
      <c r="K20" s="242">
        <f t="shared" si="2"/>
        <v>196</v>
      </c>
      <c r="L20" s="242">
        <f t="shared" si="3"/>
        <v>202</v>
      </c>
      <c r="M20" s="242">
        <f t="shared" si="4"/>
        <v>208</v>
      </c>
      <c r="N20" s="29"/>
      <c r="O20" s="21">
        <f t="shared" si="5"/>
        <v>418</v>
      </c>
      <c r="S20" s="21">
        <f>O20+G20</f>
        <v>6742</v>
      </c>
    </row>
    <row r="21" spans="2:19">
      <c r="E21" s="22"/>
      <c r="F21" s="22"/>
      <c r="G21" s="22"/>
      <c r="H21" s="22"/>
      <c r="I21" s="22"/>
      <c r="J21" s="22"/>
      <c r="K21" s="191"/>
      <c r="L21" s="243"/>
      <c r="M21" s="243"/>
      <c r="N21" s="29"/>
      <c r="O21" s="22"/>
      <c r="S21" s="22"/>
    </row>
    <row r="22" spans="2:19" hidden="1" outlineLevel="1">
      <c r="C22" s="14" t="s">
        <v>4</v>
      </c>
      <c r="E22" s="22"/>
      <c r="F22" s="22"/>
      <c r="G22" s="22"/>
      <c r="H22" s="22"/>
      <c r="I22" s="22"/>
      <c r="J22" s="22"/>
      <c r="K22" s="191"/>
      <c r="L22" s="243"/>
      <c r="M22" s="243"/>
      <c r="N22" s="29"/>
      <c r="O22" s="22">
        <f t="shared" si="5"/>
        <v>0</v>
      </c>
      <c r="S22" s="22"/>
    </row>
    <row r="23" spans="2:19" s="70" customFormat="1" hidden="1" outlineLevel="1">
      <c r="B23" s="70" t="s">
        <v>26</v>
      </c>
      <c r="C23" s="30" t="s">
        <v>123</v>
      </c>
      <c r="D23" s="13"/>
      <c r="E23" s="42">
        <f>'AN Gas'!F21</f>
        <v>684445</v>
      </c>
      <c r="F23" s="42"/>
      <c r="G23" s="42">
        <f t="shared" ref="G23:G33" si="8">F23+E23</f>
        <v>684445</v>
      </c>
      <c r="H23" s="42"/>
      <c r="I23" s="42">
        <f t="shared" si="0"/>
        <v>3326</v>
      </c>
      <c r="J23" s="42">
        <f t="shared" si="1"/>
        <v>20633</v>
      </c>
      <c r="K23" s="244">
        <f t="shared" si="2"/>
        <v>21252</v>
      </c>
      <c r="L23" s="244">
        <f t="shared" si="3"/>
        <v>21890</v>
      </c>
      <c r="M23" s="244">
        <f t="shared" si="4"/>
        <v>22546</v>
      </c>
      <c r="N23" s="197"/>
      <c r="O23" s="42">
        <f t="shared" si="5"/>
        <v>45211</v>
      </c>
      <c r="S23" s="42"/>
    </row>
    <row r="24" spans="2:19" hidden="1" outlineLevel="1">
      <c r="C24" s="15" t="s">
        <v>124</v>
      </c>
      <c r="D24" s="15"/>
      <c r="E24" s="17">
        <f>'AN Gas'!F22</f>
        <v>0</v>
      </c>
      <c r="F24" s="17"/>
      <c r="G24" s="17">
        <f t="shared" si="8"/>
        <v>0</v>
      </c>
      <c r="H24" s="17"/>
      <c r="I24" s="17">
        <f t="shared" si="0"/>
        <v>0</v>
      </c>
      <c r="J24" s="17">
        <f t="shared" si="1"/>
        <v>0</v>
      </c>
      <c r="K24" s="245">
        <f t="shared" si="2"/>
        <v>0</v>
      </c>
      <c r="L24" s="245">
        <f t="shared" si="3"/>
        <v>0</v>
      </c>
      <c r="M24" s="245">
        <f t="shared" si="4"/>
        <v>0</v>
      </c>
      <c r="N24" s="29"/>
      <c r="O24" s="17">
        <f t="shared" si="5"/>
        <v>0</v>
      </c>
      <c r="S24" s="17"/>
    </row>
    <row r="25" spans="2:19" hidden="1" outlineLevel="1">
      <c r="C25" s="15">
        <v>872</v>
      </c>
      <c r="D25" s="15"/>
      <c r="E25" s="17">
        <f>'AN Gas'!F23</f>
        <v>0</v>
      </c>
      <c r="F25" s="17"/>
      <c r="G25" s="17"/>
      <c r="H25" s="17"/>
      <c r="I25" s="17">
        <f t="shared" si="0"/>
        <v>0</v>
      </c>
      <c r="J25" s="17">
        <f t="shared" si="1"/>
        <v>0</v>
      </c>
      <c r="K25" s="245">
        <f t="shared" si="2"/>
        <v>0</v>
      </c>
      <c r="L25" s="245">
        <f t="shared" si="3"/>
        <v>0</v>
      </c>
      <c r="M25" s="245">
        <f t="shared" si="4"/>
        <v>0</v>
      </c>
      <c r="N25" s="29"/>
      <c r="O25" s="17">
        <f t="shared" si="5"/>
        <v>0</v>
      </c>
      <c r="S25" s="17"/>
    </row>
    <row r="26" spans="2:19" hidden="1" outlineLevel="1">
      <c r="C26" s="1" t="s">
        <v>125</v>
      </c>
      <c r="D26" s="15"/>
      <c r="E26" s="17">
        <f>'AN Gas'!F24</f>
        <v>1226927</v>
      </c>
      <c r="F26" s="17"/>
      <c r="G26" s="17">
        <f t="shared" si="8"/>
        <v>1226927</v>
      </c>
      <c r="H26" s="17"/>
      <c r="I26" s="17">
        <f t="shared" si="0"/>
        <v>8760</v>
      </c>
      <c r="J26" s="17">
        <f t="shared" si="1"/>
        <v>37071</v>
      </c>
      <c r="K26" s="245">
        <f t="shared" si="2"/>
        <v>38183</v>
      </c>
      <c r="L26" s="245">
        <f t="shared" si="3"/>
        <v>39328</v>
      </c>
      <c r="M26" s="245">
        <f t="shared" si="4"/>
        <v>40508</v>
      </c>
      <c r="N26" s="29"/>
      <c r="O26" s="17">
        <f t="shared" si="5"/>
        <v>84014</v>
      </c>
      <c r="S26" s="17"/>
    </row>
    <row r="27" spans="2:19" hidden="1" outlineLevel="1">
      <c r="C27" s="1" t="s">
        <v>126</v>
      </c>
      <c r="D27" s="15"/>
      <c r="E27" s="17">
        <f>'AN Gas'!F25</f>
        <v>30913</v>
      </c>
      <c r="F27" s="17"/>
      <c r="G27" s="17">
        <f t="shared" si="8"/>
        <v>30913</v>
      </c>
      <c r="H27" s="17"/>
      <c r="I27" s="17">
        <f t="shared" si="0"/>
        <v>221</v>
      </c>
      <c r="J27" s="17">
        <f t="shared" si="1"/>
        <v>934</v>
      </c>
      <c r="K27" s="245">
        <f t="shared" si="2"/>
        <v>962</v>
      </c>
      <c r="L27" s="245">
        <f t="shared" si="3"/>
        <v>991</v>
      </c>
      <c r="M27" s="245">
        <f t="shared" si="4"/>
        <v>1021</v>
      </c>
      <c r="N27" s="29"/>
      <c r="O27" s="17">
        <f t="shared" si="5"/>
        <v>2117</v>
      </c>
      <c r="S27" s="17"/>
    </row>
    <row r="28" spans="2:19" hidden="1" outlineLevel="1">
      <c r="C28" s="1" t="s">
        <v>127</v>
      </c>
      <c r="D28" s="15"/>
      <c r="E28" s="17">
        <f>'AN Gas'!F26</f>
        <v>937</v>
      </c>
      <c r="F28" s="17"/>
      <c r="G28" s="17">
        <f t="shared" si="8"/>
        <v>937</v>
      </c>
      <c r="H28" s="17"/>
      <c r="I28" s="17">
        <f t="shared" si="0"/>
        <v>7</v>
      </c>
      <c r="J28" s="17">
        <f t="shared" si="1"/>
        <v>28</v>
      </c>
      <c r="K28" s="245">
        <f t="shared" si="2"/>
        <v>29</v>
      </c>
      <c r="L28" s="245">
        <f t="shared" si="3"/>
        <v>30</v>
      </c>
      <c r="M28" s="245">
        <f t="shared" si="4"/>
        <v>31</v>
      </c>
      <c r="N28" s="29"/>
      <c r="O28" s="17">
        <f t="shared" si="5"/>
        <v>64</v>
      </c>
      <c r="S28" s="17"/>
    </row>
    <row r="29" spans="2:19" hidden="1" outlineLevel="1">
      <c r="C29" s="1" t="s">
        <v>128</v>
      </c>
      <c r="D29" s="15"/>
      <c r="E29" s="17">
        <f>'AN Gas'!F27</f>
        <v>34053</v>
      </c>
      <c r="F29" s="17"/>
      <c r="G29" s="17">
        <f t="shared" si="8"/>
        <v>34053</v>
      </c>
      <c r="H29" s="17"/>
      <c r="I29" s="17">
        <f t="shared" si="0"/>
        <v>243</v>
      </c>
      <c r="J29" s="17">
        <f t="shared" si="1"/>
        <v>1029</v>
      </c>
      <c r="K29" s="245">
        <f t="shared" si="2"/>
        <v>1060</v>
      </c>
      <c r="L29" s="245">
        <f t="shared" si="3"/>
        <v>1092</v>
      </c>
      <c r="M29" s="245">
        <f t="shared" si="4"/>
        <v>1124</v>
      </c>
      <c r="N29" s="29"/>
      <c r="O29" s="17">
        <f t="shared" si="5"/>
        <v>2332</v>
      </c>
      <c r="S29" s="17"/>
    </row>
    <row r="30" spans="2:19" hidden="1" outlineLevel="1">
      <c r="C30" s="1" t="s">
        <v>129</v>
      </c>
      <c r="D30" s="15"/>
      <c r="E30" s="17">
        <f>'AN Gas'!F28</f>
        <v>31859</v>
      </c>
      <c r="F30" s="17"/>
      <c r="G30" s="17">
        <f>F30+E30</f>
        <v>31859</v>
      </c>
      <c r="H30" s="17"/>
      <c r="I30" s="17">
        <f t="shared" si="0"/>
        <v>227</v>
      </c>
      <c r="J30" s="17">
        <f t="shared" si="1"/>
        <v>963</v>
      </c>
      <c r="K30" s="245">
        <f t="shared" si="2"/>
        <v>991</v>
      </c>
      <c r="L30" s="245">
        <f t="shared" si="3"/>
        <v>1021</v>
      </c>
      <c r="M30" s="245">
        <f t="shared" si="4"/>
        <v>1052</v>
      </c>
      <c r="N30" s="29"/>
      <c r="O30" s="17">
        <f t="shared" si="5"/>
        <v>2181</v>
      </c>
      <c r="S30" s="17"/>
    </row>
    <row r="31" spans="2:19" hidden="1" outlineLevel="1">
      <c r="C31" s="1" t="s">
        <v>130</v>
      </c>
      <c r="D31" s="15"/>
      <c r="E31" s="17">
        <f>'AN Gas'!F29</f>
        <v>729182</v>
      </c>
      <c r="F31" s="17"/>
      <c r="G31" s="17">
        <f>F31+E31</f>
        <v>729182</v>
      </c>
      <c r="H31" s="17"/>
      <c r="I31" s="17">
        <f t="shared" si="0"/>
        <v>5206</v>
      </c>
      <c r="J31" s="17">
        <f t="shared" si="1"/>
        <v>22032</v>
      </c>
      <c r="K31" s="245">
        <f t="shared" si="2"/>
        <v>22693</v>
      </c>
      <c r="L31" s="245">
        <f t="shared" si="3"/>
        <v>23373</v>
      </c>
      <c r="M31" s="245">
        <f t="shared" si="4"/>
        <v>24075</v>
      </c>
      <c r="N31" s="29"/>
      <c r="O31" s="17">
        <f t="shared" si="5"/>
        <v>49931</v>
      </c>
      <c r="S31" s="17"/>
    </row>
    <row r="32" spans="2:19" hidden="1" outlineLevel="1">
      <c r="C32" s="1" t="s">
        <v>131</v>
      </c>
      <c r="D32" s="15">
        <f>D9</f>
        <v>0</v>
      </c>
      <c r="E32" s="17">
        <f>'AN Gas'!F30</f>
        <v>871414</v>
      </c>
      <c r="F32" s="17"/>
      <c r="G32" s="17">
        <f t="shared" si="8"/>
        <v>871414</v>
      </c>
      <c r="H32" s="17"/>
      <c r="I32" s="17">
        <f t="shared" si="0"/>
        <v>6222</v>
      </c>
      <c r="J32" s="17">
        <f t="shared" si="1"/>
        <v>26329</v>
      </c>
      <c r="K32" s="245">
        <f t="shared" si="2"/>
        <v>27119</v>
      </c>
      <c r="L32" s="245">
        <f t="shared" si="3"/>
        <v>27933</v>
      </c>
      <c r="M32" s="245">
        <f t="shared" si="4"/>
        <v>28771</v>
      </c>
      <c r="N32" s="29"/>
      <c r="O32" s="17">
        <f t="shared" si="5"/>
        <v>59670</v>
      </c>
      <c r="S32" s="17"/>
    </row>
    <row r="33" spans="2:19" hidden="1" outlineLevel="1">
      <c r="C33" s="1" t="s">
        <v>162</v>
      </c>
      <c r="D33" s="15"/>
      <c r="E33" s="17">
        <f>'AN Gas'!F31</f>
        <v>5707</v>
      </c>
      <c r="F33" s="17"/>
      <c r="G33" s="17">
        <f t="shared" si="8"/>
        <v>5707</v>
      </c>
      <c r="H33" s="17"/>
      <c r="I33" s="17">
        <f t="shared" si="0"/>
        <v>41</v>
      </c>
      <c r="J33" s="17">
        <f t="shared" si="1"/>
        <v>172</v>
      </c>
      <c r="K33" s="245">
        <f t="shared" si="2"/>
        <v>178</v>
      </c>
      <c r="L33" s="245">
        <f t="shared" si="3"/>
        <v>183</v>
      </c>
      <c r="M33" s="245">
        <f t="shared" si="4"/>
        <v>188</v>
      </c>
      <c r="N33" s="29"/>
      <c r="O33" s="17">
        <f t="shared" si="5"/>
        <v>391</v>
      </c>
      <c r="S33" s="17"/>
    </row>
    <row r="34" spans="2:19" hidden="1" outlineLevel="1">
      <c r="C34" s="1" t="s">
        <v>132</v>
      </c>
      <c r="D34" s="1"/>
      <c r="E34" s="17">
        <f>'AN Gas'!F32</f>
        <v>38892</v>
      </c>
      <c r="F34" s="17"/>
      <c r="G34" s="17">
        <f t="shared" ref="G34:G43" si="9">F34+E34</f>
        <v>38892</v>
      </c>
      <c r="H34" s="17"/>
      <c r="I34" s="17">
        <f t="shared" si="0"/>
        <v>278</v>
      </c>
      <c r="J34" s="17">
        <f t="shared" si="1"/>
        <v>1175</v>
      </c>
      <c r="K34" s="245">
        <f t="shared" si="2"/>
        <v>1210</v>
      </c>
      <c r="L34" s="245">
        <f t="shared" si="3"/>
        <v>1247</v>
      </c>
      <c r="M34" s="245">
        <f t="shared" si="4"/>
        <v>1284</v>
      </c>
      <c r="N34" s="29"/>
      <c r="O34" s="17">
        <f t="shared" si="5"/>
        <v>2663</v>
      </c>
      <c r="S34" s="17"/>
    </row>
    <row r="35" spans="2:19" hidden="1" outlineLevel="1">
      <c r="C35" s="1" t="s">
        <v>133</v>
      </c>
      <c r="D35" s="1"/>
      <c r="E35" s="17">
        <f>'AN Gas'!F33</f>
        <v>0</v>
      </c>
      <c r="F35" s="17"/>
      <c r="G35" s="17">
        <f>F35+E35</f>
        <v>0</v>
      </c>
      <c r="H35" s="17"/>
      <c r="I35" s="17">
        <f t="shared" si="0"/>
        <v>0</v>
      </c>
      <c r="J35" s="17">
        <f t="shared" si="1"/>
        <v>0</v>
      </c>
      <c r="K35" s="245">
        <f t="shared" si="2"/>
        <v>0</v>
      </c>
      <c r="L35" s="245">
        <f t="shared" si="3"/>
        <v>0</v>
      </c>
      <c r="M35" s="245">
        <f t="shared" si="4"/>
        <v>0</v>
      </c>
      <c r="N35" s="29"/>
      <c r="O35" s="17">
        <f t="shared" si="5"/>
        <v>0</v>
      </c>
      <c r="S35" s="17"/>
    </row>
    <row r="36" spans="2:19" hidden="1" outlineLevel="1">
      <c r="C36" s="1" t="s">
        <v>134</v>
      </c>
      <c r="D36" s="15"/>
      <c r="E36" s="17">
        <f>'AN Gas'!F34</f>
        <v>322070</v>
      </c>
      <c r="F36" s="17"/>
      <c r="G36" s="17">
        <f t="shared" si="9"/>
        <v>322070</v>
      </c>
      <c r="H36" s="17"/>
      <c r="I36" s="17">
        <f t="shared" si="0"/>
        <v>2300</v>
      </c>
      <c r="J36" s="17">
        <f t="shared" si="1"/>
        <v>9731</v>
      </c>
      <c r="K36" s="245">
        <f>ROUND(IF($B36="a",(G36+I36+J36)*K$8,(G36+I36+J36)*K$9),0)</f>
        <v>10023</v>
      </c>
      <c r="L36" s="245">
        <f t="shared" si="3"/>
        <v>10324</v>
      </c>
      <c r="M36" s="245">
        <f t="shared" si="4"/>
        <v>10633</v>
      </c>
      <c r="N36" s="29"/>
      <c r="O36" s="17">
        <f t="shared" si="5"/>
        <v>22054</v>
      </c>
      <c r="S36" s="17"/>
    </row>
    <row r="37" spans="2:19" hidden="1" outlineLevel="1">
      <c r="C37" s="1">
        <v>888</v>
      </c>
      <c r="D37" s="15"/>
      <c r="E37" s="17">
        <f>'AN Gas'!F35</f>
        <v>0</v>
      </c>
      <c r="F37" s="17"/>
      <c r="G37" s="17"/>
      <c r="H37" s="17"/>
      <c r="I37" s="17">
        <f t="shared" si="0"/>
        <v>0</v>
      </c>
      <c r="J37" s="17">
        <f t="shared" si="1"/>
        <v>0</v>
      </c>
      <c r="K37" s="245">
        <f t="shared" si="2"/>
        <v>0</v>
      </c>
      <c r="L37" s="245">
        <f t="shared" si="3"/>
        <v>0</v>
      </c>
      <c r="M37" s="245">
        <f t="shared" si="4"/>
        <v>0</v>
      </c>
      <c r="N37" s="29"/>
      <c r="O37" s="17">
        <f t="shared" si="5"/>
        <v>0</v>
      </c>
      <c r="S37" s="17"/>
    </row>
    <row r="38" spans="2:19" hidden="1" outlineLevel="1">
      <c r="C38" s="1" t="s">
        <v>135</v>
      </c>
      <c r="D38" s="15"/>
      <c r="E38" s="17">
        <f>'AN Gas'!F36</f>
        <v>67739</v>
      </c>
      <c r="F38" s="17"/>
      <c r="G38" s="17">
        <f t="shared" si="9"/>
        <v>67739</v>
      </c>
      <c r="H38" s="17"/>
      <c r="I38" s="17">
        <f t="shared" si="0"/>
        <v>484</v>
      </c>
      <c r="J38" s="17">
        <f t="shared" si="1"/>
        <v>2047</v>
      </c>
      <c r="K38" s="245">
        <f t="shared" si="2"/>
        <v>2108</v>
      </c>
      <c r="L38" s="245">
        <f t="shared" si="3"/>
        <v>2171</v>
      </c>
      <c r="M38" s="245">
        <f t="shared" si="4"/>
        <v>2236</v>
      </c>
      <c r="N38" s="29"/>
      <c r="O38" s="17">
        <f t="shared" si="5"/>
        <v>4639</v>
      </c>
      <c r="S38" s="17"/>
    </row>
    <row r="39" spans="2:19" hidden="1" outlineLevel="1">
      <c r="C39" s="1" t="s">
        <v>136</v>
      </c>
      <c r="D39" s="15"/>
      <c r="E39" s="17">
        <f>'AN Gas'!F37</f>
        <v>39994</v>
      </c>
      <c r="F39" s="17"/>
      <c r="G39" s="17">
        <f t="shared" si="9"/>
        <v>39994</v>
      </c>
      <c r="H39" s="17"/>
      <c r="I39" s="17">
        <f t="shared" si="0"/>
        <v>286</v>
      </c>
      <c r="J39" s="17">
        <f t="shared" si="1"/>
        <v>1208</v>
      </c>
      <c r="K39" s="245">
        <f t="shared" si="2"/>
        <v>1245</v>
      </c>
      <c r="L39" s="245">
        <f t="shared" si="3"/>
        <v>1282</v>
      </c>
      <c r="M39" s="245">
        <f t="shared" si="4"/>
        <v>1320</v>
      </c>
      <c r="N39" s="29"/>
      <c r="O39" s="17">
        <f t="shared" si="5"/>
        <v>2739</v>
      </c>
      <c r="S39" s="17"/>
    </row>
    <row r="40" spans="2:19" hidden="1" outlineLevel="1">
      <c r="C40" s="1" t="s">
        <v>137</v>
      </c>
      <c r="D40" s="15"/>
      <c r="E40" s="17">
        <f>'AN Gas'!F38</f>
        <v>18971</v>
      </c>
      <c r="F40" s="17"/>
      <c r="G40" s="17">
        <f t="shared" si="9"/>
        <v>18971</v>
      </c>
      <c r="H40" s="17"/>
      <c r="I40" s="17">
        <f t="shared" si="0"/>
        <v>135</v>
      </c>
      <c r="J40" s="17">
        <f t="shared" si="1"/>
        <v>573</v>
      </c>
      <c r="K40" s="245">
        <f t="shared" si="2"/>
        <v>590</v>
      </c>
      <c r="L40" s="245">
        <f t="shared" si="3"/>
        <v>608</v>
      </c>
      <c r="M40" s="245">
        <f t="shared" si="4"/>
        <v>626</v>
      </c>
      <c r="N40" s="29"/>
      <c r="O40" s="17">
        <f t="shared" si="5"/>
        <v>1298</v>
      </c>
      <c r="S40" s="17"/>
    </row>
    <row r="41" spans="2:19" hidden="1" outlineLevel="1">
      <c r="C41" s="1" t="s">
        <v>138</v>
      </c>
      <c r="D41" s="15"/>
      <c r="E41" s="17">
        <f>'AN Gas'!F39</f>
        <v>605720</v>
      </c>
      <c r="F41" s="17"/>
      <c r="G41" s="17">
        <f t="shared" si="9"/>
        <v>605720</v>
      </c>
      <c r="H41" s="17"/>
      <c r="I41" s="17">
        <f t="shared" si="0"/>
        <v>4325</v>
      </c>
      <c r="J41" s="17">
        <f t="shared" si="1"/>
        <v>18301</v>
      </c>
      <c r="K41" s="245">
        <f t="shared" si="2"/>
        <v>18850</v>
      </c>
      <c r="L41" s="245">
        <f t="shared" si="3"/>
        <v>19416</v>
      </c>
      <c r="M41" s="245">
        <f t="shared" si="4"/>
        <v>19998</v>
      </c>
      <c r="N41" s="29"/>
      <c r="O41" s="17">
        <f t="shared" si="5"/>
        <v>41476</v>
      </c>
      <c r="S41" s="17"/>
    </row>
    <row r="42" spans="2:19" hidden="1" outlineLevel="1">
      <c r="C42" s="1" t="s">
        <v>139</v>
      </c>
      <c r="D42" s="15"/>
      <c r="E42" s="17">
        <f>'AN Gas'!F40</f>
        <v>670849</v>
      </c>
      <c r="F42" s="17"/>
      <c r="G42" s="17">
        <f t="shared" si="9"/>
        <v>670849</v>
      </c>
      <c r="H42" s="17"/>
      <c r="I42" s="17">
        <f t="shared" si="0"/>
        <v>4790</v>
      </c>
      <c r="J42" s="17">
        <f t="shared" si="1"/>
        <v>20269</v>
      </c>
      <c r="K42" s="245">
        <f t="shared" si="2"/>
        <v>20877</v>
      </c>
      <c r="L42" s="245">
        <f t="shared" si="3"/>
        <v>21504</v>
      </c>
      <c r="M42" s="245">
        <f t="shared" si="4"/>
        <v>22149</v>
      </c>
      <c r="N42" s="29"/>
      <c r="O42" s="17">
        <f t="shared" si="5"/>
        <v>45936</v>
      </c>
      <c r="S42" s="17"/>
    </row>
    <row r="43" spans="2:19" hidden="1" outlineLevel="1">
      <c r="C43" s="51">
        <v>894</v>
      </c>
      <c r="D43" s="52"/>
      <c r="E43" s="17">
        <f>'AN Gas'!F41</f>
        <v>60856</v>
      </c>
      <c r="F43" s="17"/>
      <c r="G43" s="17">
        <f t="shared" si="9"/>
        <v>60856</v>
      </c>
      <c r="H43" s="17"/>
      <c r="I43" s="17">
        <f t="shared" si="0"/>
        <v>435</v>
      </c>
      <c r="J43" s="17">
        <f t="shared" si="1"/>
        <v>1839</v>
      </c>
      <c r="K43" s="245">
        <f t="shared" si="2"/>
        <v>1894</v>
      </c>
      <c r="L43" s="245">
        <f t="shared" si="3"/>
        <v>1951</v>
      </c>
      <c r="M43" s="245">
        <f t="shared" si="4"/>
        <v>2009</v>
      </c>
      <c r="N43" s="29"/>
      <c r="O43" s="17">
        <f t="shared" si="5"/>
        <v>4168</v>
      </c>
      <c r="S43" s="17"/>
    </row>
    <row r="44" spans="2:19" collapsed="1">
      <c r="C44" s="14" t="s">
        <v>5</v>
      </c>
      <c r="E44" s="21">
        <f>SUM(E23:E43)</f>
        <v>5440528</v>
      </c>
      <c r="F44" s="21"/>
      <c r="G44" s="21">
        <f>SUM(G23:G43)</f>
        <v>5440528</v>
      </c>
      <c r="H44" s="21"/>
      <c r="I44" s="21">
        <f t="shared" ref="I44:J44" si="10">SUM(I23:I43)</f>
        <v>37286</v>
      </c>
      <c r="J44" s="21">
        <f t="shared" si="10"/>
        <v>164334</v>
      </c>
      <c r="K44" s="242">
        <f t="shared" si="2"/>
        <v>169264</v>
      </c>
      <c r="L44" s="242">
        <f t="shared" si="3"/>
        <v>174342</v>
      </c>
      <c r="M44" s="242">
        <f t="shared" si="4"/>
        <v>179573</v>
      </c>
      <c r="N44" s="29"/>
      <c r="O44" s="21">
        <f t="shared" si="5"/>
        <v>370884</v>
      </c>
      <c r="S44" s="21">
        <f>O44+G44</f>
        <v>5811412</v>
      </c>
    </row>
    <row r="45" spans="2:19">
      <c r="E45" s="22"/>
      <c r="F45" s="22"/>
      <c r="G45" s="22"/>
      <c r="H45" s="22"/>
      <c r="I45" s="22"/>
      <c r="J45" s="22"/>
      <c r="K45" s="243"/>
      <c r="L45" s="243"/>
      <c r="M45" s="243"/>
      <c r="N45" s="29"/>
      <c r="O45" s="22"/>
      <c r="S45" s="22"/>
    </row>
    <row r="46" spans="2:19" hidden="1" outlineLevel="1">
      <c r="C46" s="14" t="s">
        <v>6</v>
      </c>
      <c r="E46" s="22"/>
      <c r="F46" s="22"/>
      <c r="G46" s="22"/>
      <c r="H46" s="22"/>
      <c r="I46" s="22"/>
      <c r="J46" s="22"/>
      <c r="K46" s="191"/>
      <c r="L46" s="243"/>
      <c r="M46" s="243"/>
      <c r="N46" s="29"/>
      <c r="O46" s="22">
        <f t="shared" si="5"/>
        <v>0</v>
      </c>
      <c r="S46" s="22"/>
    </row>
    <row r="47" spans="2:19" s="70" customFormat="1" hidden="1" outlineLevel="1">
      <c r="B47" s="70" t="s">
        <v>26</v>
      </c>
      <c r="C47" s="30" t="s">
        <v>140</v>
      </c>
      <c r="D47" s="13"/>
      <c r="E47" s="42">
        <f>'AN Gas'!F45</f>
        <v>84222</v>
      </c>
      <c r="F47" s="42"/>
      <c r="G47" s="42">
        <f>F47+E47</f>
        <v>84222</v>
      </c>
      <c r="H47" s="42"/>
      <c r="I47" s="42">
        <f t="shared" si="0"/>
        <v>409</v>
      </c>
      <c r="J47" s="42">
        <f t="shared" si="1"/>
        <v>2539</v>
      </c>
      <c r="K47" s="244">
        <f t="shared" si="2"/>
        <v>2615</v>
      </c>
      <c r="L47" s="244">
        <f t="shared" si="3"/>
        <v>2694</v>
      </c>
      <c r="M47" s="244">
        <f t="shared" si="4"/>
        <v>2774</v>
      </c>
      <c r="N47" s="197"/>
      <c r="O47" s="42">
        <f t="shared" si="5"/>
        <v>5563</v>
      </c>
      <c r="S47" s="42"/>
    </row>
    <row r="48" spans="2:19" hidden="1" outlineLevel="1">
      <c r="C48" s="1" t="s">
        <v>141</v>
      </c>
      <c r="D48" s="15"/>
      <c r="E48" s="17">
        <f>'AN Gas'!F46</f>
        <v>975419</v>
      </c>
      <c r="F48" s="17"/>
      <c r="G48" s="17">
        <f>F48+E48</f>
        <v>975419</v>
      </c>
      <c r="H48" s="17"/>
      <c r="I48" s="17">
        <f t="shared" si="0"/>
        <v>6964</v>
      </c>
      <c r="J48" s="17">
        <f t="shared" si="1"/>
        <v>29471</v>
      </c>
      <c r="K48" s="245">
        <f t="shared" si="2"/>
        <v>30356</v>
      </c>
      <c r="L48" s="245">
        <f t="shared" si="3"/>
        <v>31266</v>
      </c>
      <c r="M48" s="245">
        <f t="shared" si="4"/>
        <v>32204</v>
      </c>
      <c r="N48" s="29"/>
      <c r="O48" s="17">
        <f t="shared" si="5"/>
        <v>66791</v>
      </c>
      <c r="S48" s="17"/>
    </row>
    <row r="49" spans="2:19" s="70" customFormat="1" hidden="1" outlineLevel="1">
      <c r="B49" s="70" t="s">
        <v>26</v>
      </c>
      <c r="C49" s="30" t="s">
        <v>142</v>
      </c>
      <c r="D49" s="13"/>
      <c r="E49" s="42">
        <f>'AN Gas'!F47</f>
        <v>1937396</v>
      </c>
      <c r="F49" s="42"/>
      <c r="G49" s="42">
        <f>F49+E49</f>
        <v>1937396</v>
      </c>
      <c r="H49" s="42"/>
      <c r="I49" s="42">
        <f t="shared" si="0"/>
        <v>9416</v>
      </c>
      <c r="J49" s="42">
        <f t="shared" si="1"/>
        <v>58404</v>
      </c>
      <c r="K49" s="244">
        <f t="shared" si="2"/>
        <v>60156</v>
      </c>
      <c r="L49" s="244">
        <f t="shared" si="3"/>
        <v>61961</v>
      </c>
      <c r="M49" s="244">
        <f t="shared" si="4"/>
        <v>63820</v>
      </c>
      <c r="N49" s="197"/>
      <c r="O49" s="42">
        <f t="shared" si="5"/>
        <v>127976</v>
      </c>
      <c r="S49" s="42"/>
    </row>
    <row r="50" spans="2:19" s="70" customFormat="1" hidden="1" outlineLevel="1">
      <c r="B50" s="70" t="s">
        <v>26</v>
      </c>
      <c r="C50" s="30" t="s">
        <v>143</v>
      </c>
      <c r="D50" s="13"/>
      <c r="E50" s="42">
        <f>'AN Gas'!F48</f>
        <v>47985</v>
      </c>
      <c r="F50" s="42"/>
      <c r="G50" s="42">
        <f>F50+E50</f>
        <v>47985</v>
      </c>
      <c r="H50" s="42"/>
      <c r="I50" s="42">
        <f t="shared" si="0"/>
        <v>233</v>
      </c>
      <c r="J50" s="42">
        <f t="shared" si="1"/>
        <v>1447</v>
      </c>
      <c r="K50" s="244">
        <f t="shared" si="2"/>
        <v>1490</v>
      </c>
      <c r="L50" s="244">
        <f t="shared" si="3"/>
        <v>1535</v>
      </c>
      <c r="M50" s="244">
        <f t="shared" si="4"/>
        <v>1581</v>
      </c>
      <c r="N50" s="197"/>
      <c r="O50" s="42">
        <f t="shared" si="5"/>
        <v>3170</v>
      </c>
      <c r="S50" s="42"/>
    </row>
    <row r="51" spans="2:19" collapsed="1">
      <c r="C51" s="14" t="s">
        <v>197</v>
      </c>
      <c r="E51" s="21">
        <f>SUM(E47:E50)</f>
        <v>3045022</v>
      </c>
      <c r="F51" s="21"/>
      <c r="G51" s="21">
        <f t="shared" ref="G51:J51" si="11">SUM(G47:G50)</f>
        <v>3045022</v>
      </c>
      <c r="H51" s="21"/>
      <c r="I51" s="21">
        <f t="shared" si="11"/>
        <v>17022</v>
      </c>
      <c r="J51" s="21">
        <f t="shared" si="11"/>
        <v>91861</v>
      </c>
      <c r="K51" s="242">
        <f t="shared" si="2"/>
        <v>94617</v>
      </c>
      <c r="L51" s="242">
        <f t="shared" si="3"/>
        <v>97456</v>
      </c>
      <c r="M51" s="242">
        <f t="shared" si="4"/>
        <v>100379</v>
      </c>
      <c r="N51" s="29"/>
      <c r="O51" s="21">
        <f t="shared" si="5"/>
        <v>203500</v>
      </c>
      <c r="S51" s="21">
        <f>O51+G51</f>
        <v>3248522</v>
      </c>
    </row>
    <row r="52" spans="2:19">
      <c r="E52" s="22"/>
      <c r="F52" s="22"/>
      <c r="G52" s="22"/>
      <c r="H52" s="22"/>
      <c r="I52" s="22"/>
      <c r="J52" s="22"/>
      <c r="K52" s="243"/>
      <c r="L52" s="243"/>
      <c r="M52" s="243"/>
      <c r="N52" s="29"/>
      <c r="O52" s="22"/>
      <c r="S52" s="22"/>
    </row>
    <row r="53" spans="2:19" hidden="1" outlineLevel="1">
      <c r="C53" s="14" t="s">
        <v>8</v>
      </c>
      <c r="E53" s="22"/>
      <c r="F53" s="22"/>
      <c r="G53" s="22"/>
      <c r="H53" s="22"/>
      <c r="I53" s="22"/>
      <c r="J53" s="22"/>
      <c r="K53" s="243"/>
      <c r="L53" s="243"/>
      <c r="M53" s="243"/>
      <c r="N53" s="29"/>
      <c r="O53" s="22">
        <f t="shared" si="5"/>
        <v>0</v>
      </c>
      <c r="S53" s="22"/>
    </row>
    <row r="54" spans="2:19" s="70" customFormat="1" hidden="1" outlineLevel="1">
      <c r="B54" s="70" t="s">
        <v>26</v>
      </c>
      <c r="C54" s="30" t="s">
        <v>144</v>
      </c>
      <c r="D54" s="13"/>
      <c r="E54" s="42">
        <f>'AN Gas'!F52</f>
        <v>159254</v>
      </c>
      <c r="F54" s="42"/>
      <c r="G54" s="42">
        <f>F54+E54</f>
        <v>159254</v>
      </c>
      <c r="H54" s="42"/>
      <c r="I54" s="42">
        <f t="shared" si="0"/>
        <v>774</v>
      </c>
      <c r="J54" s="42">
        <f t="shared" si="1"/>
        <v>4801</v>
      </c>
      <c r="K54" s="244">
        <f t="shared" si="2"/>
        <v>4945</v>
      </c>
      <c r="L54" s="244">
        <f t="shared" si="3"/>
        <v>5093</v>
      </c>
      <c r="M54" s="244">
        <f t="shared" si="4"/>
        <v>5246</v>
      </c>
      <c r="N54" s="197"/>
      <c r="O54" s="42">
        <f t="shared" si="5"/>
        <v>10520</v>
      </c>
      <c r="S54" s="42"/>
    </row>
    <row r="55" spans="2:19" s="70" customFormat="1" hidden="1" outlineLevel="1">
      <c r="B55" s="70" t="s">
        <v>26</v>
      </c>
      <c r="C55" s="30" t="s">
        <v>145</v>
      </c>
      <c r="D55" s="13"/>
      <c r="E55" s="42">
        <f>'AN Gas'!F53</f>
        <v>88770</v>
      </c>
      <c r="F55" s="42"/>
      <c r="G55" s="42">
        <f>F55+E55</f>
        <v>88770</v>
      </c>
      <c r="H55" s="42"/>
      <c r="I55" s="42">
        <f t="shared" si="0"/>
        <v>431</v>
      </c>
      <c r="J55" s="42">
        <f t="shared" si="1"/>
        <v>2676</v>
      </c>
      <c r="K55" s="244">
        <f t="shared" si="2"/>
        <v>2756</v>
      </c>
      <c r="L55" s="244">
        <f t="shared" si="3"/>
        <v>2839</v>
      </c>
      <c r="M55" s="244">
        <f t="shared" si="4"/>
        <v>2924</v>
      </c>
      <c r="N55" s="197"/>
      <c r="O55" s="42">
        <f t="shared" si="5"/>
        <v>5863</v>
      </c>
      <c r="S55" s="42"/>
    </row>
    <row r="56" spans="2:19" s="70" customFormat="1" hidden="1" outlineLevel="1">
      <c r="B56" s="70" t="s">
        <v>26</v>
      </c>
      <c r="C56" s="30" t="s">
        <v>146</v>
      </c>
      <c r="D56" s="13"/>
      <c r="E56" s="42">
        <f>'AN Gas'!F54</f>
        <v>22553</v>
      </c>
      <c r="F56" s="42"/>
      <c r="G56" s="42">
        <f>F56+E56</f>
        <v>22553</v>
      </c>
      <c r="H56" s="42"/>
      <c r="I56" s="42">
        <f t="shared" si="0"/>
        <v>110</v>
      </c>
      <c r="J56" s="42">
        <f t="shared" si="1"/>
        <v>680</v>
      </c>
      <c r="K56" s="244">
        <f t="shared" si="2"/>
        <v>700</v>
      </c>
      <c r="L56" s="244">
        <f t="shared" si="3"/>
        <v>721</v>
      </c>
      <c r="M56" s="244">
        <f t="shared" si="4"/>
        <v>743</v>
      </c>
      <c r="N56" s="197"/>
      <c r="O56" s="42">
        <f t="shared" si="5"/>
        <v>1490</v>
      </c>
      <c r="S56" s="42"/>
    </row>
    <row r="57" spans="2:19" collapsed="1">
      <c r="C57" s="14" t="s">
        <v>9</v>
      </c>
      <c r="E57" s="21">
        <f>SUM(E54:E56)</f>
        <v>270577</v>
      </c>
      <c r="F57" s="21"/>
      <c r="G57" s="21">
        <f t="shared" ref="G57:J57" si="12">SUM(G54:G56)</f>
        <v>270577</v>
      </c>
      <c r="H57" s="21"/>
      <c r="I57" s="21">
        <f t="shared" si="12"/>
        <v>1315</v>
      </c>
      <c r="J57" s="21">
        <f t="shared" si="12"/>
        <v>8157</v>
      </c>
      <c r="K57" s="242">
        <f t="shared" si="2"/>
        <v>8401</v>
      </c>
      <c r="L57" s="242">
        <f t="shared" si="3"/>
        <v>8654</v>
      </c>
      <c r="M57" s="242">
        <f t="shared" si="4"/>
        <v>8913</v>
      </c>
      <c r="N57" s="29"/>
      <c r="O57" s="21">
        <f t="shared" si="5"/>
        <v>17873</v>
      </c>
      <c r="S57" s="21">
        <f>O57+G57</f>
        <v>288450</v>
      </c>
    </row>
    <row r="58" spans="2:19">
      <c r="E58" s="22"/>
      <c r="F58" s="22"/>
      <c r="G58" s="22"/>
      <c r="H58" s="22"/>
      <c r="I58" s="22"/>
      <c r="J58" s="22"/>
      <c r="K58" s="243"/>
      <c r="L58" s="243"/>
      <c r="M58" s="243"/>
      <c r="N58" s="29"/>
      <c r="O58" s="22"/>
      <c r="S58" s="22"/>
    </row>
    <row r="59" spans="2:19" hidden="1" outlineLevel="1">
      <c r="C59" s="14" t="s">
        <v>10</v>
      </c>
      <c r="E59" s="22"/>
      <c r="F59" s="22"/>
      <c r="G59" s="22"/>
      <c r="H59" s="22"/>
      <c r="I59" s="22"/>
      <c r="J59" s="22"/>
      <c r="K59" s="243"/>
      <c r="L59" s="243"/>
      <c r="M59" s="243"/>
      <c r="N59" s="29"/>
      <c r="O59" s="22">
        <f t="shared" si="5"/>
        <v>0</v>
      </c>
      <c r="S59" s="22"/>
    </row>
    <row r="60" spans="2:19" s="70" customFormat="1" hidden="1" outlineLevel="1">
      <c r="B60" s="70" t="s">
        <v>26</v>
      </c>
      <c r="C60" s="30" t="s">
        <v>147</v>
      </c>
      <c r="D60" s="13"/>
      <c r="E60" s="42">
        <f>'AN Gas'!F58</f>
        <v>0</v>
      </c>
      <c r="F60" s="42"/>
      <c r="G60" s="42">
        <f>F60+E60</f>
        <v>0</v>
      </c>
      <c r="H60" s="42"/>
      <c r="I60" s="42"/>
      <c r="J60" s="42"/>
      <c r="K60" s="244">
        <f t="shared" si="2"/>
        <v>0</v>
      </c>
      <c r="L60" s="244">
        <f t="shared" si="3"/>
        <v>0</v>
      </c>
      <c r="M60" s="244">
        <f t="shared" si="4"/>
        <v>0</v>
      </c>
      <c r="N60" s="197"/>
      <c r="O60" s="42">
        <f t="shared" si="5"/>
        <v>0</v>
      </c>
      <c r="S60" s="42"/>
    </row>
    <row r="61" spans="2:19" s="70" customFormat="1" hidden="1" outlineLevel="1">
      <c r="B61" s="70" t="s">
        <v>26</v>
      </c>
      <c r="C61" s="30" t="s">
        <v>148</v>
      </c>
      <c r="D61" s="13"/>
      <c r="E61" s="42">
        <f>'AN Gas'!F59</f>
        <v>0</v>
      </c>
      <c r="F61" s="42"/>
      <c r="G61" s="42">
        <f>F61+E61</f>
        <v>0</v>
      </c>
      <c r="H61" s="42"/>
      <c r="I61" s="42">
        <f t="shared" si="0"/>
        <v>0</v>
      </c>
      <c r="J61" s="42">
        <f t="shared" si="1"/>
        <v>0</v>
      </c>
      <c r="K61" s="244">
        <f t="shared" si="2"/>
        <v>0</v>
      </c>
      <c r="L61" s="244">
        <f t="shared" si="3"/>
        <v>0</v>
      </c>
      <c r="M61" s="244">
        <f t="shared" si="4"/>
        <v>0</v>
      </c>
      <c r="N61" s="197"/>
      <c r="O61" s="42">
        <f t="shared" si="5"/>
        <v>0</v>
      </c>
      <c r="S61" s="42"/>
    </row>
    <row r="62" spans="2:19" s="70" customFormat="1" hidden="1" outlineLevel="1">
      <c r="B62" s="70" t="s">
        <v>26</v>
      </c>
      <c r="C62" s="30" t="s">
        <v>149</v>
      </c>
      <c r="D62" s="13"/>
      <c r="E62" s="42">
        <f>'AN Gas'!F60</f>
        <v>0</v>
      </c>
      <c r="F62" s="42"/>
      <c r="G62" s="42">
        <f>F62+E62</f>
        <v>0</v>
      </c>
      <c r="H62" s="42"/>
      <c r="I62" s="42">
        <f t="shared" si="0"/>
        <v>0</v>
      </c>
      <c r="J62" s="42">
        <f t="shared" si="1"/>
        <v>0</v>
      </c>
      <c r="K62" s="244">
        <f t="shared" si="2"/>
        <v>0</v>
      </c>
      <c r="L62" s="244">
        <f t="shared" si="3"/>
        <v>0</v>
      </c>
      <c r="M62" s="244">
        <f t="shared" si="4"/>
        <v>0</v>
      </c>
      <c r="N62" s="197"/>
      <c r="O62" s="42">
        <f t="shared" si="5"/>
        <v>0</v>
      </c>
      <c r="S62" s="42"/>
    </row>
    <row r="63" spans="2:19" s="70" customFormat="1" hidden="1" outlineLevel="1">
      <c r="B63" s="70" t="s">
        <v>26</v>
      </c>
      <c r="C63" s="30" t="s">
        <v>150</v>
      </c>
      <c r="D63" s="13"/>
      <c r="E63" s="42">
        <f>'AN Gas'!F61</f>
        <v>0</v>
      </c>
      <c r="F63" s="42"/>
      <c r="G63" s="42">
        <f>F63+E63</f>
        <v>0</v>
      </c>
      <c r="H63" s="42"/>
      <c r="I63" s="42">
        <f t="shared" si="0"/>
        <v>0</v>
      </c>
      <c r="J63" s="42">
        <f t="shared" si="1"/>
        <v>0</v>
      </c>
      <c r="K63" s="244">
        <f t="shared" si="2"/>
        <v>0</v>
      </c>
      <c r="L63" s="244">
        <f t="shared" si="3"/>
        <v>0</v>
      </c>
      <c r="M63" s="244">
        <f t="shared" si="4"/>
        <v>0</v>
      </c>
      <c r="N63" s="197"/>
      <c r="O63" s="42">
        <f t="shared" si="5"/>
        <v>0</v>
      </c>
      <c r="S63" s="42"/>
    </row>
    <row r="64" spans="2:19" collapsed="1">
      <c r="C64" s="14" t="s">
        <v>11</v>
      </c>
      <c r="E64" s="21">
        <f>SUM(E60:E63)</f>
        <v>0</v>
      </c>
      <c r="F64" s="21"/>
      <c r="G64" s="21">
        <f t="shared" ref="G64:J64" si="13">SUM(G60:G63)</f>
        <v>0</v>
      </c>
      <c r="H64" s="21"/>
      <c r="I64" s="21">
        <f t="shared" si="13"/>
        <v>0</v>
      </c>
      <c r="J64" s="21">
        <f t="shared" si="13"/>
        <v>0</v>
      </c>
      <c r="K64" s="242">
        <f t="shared" si="2"/>
        <v>0</v>
      </c>
      <c r="L64" s="242">
        <f t="shared" si="3"/>
        <v>0</v>
      </c>
      <c r="M64" s="242">
        <f t="shared" si="4"/>
        <v>0</v>
      </c>
      <c r="N64" s="29"/>
      <c r="O64" s="21">
        <f t="shared" si="5"/>
        <v>0</v>
      </c>
      <c r="S64" s="21"/>
    </row>
    <row r="65" spans="2:19">
      <c r="E65" s="22"/>
      <c r="F65" s="22"/>
      <c r="G65" s="22"/>
      <c r="H65" s="22"/>
      <c r="I65" s="22"/>
      <c r="J65" s="22"/>
      <c r="K65" s="243"/>
      <c r="L65" s="243"/>
      <c r="M65" s="243"/>
      <c r="N65" s="29"/>
      <c r="O65" s="22"/>
      <c r="S65" s="22"/>
    </row>
    <row r="66" spans="2:19" ht="12.75" hidden="1" customHeight="1" outlineLevel="1">
      <c r="C66" s="14" t="s">
        <v>12</v>
      </c>
      <c r="E66" s="22"/>
      <c r="F66" s="22"/>
      <c r="G66" s="22"/>
      <c r="H66" s="22"/>
      <c r="I66" s="22"/>
      <c r="J66" s="22"/>
      <c r="K66" s="243"/>
      <c r="L66" s="243"/>
      <c r="M66" s="243"/>
      <c r="N66" s="29"/>
      <c r="O66" s="22">
        <f t="shared" si="5"/>
        <v>0</v>
      </c>
      <c r="S66" s="22"/>
    </row>
    <row r="67" spans="2:19" s="70" customFormat="1" ht="12.75" hidden="1" customHeight="1" outlineLevel="1">
      <c r="B67" s="70" t="s">
        <v>26</v>
      </c>
      <c r="C67" s="30" t="s">
        <v>151</v>
      </c>
      <c r="D67" s="13"/>
      <c r="E67" s="42">
        <f>'AN Gas'!F65</f>
        <v>3111603</v>
      </c>
      <c r="F67" s="42"/>
      <c r="G67" s="42">
        <f t="shared" ref="G67:G75" si="14">F67+E67</f>
        <v>3111603</v>
      </c>
      <c r="H67" s="42"/>
      <c r="I67" s="42">
        <f t="shared" si="0"/>
        <v>15122</v>
      </c>
      <c r="J67" s="42">
        <f t="shared" si="1"/>
        <v>93802</v>
      </c>
      <c r="K67" s="244">
        <f t="shared" si="2"/>
        <v>96616</v>
      </c>
      <c r="L67" s="244">
        <f t="shared" si="3"/>
        <v>99514</v>
      </c>
      <c r="M67" s="244">
        <f t="shared" si="4"/>
        <v>102500</v>
      </c>
      <c r="N67" s="197"/>
      <c r="O67" s="42">
        <f t="shared" si="5"/>
        <v>205540</v>
      </c>
      <c r="S67" s="42"/>
    </row>
    <row r="68" spans="2:19" s="70" customFormat="1" ht="12.75" hidden="1" customHeight="1" outlineLevel="1">
      <c r="B68" s="197" t="s">
        <v>26</v>
      </c>
      <c r="C68" s="30">
        <v>921</v>
      </c>
      <c r="D68" s="30" t="s">
        <v>89</v>
      </c>
      <c r="E68" s="42">
        <f>'AN Gas'!F66</f>
        <v>44485</v>
      </c>
      <c r="F68" s="42"/>
      <c r="G68" s="42">
        <f t="shared" si="14"/>
        <v>44485</v>
      </c>
      <c r="H68" s="42"/>
      <c r="I68" s="42">
        <f t="shared" si="0"/>
        <v>216</v>
      </c>
      <c r="J68" s="42">
        <f t="shared" si="1"/>
        <v>1341</v>
      </c>
      <c r="K68" s="244">
        <f t="shared" si="2"/>
        <v>1381</v>
      </c>
      <c r="L68" s="244">
        <f t="shared" si="3"/>
        <v>1423</v>
      </c>
      <c r="M68" s="244">
        <f t="shared" si="4"/>
        <v>1465</v>
      </c>
      <c r="N68" s="197"/>
      <c r="O68" s="42">
        <f t="shared" si="5"/>
        <v>2938</v>
      </c>
      <c r="S68" s="42"/>
    </row>
    <row r="69" spans="2:19" s="70" customFormat="1" ht="12.75" hidden="1" customHeight="1" outlineLevel="1">
      <c r="B69" s="197" t="s">
        <v>26</v>
      </c>
      <c r="C69" s="30">
        <v>922</v>
      </c>
      <c r="D69" s="30" t="s">
        <v>169</v>
      </c>
      <c r="E69" s="42">
        <f>'AN Gas'!F67</f>
        <v>0</v>
      </c>
      <c r="F69" s="42"/>
      <c r="G69" s="42">
        <f>F69+E69</f>
        <v>0</v>
      </c>
      <c r="H69" s="42"/>
      <c r="I69" s="42">
        <f t="shared" si="0"/>
        <v>0</v>
      </c>
      <c r="J69" s="42">
        <f t="shared" si="1"/>
        <v>0</v>
      </c>
      <c r="K69" s="244">
        <f t="shared" si="2"/>
        <v>0</v>
      </c>
      <c r="L69" s="244">
        <f t="shared" si="3"/>
        <v>0</v>
      </c>
      <c r="M69" s="244">
        <f t="shared" si="4"/>
        <v>0</v>
      </c>
      <c r="N69" s="197"/>
      <c r="O69" s="42">
        <f t="shared" si="5"/>
        <v>0</v>
      </c>
      <c r="S69" s="42"/>
    </row>
    <row r="70" spans="2:19" s="70" customFormat="1" ht="12.75" hidden="1" customHeight="1" outlineLevel="1">
      <c r="B70" s="70" t="s">
        <v>26</v>
      </c>
      <c r="C70" s="30" t="s">
        <v>152</v>
      </c>
      <c r="D70" s="13"/>
      <c r="E70" s="42">
        <f>'AN Gas'!F68</f>
        <v>3060</v>
      </c>
      <c r="F70" s="42"/>
      <c r="G70" s="42">
        <f t="shared" si="14"/>
        <v>3060</v>
      </c>
      <c r="H70" s="42"/>
      <c r="I70" s="42">
        <f t="shared" si="0"/>
        <v>15</v>
      </c>
      <c r="J70" s="42">
        <f t="shared" si="1"/>
        <v>92</v>
      </c>
      <c r="K70" s="244">
        <f t="shared" si="2"/>
        <v>95</v>
      </c>
      <c r="L70" s="244">
        <f t="shared" si="3"/>
        <v>98</v>
      </c>
      <c r="M70" s="244">
        <f t="shared" si="4"/>
        <v>101</v>
      </c>
      <c r="N70" s="197"/>
      <c r="O70" s="42">
        <f t="shared" si="5"/>
        <v>202</v>
      </c>
      <c r="S70" s="42"/>
    </row>
    <row r="71" spans="2:19" s="70" customFormat="1" ht="12.75" hidden="1" customHeight="1" outlineLevel="1">
      <c r="B71" s="70" t="s">
        <v>26</v>
      </c>
      <c r="C71" s="30" t="s">
        <v>153</v>
      </c>
      <c r="D71" s="13"/>
      <c r="E71" s="42">
        <f>'AN Gas'!F69</f>
        <v>0</v>
      </c>
      <c r="F71" s="42"/>
      <c r="G71" s="42">
        <f t="shared" si="14"/>
        <v>0</v>
      </c>
      <c r="H71" s="42"/>
      <c r="I71" s="42">
        <f t="shared" si="0"/>
        <v>0</v>
      </c>
      <c r="J71" s="42">
        <f t="shared" si="1"/>
        <v>0</v>
      </c>
      <c r="K71" s="244">
        <f t="shared" si="2"/>
        <v>0</v>
      </c>
      <c r="L71" s="244">
        <f t="shared" si="3"/>
        <v>0</v>
      </c>
      <c r="M71" s="244">
        <f t="shared" si="4"/>
        <v>0</v>
      </c>
      <c r="N71" s="197"/>
      <c r="O71" s="42">
        <f t="shared" si="5"/>
        <v>0</v>
      </c>
      <c r="S71" s="42"/>
    </row>
    <row r="72" spans="2:19" s="70" customFormat="1" ht="12.75" hidden="1" customHeight="1" outlineLevel="1">
      <c r="B72" s="70" t="s">
        <v>26</v>
      </c>
      <c r="C72" s="30" t="s">
        <v>154</v>
      </c>
      <c r="D72" s="13"/>
      <c r="E72" s="42">
        <f>'AN Gas'!F70</f>
        <v>70166</v>
      </c>
      <c r="F72" s="42"/>
      <c r="G72" s="42">
        <f t="shared" si="14"/>
        <v>70166</v>
      </c>
      <c r="H72" s="42"/>
      <c r="I72" s="42">
        <f t="shared" si="0"/>
        <v>341</v>
      </c>
      <c r="J72" s="42">
        <f t="shared" si="1"/>
        <v>2115</v>
      </c>
      <c r="K72" s="244">
        <f t="shared" si="2"/>
        <v>2179</v>
      </c>
      <c r="L72" s="244">
        <f t="shared" si="3"/>
        <v>2244</v>
      </c>
      <c r="M72" s="244">
        <f t="shared" si="4"/>
        <v>2311</v>
      </c>
      <c r="N72" s="197"/>
      <c r="O72" s="42">
        <f t="shared" si="5"/>
        <v>4635</v>
      </c>
      <c r="S72" s="42"/>
    </row>
    <row r="73" spans="2:19" s="70" customFormat="1" ht="12.75" hidden="1" customHeight="1" outlineLevel="1">
      <c r="B73" s="70" t="s">
        <v>26</v>
      </c>
      <c r="C73" s="30" t="s">
        <v>155</v>
      </c>
      <c r="D73" s="13"/>
      <c r="E73" s="42">
        <f>'AN Gas'!F71</f>
        <v>258100</v>
      </c>
      <c r="F73" s="42"/>
      <c r="G73" s="42">
        <f t="shared" si="14"/>
        <v>258100</v>
      </c>
      <c r="H73" s="42"/>
      <c r="I73" s="42">
        <f t="shared" si="0"/>
        <v>1254</v>
      </c>
      <c r="J73" s="42">
        <f t="shared" si="1"/>
        <v>7781</v>
      </c>
      <c r="K73" s="244">
        <f t="shared" si="2"/>
        <v>8014</v>
      </c>
      <c r="L73" s="244">
        <f t="shared" si="3"/>
        <v>8254</v>
      </c>
      <c r="M73" s="244">
        <f t="shared" si="4"/>
        <v>8502</v>
      </c>
      <c r="N73" s="197"/>
      <c r="O73" s="42">
        <f t="shared" si="5"/>
        <v>17049</v>
      </c>
      <c r="S73" s="42"/>
    </row>
    <row r="74" spans="2:19" s="70" customFormat="1" ht="12.75" hidden="1" customHeight="1" outlineLevel="1">
      <c r="B74" s="70" t="s">
        <v>26</v>
      </c>
      <c r="C74" s="30" t="s">
        <v>156</v>
      </c>
      <c r="D74" s="13"/>
      <c r="E74" s="42">
        <f>'AN Gas'!F72</f>
        <v>58236</v>
      </c>
      <c r="F74" s="42"/>
      <c r="G74" s="42">
        <f t="shared" si="14"/>
        <v>58236</v>
      </c>
      <c r="H74" s="42"/>
      <c r="I74" s="42">
        <f t="shared" si="0"/>
        <v>283</v>
      </c>
      <c r="J74" s="42">
        <f t="shared" si="1"/>
        <v>1756</v>
      </c>
      <c r="K74" s="244">
        <f t="shared" si="2"/>
        <v>1808</v>
      </c>
      <c r="L74" s="244">
        <f t="shared" si="3"/>
        <v>1862</v>
      </c>
      <c r="M74" s="244">
        <f t="shared" si="4"/>
        <v>1918</v>
      </c>
      <c r="N74" s="197"/>
      <c r="O74" s="42">
        <f t="shared" si="5"/>
        <v>3847</v>
      </c>
      <c r="S74" s="42"/>
    </row>
    <row r="75" spans="2:19" s="70" customFormat="1" ht="12.75" hidden="1" customHeight="1" outlineLevel="1">
      <c r="B75" s="70" t="s">
        <v>26</v>
      </c>
      <c r="C75" s="30" t="s">
        <v>157</v>
      </c>
      <c r="D75" s="13"/>
      <c r="E75" s="42">
        <f>'AN Gas'!F73</f>
        <v>249912</v>
      </c>
      <c r="F75" s="42"/>
      <c r="G75" s="42">
        <f t="shared" si="14"/>
        <v>249912</v>
      </c>
      <c r="H75" s="42"/>
      <c r="I75" s="42">
        <f t="shared" si="0"/>
        <v>1215</v>
      </c>
      <c r="J75" s="42">
        <f t="shared" si="1"/>
        <v>7534</v>
      </c>
      <c r="K75" s="244">
        <f t="shared" si="2"/>
        <v>7760</v>
      </c>
      <c r="L75" s="244">
        <f t="shared" si="3"/>
        <v>7993</v>
      </c>
      <c r="M75" s="244">
        <f t="shared" si="4"/>
        <v>8232</v>
      </c>
      <c r="N75" s="197"/>
      <c r="O75" s="42">
        <f t="shared" si="5"/>
        <v>16509</v>
      </c>
      <c r="S75" s="42"/>
    </row>
    <row r="76" spans="2:19" s="128" customFormat="1" collapsed="1">
      <c r="C76" s="201" t="s">
        <v>13</v>
      </c>
      <c r="D76" s="201"/>
      <c r="E76" s="181">
        <f>SUM(E67:E75)</f>
        <v>3795562</v>
      </c>
      <c r="F76" s="181"/>
      <c r="G76" s="181">
        <f>SUM(G67:G75)</f>
        <v>3795562</v>
      </c>
      <c r="H76" s="181"/>
      <c r="I76" s="181">
        <f t="shared" ref="I76:J76" si="15">SUM(I67:I75)</f>
        <v>18446</v>
      </c>
      <c r="J76" s="181">
        <f t="shared" si="15"/>
        <v>114421</v>
      </c>
      <c r="K76" s="246">
        <f t="shared" si="2"/>
        <v>117853</v>
      </c>
      <c r="L76" s="246">
        <f t="shared" si="3"/>
        <v>121388</v>
      </c>
      <c r="M76" s="246">
        <f t="shared" si="4"/>
        <v>125030</v>
      </c>
      <c r="N76" s="247"/>
      <c r="O76" s="181">
        <f t="shared" si="5"/>
        <v>250720</v>
      </c>
      <c r="S76" s="21">
        <f>O76+G76</f>
        <v>4046282</v>
      </c>
    </row>
    <row r="77" spans="2:19" s="70" customFormat="1">
      <c r="C77" s="198"/>
      <c r="D77" s="198"/>
      <c r="E77" s="200"/>
      <c r="F77" s="200"/>
      <c r="G77" s="200"/>
      <c r="H77" s="200"/>
      <c r="I77" s="200"/>
      <c r="J77" s="200"/>
      <c r="K77" s="248"/>
      <c r="L77" s="248"/>
      <c r="M77" s="248"/>
      <c r="N77" s="197"/>
      <c r="O77" s="200"/>
      <c r="S77" s="200"/>
    </row>
    <row r="78" spans="2:19">
      <c r="C78" s="14" t="s">
        <v>113</v>
      </c>
      <c r="E78" s="21">
        <f>E15+E20+E44+E51+E57+E64+E76</f>
        <v>13020757</v>
      </c>
      <c r="F78" s="21"/>
      <c r="G78" s="21">
        <f>G15+G20+G44+G51+G57+G64+G76</f>
        <v>13020757</v>
      </c>
      <c r="H78" s="21"/>
      <c r="I78" s="21">
        <f t="shared" ref="I78:J78" si="16">I15+I20+I44+I51+I57+I64+I76</f>
        <v>76349</v>
      </c>
      <c r="J78" s="21">
        <f t="shared" si="16"/>
        <v>392914</v>
      </c>
      <c r="K78" s="242">
        <f t="shared" ref="K78" si="17">ROUND(IF($B78="a",(G78+I78+J78)*K$8,(G78+I78+J78)*K$9),0)</f>
        <v>404701</v>
      </c>
      <c r="L78" s="242">
        <f t="shared" ref="L78" si="18">ROUND(IF($B78="a",(G78+I78+J78+K78)*L$8,(G78+I78+J78+K78)*L$9),0)</f>
        <v>416842</v>
      </c>
      <c r="M78" s="242">
        <f t="shared" ref="M78" si="19">ROUND(IF($B78="a",(G78+I78+J78+K78+L78)*M$8,(G78+I78+J78+K78+L78)*M$9),0)</f>
        <v>429347</v>
      </c>
      <c r="N78" s="29"/>
      <c r="O78" s="21">
        <f t="shared" ref="O78" si="20">I78+J78+K78</f>
        <v>873964</v>
      </c>
      <c r="P78" s="17">
        <f>SUM(O78:O78)</f>
        <v>873964</v>
      </c>
      <c r="S78" s="21">
        <f>SUM(S15:S76)</f>
        <v>13894719</v>
      </c>
    </row>
    <row r="79" spans="2:19" s="89" customFormat="1">
      <c r="C79" s="90"/>
      <c r="D79" s="90"/>
      <c r="E79" s="87">
        <f>'AN Gas'!F76</f>
        <v>13020756</v>
      </c>
      <c r="F79" s="87"/>
      <c r="G79" s="88"/>
      <c r="H79" s="88"/>
      <c r="I79" s="88"/>
      <c r="J79" s="88"/>
      <c r="K79" s="249"/>
      <c r="L79" s="250"/>
      <c r="M79" s="250"/>
      <c r="N79" s="251"/>
      <c r="O79" s="88"/>
    </row>
    <row r="80" spans="2:19">
      <c r="I80" s="88"/>
      <c r="J80" s="88"/>
      <c r="K80" s="130"/>
      <c r="L80" s="88"/>
      <c r="M80" s="88"/>
      <c r="O80" s="88"/>
      <c r="R80" s="2" t="s">
        <v>200</v>
      </c>
      <c r="S80" s="17">
        <f>G78+I78+J78+K78</f>
        <v>13894721</v>
      </c>
    </row>
    <row r="81" spans="3:15">
      <c r="D81" s="9"/>
      <c r="E81" s="18"/>
      <c r="F81" s="18"/>
      <c r="G81" s="18"/>
      <c r="H81" s="18"/>
      <c r="I81" s="88"/>
      <c r="J81" s="88"/>
      <c r="K81" s="199"/>
      <c r="L81" s="88"/>
      <c r="M81" s="88"/>
      <c r="O81" s="88"/>
    </row>
    <row r="82" spans="3:15">
      <c r="C82" s="70" t="s">
        <v>203</v>
      </c>
      <c r="G82" s="18"/>
      <c r="H82" s="18"/>
      <c r="I82" s="18"/>
      <c r="J82" s="18"/>
      <c r="K82" s="200"/>
      <c r="L82" s="18"/>
      <c r="M82" s="18"/>
      <c r="O82" s="18"/>
    </row>
    <row r="83" spans="3:15">
      <c r="E83" s="18"/>
      <c r="F83" s="18"/>
      <c r="G83" s="18"/>
      <c r="H83" s="18"/>
      <c r="I83" s="18"/>
      <c r="J83" s="18"/>
      <c r="K83" s="17"/>
      <c r="L83" s="18"/>
      <c r="M83" s="18"/>
      <c r="O83" s="18"/>
    </row>
    <row r="84" spans="3:15">
      <c r="E84" s="18"/>
      <c r="F84" s="18"/>
      <c r="G84" s="18"/>
      <c r="H84" s="18"/>
      <c r="I84" s="18"/>
      <c r="J84" s="18"/>
      <c r="K84" s="18"/>
      <c r="L84" s="18"/>
      <c r="M84" s="18"/>
      <c r="O84" s="18"/>
    </row>
    <row r="85" spans="3:15">
      <c r="E85" s="18"/>
      <c r="F85" s="18"/>
      <c r="G85" s="18"/>
      <c r="H85" s="18"/>
      <c r="I85" s="18"/>
      <c r="J85" s="18"/>
      <c r="K85" s="18"/>
      <c r="L85" s="18"/>
      <c r="M85" s="18"/>
      <c r="O85" s="18"/>
    </row>
    <row r="86" spans="3:15">
      <c r="E86" s="18"/>
      <c r="F86" s="18"/>
      <c r="G86" s="18"/>
      <c r="H86" s="18"/>
      <c r="I86" s="18"/>
      <c r="J86" s="18"/>
      <c r="K86" s="18"/>
      <c r="L86" s="18"/>
      <c r="M86" s="18"/>
      <c r="O86" s="18"/>
    </row>
    <row r="87" spans="3:15">
      <c r="E87" s="18"/>
      <c r="F87" s="18"/>
      <c r="G87" s="18"/>
      <c r="H87" s="18"/>
      <c r="I87" s="18"/>
      <c r="J87" s="18"/>
      <c r="K87" s="18"/>
      <c r="L87" s="18"/>
      <c r="M87" s="18"/>
      <c r="O87" s="18"/>
    </row>
    <row r="88" spans="3:15">
      <c r="E88" s="18"/>
      <c r="F88" s="18"/>
      <c r="G88" s="18"/>
      <c r="H88" s="18"/>
      <c r="I88" s="18"/>
      <c r="J88" s="18"/>
      <c r="K88" s="18"/>
      <c r="L88" s="18"/>
      <c r="M88" s="18"/>
      <c r="O88" s="18"/>
    </row>
    <row r="89" spans="3:15">
      <c r="K89" s="18"/>
    </row>
    <row r="90" spans="3:15">
      <c r="K90" s="18"/>
    </row>
    <row r="91" spans="3:15">
      <c r="K91" s="18"/>
    </row>
    <row r="92" spans="3:15">
      <c r="K92" s="18"/>
    </row>
    <row r="93" spans="3:15">
      <c r="K93" s="18"/>
    </row>
    <row r="94" spans="3:15">
      <c r="K94" s="18"/>
    </row>
    <row r="95" spans="3:15">
      <c r="K95" s="18"/>
    </row>
    <row r="96" spans="3:15">
      <c r="C96" s="2"/>
      <c r="D96" s="2"/>
      <c r="K96" s="18"/>
    </row>
    <row r="97" spans="3:15">
      <c r="C97" s="2"/>
      <c r="D97" s="2"/>
      <c r="K97" s="18"/>
    </row>
    <row r="98" spans="3:15">
      <c r="C98" s="2"/>
      <c r="D98" s="2"/>
      <c r="K98" s="18"/>
    </row>
    <row r="99" spans="3:15">
      <c r="C99" s="2"/>
      <c r="D99" s="2"/>
      <c r="K99" s="18"/>
    </row>
    <row r="100" spans="3:15">
      <c r="C100" s="2"/>
      <c r="D100" s="2"/>
      <c r="K100" s="18"/>
    </row>
    <row r="101" spans="3:15">
      <c r="C101" s="2"/>
      <c r="D101" s="2"/>
      <c r="K101" s="18"/>
    </row>
    <row r="102" spans="3:15">
      <c r="C102" s="2"/>
      <c r="D102" s="2"/>
      <c r="K102" s="18"/>
    </row>
    <row r="103" spans="3:15">
      <c r="C103" s="2"/>
      <c r="D103" s="2"/>
      <c r="K103" s="18"/>
    </row>
    <row r="104" spans="3:15">
      <c r="C104" s="2"/>
      <c r="D104" s="2"/>
      <c r="K104" s="18"/>
    </row>
    <row r="105" spans="3:15">
      <c r="C105" s="2"/>
      <c r="D105" s="2"/>
      <c r="K105" s="18"/>
    </row>
    <row r="106" spans="3:15">
      <c r="C106" s="2"/>
      <c r="D106" s="2"/>
      <c r="K106" s="18"/>
    </row>
    <row r="107" spans="3:15">
      <c r="C107" s="2"/>
      <c r="D107" s="2"/>
      <c r="K107" s="18"/>
    </row>
    <row r="108" spans="3:15">
      <c r="C108" s="2"/>
      <c r="D108" s="2"/>
      <c r="K108" s="18"/>
    </row>
    <row r="109" spans="3:15">
      <c r="C109" s="2"/>
      <c r="D109" s="2"/>
      <c r="K109" s="18"/>
    </row>
    <row r="110" spans="3:15">
      <c r="E110" s="18"/>
      <c r="F110" s="18"/>
      <c r="G110" s="18"/>
      <c r="H110" s="18"/>
      <c r="I110" s="18"/>
      <c r="J110" s="18"/>
      <c r="K110" s="18"/>
      <c r="L110" s="18"/>
      <c r="M110" s="18"/>
      <c r="O110" s="18"/>
    </row>
    <row r="111" spans="3:15">
      <c r="E111" s="18"/>
      <c r="F111" s="18"/>
      <c r="G111" s="18"/>
      <c r="H111" s="18"/>
      <c r="I111" s="18"/>
      <c r="J111" s="18"/>
      <c r="K111" s="18"/>
      <c r="L111" s="18"/>
      <c r="M111" s="18"/>
      <c r="O111" s="18"/>
    </row>
    <row r="112" spans="3:15">
      <c r="E112" s="18"/>
      <c r="F112" s="18"/>
      <c r="G112" s="18"/>
      <c r="H112" s="18"/>
      <c r="I112" s="18"/>
      <c r="J112" s="18"/>
      <c r="K112" s="18"/>
      <c r="L112" s="18"/>
      <c r="M112" s="18"/>
      <c r="O112" s="18"/>
    </row>
    <row r="113" spans="5:24">
      <c r="E113" s="18"/>
      <c r="F113" s="18"/>
      <c r="G113" s="18"/>
      <c r="H113" s="18"/>
      <c r="I113" s="18"/>
      <c r="J113" s="18"/>
      <c r="K113" s="18"/>
      <c r="L113" s="18"/>
      <c r="M113" s="18"/>
      <c r="O113" s="18"/>
    </row>
    <row r="114" spans="5:24">
      <c r="E114" s="18"/>
      <c r="F114" s="18"/>
      <c r="G114" s="18"/>
      <c r="H114" s="18"/>
      <c r="I114" s="18"/>
      <c r="J114" s="18"/>
      <c r="K114" s="18"/>
      <c r="L114" s="18"/>
      <c r="M114" s="18"/>
      <c r="O114" s="18"/>
    </row>
    <row r="115" spans="5:24">
      <c r="E115" s="18"/>
      <c r="F115" s="18"/>
      <c r="G115" s="18"/>
      <c r="H115" s="18"/>
      <c r="I115" s="18"/>
      <c r="J115" s="18"/>
      <c r="K115" s="18"/>
      <c r="L115" s="18"/>
      <c r="M115" s="18"/>
      <c r="O115" s="18"/>
    </row>
    <row r="116" spans="5:24">
      <c r="E116" s="18"/>
      <c r="F116" s="18"/>
      <c r="G116" s="18"/>
      <c r="H116" s="18"/>
      <c r="I116" s="18"/>
      <c r="J116" s="18"/>
      <c r="K116" s="18"/>
      <c r="L116" s="18"/>
      <c r="M116" s="18"/>
      <c r="O116" s="18"/>
    </row>
    <row r="117" spans="5:24">
      <c r="E117" s="18"/>
      <c r="F117" s="18"/>
      <c r="G117" s="18"/>
      <c r="H117" s="18"/>
      <c r="I117" s="18"/>
      <c r="J117" s="18"/>
      <c r="K117" s="18"/>
      <c r="L117" s="18"/>
      <c r="M117" s="18"/>
      <c r="O117" s="18"/>
    </row>
    <row r="118" spans="5:24">
      <c r="E118" s="18"/>
      <c r="F118" s="18"/>
      <c r="G118" s="18"/>
      <c r="H118" s="18"/>
      <c r="I118" s="18"/>
      <c r="J118" s="18"/>
      <c r="K118" s="18"/>
      <c r="L118" s="18"/>
      <c r="M118" s="18"/>
      <c r="O118" s="18"/>
    </row>
    <row r="119" spans="5:24">
      <c r="E119" s="18"/>
      <c r="F119" s="18"/>
      <c r="G119" s="18"/>
      <c r="H119" s="18"/>
      <c r="I119" s="18"/>
      <c r="J119" s="18"/>
      <c r="K119" s="18"/>
      <c r="L119" s="18"/>
      <c r="M119" s="18"/>
      <c r="O119" s="18"/>
    </row>
    <row r="120" spans="5:24">
      <c r="E120" s="18"/>
      <c r="F120" s="18"/>
      <c r="G120" s="18"/>
      <c r="H120" s="18"/>
      <c r="I120" s="18"/>
      <c r="J120" s="18"/>
      <c r="K120" s="18"/>
      <c r="L120" s="18"/>
      <c r="M120" s="18"/>
      <c r="O120" s="18"/>
    </row>
    <row r="121" spans="5:24">
      <c r="E121" s="18"/>
      <c r="F121" s="18"/>
      <c r="G121" s="18"/>
      <c r="H121" s="18"/>
      <c r="I121" s="18"/>
      <c r="J121" s="18"/>
      <c r="K121" s="18"/>
      <c r="L121" s="18"/>
      <c r="M121" s="18"/>
      <c r="O121" s="18"/>
    </row>
    <row r="122" spans="5:24">
      <c r="E122" s="18"/>
      <c r="F122" s="18"/>
      <c r="G122" s="18"/>
      <c r="H122" s="18"/>
      <c r="I122" s="18"/>
      <c r="J122" s="18"/>
      <c r="K122" s="18"/>
      <c r="L122" s="18"/>
      <c r="M122" s="18"/>
      <c r="O122" s="18"/>
    </row>
    <row r="123" spans="5:24">
      <c r="E123" s="18"/>
      <c r="F123" s="18"/>
      <c r="G123" s="18"/>
      <c r="H123" s="18"/>
      <c r="I123" s="18"/>
      <c r="J123" s="18"/>
      <c r="K123" s="18"/>
      <c r="L123" s="18"/>
      <c r="M123" s="18"/>
      <c r="O123" s="18"/>
    </row>
    <row r="124" spans="5:24">
      <c r="E124" s="18"/>
      <c r="F124" s="18"/>
      <c r="G124" s="18"/>
      <c r="H124" s="18"/>
      <c r="I124" s="18"/>
      <c r="J124" s="18"/>
      <c r="K124" s="18"/>
      <c r="L124" s="18"/>
      <c r="M124" s="18"/>
      <c r="O124" s="18"/>
    </row>
    <row r="125" spans="5:24">
      <c r="E125" s="18"/>
      <c r="F125" s="18"/>
      <c r="G125" s="18"/>
      <c r="H125" s="18"/>
      <c r="I125" s="18"/>
      <c r="J125" s="18"/>
      <c r="K125" s="18"/>
      <c r="L125" s="18"/>
      <c r="M125" s="18"/>
      <c r="O125" s="18"/>
    </row>
    <row r="126" spans="5:24">
      <c r="E126" s="18"/>
      <c r="F126" s="18"/>
      <c r="G126" s="18"/>
      <c r="H126" s="18"/>
      <c r="I126" s="18"/>
      <c r="J126" s="18"/>
      <c r="K126" s="18"/>
      <c r="L126" s="18"/>
      <c r="M126" s="18"/>
      <c r="O126" s="18"/>
    </row>
    <row r="127" spans="5:24">
      <c r="E127" s="18"/>
      <c r="F127" s="18"/>
      <c r="G127" s="18"/>
      <c r="H127" s="18"/>
      <c r="I127" s="18"/>
      <c r="J127" s="18"/>
      <c r="K127" s="18"/>
      <c r="L127" s="18"/>
      <c r="M127" s="18"/>
      <c r="O127" s="18"/>
      <c r="X127" s="2" t="s">
        <v>210</v>
      </c>
    </row>
    <row r="128" spans="5:24">
      <c r="E128" s="18"/>
      <c r="F128" s="18"/>
      <c r="G128" s="18"/>
      <c r="H128" s="18"/>
      <c r="I128" s="18"/>
      <c r="J128" s="18"/>
      <c r="K128" s="18"/>
      <c r="L128" s="18"/>
      <c r="M128" s="18"/>
      <c r="O128" s="18"/>
      <c r="W128" s="2" t="s">
        <v>209</v>
      </c>
    </row>
    <row r="129" spans="5:15">
      <c r="E129" s="18"/>
      <c r="F129" s="18"/>
      <c r="G129" s="18"/>
      <c r="H129" s="18"/>
      <c r="I129" s="18"/>
      <c r="J129" s="18"/>
      <c r="K129" s="18"/>
      <c r="L129" s="18"/>
      <c r="M129" s="18"/>
      <c r="O129" s="18"/>
    </row>
    <row r="130" spans="5:15">
      <c r="E130" s="18"/>
      <c r="F130" s="18"/>
      <c r="G130" s="18"/>
      <c r="H130" s="18"/>
      <c r="I130" s="18"/>
      <c r="J130" s="18"/>
      <c r="K130" s="18"/>
      <c r="L130" s="18"/>
      <c r="M130" s="18"/>
      <c r="O130" s="18"/>
    </row>
    <row r="131" spans="5:15">
      <c r="E131" s="18"/>
      <c r="F131" s="18"/>
      <c r="G131" s="18"/>
      <c r="H131" s="18"/>
      <c r="I131" s="18"/>
      <c r="J131" s="18"/>
      <c r="K131" s="18"/>
      <c r="L131" s="18"/>
      <c r="M131" s="18"/>
      <c r="O131" s="18"/>
    </row>
    <row r="132" spans="5:15">
      <c r="E132" s="17"/>
      <c r="F132" s="17"/>
      <c r="G132" s="17"/>
      <c r="H132" s="17"/>
      <c r="I132" s="17"/>
      <c r="J132" s="17"/>
      <c r="K132" s="18"/>
      <c r="L132" s="17"/>
      <c r="M132" s="17"/>
      <c r="O132" s="17"/>
    </row>
    <row r="133" spans="5:15">
      <c r="E133" s="17"/>
      <c r="F133" s="17"/>
      <c r="G133" s="17"/>
      <c r="H133" s="17"/>
      <c r="I133" s="17"/>
      <c r="J133" s="17"/>
      <c r="K133" s="17"/>
      <c r="L133" s="17"/>
      <c r="M133" s="17"/>
      <c r="O133" s="17"/>
    </row>
    <row r="134" spans="5:15">
      <c r="E134" s="17"/>
      <c r="F134" s="17"/>
      <c r="G134" s="17"/>
      <c r="H134" s="17"/>
      <c r="I134" s="17"/>
      <c r="J134" s="17"/>
      <c r="K134" s="17"/>
      <c r="L134" s="17"/>
      <c r="M134" s="17"/>
      <c r="O134" s="17"/>
    </row>
    <row r="135" spans="5:15">
      <c r="E135" s="17"/>
      <c r="F135" s="17"/>
      <c r="G135" s="17"/>
      <c r="H135" s="17"/>
      <c r="I135" s="17"/>
      <c r="J135" s="17"/>
      <c r="K135" s="17"/>
      <c r="L135" s="17"/>
      <c r="M135" s="17"/>
      <c r="O135" s="17"/>
    </row>
    <row r="136" spans="5:15">
      <c r="E136" s="17"/>
      <c r="F136" s="17"/>
      <c r="G136" s="17"/>
      <c r="H136" s="17"/>
      <c r="I136" s="17"/>
      <c r="J136" s="17"/>
      <c r="K136" s="17"/>
      <c r="L136" s="17"/>
      <c r="M136" s="17"/>
      <c r="O136" s="17"/>
    </row>
    <row r="137" spans="5:15">
      <c r="E137" s="17"/>
      <c r="F137" s="17"/>
      <c r="G137" s="17"/>
      <c r="H137" s="17"/>
      <c r="I137" s="17"/>
      <c r="J137" s="17"/>
      <c r="K137" s="17"/>
      <c r="L137" s="17"/>
      <c r="M137" s="17"/>
      <c r="O137" s="17"/>
    </row>
    <row r="138" spans="5:15">
      <c r="E138" s="17"/>
      <c r="F138" s="17"/>
      <c r="G138" s="17"/>
      <c r="H138" s="17"/>
      <c r="I138" s="17"/>
      <c r="J138" s="17"/>
      <c r="K138" s="17"/>
      <c r="L138" s="17"/>
      <c r="M138" s="17"/>
      <c r="O138" s="17"/>
    </row>
    <row r="139" spans="5:15">
      <c r="E139" s="17"/>
      <c r="F139" s="17"/>
      <c r="G139" s="17"/>
      <c r="H139" s="17"/>
      <c r="I139" s="17"/>
      <c r="J139" s="17"/>
      <c r="K139" s="17"/>
      <c r="L139" s="17"/>
      <c r="M139" s="17"/>
      <c r="O139" s="17"/>
    </row>
    <row r="140" spans="5:15">
      <c r="E140" s="17"/>
      <c r="F140" s="17"/>
      <c r="G140" s="17"/>
      <c r="H140" s="17"/>
      <c r="I140" s="17"/>
      <c r="J140" s="17"/>
      <c r="K140" s="17"/>
      <c r="L140" s="17"/>
      <c r="M140" s="17"/>
      <c r="O140" s="17"/>
    </row>
    <row r="141" spans="5:15">
      <c r="E141" s="17"/>
      <c r="F141" s="17"/>
      <c r="G141" s="17"/>
      <c r="H141" s="17"/>
      <c r="I141" s="17"/>
      <c r="J141" s="17"/>
      <c r="K141" s="17"/>
      <c r="L141" s="17"/>
      <c r="M141" s="17"/>
      <c r="O141" s="17"/>
    </row>
    <row r="142" spans="5:15">
      <c r="E142" s="17"/>
      <c r="F142" s="17"/>
      <c r="G142" s="17"/>
      <c r="H142" s="17"/>
      <c r="I142" s="17"/>
      <c r="J142" s="17"/>
      <c r="K142" s="17"/>
      <c r="L142" s="17"/>
      <c r="M142" s="17"/>
      <c r="O142" s="17"/>
    </row>
    <row r="143" spans="5:15">
      <c r="E143" s="17"/>
      <c r="F143" s="17"/>
      <c r="G143" s="17"/>
      <c r="H143" s="17"/>
      <c r="I143" s="17"/>
      <c r="J143" s="17"/>
      <c r="K143" s="17"/>
      <c r="L143" s="17"/>
      <c r="M143" s="17"/>
      <c r="O143" s="17"/>
    </row>
    <row r="144" spans="5:15">
      <c r="E144" s="17"/>
      <c r="F144" s="17"/>
      <c r="G144" s="17"/>
      <c r="H144" s="17"/>
      <c r="I144" s="17"/>
      <c r="J144" s="17"/>
      <c r="K144" s="17"/>
      <c r="L144" s="17"/>
      <c r="M144" s="17"/>
      <c r="O144" s="17"/>
    </row>
    <row r="145" spans="5:15">
      <c r="E145" s="17"/>
      <c r="F145" s="17"/>
      <c r="G145" s="17"/>
      <c r="H145" s="17"/>
      <c r="I145" s="17"/>
      <c r="J145" s="17"/>
      <c r="K145" s="17"/>
      <c r="L145" s="17"/>
      <c r="M145" s="17"/>
      <c r="O145" s="17"/>
    </row>
    <row r="146" spans="5:15">
      <c r="E146" s="17"/>
      <c r="F146" s="17"/>
      <c r="G146" s="17"/>
      <c r="H146" s="17"/>
      <c r="I146" s="17"/>
      <c r="J146" s="17"/>
      <c r="K146" s="17"/>
      <c r="L146" s="17"/>
      <c r="M146" s="17"/>
      <c r="O146" s="17"/>
    </row>
    <row r="147" spans="5:15">
      <c r="E147" s="17"/>
      <c r="F147" s="17"/>
      <c r="G147" s="17"/>
      <c r="H147" s="17"/>
      <c r="I147" s="17"/>
      <c r="J147" s="17"/>
      <c r="K147" s="17"/>
      <c r="L147" s="17"/>
      <c r="M147" s="17"/>
      <c r="O147" s="17"/>
    </row>
    <row r="148" spans="5:15">
      <c r="E148" s="17"/>
      <c r="F148" s="17"/>
      <c r="G148" s="17"/>
      <c r="H148" s="17"/>
      <c r="I148" s="17"/>
      <c r="J148" s="17"/>
      <c r="K148" s="17"/>
      <c r="L148" s="17"/>
      <c r="M148" s="17"/>
      <c r="O148" s="17"/>
    </row>
    <row r="149" spans="5:15">
      <c r="E149" s="17"/>
      <c r="F149" s="17"/>
      <c r="G149" s="17"/>
      <c r="H149" s="17"/>
      <c r="I149" s="17"/>
      <c r="J149" s="17"/>
      <c r="K149" s="17"/>
      <c r="L149" s="17"/>
      <c r="M149" s="17"/>
      <c r="O149" s="17"/>
    </row>
    <row r="150" spans="5:15">
      <c r="E150" s="17"/>
      <c r="F150" s="17"/>
      <c r="G150" s="17"/>
      <c r="H150" s="17"/>
      <c r="I150" s="17"/>
      <c r="J150" s="17"/>
      <c r="K150" s="17"/>
      <c r="L150" s="17"/>
      <c r="M150" s="17"/>
      <c r="O150" s="17"/>
    </row>
    <row r="151" spans="5:15">
      <c r="E151" s="17"/>
      <c r="F151" s="17"/>
      <c r="G151" s="17"/>
      <c r="H151" s="17"/>
      <c r="I151" s="17"/>
      <c r="J151" s="17"/>
      <c r="K151" s="17"/>
      <c r="L151" s="17"/>
      <c r="M151" s="17"/>
      <c r="O151" s="17"/>
    </row>
    <row r="152" spans="5:15">
      <c r="E152" s="17"/>
      <c r="F152" s="17"/>
      <c r="G152" s="17"/>
      <c r="H152" s="17"/>
      <c r="I152" s="17"/>
      <c r="J152" s="17"/>
      <c r="K152" s="17"/>
      <c r="L152" s="17"/>
      <c r="M152" s="17"/>
      <c r="O152" s="17"/>
    </row>
    <row r="153" spans="5:15">
      <c r="E153" s="17"/>
      <c r="F153" s="17"/>
      <c r="G153" s="17"/>
      <c r="H153" s="17"/>
      <c r="I153" s="17"/>
      <c r="J153" s="17"/>
      <c r="K153" s="17"/>
      <c r="L153" s="17"/>
      <c r="M153" s="17"/>
      <c r="O153" s="17"/>
    </row>
    <row r="154" spans="5:15">
      <c r="E154" s="17"/>
      <c r="F154" s="17"/>
      <c r="G154" s="17"/>
      <c r="H154" s="17"/>
      <c r="I154" s="17"/>
      <c r="J154" s="17"/>
      <c r="K154" s="17"/>
      <c r="L154" s="17"/>
      <c r="M154" s="17"/>
      <c r="O154" s="17"/>
    </row>
    <row r="155" spans="5:15">
      <c r="E155" s="17"/>
      <c r="F155" s="17"/>
      <c r="G155" s="17"/>
      <c r="H155" s="17"/>
      <c r="I155" s="17"/>
      <c r="J155" s="17"/>
      <c r="K155" s="17"/>
      <c r="L155" s="17"/>
      <c r="M155" s="17"/>
      <c r="O155" s="17"/>
    </row>
    <row r="156" spans="5:15">
      <c r="E156" s="17"/>
      <c r="F156" s="17"/>
      <c r="G156" s="17"/>
      <c r="H156" s="17"/>
      <c r="I156" s="17"/>
      <c r="J156" s="17"/>
      <c r="K156" s="17"/>
      <c r="L156" s="17"/>
      <c r="M156" s="17"/>
      <c r="O156" s="17"/>
    </row>
    <row r="157" spans="5:15">
      <c r="E157" s="17"/>
      <c r="F157" s="17"/>
      <c r="G157" s="17"/>
      <c r="H157" s="17"/>
      <c r="I157" s="17"/>
      <c r="J157" s="17"/>
      <c r="K157" s="17"/>
      <c r="L157" s="17"/>
      <c r="M157" s="17"/>
      <c r="O157" s="17"/>
    </row>
    <row r="158" spans="5:15">
      <c r="E158" s="17"/>
      <c r="F158" s="17"/>
      <c r="G158" s="17"/>
      <c r="H158" s="17"/>
      <c r="I158" s="17"/>
      <c r="J158" s="17"/>
      <c r="K158" s="17"/>
      <c r="L158" s="17"/>
      <c r="M158" s="17"/>
      <c r="O158" s="17"/>
    </row>
    <row r="159" spans="5:15">
      <c r="E159" s="17"/>
      <c r="F159" s="17"/>
      <c r="G159" s="17"/>
      <c r="H159" s="17"/>
      <c r="I159" s="17"/>
      <c r="J159" s="17"/>
      <c r="K159" s="17"/>
      <c r="L159" s="17"/>
      <c r="M159" s="17"/>
      <c r="O159" s="17"/>
    </row>
    <row r="160" spans="5:15">
      <c r="E160" s="17"/>
      <c r="F160" s="17"/>
      <c r="G160" s="17"/>
      <c r="H160" s="17"/>
      <c r="I160" s="17"/>
      <c r="J160" s="17"/>
      <c r="K160" s="17"/>
      <c r="L160" s="17"/>
      <c r="M160" s="17"/>
      <c r="O160" s="17"/>
    </row>
    <row r="161" spans="5:15">
      <c r="E161" s="17"/>
      <c r="F161" s="17"/>
      <c r="G161" s="17"/>
      <c r="H161" s="17"/>
      <c r="I161" s="17"/>
      <c r="J161" s="17"/>
      <c r="K161" s="17"/>
      <c r="L161" s="17"/>
      <c r="M161" s="17"/>
      <c r="O161" s="17"/>
    </row>
    <row r="162" spans="5:15">
      <c r="E162" s="17"/>
      <c r="F162" s="17"/>
      <c r="G162" s="17"/>
      <c r="H162" s="17"/>
      <c r="I162" s="17"/>
      <c r="J162" s="17"/>
      <c r="K162" s="17"/>
      <c r="L162" s="17"/>
      <c r="M162" s="17"/>
      <c r="O162" s="17"/>
    </row>
    <row r="163" spans="5:15">
      <c r="E163" s="17"/>
      <c r="F163" s="17"/>
      <c r="G163" s="17"/>
      <c r="H163" s="17"/>
      <c r="I163" s="17"/>
      <c r="J163" s="17"/>
      <c r="K163" s="17"/>
      <c r="L163" s="17"/>
      <c r="M163" s="17"/>
      <c r="O163" s="17"/>
    </row>
    <row r="164" spans="5:15">
      <c r="E164" s="17"/>
      <c r="F164" s="17"/>
      <c r="G164" s="17"/>
      <c r="H164" s="17"/>
      <c r="I164" s="17"/>
      <c r="J164" s="17"/>
      <c r="K164" s="17"/>
      <c r="L164" s="17"/>
      <c r="M164" s="17"/>
      <c r="O164" s="17"/>
    </row>
    <row r="165" spans="5:15">
      <c r="E165" s="17"/>
      <c r="F165" s="17"/>
      <c r="G165" s="17"/>
      <c r="H165" s="17"/>
      <c r="I165" s="17"/>
      <c r="J165" s="17"/>
      <c r="K165" s="17"/>
      <c r="L165" s="17"/>
      <c r="M165" s="17"/>
      <c r="O165" s="17"/>
    </row>
    <row r="166" spans="5:15">
      <c r="E166" s="17"/>
      <c r="F166" s="17"/>
      <c r="G166" s="17"/>
      <c r="H166" s="17"/>
      <c r="I166" s="17"/>
      <c r="J166" s="17"/>
      <c r="K166" s="17"/>
      <c r="L166" s="17"/>
      <c r="M166" s="17"/>
      <c r="O166" s="17"/>
    </row>
    <row r="167" spans="5:15">
      <c r="E167" s="17"/>
      <c r="F167" s="17"/>
      <c r="G167" s="17"/>
      <c r="H167" s="17"/>
      <c r="I167" s="17"/>
      <c r="J167" s="17"/>
      <c r="K167" s="17"/>
      <c r="L167" s="17"/>
      <c r="M167" s="17"/>
      <c r="O167" s="17"/>
    </row>
    <row r="168" spans="5:15">
      <c r="E168" s="17"/>
      <c r="F168" s="17"/>
      <c r="G168" s="17"/>
      <c r="H168" s="17"/>
      <c r="I168" s="17"/>
      <c r="J168" s="17"/>
      <c r="K168" s="17"/>
      <c r="L168" s="17"/>
      <c r="M168" s="17"/>
      <c r="O168" s="17"/>
    </row>
    <row r="169" spans="5:15">
      <c r="E169" s="17"/>
      <c r="F169" s="17"/>
      <c r="G169" s="17"/>
      <c r="H169" s="17"/>
      <c r="I169" s="17"/>
      <c r="J169" s="17"/>
      <c r="K169" s="17"/>
      <c r="L169" s="17"/>
      <c r="M169" s="17"/>
      <c r="O169" s="17"/>
    </row>
    <row r="170" spans="5:15">
      <c r="E170" s="17"/>
      <c r="F170" s="17"/>
      <c r="G170" s="17"/>
      <c r="H170" s="17"/>
      <c r="I170" s="17"/>
      <c r="J170" s="17"/>
      <c r="K170" s="17"/>
      <c r="L170" s="17"/>
      <c r="M170" s="17"/>
      <c r="O170" s="17"/>
    </row>
    <row r="171" spans="5:15">
      <c r="E171" s="17"/>
      <c r="F171" s="17"/>
      <c r="G171" s="17"/>
      <c r="H171" s="17"/>
      <c r="I171" s="17"/>
      <c r="J171" s="17"/>
      <c r="K171" s="17"/>
      <c r="L171" s="17"/>
      <c r="M171" s="17"/>
      <c r="O171" s="17"/>
    </row>
    <row r="172" spans="5:15">
      <c r="E172" s="17"/>
      <c r="F172" s="17"/>
      <c r="G172" s="17"/>
      <c r="H172" s="17"/>
      <c r="I172" s="17"/>
      <c r="J172" s="17"/>
      <c r="K172" s="17"/>
      <c r="L172" s="17"/>
      <c r="M172" s="17"/>
      <c r="O172" s="17"/>
    </row>
    <row r="173" spans="5:15">
      <c r="E173" s="17"/>
      <c r="F173" s="17"/>
      <c r="G173" s="17"/>
      <c r="H173" s="17"/>
      <c r="I173" s="17"/>
      <c r="J173" s="17"/>
      <c r="K173" s="17"/>
      <c r="L173" s="17"/>
      <c r="M173" s="17"/>
      <c r="O173" s="17"/>
    </row>
    <row r="174" spans="5:15">
      <c r="E174" s="17"/>
      <c r="F174" s="17"/>
      <c r="G174" s="17"/>
      <c r="H174" s="17"/>
      <c r="I174" s="17"/>
      <c r="J174" s="17"/>
      <c r="K174" s="17"/>
      <c r="L174" s="17"/>
      <c r="M174" s="17"/>
      <c r="O174" s="17"/>
    </row>
    <row r="175" spans="5:15">
      <c r="E175" s="17"/>
      <c r="F175" s="17"/>
      <c r="G175" s="17"/>
      <c r="H175" s="17"/>
      <c r="I175" s="17"/>
      <c r="J175" s="17"/>
      <c r="K175" s="17"/>
      <c r="L175" s="17"/>
      <c r="M175" s="17"/>
      <c r="O175" s="17"/>
    </row>
    <row r="176" spans="5:15">
      <c r="E176" s="17"/>
      <c r="F176" s="17"/>
      <c r="G176" s="17"/>
      <c r="H176" s="17"/>
      <c r="I176" s="17"/>
      <c r="J176" s="17"/>
      <c r="K176" s="17"/>
      <c r="L176" s="17"/>
      <c r="M176" s="17"/>
      <c r="O176" s="17"/>
    </row>
    <row r="177" spans="5:15">
      <c r="E177" s="17"/>
      <c r="F177" s="17"/>
      <c r="G177" s="17"/>
      <c r="H177" s="17"/>
      <c r="I177" s="17"/>
      <c r="J177" s="17"/>
      <c r="K177" s="17"/>
      <c r="L177" s="17"/>
      <c r="M177" s="17"/>
      <c r="O177" s="17"/>
    </row>
    <row r="178" spans="5:15">
      <c r="E178" s="17"/>
      <c r="F178" s="17"/>
      <c r="G178" s="17"/>
      <c r="H178" s="17"/>
      <c r="I178" s="17"/>
      <c r="J178" s="17"/>
      <c r="K178" s="17"/>
      <c r="L178" s="17"/>
      <c r="M178" s="17"/>
      <c r="O178" s="17"/>
    </row>
    <row r="179" spans="5:15">
      <c r="E179" s="17"/>
      <c r="F179" s="17"/>
      <c r="G179" s="17"/>
      <c r="H179" s="17"/>
      <c r="I179" s="17"/>
      <c r="J179" s="17"/>
      <c r="K179" s="17"/>
      <c r="L179" s="17"/>
      <c r="M179" s="17"/>
      <c r="O179" s="17"/>
    </row>
    <row r="180" spans="5:15">
      <c r="E180" s="17"/>
      <c r="F180" s="17"/>
      <c r="G180" s="17"/>
      <c r="H180" s="17"/>
      <c r="I180" s="17"/>
      <c r="J180" s="17"/>
      <c r="K180" s="17"/>
      <c r="L180" s="17"/>
      <c r="M180" s="17"/>
      <c r="O180" s="17"/>
    </row>
    <row r="181" spans="5:15">
      <c r="E181" s="17"/>
      <c r="F181" s="17"/>
      <c r="G181" s="17"/>
      <c r="H181" s="17"/>
      <c r="I181" s="17"/>
      <c r="J181" s="17"/>
      <c r="K181" s="17"/>
      <c r="L181" s="17"/>
      <c r="M181" s="17"/>
      <c r="O181" s="17"/>
    </row>
    <row r="182" spans="5:15">
      <c r="E182" s="17"/>
      <c r="F182" s="17"/>
      <c r="G182" s="17"/>
      <c r="H182" s="17"/>
      <c r="I182" s="17"/>
      <c r="J182" s="17"/>
      <c r="K182" s="17"/>
      <c r="L182" s="17"/>
      <c r="M182" s="17"/>
      <c r="O182" s="17"/>
    </row>
    <row r="183" spans="5:15">
      <c r="E183" s="17"/>
      <c r="F183" s="17"/>
      <c r="G183" s="17"/>
      <c r="H183" s="17"/>
      <c r="I183" s="17"/>
      <c r="J183" s="17"/>
      <c r="K183" s="17"/>
      <c r="L183" s="17"/>
      <c r="M183" s="17"/>
      <c r="O183" s="17"/>
    </row>
    <row r="184" spans="5:15">
      <c r="E184" s="17"/>
      <c r="F184" s="17"/>
      <c r="G184" s="17"/>
      <c r="H184" s="17"/>
      <c r="I184" s="17"/>
      <c r="J184" s="17"/>
      <c r="K184" s="17"/>
      <c r="L184" s="17"/>
      <c r="M184" s="17"/>
      <c r="O184" s="17"/>
    </row>
    <row r="185" spans="5:15">
      <c r="E185" s="17"/>
      <c r="F185" s="17"/>
      <c r="G185" s="17"/>
      <c r="H185" s="17"/>
      <c r="I185" s="17"/>
      <c r="J185" s="17"/>
      <c r="K185" s="17"/>
      <c r="L185" s="17"/>
      <c r="M185" s="17"/>
      <c r="O185" s="17"/>
    </row>
    <row r="186" spans="5:15">
      <c r="E186" s="17"/>
      <c r="F186" s="17"/>
      <c r="G186" s="17"/>
      <c r="H186" s="17"/>
      <c r="I186" s="17"/>
      <c r="J186" s="17"/>
      <c r="K186" s="17"/>
      <c r="L186" s="17"/>
      <c r="M186" s="17"/>
      <c r="O186" s="17"/>
    </row>
    <row r="187" spans="5:15">
      <c r="E187" s="17"/>
      <c r="F187" s="17"/>
      <c r="G187" s="17"/>
      <c r="H187" s="17"/>
      <c r="I187" s="17"/>
      <c r="J187" s="17"/>
      <c r="K187" s="17"/>
      <c r="L187" s="17"/>
      <c r="M187" s="17"/>
      <c r="O187" s="17"/>
    </row>
    <row r="188" spans="5:15">
      <c r="E188" s="17"/>
      <c r="F188" s="17"/>
      <c r="G188" s="17"/>
      <c r="H188" s="17"/>
      <c r="I188" s="17"/>
      <c r="J188" s="17"/>
      <c r="K188" s="17"/>
      <c r="L188" s="17"/>
      <c r="M188" s="17"/>
      <c r="O188" s="17"/>
    </row>
    <row r="189" spans="5:15">
      <c r="E189" s="17"/>
      <c r="F189" s="17"/>
      <c r="G189" s="17"/>
      <c r="H189" s="17"/>
      <c r="I189" s="17"/>
      <c r="J189" s="17"/>
      <c r="K189" s="17"/>
      <c r="L189" s="17"/>
      <c r="M189" s="17"/>
      <c r="O189" s="17"/>
    </row>
    <row r="190" spans="5:15">
      <c r="E190" s="17"/>
      <c r="F190" s="17"/>
      <c r="G190" s="17"/>
      <c r="H190" s="17"/>
      <c r="I190" s="17"/>
      <c r="J190" s="17"/>
      <c r="K190" s="17"/>
      <c r="L190" s="17"/>
      <c r="M190" s="17"/>
      <c r="O190" s="17"/>
    </row>
    <row r="191" spans="5:15">
      <c r="E191" s="17"/>
      <c r="F191" s="17"/>
      <c r="G191" s="17"/>
      <c r="H191" s="17"/>
      <c r="I191" s="17"/>
      <c r="J191" s="17"/>
      <c r="K191" s="17"/>
      <c r="L191" s="17"/>
      <c r="M191" s="17"/>
      <c r="O191" s="17"/>
    </row>
    <row r="192" spans="5:15">
      <c r="E192" s="17"/>
      <c r="F192" s="17"/>
      <c r="G192" s="17"/>
      <c r="H192" s="17"/>
      <c r="I192" s="17"/>
      <c r="J192" s="17"/>
      <c r="K192" s="17"/>
      <c r="L192" s="17"/>
      <c r="M192" s="17"/>
      <c r="O192" s="17"/>
    </row>
    <row r="193" spans="5:15">
      <c r="E193" s="17"/>
      <c r="F193" s="17"/>
      <c r="G193" s="17"/>
      <c r="H193" s="17"/>
      <c r="I193" s="17"/>
      <c r="J193" s="17"/>
      <c r="K193" s="17"/>
      <c r="L193" s="17"/>
      <c r="M193" s="17"/>
      <c r="O193" s="17"/>
    </row>
    <row r="194" spans="5:15">
      <c r="E194" s="17"/>
      <c r="F194" s="17"/>
      <c r="G194" s="17"/>
      <c r="H194" s="17"/>
      <c r="I194" s="17"/>
      <c r="J194" s="17"/>
      <c r="K194" s="17"/>
      <c r="L194" s="17"/>
      <c r="M194" s="17"/>
      <c r="O194" s="17"/>
    </row>
    <row r="195" spans="5:15">
      <c r="E195" s="17"/>
      <c r="F195" s="17"/>
      <c r="G195" s="17"/>
      <c r="H195" s="17"/>
      <c r="I195" s="17"/>
      <c r="J195" s="17"/>
      <c r="K195" s="17"/>
      <c r="L195" s="17"/>
      <c r="M195" s="17"/>
      <c r="O195" s="17"/>
    </row>
    <row r="196" spans="5:15">
      <c r="E196" s="17"/>
      <c r="F196" s="17"/>
      <c r="G196" s="17"/>
      <c r="H196" s="17"/>
      <c r="I196" s="17"/>
      <c r="J196" s="17"/>
      <c r="K196" s="17"/>
      <c r="L196" s="17"/>
      <c r="M196" s="17"/>
      <c r="O196" s="17"/>
    </row>
    <row r="197" spans="5:15">
      <c r="E197" s="17"/>
      <c r="F197" s="17"/>
      <c r="G197" s="17"/>
      <c r="H197" s="17"/>
      <c r="I197" s="17"/>
      <c r="J197" s="17"/>
      <c r="K197" s="17"/>
      <c r="L197" s="17"/>
      <c r="M197" s="17"/>
      <c r="O197" s="17"/>
    </row>
    <row r="198" spans="5:15">
      <c r="E198" s="17"/>
      <c r="F198" s="17"/>
      <c r="G198" s="17"/>
      <c r="H198" s="17"/>
      <c r="I198" s="17"/>
      <c r="J198" s="17"/>
      <c r="K198" s="17"/>
      <c r="L198" s="17"/>
      <c r="M198" s="17"/>
      <c r="O198" s="17"/>
    </row>
    <row r="199" spans="5:15">
      <c r="E199" s="17"/>
      <c r="F199" s="17"/>
      <c r="G199" s="17"/>
      <c r="H199" s="17"/>
      <c r="I199" s="17"/>
      <c r="J199" s="17"/>
      <c r="K199" s="17"/>
      <c r="L199" s="17"/>
      <c r="M199" s="17"/>
      <c r="O199" s="17"/>
    </row>
    <row r="200" spans="5:15">
      <c r="E200" s="17"/>
      <c r="F200" s="17"/>
      <c r="G200" s="17"/>
      <c r="H200" s="17"/>
      <c r="I200" s="17"/>
      <c r="J200" s="17"/>
      <c r="K200" s="17"/>
      <c r="L200" s="17"/>
      <c r="M200" s="17"/>
      <c r="O200" s="17"/>
    </row>
    <row r="201" spans="5:15">
      <c r="E201" s="17"/>
      <c r="F201" s="17"/>
      <c r="G201" s="17"/>
      <c r="H201" s="17"/>
      <c r="I201" s="17"/>
      <c r="J201" s="17"/>
      <c r="K201" s="17"/>
      <c r="L201" s="17"/>
      <c r="M201" s="17"/>
      <c r="O201" s="17"/>
    </row>
    <row r="202" spans="5:15">
      <c r="E202" s="17"/>
      <c r="F202" s="17"/>
      <c r="G202" s="17"/>
      <c r="H202" s="17"/>
      <c r="I202" s="17"/>
      <c r="J202" s="17"/>
      <c r="K202" s="17"/>
      <c r="L202" s="17"/>
      <c r="M202" s="17"/>
      <c r="O202" s="17"/>
    </row>
    <row r="203" spans="5:15">
      <c r="E203" s="17"/>
      <c r="F203" s="17"/>
      <c r="G203" s="17"/>
      <c r="H203" s="17"/>
      <c r="I203" s="17"/>
      <c r="J203" s="17"/>
      <c r="K203" s="17"/>
      <c r="L203" s="17"/>
      <c r="M203" s="17"/>
      <c r="O203" s="17"/>
    </row>
    <row r="204" spans="5:15">
      <c r="E204" s="17"/>
      <c r="F204" s="17"/>
      <c r="G204" s="17"/>
      <c r="H204" s="17"/>
      <c r="I204" s="17"/>
      <c r="J204" s="17"/>
      <c r="K204" s="17"/>
      <c r="L204" s="17"/>
      <c r="M204" s="17"/>
      <c r="O204" s="17"/>
    </row>
    <row r="205" spans="5:15">
      <c r="E205" s="17"/>
      <c r="F205" s="17"/>
      <c r="G205" s="17"/>
      <c r="H205" s="17"/>
      <c r="I205" s="17"/>
      <c r="J205" s="17"/>
      <c r="K205" s="17"/>
      <c r="L205" s="17"/>
      <c r="M205" s="17"/>
      <c r="O205" s="17"/>
    </row>
    <row r="206" spans="5:15">
      <c r="E206" s="17"/>
      <c r="F206" s="17"/>
      <c r="G206" s="17"/>
      <c r="H206" s="17"/>
      <c r="I206" s="17"/>
      <c r="J206" s="17"/>
      <c r="K206" s="17"/>
      <c r="L206" s="17"/>
      <c r="M206" s="17"/>
      <c r="O206" s="17"/>
    </row>
    <row r="207" spans="5:15">
      <c r="E207" s="17"/>
      <c r="F207" s="17"/>
      <c r="G207" s="17"/>
      <c r="H207" s="17"/>
      <c r="I207" s="17"/>
      <c r="J207" s="17"/>
      <c r="K207" s="17"/>
      <c r="L207" s="17"/>
      <c r="M207" s="17"/>
      <c r="O207" s="17"/>
    </row>
    <row r="208" spans="5:15">
      <c r="E208" s="17"/>
      <c r="F208" s="17"/>
      <c r="G208" s="17"/>
      <c r="H208" s="17"/>
      <c r="I208" s="17"/>
      <c r="J208" s="17"/>
      <c r="K208" s="17"/>
      <c r="L208" s="17"/>
      <c r="M208" s="17"/>
      <c r="O208" s="17"/>
    </row>
    <row r="209" spans="5:15">
      <c r="E209" s="17"/>
      <c r="F209" s="17"/>
      <c r="G209" s="17"/>
      <c r="H209" s="17"/>
      <c r="I209" s="17"/>
      <c r="J209" s="17"/>
      <c r="K209" s="17"/>
      <c r="L209" s="17"/>
      <c r="M209" s="17"/>
      <c r="O209" s="17"/>
    </row>
    <row r="210" spans="5:15">
      <c r="E210" s="17"/>
      <c r="F210" s="17"/>
      <c r="G210" s="17"/>
      <c r="H210" s="17"/>
      <c r="I210" s="17"/>
      <c r="J210" s="17"/>
      <c r="K210" s="17"/>
      <c r="L210" s="17"/>
      <c r="M210" s="17"/>
      <c r="O210" s="17"/>
    </row>
    <row r="211" spans="5:15">
      <c r="E211" s="17"/>
      <c r="F211" s="17"/>
      <c r="G211" s="17"/>
      <c r="H211" s="17"/>
      <c r="I211" s="17"/>
      <c r="J211" s="17"/>
      <c r="K211" s="17"/>
      <c r="L211" s="17"/>
      <c r="M211" s="17"/>
      <c r="O211" s="17"/>
    </row>
    <row r="212" spans="5:15">
      <c r="E212" s="17"/>
      <c r="F212" s="17"/>
      <c r="G212" s="17"/>
      <c r="H212" s="17"/>
      <c r="I212" s="17"/>
      <c r="J212" s="17"/>
      <c r="K212" s="17"/>
      <c r="L212" s="17"/>
      <c r="M212" s="17"/>
      <c r="O212" s="17"/>
    </row>
    <row r="213" spans="5:15">
      <c r="E213" s="17"/>
      <c r="F213" s="17"/>
      <c r="G213" s="17"/>
      <c r="H213" s="17"/>
      <c r="I213" s="17"/>
      <c r="J213" s="17"/>
      <c r="K213" s="17"/>
      <c r="L213" s="17"/>
      <c r="M213" s="17"/>
      <c r="O213" s="17"/>
    </row>
    <row r="214" spans="5:15">
      <c r="E214" s="17"/>
      <c r="F214" s="17"/>
      <c r="G214" s="17"/>
      <c r="H214" s="17"/>
      <c r="I214" s="17"/>
      <c r="J214" s="17"/>
      <c r="K214" s="17"/>
      <c r="L214" s="17"/>
      <c r="M214" s="17"/>
      <c r="O214" s="17"/>
    </row>
    <row r="215" spans="5:15">
      <c r="E215" s="17"/>
      <c r="F215" s="17"/>
      <c r="G215" s="17"/>
      <c r="H215" s="17"/>
      <c r="I215" s="17"/>
      <c r="J215" s="17"/>
      <c r="K215" s="17"/>
      <c r="L215" s="17"/>
      <c r="M215" s="17"/>
      <c r="O215" s="17"/>
    </row>
    <row r="216" spans="5:15">
      <c r="E216" s="17"/>
      <c r="F216" s="17"/>
      <c r="G216" s="17"/>
      <c r="H216" s="17"/>
      <c r="I216" s="17"/>
      <c r="J216" s="17"/>
      <c r="K216" s="17"/>
      <c r="L216" s="17"/>
      <c r="M216" s="17"/>
      <c r="O216" s="17"/>
    </row>
    <row r="217" spans="5:15">
      <c r="E217" s="17"/>
      <c r="F217" s="17"/>
      <c r="G217" s="17"/>
      <c r="H217" s="17"/>
      <c r="I217" s="17"/>
      <c r="J217" s="17"/>
      <c r="K217" s="17"/>
      <c r="L217" s="17"/>
      <c r="M217" s="17"/>
      <c r="O217" s="17"/>
    </row>
    <row r="218" spans="5:15">
      <c r="E218" s="17"/>
      <c r="F218" s="17"/>
      <c r="G218" s="17"/>
      <c r="H218" s="17"/>
      <c r="I218" s="17"/>
      <c r="J218" s="17"/>
      <c r="K218" s="17"/>
      <c r="L218" s="17"/>
      <c r="M218" s="17"/>
      <c r="O218" s="17"/>
    </row>
    <row r="219" spans="5:15">
      <c r="E219" s="17"/>
      <c r="F219" s="17"/>
      <c r="G219" s="17"/>
      <c r="H219" s="17"/>
      <c r="I219" s="17"/>
      <c r="J219" s="17"/>
      <c r="K219" s="17"/>
      <c r="L219" s="17"/>
      <c r="M219" s="17"/>
      <c r="O219" s="17"/>
    </row>
    <row r="220" spans="5:15">
      <c r="E220" s="17"/>
      <c r="F220" s="17"/>
      <c r="G220" s="17"/>
      <c r="H220" s="17"/>
      <c r="I220" s="17"/>
      <c r="J220" s="17"/>
      <c r="K220" s="17"/>
      <c r="L220" s="17"/>
      <c r="M220" s="17"/>
      <c r="O220" s="17"/>
    </row>
    <row r="221" spans="5:15">
      <c r="E221" s="17"/>
      <c r="F221" s="17"/>
      <c r="G221" s="17"/>
      <c r="H221" s="17"/>
      <c r="I221" s="17"/>
      <c r="J221" s="17"/>
      <c r="K221" s="17"/>
      <c r="L221" s="17"/>
      <c r="M221" s="17"/>
      <c r="O221" s="17"/>
    </row>
    <row r="222" spans="5:15">
      <c r="E222" s="17"/>
      <c r="F222" s="17"/>
      <c r="G222" s="17"/>
      <c r="H222" s="17"/>
      <c r="I222" s="17"/>
      <c r="J222" s="17"/>
      <c r="K222" s="17"/>
      <c r="L222" s="17"/>
      <c r="M222" s="17"/>
      <c r="O222" s="17"/>
    </row>
    <row r="223" spans="5:15">
      <c r="E223" s="17"/>
      <c r="F223" s="17"/>
      <c r="G223" s="17"/>
      <c r="H223" s="17"/>
      <c r="I223" s="17"/>
      <c r="J223" s="17"/>
      <c r="K223" s="17"/>
      <c r="L223" s="17"/>
      <c r="M223" s="17"/>
      <c r="O223" s="17"/>
    </row>
    <row r="224" spans="5:15">
      <c r="E224" s="17"/>
      <c r="F224" s="17"/>
      <c r="G224" s="17"/>
      <c r="H224" s="17"/>
      <c r="I224" s="17"/>
      <c r="J224" s="17"/>
      <c r="K224" s="17"/>
      <c r="L224" s="17"/>
      <c r="M224" s="17"/>
      <c r="O224" s="17"/>
    </row>
    <row r="225" spans="5:15">
      <c r="E225" s="17"/>
      <c r="F225" s="17"/>
      <c r="G225" s="17"/>
      <c r="H225" s="17"/>
      <c r="I225" s="17"/>
      <c r="J225" s="17"/>
      <c r="K225" s="17"/>
      <c r="L225" s="17"/>
      <c r="M225" s="17"/>
      <c r="O225" s="17"/>
    </row>
    <row r="226" spans="5:15">
      <c r="E226" s="17"/>
      <c r="F226" s="17"/>
      <c r="G226" s="17"/>
      <c r="H226" s="17"/>
      <c r="I226" s="17"/>
      <c r="J226" s="17"/>
      <c r="K226" s="17"/>
      <c r="L226" s="17"/>
      <c r="M226" s="17"/>
      <c r="O226" s="17"/>
    </row>
    <row r="227" spans="5:15">
      <c r="E227" s="17"/>
      <c r="F227" s="17"/>
      <c r="G227" s="17"/>
      <c r="H227" s="17"/>
      <c r="I227" s="17"/>
      <c r="J227" s="17"/>
      <c r="K227" s="17"/>
      <c r="L227" s="17"/>
      <c r="M227" s="17"/>
      <c r="O227" s="17"/>
    </row>
    <row r="228" spans="5:15">
      <c r="E228" s="17"/>
      <c r="F228" s="17"/>
      <c r="G228" s="17"/>
      <c r="H228" s="17"/>
      <c r="I228" s="17"/>
      <c r="J228" s="17"/>
      <c r="K228" s="17"/>
      <c r="L228" s="17"/>
      <c r="M228" s="17"/>
      <c r="O228" s="17"/>
    </row>
    <row r="229" spans="5:15">
      <c r="E229" s="17"/>
      <c r="F229" s="17"/>
      <c r="G229" s="17"/>
      <c r="H229" s="17"/>
      <c r="I229" s="17"/>
      <c r="J229" s="17"/>
      <c r="K229" s="17"/>
      <c r="L229" s="17"/>
      <c r="M229" s="17"/>
      <c r="O229" s="17"/>
    </row>
    <row r="230" spans="5:15">
      <c r="E230" s="17"/>
      <c r="F230" s="17"/>
      <c r="G230" s="17"/>
      <c r="H230" s="17"/>
      <c r="I230" s="17"/>
      <c r="J230" s="17"/>
      <c r="K230" s="17"/>
      <c r="L230" s="17"/>
      <c r="M230" s="17"/>
      <c r="O230" s="17"/>
    </row>
    <row r="231" spans="5:15">
      <c r="E231" s="17"/>
      <c r="F231" s="17"/>
      <c r="G231" s="17"/>
      <c r="H231" s="17"/>
      <c r="I231" s="17"/>
      <c r="J231" s="17"/>
      <c r="K231" s="17"/>
      <c r="L231" s="17"/>
      <c r="M231" s="17"/>
      <c r="O231" s="17"/>
    </row>
    <row r="232" spans="5:15">
      <c r="E232" s="17"/>
      <c r="F232" s="17"/>
      <c r="G232" s="17"/>
      <c r="H232" s="17"/>
      <c r="I232" s="17"/>
      <c r="J232" s="17"/>
      <c r="K232" s="17"/>
      <c r="L232" s="17"/>
      <c r="M232" s="17"/>
      <c r="O232" s="17"/>
    </row>
    <row r="233" spans="5:15">
      <c r="E233" s="17"/>
      <c r="F233" s="17"/>
      <c r="G233" s="17"/>
      <c r="H233" s="17"/>
      <c r="I233" s="17"/>
      <c r="J233" s="17"/>
      <c r="K233" s="17"/>
      <c r="L233" s="17"/>
      <c r="M233" s="17"/>
      <c r="O233" s="17"/>
    </row>
    <row r="234" spans="5:15">
      <c r="E234" s="17"/>
      <c r="F234" s="17"/>
      <c r="G234" s="17"/>
      <c r="H234" s="17"/>
      <c r="I234" s="17"/>
      <c r="J234" s="17"/>
      <c r="K234" s="17"/>
      <c r="L234" s="17"/>
      <c r="M234" s="17"/>
      <c r="O234" s="17"/>
    </row>
    <row r="235" spans="5:15">
      <c r="E235" s="17"/>
      <c r="F235" s="17"/>
      <c r="G235" s="17"/>
      <c r="H235" s="17"/>
      <c r="I235" s="17"/>
      <c r="J235" s="17"/>
      <c r="K235" s="17"/>
      <c r="L235" s="17"/>
      <c r="M235" s="17"/>
      <c r="O235" s="17"/>
    </row>
    <row r="236" spans="5:15">
      <c r="E236" s="17"/>
      <c r="F236" s="17"/>
      <c r="G236" s="17"/>
      <c r="H236" s="17"/>
      <c r="I236" s="17"/>
      <c r="J236" s="17"/>
      <c r="K236" s="17"/>
      <c r="L236" s="17"/>
      <c r="M236" s="17"/>
      <c r="O236" s="17"/>
    </row>
    <row r="237" spans="5:15">
      <c r="E237" s="17"/>
      <c r="F237" s="17"/>
      <c r="G237" s="17"/>
      <c r="H237" s="17"/>
      <c r="I237" s="17"/>
      <c r="J237" s="17"/>
      <c r="K237" s="17"/>
      <c r="L237" s="17"/>
      <c r="M237" s="17"/>
      <c r="O237" s="17"/>
    </row>
    <row r="238" spans="5:15">
      <c r="E238" s="17"/>
      <c r="F238" s="17"/>
      <c r="G238" s="17"/>
      <c r="H238" s="17"/>
      <c r="I238" s="17"/>
      <c r="J238" s="17"/>
      <c r="K238" s="17"/>
      <c r="L238" s="17"/>
      <c r="M238" s="17"/>
      <c r="O238" s="17"/>
    </row>
    <row r="239" spans="5:15">
      <c r="E239" s="17"/>
      <c r="F239" s="17"/>
      <c r="G239" s="17"/>
      <c r="H239" s="17"/>
      <c r="I239" s="17"/>
      <c r="J239" s="17"/>
      <c r="K239" s="17"/>
      <c r="L239" s="17"/>
      <c r="M239" s="17"/>
      <c r="O239" s="17"/>
    </row>
    <row r="240" spans="5:15">
      <c r="E240" s="17"/>
      <c r="F240" s="17"/>
      <c r="G240" s="17"/>
      <c r="H240" s="17"/>
      <c r="I240" s="17"/>
      <c r="J240" s="17"/>
      <c r="K240" s="17"/>
      <c r="L240" s="17"/>
      <c r="M240" s="17"/>
      <c r="O240" s="17"/>
    </row>
    <row r="241" spans="5:15">
      <c r="E241" s="17"/>
      <c r="F241" s="17"/>
      <c r="G241" s="17"/>
      <c r="H241" s="17"/>
      <c r="I241" s="17"/>
      <c r="J241" s="17"/>
      <c r="K241" s="17"/>
      <c r="L241" s="17"/>
      <c r="M241" s="17"/>
      <c r="O241" s="17"/>
    </row>
    <row r="242" spans="5:15">
      <c r="E242" s="17"/>
      <c r="F242" s="17"/>
      <c r="G242" s="17"/>
      <c r="H242" s="17"/>
      <c r="I242" s="17"/>
      <c r="J242" s="17"/>
      <c r="K242" s="17"/>
      <c r="L242" s="17"/>
      <c r="M242" s="17"/>
      <c r="O242" s="17"/>
    </row>
    <row r="243" spans="5:15">
      <c r="E243" s="17"/>
      <c r="F243" s="17"/>
      <c r="G243" s="17"/>
      <c r="H243" s="17"/>
      <c r="I243" s="17"/>
      <c r="J243" s="17"/>
      <c r="K243" s="17"/>
      <c r="L243" s="17"/>
      <c r="M243" s="17"/>
      <c r="O243" s="17"/>
    </row>
    <row r="244" spans="5:15">
      <c r="E244" s="17"/>
      <c r="F244" s="17"/>
      <c r="G244" s="17"/>
      <c r="H244" s="17"/>
      <c r="I244" s="17"/>
      <c r="J244" s="17"/>
      <c r="K244" s="17"/>
      <c r="L244" s="17"/>
      <c r="M244" s="17"/>
      <c r="O244" s="17"/>
    </row>
  </sheetData>
  <mergeCells count="3">
    <mergeCell ref="C3:E3"/>
    <mergeCell ref="C4:E4"/>
    <mergeCell ref="C5:E5"/>
  </mergeCells>
  <phoneticPr fontId="0" type="noConversion"/>
  <pageMargins left="1" right="0.21" top="0.75" bottom="0.78" header="0.25" footer="0.25"/>
  <pageSetup scale="80" orientation="landscape" r:id="rId1"/>
  <headerFooter alignWithMargins="0">
    <oddFooter>&amp;LBench Request No. 11 -Attachment E&amp;RPage: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P141"/>
  <sheetViews>
    <sheetView zoomScaleNormal="100" workbookViewId="0">
      <pane ySplit="8" topLeftCell="A9" activePane="bottomLeft" state="frozen"/>
      <selection activeCell="J16" sqref="J16"/>
      <selection pane="bottomLeft" activeCell="G142" sqref="G142"/>
    </sheetView>
  </sheetViews>
  <sheetFormatPr defaultColWidth="9.33203125" defaultRowHeight="12.75" outlineLevelRow="2"/>
  <cols>
    <col min="1" max="1" width="20.83203125" style="2" customWidth="1"/>
    <col min="2" max="2" width="15.6640625" style="2" customWidth="1"/>
    <col min="3" max="3" width="13.1640625" style="2" customWidth="1"/>
    <col min="4" max="4" width="2.33203125" style="11" customWidth="1"/>
    <col min="5" max="5" width="13.1640625" style="2" customWidth="1"/>
    <col min="6" max="6" width="14.1640625" style="2" customWidth="1"/>
    <col min="7" max="7" width="13.83203125" style="2" customWidth="1"/>
    <col min="8" max="8" width="3.5" style="2" customWidth="1"/>
    <col min="9" max="9" width="13.83203125" style="2" customWidth="1"/>
    <col min="10" max="10" width="13.1640625" style="2" customWidth="1"/>
    <col min="11" max="11" width="2.83203125" style="24" customWidth="1"/>
    <col min="12" max="12" width="13.83203125" style="2" customWidth="1"/>
    <col min="13" max="13" width="1.83203125" style="11" customWidth="1"/>
    <col min="14" max="14" width="4.5" style="2" customWidth="1"/>
    <col min="15" max="16" width="9.33203125" style="2"/>
    <col min="17" max="17" width="16.6640625" style="2" customWidth="1"/>
    <col min="18" max="16384" width="9.33203125" style="2"/>
  </cols>
  <sheetData>
    <row r="1" spans="1:16">
      <c r="A1" s="30" t="s">
        <v>23</v>
      </c>
    </row>
    <row r="2" spans="1:16">
      <c r="A2" s="1" t="s">
        <v>111</v>
      </c>
    </row>
    <row r="3" spans="1:16">
      <c r="A3" s="1" t="s">
        <v>98</v>
      </c>
    </row>
    <row r="4" spans="1:16">
      <c r="A4" s="1"/>
    </row>
    <row r="6" spans="1:16" ht="13.5" thickBot="1"/>
    <row r="7" spans="1:16">
      <c r="A7" s="9"/>
      <c r="F7" s="9" t="s">
        <v>15</v>
      </c>
      <c r="G7" s="145" t="s">
        <v>0</v>
      </c>
      <c r="H7" s="12"/>
      <c r="I7" s="9" t="s">
        <v>14</v>
      </c>
      <c r="J7" s="9" t="s">
        <v>15</v>
      </c>
      <c r="K7" s="33"/>
      <c r="L7" s="145" t="s">
        <v>0</v>
      </c>
      <c r="M7" s="12"/>
      <c r="N7" s="9"/>
      <c r="O7" s="9"/>
      <c r="P7" s="9"/>
    </row>
    <row r="8" spans="1:16" ht="25.5">
      <c r="A8" s="9"/>
      <c r="B8" s="110" t="s">
        <v>0</v>
      </c>
      <c r="C8" s="110" t="s">
        <v>166</v>
      </c>
      <c r="D8" s="110"/>
      <c r="E8" s="110" t="s">
        <v>167</v>
      </c>
      <c r="F8" s="10" t="s">
        <v>99</v>
      </c>
      <c r="G8" s="146" t="s">
        <v>99</v>
      </c>
      <c r="H8" s="10"/>
      <c r="I8" s="10" t="s">
        <v>100</v>
      </c>
      <c r="J8" s="10" t="s">
        <v>100</v>
      </c>
      <c r="K8" s="34"/>
      <c r="L8" s="146" t="s">
        <v>100</v>
      </c>
      <c r="M8" s="12"/>
      <c r="N8" s="9"/>
      <c r="O8" s="9"/>
      <c r="P8" s="9"/>
    </row>
    <row r="9" spans="1:16" hidden="1" outlineLevel="1">
      <c r="A9" s="2" t="s">
        <v>31</v>
      </c>
      <c r="B9" s="11"/>
      <c r="C9" s="11"/>
      <c r="E9" s="11"/>
      <c r="G9" s="147"/>
      <c r="H9" s="11"/>
      <c r="L9" s="147"/>
    </row>
    <row r="10" spans="1:16" hidden="1" outlineLevel="1">
      <c r="A10" s="2" t="s">
        <v>32</v>
      </c>
      <c r="B10" s="11"/>
      <c r="C10" s="11"/>
      <c r="E10" s="11"/>
      <c r="G10" s="147"/>
      <c r="H10" s="11"/>
      <c r="L10" s="147"/>
    </row>
    <row r="11" spans="1:16" hidden="1" outlineLevel="1">
      <c r="A11" s="1">
        <v>500</v>
      </c>
      <c r="B11" s="7">
        <f>VLOOKUP(A11,'Total Electric Download'!$A$6:$E$85,5,0)</f>
        <v>150979</v>
      </c>
      <c r="C11" s="7">
        <f>SUMIF('Total Electric Download'!A:A,A11,'Total Electric Download'!B:B)</f>
        <v>150979</v>
      </c>
      <c r="D11" s="7"/>
      <c r="E11" s="7">
        <f>SUMIF('Total Electric Download'!A:A,A11,'Total Electric Download'!D:D)</f>
        <v>0</v>
      </c>
      <c r="F11" s="6">
        <f>C11*$C$128</f>
        <v>99238.5</v>
      </c>
      <c r="G11" s="148">
        <f t="shared" ref="G11:G21" si="0">E11+F11</f>
        <v>99238.5</v>
      </c>
      <c r="H11" s="7"/>
      <c r="I11" s="6">
        <f>SUMIF('Total Electric Download'!A:A,A11,'Total Electric Download'!C:C)</f>
        <v>0</v>
      </c>
      <c r="J11" s="6">
        <f>$C11*$E$128</f>
        <v>51740.5</v>
      </c>
      <c r="K11" s="67"/>
      <c r="L11" s="148">
        <f>I11+J11+K11</f>
        <v>51740.5</v>
      </c>
      <c r="M11" s="7"/>
    </row>
    <row r="12" spans="1:16" hidden="1" outlineLevel="1">
      <c r="A12" s="1">
        <v>501</v>
      </c>
      <c r="B12" s="7">
        <f>'Total Electric Download'!E7</f>
        <v>815943</v>
      </c>
      <c r="C12" s="7">
        <f>'Total Electric Download'!B7</f>
        <v>815943</v>
      </c>
      <c r="D12" s="7"/>
      <c r="E12" s="7">
        <f>SUMIF('Total Electric Download'!A:A,A12,'Total Electric Download'!D:D)</f>
        <v>0</v>
      </c>
      <c r="F12" s="6">
        <f t="shared" ref="F12:F21" si="1">C12*$C$128</f>
        <v>536319.32999999996</v>
      </c>
      <c r="G12" s="148">
        <f t="shared" si="0"/>
        <v>536319.32999999996</v>
      </c>
      <c r="H12" s="7"/>
      <c r="I12" s="6">
        <f>SUMIF('Total Electric Download'!A:A,A12,'Total Electric Download'!C:C)</f>
        <v>0</v>
      </c>
      <c r="J12" s="6">
        <f t="shared" ref="J12:J21" si="2">C12*$E$128</f>
        <v>279623.67</v>
      </c>
      <c r="K12" s="67"/>
      <c r="L12" s="148">
        <f t="shared" ref="L12:L21" si="3">I12+J12+K12</f>
        <v>279623.67</v>
      </c>
      <c r="M12" s="7"/>
    </row>
    <row r="13" spans="1:16" hidden="1" outlineLevel="1">
      <c r="A13" s="1">
        <v>502</v>
      </c>
      <c r="B13" s="7">
        <f>VLOOKUP(A13,'Total Electric Download'!$A$6:$E$85,5,0)</f>
        <v>503663</v>
      </c>
      <c r="C13" s="7">
        <f>SUMIF('Total Electric Download'!A:A,A13,'Total Electric Download'!B:B)</f>
        <v>503663</v>
      </c>
      <c r="D13" s="7"/>
      <c r="E13" s="7">
        <f>SUMIF('Total Electric Download'!A:A,A13,'Total Electric Download'!D:D)</f>
        <v>0</v>
      </c>
      <c r="F13" s="6">
        <f t="shared" si="1"/>
        <v>331057.69</v>
      </c>
      <c r="G13" s="148">
        <f t="shared" si="0"/>
        <v>331057.69</v>
      </c>
      <c r="H13" s="7"/>
      <c r="I13" s="6">
        <f>SUMIF('Total Electric Download'!A:A,A13,'Total Electric Download'!C:C)</f>
        <v>0</v>
      </c>
      <c r="J13" s="6">
        <f t="shared" si="2"/>
        <v>172605.31</v>
      </c>
      <c r="K13" s="67"/>
      <c r="L13" s="148">
        <f t="shared" si="3"/>
        <v>172605.31</v>
      </c>
      <c r="M13" s="7"/>
    </row>
    <row r="14" spans="1:16" hidden="1" outlineLevel="1">
      <c r="A14" s="1">
        <v>505</v>
      </c>
      <c r="B14" s="7">
        <f>VLOOKUP(A14,'Total Electric Download'!$A$6:$E$85,5,0)</f>
        <v>512963</v>
      </c>
      <c r="C14" s="7">
        <f>SUMIF('Total Electric Download'!A:A,A14,'Total Electric Download'!B:B)</f>
        <v>512963</v>
      </c>
      <c r="D14" s="7"/>
      <c r="E14" s="7">
        <f>SUMIF('Total Electric Download'!A:A,A14,'Total Electric Download'!D:D)</f>
        <v>0</v>
      </c>
      <c r="F14" s="6">
        <f t="shared" si="1"/>
        <v>337170.58</v>
      </c>
      <c r="G14" s="148">
        <f t="shared" si="0"/>
        <v>337170.58</v>
      </c>
      <c r="H14" s="7"/>
      <c r="I14" s="6">
        <f>SUMIF('Total Electric Download'!A:A,A14,'Total Electric Download'!C:C)</f>
        <v>0</v>
      </c>
      <c r="J14" s="6">
        <f t="shared" si="2"/>
        <v>175792.42</v>
      </c>
      <c r="K14" s="67"/>
      <c r="L14" s="148">
        <f t="shared" si="3"/>
        <v>175792.42</v>
      </c>
      <c r="M14" s="7"/>
    </row>
    <row r="15" spans="1:16" hidden="1" outlineLevel="1">
      <c r="A15" s="1">
        <v>506</v>
      </c>
      <c r="B15" s="7">
        <f>VLOOKUP(A15,'Total Electric Download'!$A$6:$E$85,5,0)</f>
        <v>286150</v>
      </c>
      <c r="C15" s="7">
        <f>SUMIF('Total Electric Download'!A:A,A15,'Total Electric Download'!B:B)</f>
        <v>286150</v>
      </c>
      <c r="D15" s="7"/>
      <c r="E15" s="7">
        <f>SUMIF('Total Electric Download'!A:A,A15,'Total Electric Download'!D:D)</f>
        <v>0</v>
      </c>
      <c r="F15" s="6">
        <f t="shared" si="1"/>
        <v>188086.39999999999</v>
      </c>
      <c r="G15" s="148">
        <f t="shared" si="0"/>
        <v>188086.39999999999</v>
      </c>
      <c r="H15" s="7"/>
      <c r="I15" s="6">
        <f>SUMIF('Total Electric Download'!A:A,A15,'Total Electric Download'!C:C)</f>
        <v>0</v>
      </c>
      <c r="J15" s="6">
        <f t="shared" si="2"/>
        <v>98063.61</v>
      </c>
      <c r="K15" s="67"/>
      <c r="L15" s="148">
        <f t="shared" si="3"/>
        <v>98063.61</v>
      </c>
      <c r="M15" s="7"/>
    </row>
    <row r="16" spans="1:16" hidden="1" outlineLevel="1">
      <c r="A16" s="1">
        <v>507</v>
      </c>
      <c r="B16" s="7">
        <v>0</v>
      </c>
      <c r="C16" s="7">
        <f>SUMIF('Total Electric Download'!A:A,A16,'Total Electric Download'!B:B)</f>
        <v>0</v>
      </c>
      <c r="D16" s="7"/>
      <c r="E16" s="7">
        <v>0</v>
      </c>
      <c r="F16" s="6">
        <f t="shared" si="1"/>
        <v>0</v>
      </c>
      <c r="G16" s="148">
        <f t="shared" si="0"/>
        <v>0</v>
      </c>
      <c r="H16" s="7"/>
      <c r="I16" s="6">
        <v>0</v>
      </c>
      <c r="J16" s="6">
        <f t="shared" si="2"/>
        <v>0</v>
      </c>
      <c r="K16" s="67"/>
      <c r="L16" s="148">
        <f t="shared" si="3"/>
        <v>0</v>
      </c>
      <c r="M16" s="7"/>
    </row>
    <row r="17" spans="1:13" hidden="1" outlineLevel="1">
      <c r="A17" s="1">
        <v>510</v>
      </c>
      <c r="B17" s="7">
        <f>VLOOKUP(A17,'Total Electric Download'!$A$6:$E$85,5,0)</f>
        <v>96116</v>
      </c>
      <c r="C17" s="7">
        <f>SUMIF('Total Electric Download'!A:A,A17,'Total Electric Download'!B:B)</f>
        <v>96116</v>
      </c>
      <c r="D17" s="7"/>
      <c r="E17" s="7">
        <f>SUMIF('Total Electric Download'!A:A,A17,'Total Electric Download'!D:D)</f>
        <v>0</v>
      </c>
      <c r="F17" s="6">
        <f t="shared" si="1"/>
        <v>63177.05</v>
      </c>
      <c r="G17" s="148">
        <f t="shared" si="0"/>
        <v>63177.05</v>
      </c>
      <c r="H17" s="7"/>
      <c r="I17" s="6">
        <f>SUMIF('Total Electric Download'!A:A,A17,'Total Electric Download'!C:C)</f>
        <v>0</v>
      </c>
      <c r="J17" s="6">
        <f t="shared" si="2"/>
        <v>32938.949999999997</v>
      </c>
      <c r="K17" s="67"/>
      <c r="L17" s="148">
        <f t="shared" si="3"/>
        <v>32938.949999999997</v>
      </c>
      <c r="M17" s="7"/>
    </row>
    <row r="18" spans="1:13" hidden="1" outlineLevel="1">
      <c r="A18" s="1">
        <v>511</v>
      </c>
      <c r="B18" s="7">
        <f>VLOOKUP(A18,'Total Electric Download'!$A$6:$E$85,5,0)</f>
        <v>10533</v>
      </c>
      <c r="C18" s="7">
        <f>SUMIF('Total Electric Download'!A:A,A18,'Total Electric Download'!B:B)</f>
        <v>10533</v>
      </c>
      <c r="D18" s="7"/>
      <c r="E18" s="7">
        <f>SUMIF('Total Electric Download'!A:A,A18,'Total Electric Download'!D:D)</f>
        <v>0</v>
      </c>
      <c r="F18" s="6">
        <f t="shared" si="1"/>
        <v>6923.34</v>
      </c>
      <c r="G18" s="148">
        <f t="shared" si="0"/>
        <v>6923.34</v>
      </c>
      <c r="H18" s="7"/>
      <c r="I18" s="6">
        <f>SUMIF('Total Electric Download'!A:A,A18,'Total Electric Download'!C:C)</f>
        <v>0</v>
      </c>
      <c r="J18" s="6">
        <f t="shared" si="2"/>
        <v>3609.66</v>
      </c>
      <c r="K18" s="67"/>
      <c r="L18" s="148">
        <f t="shared" si="3"/>
        <v>3609.66</v>
      </c>
      <c r="M18" s="7"/>
    </row>
    <row r="19" spans="1:13" hidden="1" outlineLevel="1">
      <c r="A19" s="1">
        <v>512</v>
      </c>
      <c r="B19" s="7">
        <f>VLOOKUP(A19,'Total Electric Download'!$A$6:$E$85,5,0)</f>
        <v>686924</v>
      </c>
      <c r="C19" s="7">
        <f>SUMIF('Total Electric Download'!A:A,A19,'Total Electric Download'!B:B)</f>
        <v>686924</v>
      </c>
      <c r="D19" s="7"/>
      <c r="E19" s="7">
        <f>SUMIF('Total Electric Download'!A:A,A19,'Total Electric Download'!D:D)</f>
        <v>0</v>
      </c>
      <c r="F19" s="6">
        <f t="shared" si="1"/>
        <v>451515.15</v>
      </c>
      <c r="G19" s="148">
        <f t="shared" si="0"/>
        <v>451515.15</v>
      </c>
      <c r="H19" s="7"/>
      <c r="I19" s="6">
        <f>SUMIF('Total Electric Download'!A:A,A19,'Total Electric Download'!C:C)</f>
        <v>0</v>
      </c>
      <c r="J19" s="6">
        <f t="shared" si="2"/>
        <v>235408.85</v>
      </c>
      <c r="K19" s="67"/>
      <c r="L19" s="148">
        <f t="shared" si="3"/>
        <v>235408.85</v>
      </c>
      <c r="M19" s="7"/>
    </row>
    <row r="20" spans="1:13" hidden="1" outlineLevel="1">
      <c r="A20" s="1">
        <v>513</v>
      </c>
      <c r="B20" s="7">
        <f>VLOOKUP(A20,'Total Electric Download'!$A$6:$E$85,5,0)</f>
        <v>71383</v>
      </c>
      <c r="C20" s="7">
        <f>SUMIF('Total Electric Download'!A:A,A20,'Total Electric Download'!B:B)</f>
        <v>71383</v>
      </c>
      <c r="D20" s="7"/>
      <c r="E20" s="7">
        <f>SUMIF('Total Electric Download'!A:A,A20,'Total Electric Download'!D:D)</f>
        <v>0</v>
      </c>
      <c r="F20" s="6">
        <f t="shared" si="1"/>
        <v>46920.05</v>
      </c>
      <c r="G20" s="148">
        <f t="shared" si="0"/>
        <v>46920.05</v>
      </c>
      <c r="H20" s="7"/>
      <c r="I20" s="6">
        <f>SUMIF('Total Electric Download'!A:A,A20,'Total Electric Download'!C:C)</f>
        <v>0</v>
      </c>
      <c r="J20" s="6">
        <f t="shared" si="2"/>
        <v>24462.95</v>
      </c>
      <c r="K20" s="67"/>
      <c r="L20" s="148">
        <f t="shared" si="3"/>
        <v>24462.95</v>
      </c>
      <c r="M20" s="7"/>
    </row>
    <row r="21" spans="1:13" hidden="1" outlineLevel="1">
      <c r="A21" s="1">
        <v>514</v>
      </c>
      <c r="B21" s="7">
        <f>VLOOKUP(A21,'Total Electric Download'!$A$6:$E$85,5,0)</f>
        <v>139172</v>
      </c>
      <c r="C21" s="7">
        <f>SUMIF('Total Electric Download'!A:A,A21,'Total Electric Download'!B:B)</f>
        <v>139172</v>
      </c>
      <c r="D21" s="7"/>
      <c r="E21" s="7">
        <f>SUMIF('Total Electric Download'!A:A,A21,'Total Electric Download'!D:D)</f>
        <v>0</v>
      </c>
      <c r="F21" s="6">
        <f t="shared" si="1"/>
        <v>91477.759999999995</v>
      </c>
      <c r="G21" s="148">
        <f t="shared" si="0"/>
        <v>91477.759999999995</v>
      </c>
      <c r="H21" s="7"/>
      <c r="I21" s="6">
        <f>SUMIF('Total Electric Download'!A:A,A21,'Total Electric Download'!C:C)</f>
        <v>0</v>
      </c>
      <c r="J21" s="6">
        <f t="shared" si="2"/>
        <v>47694.239999999998</v>
      </c>
      <c r="K21" s="67"/>
      <c r="L21" s="148">
        <f t="shared" si="3"/>
        <v>47694.239999999998</v>
      </c>
      <c r="M21" s="7"/>
    </row>
    <row r="22" spans="1:13" hidden="1" outlineLevel="1">
      <c r="A22" s="2" t="s">
        <v>42</v>
      </c>
      <c r="B22" s="37">
        <f>SUM(B11:B21)</f>
        <v>3273826</v>
      </c>
      <c r="C22" s="37">
        <f t="shared" ref="C22:J22" si="4">SUM(C11:C21)</f>
        <v>3273826</v>
      </c>
      <c r="D22" s="93"/>
      <c r="E22" s="37">
        <f t="shared" si="4"/>
        <v>0</v>
      </c>
      <c r="F22" s="37">
        <f t="shared" si="4"/>
        <v>2151885.85</v>
      </c>
      <c r="G22" s="149">
        <f t="shared" si="4"/>
        <v>2151885.85</v>
      </c>
      <c r="H22" s="37"/>
      <c r="I22" s="37">
        <f t="shared" si="4"/>
        <v>0</v>
      </c>
      <c r="J22" s="37">
        <f t="shared" si="4"/>
        <v>1121940.1599999999</v>
      </c>
      <c r="K22" s="68"/>
      <c r="L22" s="149">
        <f>SUM(L11:L21)</f>
        <v>1121940.1599999999</v>
      </c>
      <c r="M22" s="7"/>
    </row>
    <row r="23" spans="1:13" ht="11.1" hidden="1" customHeight="1" outlineLevel="1">
      <c r="B23" s="7"/>
      <c r="C23" s="7"/>
      <c r="D23" s="7"/>
      <c r="E23" s="7"/>
      <c r="F23" s="6"/>
      <c r="G23" s="148"/>
      <c r="H23" s="7"/>
      <c r="I23" s="6"/>
      <c r="J23" s="6"/>
      <c r="K23" s="67"/>
      <c r="L23" s="148"/>
      <c r="M23" s="7"/>
    </row>
    <row r="24" spans="1:13" hidden="1" outlineLevel="1">
      <c r="A24" s="2" t="s">
        <v>43</v>
      </c>
      <c r="B24" s="7"/>
      <c r="C24" s="7"/>
      <c r="D24" s="7"/>
      <c r="E24" s="7"/>
      <c r="F24" s="6"/>
      <c r="G24" s="148"/>
      <c r="H24" s="7"/>
      <c r="I24" s="6"/>
      <c r="J24" s="6"/>
      <c r="K24" s="67"/>
      <c r="L24" s="148"/>
      <c r="M24" s="7"/>
    </row>
    <row r="25" spans="1:13" hidden="1" outlineLevel="1">
      <c r="A25" s="1">
        <v>535</v>
      </c>
      <c r="B25" s="7">
        <f>VLOOKUP(A25,'Total Electric Download'!$A$6:$E$85,5,0)</f>
        <v>1272233</v>
      </c>
      <c r="C25" s="7">
        <f>SUMIF('Total Electric Download'!A:A,A25,'Total Electric Download'!B:B)</f>
        <v>1272233</v>
      </c>
      <c r="D25" s="7"/>
      <c r="E25" s="7">
        <f>SUMIF('Total Electric Download'!A:A,A25,'Total Electric Download'!D:D)</f>
        <v>0</v>
      </c>
      <c r="F25" s="6">
        <f t="shared" ref="F25:F34" si="5">C25*$C$128</f>
        <v>836238.75</v>
      </c>
      <c r="G25" s="148">
        <f t="shared" ref="G25:G34" si="6">E25+F25</f>
        <v>836238.75</v>
      </c>
      <c r="H25" s="7"/>
      <c r="I25" s="6">
        <f>SUMIF('Total Electric Download'!A:A,A25,'Total Electric Download'!C:C)</f>
        <v>0</v>
      </c>
      <c r="J25" s="6">
        <f t="shared" ref="J25:J34" si="7">C25*$E$128</f>
        <v>435994.25</v>
      </c>
      <c r="K25" s="67"/>
      <c r="L25" s="148">
        <f t="shared" ref="L25:L34" si="8">I25+J25+K25</f>
        <v>435994.25</v>
      </c>
      <c r="M25" s="7"/>
    </row>
    <row r="26" spans="1:13" hidden="1" outlineLevel="1">
      <c r="A26" s="1">
        <v>536</v>
      </c>
      <c r="B26" s="7">
        <f>VLOOKUP(A26,'Total Electric Download'!$A$6:$E$85,5,0)</f>
        <v>8253</v>
      </c>
      <c r="C26" s="7">
        <f>SUMIF('Total Electric Download'!A:A,A26,'Total Electric Download'!B:B)</f>
        <v>8253</v>
      </c>
      <c r="D26" s="7"/>
      <c r="E26" s="7">
        <f>SUMIF('Total Electric Download'!A:A,A26,'Total Electric Download'!D:D)</f>
        <v>0</v>
      </c>
      <c r="F26" s="6">
        <f t="shared" si="5"/>
        <v>5424.7</v>
      </c>
      <c r="G26" s="148">
        <f t="shared" si="6"/>
        <v>5424.7</v>
      </c>
      <c r="H26" s="7"/>
      <c r="I26" s="6">
        <f>SUMIF('Total Electric Download'!A:A,A26,'Total Electric Download'!C:C)</f>
        <v>0</v>
      </c>
      <c r="J26" s="6">
        <f t="shared" si="7"/>
        <v>2828.3</v>
      </c>
      <c r="K26" s="67"/>
      <c r="L26" s="148">
        <f t="shared" si="8"/>
        <v>2828.3</v>
      </c>
      <c r="M26" s="7"/>
    </row>
    <row r="27" spans="1:13" hidden="1" outlineLevel="1">
      <c r="A27" s="1">
        <v>537</v>
      </c>
      <c r="B27" s="7">
        <f>VLOOKUP(A27,'Total Electric Download'!$A$6:$E$85,5,0)</f>
        <v>498675</v>
      </c>
      <c r="C27" s="7">
        <f>SUMIF('Total Electric Download'!A:A,A27,'Total Electric Download'!B:B)</f>
        <v>498675</v>
      </c>
      <c r="D27" s="7"/>
      <c r="E27" s="7">
        <f>SUMIF('Total Electric Download'!A:A,A27,'Total Electric Download'!D:D)</f>
        <v>0</v>
      </c>
      <c r="F27" s="6">
        <f t="shared" si="5"/>
        <v>327779.08</v>
      </c>
      <c r="G27" s="148">
        <f t="shared" si="6"/>
        <v>327779.08</v>
      </c>
      <c r="H27" s="7"/>
      <c r="I27" s="6">
        <f>SUMIF('Total Electric Download'!A:A,A27,'Total Electric Download'!C:C)</f>
        <v>0</v>
      </c>
      <c r="J27" s="6">
        <f t="shared" si="7"/>
        <v>170895.92</v>
      </c>
      <c r="K27" s="67"/>
      <c r="L27" s="148">
        <f t="shared" si="8"/>
        <v>170895.92</v>
      </c>
      <c r="M27" s="7"/>
    </row>
    <row r="28" spans="1:13" hidden="1" outlineLevel="1">
      <c r="A28" s="1">
        <v>538</v>
      </c>
      <c r="B28" s="7">
        <f>VLOOKUP(A28,'Total Electric Download'!$A$6:$E$85,5,0)</f>
        <v>4531590</v>
      </c>
      <c r="C28" s="7">
        <f>SUMIF('Total Electric Download'!A:A,A28,'Total Electric Download'!B:B)</f>
        <v>4531590</v>
      </c>
      <c r="D28" s="7"/>
      <c r="E28" s="7">
        <f>SUMIF('Total Electric Download'!A:A,A28,'Total Electric Download'!D:D)</f>
        <v>0</v>
      </c>
      <c r="F28" s="6">
        <f t="shared" si="5"/>
        <v>2978614.11</v>
      </c>
      <c r="G28" s="148">
        <f t="shared" si="6"/>
        <v>2978614.11</v>
      </c>
      <c r="H28" s="7"/>
      <c r="I28" s="6">
        <f>SUMIF('Total Electric Download'!A:A,A28,'Total Electric Download'!C:C)</f>
        <v>0</v>
      </c>
      <c r="J28" s="6">
        <f t="shared" si="7"/>
        <v>1552975.89</v>
      </c>
      <c r="K28" s="67"/>
      <c r="L28" s="148">
        <f t="shared" si="8"/>
        <v>1552975.89</v>
      </c>
      <c r="M28" s="7"/>
    </row>
    <row r="29" spans="1:13" hidden="1" outlineLevel="1">
      <c r="A29" s="1">
        <v>539</v>
      </c>
      <c r="B29" s="7">
        <f>VLOOKUP(A29,'Total Electric Download'!$A$6:$E$85,5,0)</f>
        <v>134945</v>
      </c>
      <c r="C29" s="7">
        <f>SUMIF('Total Electric Download'!A:A,A29,'Total Electric Download'!B:B)</f>
        <v>134945</v>
      </c>
      <c r="D29" s="7"/>
      <c r="E29" s="7">
        <f>SUMIF('Total Electric Download'!A:A,A29,'Total Electric Download'!D:D)</f>
        <v>0</v>
      </c>
      <c r="F29" s="6">
        <f t="shared" si="5"/>
        <v>88699.35</v>
      </c>
      <c r="G29" s="148">
        <f t="shared" si="6"/>
        <v>88699.35</v>
      </c>
      <c r="H29" s="7"/>
      <c r="I29" s="6">
        <f>SUMIF('Total Electric Download'!A:A,A29,'Total Electric Download'!C:C)</f>
        <v>0</v>
      </c>
      <c r="J29" s="6">
        <f t="shared" si="7"/>
        <v>46245.65</v>
      </c>
      <c r="K29" s="67"/>
      <c r="L29" s="148">
        <f t="shared" si="8"/>
        <v>46245.65</v>
      </c>
      <c r="M29" s="7"/>
    </row>
    <row r="30" spans="1:13" hidden="1" outlineLevel="1">
      <c r="A30" s="1">
        <v>541</v>
      </c>
      <c r="B30" s="7">
        <f>VLOOKUP(A30,'Total Electric Download'!$A$6:$E$85,5,0)</f>
        <v>497337</v>
      </c>
      <c r="C30" s="7">
        <f>SUMIF('Total Electric Download'!A:A,A30,'Total Electric Download'!B:B)</f>
        <v>497337</v>
      </c>
      <c r="D30" s="7"/>
      <c r="E30" s="7">
        <f>SUMIF('Total Electric Download'!A:A,A30,'Total Electric Download'!D:D)</f>
        <v>0</v>
      </c>
      <c r="F30" s="6">
        <f t="shared" si="5"/>
        <v>326899.61</v>
      </c>
      <c r="G30" s="148">
        <f t="shared" si="6"/>
        <v>326899.61</v>
      </c>
      <c r="H30" s="7"/>
      <c r="I30" s="6">
        <f>SUMIF('Total Electric Download'!A:A,A30,'Total Electric Download'!C:C)</f>
        <v>0</v>
      </c>
      <c r="J30" s="6">
        <f t="shared" si="7"/>
        <v>170437.39</v>
      </c>
      <c r="K30" s="67"/>
      <c r="L30" s="148">
        <f t="shared" si="8"/>
        <v>170437.39</v>
      </c>
      <c r="M30" s="7"/>
    </row>
    <row r="31" spans="1:13" hidden="1" outlineLevel="1">
      <c r="A31" s="1">
        <v>542</v>
      </c>
      <c r="B31" s="7">
        <f>VLOOKUP(A31,'Total Electric Download'!$A$6:$E$85,5,0)</f>
        <v>144190</v>
      </c>
      <c r="C31" s="7">
        <f>SUMIF('Total Electric Download'!A:A,A31,'Total Electric Download'!B:B)</f>
        <v>144190</v>
      </c>
      <c r="D31" s="7"/>
      <c r="E31" s="7">
        <f>SUMIF('Total Electric Download'!A:A,A31,'Total Electric Download'!D:D)</f>
        <v>0</v>
      </c>
      <c r="F31" s="6">
        <f t="shared" si="5"/>
        <v>94776.09</v>
      </c>
      <c r="G31" s="148">
        <f t="shared" si="6"/>
        <v>94776.09</v>
      </c>
      <c r="H31" s="7"/>
      <c r="I31" s="6">
        <f>SUMIF('Total Electric Download'!A:A,A31,'Total Electric Download'!C:C)</f>
        <v>0</v>
      </c>
      <c r="J31" s="6">
        <f t="shared" si="7"/>
        <v>49413.91</v>
      </c>
      <c r="K31" s="67"/>
      <c r="L31" s="148">
        <f t="shared" si="8"/>
        <v>49413.91</v>
      </c>
      <c r="M31" s="7"/>
    </row>
    <row r="32" spans="1:13" hidden="1" outlineLevel="1">
      <c r="A32" s="1">
        <v>543</v>
      </c>
      <c r="B32" s="7">
        <f>VLOOKUP(A32,'Total Electric Download'!$A$6:$E$85,5,0)</f>
        <v>547892</v>
      </c>
      <c r="C32" s="7">
        <f>SUMIF('Total Electric Download'!A:A,A32,'Total Electric Download'!B:B)</f>
        <v>547892</v>
      </c>
      <c r="D32" s="7"/>
      <c r="E32" s="7">
        <f>SUMIF('Total Electric Download'!A:A,A32,'Total Electric Download'!D:D)</f>
        <v>0</v>
      </c>
      <c r="F32" s="6">
        <f t="shared" si="5"/>
        <v>360129.41</v>
      </c>
      <c r="G32" s="148">
        <f t="shared" si="6"/>
        <v>360129.41</v>
      </c>
      <c r="H32" s="7"/>
      <c r="I32" s="6">
        <f>SUMIF('Total Electric Download'!A:A,A32,'Total Electric Download'!C:C)</f>
        <v>0</v>
      </c>
      <c r="J32" s="6">
        <f t="shared" si="7"/>
        <v>187762.59</v>
      </c>
      <c r="K32" s="67"/>
      <c r="L32" s="148">
        <f t="shared" si="8"/>
        <v>187762.59</v>
      </c>
      <c r="M32" s="7"/>
    </row>
    <row r="33" spans="1:13" hidden="1" outlineLevel="1">
      <c r="A33" s="1">
        <v>544</v>
      </c>
      <c r="B33" s="7">
        <f>VLOOKUP(A33,'Total Electric Download'!$A$6:$E$85,5,0)</f>
        <v>1538563</v>
      </c>
      <c r="C33" s="7">
        <f>SUMIF('Total Electric Download'!A:A,A33,'Total Electric Download'!B:B)</f>
        <v>1538563</v>
      </c>
      <c r="D33" s="7"/>
      <c r="E33" s="7">
        <f>SUMIF('Total Electric Download'!A:A,A33,'Total Electric Download'!D:D)</f>
        <v>0</v>
      </c>
      <c r="F33" s="6">
        <f t="shared" si="5"/>
        <v>1011297.46</v>
      </c>
      <c r="G33" s="148">
        <f t="shared" si="6"/>
        <v>1011297.46</v>
      </c>
      <c r="H33" s="7"/>
      <c r="I33" s="6">
        <f>SUMIF('Total Electric Download'!A:A,A33,'Total Electric Download'!C:C)</f>
        <v>0</v>
      </c>
      <c r="J33" s="6">
        <f t="shared" si="7"/>
        <v>527265.54</v>
      </c>
      <c r="K33" s="67"/>
      <c r="L33" s="148">
        <f t="shared" si="8"/>
        <v>527265.54</v>
      </c>
      <c r="M33" s="7"/>
    </row>
    <row r="34" spans="1:13" hidden="1" outlineLevel="1">
      <c r="A34" s="1">
        <v>545</v>
      </c>
      <c r="B34" s="7">
        <f>VLOOKUP(A34,'Total Electric Download'!$A$6:$E$85,5,0)+691</f>
        <v>334994</v>
      </c>
      <c r="C34" s="7">
        <f>SUMIF('Total Electric Download'!A:A,A34,'Total Electric Download'!B:B)</f>
        <v>334303</v>
      </c>
      <c r="D34" s="7"/>
      <c r="E34" s="7">
        <f>SUMIF('Total Electric Download'!A:A,A34,'Total Electric Download'!D:D)</f>
        <v>0</v>
      </c>
      <c r="F34" s="6">
        <f t="shared" si="5"/>
        <v>219737.36</v>
      </c>
      <c r="G34" s="148">
        <f t="shared" si="6"/>
        <v>219737.36</v>
      </c>
      <c r="H34" s="7"/>
      <c r="I34" s="6">
        <f>SUMIF('Total Electric Download'!A:A,A34,'Total Electric Download'!C:C)</f>
        <v>0</v>
      </c>
      <c r="J34" s="6">
        <f t="shared" si="7"/>
        <v>114565.64</v>
      </c>
      <c r="K34" s="67"/>
      <c r="L34" s="148">
        <f t="shared" si="8"/>
        <v>114565.64</v>
      </c>
      <c r="M34" s="7"/>
    </row>
    <row r="35" spans="1:13" hidden="1" outlineLevel="1">
      <c r="A35" s="2" t="s">
        <v>49</v>
      </c>
      <c r="B35" s="37">
        <f>SUM(B25:B34)</f>
        <v>9508672</v>
      </c>
      <c r="C35" s="37">
        <f t="shared" ref="C35:J35" si="9">SUM(C25:C34)</f>
        <v>9507981</v>
      </c>
      <c r="D35" s="93"/>
      <c r="E35" s="37">
        <f t="shared" si="9"/>
        <v>0</v>
      </c>
      <c r="F35" s="37">
        <f t="shared" si="9"/>
        <v>6249595.9199999999</v>
      </c>
      <c r="G35" s="149">
        <f t="shared" si="9"/>
        <v>6249595.9199999999</v>
      </c>
      <c r="H35" s="37"/>
      <c r="I35" s="37">
        <f t="shared" si="9"/>
        <v>0</v>
      </c>
      <c r="J35" s="37">
        <f t="shared" si="9"/>
        <v>3258385.08</v>
      </c>
      <c r="K35" s="68"/>
      <c r="L35" s="149">
        <f>SUM(L25:L34)</f>
        <v>3258385.08</v>
      </c>
      <c r="M35" s="7"/>
    </row>
    <row r="36" spans="1:13" ht="11.1" hidden="1" customHeight="1" outlineLevel="1">
      <c r="B36" s="7"/>
      <c r="C36" s="7"/>
      <c r="D36" s="7"/>
      <c r="E36" s="7"/>
      <c r="F36" s="6"/>
      <c r="G36" s="148"/>
      <c r="H36" s="7"/>
      <c r="I36" s="6"/>
      <c r="J36" s="6"/>
      <c r="K36" s="67"/>
      <c r="L36" s="148"/>
      <c r="M36" s="7"/>
    </row>
    <row r="37" spans="1:13" hidden="1" outlineLevel="1">
      <c r="A37" s="2" t="s">
        <v>50</v>
      </c>
      <c r="B37" s="7"/>
      <c r="C37" s="7"/>
      <c r="D37" s="7"/>
      <c r="E37" s="7"/>
      <c r="F37" s="6"/>
      <c r="G37" s="148"/>
      <c r="H37" s="7"/>
      <c r="I37" s="6"/>
      <c r="J37" s="6"/>
      <c r="K37" s="67"/>
      <c r="L37" s="148"/>
      <c r="M37" s="7"/>
    </row>
    <row r="38" spans="1:13" hidden="1" outlineLevel="1">
      <c r="A38" s="1">
        <v>546</v>
      </c>
      <c r="B38" s="7">
        <f>VLOOKUP(A38,'Total Electric Download'!$A$6:$E$85,5,0)</f>
        <v>143051</v>
      </c>
      <c r="C38" s="7">
        <f>SUMIF('Total Electric Download'!A:A,A38,'Total Electric Download'!B:B)</f>
        <v>143051</v>
      </c>
      <c r="D38" s="7"/>
      <c r="E38" s="7">
        <f>SUMIF('Total Electric Download'!A:A,A38,'Total Electric Download'!D:D)</f>
        <v>0</v>
      </c>
      <c r="F38" s="6">
        <f t="shared" ref="F38:F44" si="10">C38*$C$128</f>
        <v>94027.42</v>
      </c>
      <c r="G38" s="148">
        <f t="shared" ref="G38:G44" si="11">E38+F38</f>
        <v>94027.42</v>
      </c>
      <c r="H38" s="7"/>
      <c r="I38" s="6">
        <f>SUMIF('Total Electric Download'!A:A,A38,'Total Electric Download'!C:C)</f>
        <v>0</v>
      </c>
      <c r="J38" s="6">
        <f t="shared" ref="J38:J44" si="12">C38*$E$128</f>
        <v>49023.58</v>
      </c>
      <c r="K38" s="67"/>
      <c r="L38" s="148">
        <f t="shared" ref="L38:L44" si="13">I38+J38+K38</f>
        <v>49023.58</v>
      </c>
      <c r="M38" s="7"/>
    </row>
    <row r="39" spans="1:13" hidden="1" outlineLevel="1">
      <c r="A39" s="1">
        <v>548</v>
      </c>
      <c r="B39" s="7">
        <f>VLOOKUP(A39,'Total Electric Download'!$A$6:$E$85,5,0)</f>
        <v>255131</v>
      </c>
      <c r="C39" s="7">
        <f>SUMIF('Total Electric Download'!A:A,A39,'Total Electric Download'!B:B)</f>
        <v>255131</v>
      </c>
      <c r="D39" s="7"/>
      <c r="E39" s="7">
        <f>SUMIF('Total Electric Download'!A:A,A39,'Total Electric Download'!D:D)</f>
        <v>0</v>
      </c>
      <c r="F39" s="6">
        <f t="shared" si="10"/>
        <v>167697.60999999999</v>
      </c>
      <c r="G39" s="148">
        <f t="shared" si="11"/>
        <v>167697.60999999999</v>
      </c>
      <c r="H39" s="7"/>
      <c r="I39" s="6">
        <f>SUMIF('Total Electric Download'!A:A,A39,'Total Electric Download'!C:C)</f>
        <v>0</v>
      </c>
      <c r="J39" s="6">
        <f t="shared" si="12"/>
        <v>87433.39</v>
      </c>
      <c r="K39" s="67"/>
      <c r="L39" s="148">
        <f t="shared" si="13"/>
        <v>87433.39</v>
      </c>
      <c r="M39" s="7"/>
    </row>
    <row r="40" spans="1:13" hidden="1" outlineLevel="1">
      <c r="A40" s="1">
        <v>549</v>
      </c>
      <c r="B40" s="7">
        <f>VLOOKUP(A40,'Total Electric Download'!$A$6:$E$85,5,0)</f>
        <v>113474</v>
      </c>
      <c r="C40" s="7">
        <f>SUMIF('Total Electric Download'!A:A,A40,'Total Electric Download'!B:B)</f>
        <v>113474</v>
      </c>
      <c r="D40" s="7"/>
      <c r="E40" s="7">
        <f>SUMIF('Total Electric Download'!A:A,A40,'Total Electric Download'!D:D)</f>
        <v>0</v>
      </c>
      <c r="F40" s="6">
        <f t="shared" si="10"/>
        <v>74586.460000000006</v>
      </c>
      <c r="G40" s="148">
        <f t="shared" si="11"/>
        <v>74586.460000000006</v>
      </c>
      <c r="H40" s="7"/>
      <c r="I40" s="6">
        <f>SUMIF('Total Electric Download'!A:A,A40,'Total Electric Download'!C:C)</f>
        <v>0</v>
      </c>
      <c r="J40" s="6">
        <f t="shared" si="12"/>
        <v>38887.54</v>
      </c>
      <c r="K40" s="67"/>
      <c r="L40" s="148">
        <f t="shared" si="13"/>
        <v>38887.54</v>
      </c>
      <c r="M40" s="7"/>
    </row>
    <row r="41" spans="1:13" hidden="1" outlineLevel="1">
      <c r="A41" s="1">
        <v>551</v>
      </c>
      <c r="B41" s="7">
        <f>VLOOKUP(A41,'Total Electric Download'!$A$6:$E$85,5,0)</f>
        <v>252006</v>
      </c>
      <c r="C41" s="7">
        <f>SUMIF('Total Electric Download'!A:A,A41,'Total Electric Download'!B:B)</f>
        <v>252006</v>
      </c>
      <c r="D41" s="7"/>
      <c r="E41" s="7">
        <f>SUMIF('Total Electric Download'!A:A,A41,'Total Electric Download'!D:D)</f>
        <v>0</v>
      </c>
      <c r="F41" s="6">
        <f t="shared" si="10"/>
        <v>165643.54</v>
      </c>
      <c r="G41" s="148">
        <f t="shared" si="11"/>
        <v>165643.54</v>
      </c>
      <c r="H41" s="7"/>
      <c r="I41" s="6">
        <f>SUMIF('Total Electric Download'!A:A,A41,'Total Electric Download'!C:C)</f>
        <v>0</v>
      </c>
      <c r="J41" s="6">
        <f t="shared" si="12"/>
        <v>86362.46</v>
      </c>
      <c r="K41" s="67"/>
      <c r="L41" s="148">
        <f t="shared" si="13"/>
        <v>86362.46</v>
      </c>
      <c r="M41" s="7"/>
    </row>
    <row r="42" spans="1:13" hidden="1" outlineLevel="1">
      <c r="A42" s="1">
        <v>552</v>
      </c>
      <c r="B42" s="7">
        <f>VLOOKUP(A42,'Total Electric Download'!$A$6:$E$85,5,0)</f>
        <v>481</v>
      </c>
      <c r="C42" s="7">
        <f>SUMIF('Total Electric Download'!A:A,A42,'Total Electric Download'!B:B)</f>
        <v>481</v>
      </c>
      <c r="D42" s="7"/>
      <c r="E42" s="7">
        <f>SUMIF('Total Electric Download'!A:A,A42,'Total Electric Download'!D:D)</f>
        <v>0</v>
      </c>
      <c r="F42" s="6">
        <f t="shared" si="10"/>
        <v>316.16000000000003</v>
      </c>
      <c r="G42" s="148">
        <f t="shared" si="11"/>
        <v>316.16000000000003</v>
      </c>
      <c r="H42" s="7"/>
      <c r="I42" s="6">
        <f>SUMIF('Total Electric Download'!A:A,A42,'Total Electric Download'!C:C)</f>
        <v>0</v>
      </c>
      <c r="J42" s="6">
        <f t="shared" si="12"/>
        <v>164.84</v>
      </c>
      <c r="K42" s="67"/>
      <c r="L42" s="148">
        <f t="shared" si="13"/>
        <v>164.84</v>
      </c>
      <c r="M42" s="7"/>
    </row>
    <row r="43" spans="1:13" hidden="1" outlineLevel="1">
      <c r="A43" s="1">
        <v>553</v>
      </c>
      <c r="B43" s="7">
        <f>VLOOKUP(A43,'Total Electric Download'!$A$6:$E$85,5,0)</f>
        <v>62023</v>
      </c>
      <c r="C43" s="7">
        <f>SUMIF('Total Electric Download'!A:A,A43,'Total Electric Download'!B:B)</f>
        <v>62207</v>
      </c>
      <c r="D43" s="7"/>
      <c r="E43" s="7">
        <f>SUMIF('Total Electric Download'!A:A,A43,'Total Electric Download'!D:D)</f>
        <v>-184</v>
      </c>
      <c r="F43" s="6">
        <f t="shared" si="10"/>
        <v>40888.660000000003</v>
      </c>
      <c r="G43" s="148">
        <f t="shared" si="11"/>
        <v>40704.660000000003</v>
      </c>
      <c r="H43" s="7"/>
      <c r="I43" s="6">
        <f>SUMIF('Total Electric Download'!A:A,A43,'Total Electric Download'!C:C)</f>
        <v>0</v>
      </c>
      <c r="J43" s="6">
        <f t="shared" si="12"/>
        <v>21318.34</v>
      </c>
      <c r="K43" s="67"/>
      <c r="L43" s="148">
        <f t="shared" si="13"/>
        <v>21318.34</v>
      </c>
      <c r="M43" s="7"/>
    </row>
    <row r="44" spans="1:13" hidden="1" outlineLevel="1">
      <c r="A44" s="1">
        <v>554</v>
      </c>
      <c r="B44" s="7">
        <f>VLOOKUP(A44,'Total Electric Download'!$A$6:$E$85,5,0)</f>
        <v>82332</v>
      </c>
      <c r="C44" s="7">
        <f>SUMIF('Total Electric Download'!A:A,A44,'Total Electric Download'!B:B)</f>
        <v>82332</v>
      </c>
      <c r="D44" s="7"/>
      <c r="E44" s="7">
        <f>SUMIF('Total Electric Download'!A:A,A44,'Total Electric Download'!D:D)</f>
        <v>0</v>
      </c>
      <c r="F44" s="6">
        <f t="shared" si="10"/>
        <v>54116.82</v>
      </c>
      <c r="G44" s="148">
        <f t="shared" si="11"/>
        <v>54116.82</v>
      </c>
      <c r="H44" s="7"/>
      <c r="I44" s="6">
        <f>SUMIF('Total Electric Download'!A:A,A44,'Total Electric Download'!C:C)</f>
        <v>0</v>
      </c>
      <c r="J44" s="6">
        <f t="shared" si="12"/>
        <v>28215.18</v>
      </c>
      <c r="K44" s="67"/>
      <c r="L44" s="148">
        <f t="shared" si="13"/>
        <v>28215.18</v>
      </c>
      <c r="M44" s="7"/>
    </row>
    <row r="45" spans="1:13" hidden="1" outlineLevel="1">
      <c r="A45" s="58" t="s">
        <v>55</v>
      </c>
      <c r="B45" s="37">
        <f>SUM(B38:B44)</f>
        <v>908498</v>
      </c>
      <c r="C45" s="37">
        <f t="shared" ref="C45:J45" si="14">SUM(C38:C44)</f>
        <v>908682</v>
      </c>
      <c r="D45" s="93"/>
      <c r="E45" s="37">
        <f t="shared" si="14"/>
        <v>-184</v>
      </c>
      <c r="F45" s="37">
        <f t="shared" si="14"/>
        <v>597276.67000000004</v>
      </c>
      <c r="G45" s="149">
        <f t="shared" si="14"/>
        <v>597092.67000000004</v>
      </c>
      <c r="H45" s="37"/>
      <c r="I45" s="37">
        <f t="shared" si="14"/>
        <v>0</v>
      </c>
      <c r="J45" s="37">
        <f t="shared" si="14"/>
        <v>311405.33</v>
      </c>
      <c r="K45" s="68"/>
      <c r="L45" s="149">
        <f>SUM(L38:L44)</f>
        <v>311405.33</v>
      </c>
      <c r="M45" s="7"/>
    </row>
    <row r="46" spans="1:13" ht="9.9499999999999993" hidden="1" customHeight="1" outlineLevel="1">
      <c r="B46" s="7"/>
      <c r="C46" s="7"/>
      <c r="D46" s="7"/>
      <c r="E46" s="7"/>
      <c r="F46" s="6"/>
      <c r="G46" s="148"/>
      <c r="H46" s="7"/>
      <c r="I46" s="6"/>
      <c r="J46" s="6"/>
      <c r="K46" s="67"/>
      <c r="L46" s="148"/>
      <c r="M46" s="7"/>
    </row>
    <row r="47" spans="1:13" hidden="1" outlineLevel="1">
      <c r="A47" s="2" t="s">
        <v>56</v>
      </c>
      <c r="B47" s="7"/>
      <c r="C47" s="7"/>
      <c r="D47" s="7"/>
      <c r="E47" s="7"/>
      <c r="F47" s="6"/>
      <c r="G47" s="148"/>
      <c r="H47" s="7"/>
      <c r="I47" s="6"/>
      <c r="J47" s="6"/>
      <c r="K47" s="67"/>
      <c r="L47" s="148"/>
      <c r="M47" s="7"/>
    </row>
    <row r="48" spans="1:13" hidden="1" outlineLevel="1">
      <c r="A48" s="1">
        <v>556</v>
      </c>
      <c r="B48" s="7">
        <f>VLOOKUP(A48,'Total Electric Download'!$A$6:$E$85,5,0)</f>
        <v>255972</v>
      </c>
      <c r="C48" s="7">
        <f>SUMIF('Total Electric Download'!A:A,A48,'Total Electric Download'!B:B)</f>
        <v>255972</v>
      </c>
      <c r="D48" s="7"/>
      <c r="E48" s="7">
        <f>SUMIF('Total Electric Download'!A:A,A48,'Total Electric Download'!D:D)</f>
        <v>0</v>
      </c>
      <c r="F48" s="6">
        <f>C48*$C$128</f>
        <v>168250.4</v>
      </c>
      <c r="G48" s="148">
        <f>E48+F48</f>
        <v>168250.4</v>
      </c>
      <c r="H48" s="7"/>
      <c r="I48" s="6">
        <f>SUMIF('Total Electric Download'!A:A,A48,'Total Electric Download'!C:C)</f>
        <v>0</v>
      </c>
      <c r="J48" s="6">
        <f>C48*$E$128</f>
        <v>87721.600000000006</v>
      </c>
      <c r="K48" s="67"/>
      <c r="L48" s="148">
        <f>I48+J48+K48</f>
        <v>87721.600000000006</v>
      </c>
      <c r="M48" s="7"/>
    </row>
    <row r="49" spans="1:13" hidden="1" outlineLevel="1">
      <c r="A49" s="1">
        <v>557</v>
      </c>
      <c r="B49" s="7">
        <f>VLOOKUP(A49,'Total Electric Download'!$A$6:$E$85,5,0)</f>
        <v>3369040</v>
      </c>
      <c r="C49" s="7">
        <f>SUMIF('Total Electric Download'!A:A,A49,'Total Electric Download'!B:B)</f>
        <v>3369040</v>
      </c>
      <c r="D49" s="7"/>
      <c r="E49" s="7">
        <f>SUMIF('Total Electric Download'!A:A,A49,'Total Electric Download'!D:D)</f>
        <v>0</v>
      </c>
      <c r="F49" s="6">
        <f>C49*$C$128</f>
        <v>2214469.9900000002</v>
      </c>
      <c r="G49" s="148">
        <f>E49+F49</f>
        <v>2214469.9900000002</v>
      </c>
      <c r="H49" s="7"/>
      <c r="I49" s="6">
        <f>SUMIF('Total Electric Download'!A:A,A49,'Total Electric Download'!C:C)</f>
        <v>0</v>
      </c>
      <c r="J49" s="6">
        <f>C49*$E$128</f>
        <v>1154570.01</v>
      </c>
      <c r="K49" s="67"/>
      <c r="L49" s="148">
        <f>I49+J49+K49</f>
        <v>1154570.01</v>
      </c>
      <c r="M49" s="7"/>
    </row>
    <row r="50" spans="1:13" hidden="1" outlineLevel="1">
      <c r="A50" s="58" t="s">
        <v>159</v>
      </c>
      <c r="B50" s="37">
        <f t="shared" ref="B50" si="15">SUM(B48:B49)</f>
        <v>3625012</v>
      </c>
      <c r="C50" s="37">
        <f t="shared" ref="C50:J50" si="16">SUM(C48:C49)</f>
        <v>3625012</v>
      </c>
      <c r="D50" s="93"/>
      <c r="E50" s="37">
        <f t="shared" si="16"/>
        <v>0</v>
      </c>
      <c r="F50" s="37">
        <f t="shared" si="16"/>
        <v>2382720.39</v>
      </c>
      <c r="G50" s="149">
        <f t="shared" si="16"/>
        <v>2382720.39</v>
      </c>
      <c r="H50" s="37"/>
      <c r="I50" s="37">
        <f t="shared" si="16"/>
        <v>0</v>
      </c>
      <c r="J50" s="37">
        <f t="shared" si="16"/>
        <v>1242291.6100000001</v>
      </c>
      <c r="K50" s="68"/>
      <c r="L50" s="149">
        <f>SUM(L48:L49)</f>
        <v>1242291.6100000001</v>
      </c>
      <c r="M50" s="7"/>
    </row>
    <row r="51" spans="1:13" ht="9.9499999999999993" hidden="1" customHeight="1" outlineLevel="1">
      <c r="B51" s="7"/>
      <c r="C51" s="7"/>
      <c r="D51" s="7"/>
      <c r="E51" s="7"/>
      <c r="F51" s="6"/>
      <c r="G51" s="148"/>
      <c r="H51" s="7"/>
      <c r="I51" s="6"/>
      <c r="J51" s="6"/>
      <c r="K51" s="67"/>
      <c r="L51" s="148"/>
      <c r="M51" s="7"/>
    </row>
    <row r="52" spans="1:13" collapsed="1">
      <c r="A52" s="2" t="s">
        <v>28</v>
      </c>
      <c r="B52" s="37">
        <f>B22+B35+B45+B50</f>
        <v>17316008</v>
      </c>
      <c r="C52" s="37">
        <f>C22+C35+C45+C50</f>
        <v>17315501</v>
      </c>
      <c r="D52" s="37"/>
      <c r="E52" s="37">
        <f>E22+E35+E45+E50</f>
        <v>-184</v>
      </c>
      <c r="F52" s="37">
        <f>F22+F35+F45+F50</f>
        <v>11381478.83</v>
      </c>
      <c r="G52" s="149">
        <f>G22+G35+G45+G50</f>
        <v>11381294.83</v>
      </c>
      <c r="H52" s="93"/>
      <c r="I52" s="93">
        <f>I22+I35+I45+I50</f>
        <v>0</v>
      </c>
      <c r="J52" s="93">
        <f>J22+J35+J45+J50</f>
        <v>5934022.1799999997</v>
      </c>
      <c r="K52" s="94"/>
      <c r="L52" s="149">
        <f>L22+L35+L45+L50</f>
        <v>5934022.1799999997</v>
      </c>
      <c r="M52" s="7"/>
    </row>
    <row r="53" spans="1:13" ht="9.9499999999999993" customHeight="1">
      <c r="B53" s="7"/>
      <c r="C53" s="7"/>
      <c r="D53" s="7"/>
      <c r="E53" s="7"/>
      <c r="F53" s="6"/>
      <c r="G53" s="148"/>
      <c r="H53" s="7"/>
      <c r="I53" s="6"/>
      <c r="J53" s="6"/>
      <c r="K53" s="67"/>
      <c r="L53" s="148"/>
      <c r="M53" s="7"/>
    </row>
    <row r="54" spans="1:13" hidden="1" outlineLevel="1">
      <c r="A54" s="2" t="s">
        <v>2</v>
      </c>
      <c r="B54" s="7"/>
      <c r="C54" s="7"/>
      <c r="D54" s="7"/>
      <c r="E54" s="7"/>
      <c r="F54" s="6"/>
      <c r="G54" s="148"/>
      <c r="H54" s="7"/>
      <c r="I54" s="6"/>
      <c r="J54" s="6"/>
      <c r="K54" s="67"/>
      <c r="L54" s="148"/>
      <c r="M54" s="7"/>
    </row>
    <row r="55" spans="1:13" hidden="1" outlineLevel="1">
      <c r="A55" s="1">
        <v>560</v>
      </c>
      <c r="B55" s="7">
        <f>VLOOKUP(A55,'Total Electric Download'!$A$6:$E$85,5,0)</f>
        <v>1280778</v>
      </c>
      <c r="C55" s="7">
        <f>SUMIF('Total Electric Download'!A:A,A55,'Total Electric Download'!B:B)</f>
        <v>1280778</v>
      </c>
      <c r="D55" s="7"/>
      <c r="E55" s="7">
        <f>SUMIF('Total Electric Download'!A:A,A55,'Total Electric Download'!D:D)</f>
        <v>0</v>
      </c>
      <c r="F55" s="6">
        <f t="shared" ref="F55:F67" si="17">C55*$C$128</f>
        <v>841855.38</v>
      </c>
      <c r="G55" s="148">
        <f t="shared" ref="G55:G67" si="18">E55+F55</f>
        <v>841855.38</v>
      </c>
      <c r="H55" s="7"/>
      <c r="I55" s="6">
        <f>SUMIF('Total Electric Download'!A:A,A55,'Total Electric Download'!C:C)</f>
        <v>0</v>
      </c>
      <c r="J55" s="6">
        <f t="shared" ref="J55:J67" si="19">C55*$E$128</f>
        <v>438922.62</v>
      </c>
      <c r="K55" s="67"/>
      <c r="L55" s="148">
        <f t="shared" ref="L55:L67" si="20">I55+J55+K55</f>
        <v>438922.62</v>
      </c>
      <c r="M55" s="7"/>
    </row>
    <row r="56" spans="1:13" hidden="1" outlineLevel="1">
      <c r="A56" s="1">
        <v>561</v>
      </c>
      <c r="B56" s="7">
        <f>'Total Electric Download'!E36+'Total Electric Download'!E37+'Total Electric Download'!E38</f>
        <v>1643219</v>
      </c>
      <c r="C56" s="7">
        <f>SUMIF('Total Electric Download'!A:A,A56,'Total Electric Download'!B:B)</f>
        <v>1643219</v>
      </c>
      <c r="D56" s="7"/>
      <c r="E56" s="7">
        <f>SUMIF('Total Electric Download'!A:A,A56,'Total Electric Download'!D:D)</f>
        <v>0</v>
      </c>
      <c r="F56" s="6">
        <f t="shared" si="17"/>
        <v>1080087.8500000001</v>
      </c>
      <c r="G56" s="148">
        <f t="shared" si="18"/>
        <v>1080087.8500000001</v>
      </c>
      <c r="H56" s="7"/>
      <c r="I56" s="6">
        <f>SUMIF('Total Electric Download'!A:A,A56,'Total Electric Download'!C:C)</f>
        <v>0</v>
      </c>
      <c r="J56" s="6">
        <f t="shared" si="19"/>
        <v>563131.15</v>
      </c>
      <c r="K56" s="67"/>
      <c r="L56" s="148">
        <f t="shared" si="20"/>
        <v>563131.15</v>
      </c>
      <c r="M56" s="7"/>
    </row>
    <row r="57" spans="1:13" hidden="1" outlineLevel="1">
      <c r="A57" s="1">
        <v>562</v>
      </c>
      <c r="B57" s="7">
        <f>VLOOKUP(A57,'Total Electric Download'!$A$6:$E$85,5,0)</f>
        <v>161460</v>
      </c>
      <c r="C57" s="7">
        <f>SUMIF('Total Electric Download'!A:A,A57,'Total Electric Download'!B:B)</f>
        <v>161460</v>
      </c>
      <c r="D57" s="7"/>
      <c r="E57" s="7">
        <f>SUMIF('Total Electric Download'!A:A,A57,'Total Electric Download'!D:D)</f>
        <v>0</v>
      </c>
      <c r="F57" s="6">
        <f t="shared" si="17"/>
        <v>106127.66</v>
      </c>
      <c r="G57" s="148">
        <f t="shared" si="18"/>
        <v>106127.66</v>
      </c>
      <c r="H57" s="7"/>
      <c r="I57" s="6">
        <f>SUMIF('Total Electric Download'!A:A,A57,'Total Electric Download'!C:C)</f>
        <v>0</v>
      </c>
      <c r="J57" s="6">
        <f t="shared" si="19"/>
        <v>55332.34</v>
      </c>
      <c r="K57" s="67"/>
      <c r="L57" s="148">
        <f t="shared" si="20"/>
        <v>55332.34</v>
      </c>
      <c r="M57" s="7"/>
    </row>
    <row r="58" spans="1:13" hidden="1" outlineLevel="1">
      <c r="A58" s="1">
        <v>563</v>
      </c>
      <c r="B58" s="7">
        <f>VLOOKUP(A58,'Total Electric Download'!$A$6:$E$85,5,0)</f>
        <v>41942</v>
      </c>
      <c r="C58" s="7">
        <f>SUMIF('Total Electric Download'!A:A,A58,'Total Electric Download'!B:B)</f>
        <v>41942</v>
      </c>
      <c r="D58" s="7"/>
      <c r="E58" s="7">
        <f>SUMIF('Total Electric Download'!A:A,A58,'Total Electric Download'!D:D)</f>
        <v>0</v>
      </c>
      <c r="F58" s="6">
        <f t="shared" si="17"/>
        <v>27568.48</v>
      </c>
      <c r="G58" s="148">
        <f t="shared" si="18"/>
        <v>27568.48</v>
      </c>
      <c r="H58" s="7"/>
      <c r="I58" s="6">
        <f>SUMIF('Total Electric Download'!A:A,A58,'Total Electric Download'!C:C)</f>
        <v>0</v>
      </c>
      <c r="J58" s="6">
        <f t="shared" si="19"/>
        <v>14373.52</v>
      </c>
      <c r="K58" s="67"/>
      <c r="L58" s="148">
        <f t="shared" si="20"/>
        <v>14373.52</v>
      </c>
      <c r="M58" s="7"/>
    </row>
    <row r="59" spans="1:13" hidden="1" outlineLevel="1">
      <c r="A59" s="1">
        <v>564</v>
      </c>
      <c r="B59" s="7">
        <v>0</v>
      </c>
      <c r="C59" s="7">
        <f>SUMIF('Total Electric Download'!A:A,A59,'Total Electric Download'!B:B)</f>
        <v>0</v>
      </c>
      <c r="D59" s="7"/>
      <c r="E59" s="7">
        <f>SUMIF('Total Electric Download'!A:A,A59,'Total Electric Download'!D:D)</f>
        <v>0</v>
      </c>
      <c r="F59" s="6">
        <f t="shared" si="17"/>
        <v>0</v>
      </c>
      <c r="G59" s="148">
        <f t="shared" si="18"/>
        <v>0</v>
      </c>
      <c r="H59" s="7"/>
      <c r="I59" s="6">
        <f>SUMIF('Total Electric Download'!A:A,A59,'Total Electric Download'!C:C)</f>
        <v>0</v>
      </c>
      <c r="J59" s="6">
        <f t="shared" si="19"/>
        <v>0</v>
      </c>
      <c r="K59" s="67"/>
      <c r="L59" s="148">
        <f t="shared" si="20"/>
        <v>0</v>
      </c>
      <c r="M59" s="7"/>
    </row>
    <row r="60" spans="1:13" hidden="1" outlineLevel="1">
      <c r="A60" s="1">
        <v>566</v>
      </c>
      <c r="B60" s="7">
        <f>VLOOKUP(A60,'Total Electric Download'!$A$6:$E$85,5,0)</f>
        <v>553483</v>
      </c>
      <c r="C60" s="7">
        <f>SUMIF('Total Electric Download'!A:A,A60,'Total Electric Download'!B:B)</f>
        <v>553483</v>
      </c>
      <c r="D60" s="7"/>
      <c r="E60" s="7">
        <f>SUMIF('Total Electric Download'!A:A,A60,'Total Electric Download'!D:D)</f>
        <v>0</v>
      </c>
      <c r="F60" s="6">
        <f t="shared" si="17"/>
        <v>363804.38</v>
      </c>
      <c r="G60" s="148">
        <f t="shared" si="18"/>
        <v>363804.38</v>
      </c>
      <c r="H60" s="7"/>
      <c r="I60" s="6">
        <f>SUMIF('Total Electric Download'!A:A,A60,'Total Electric Download'!C:C)</f>
        <v>0</v>
      </c>
      <c r="J60" s="6">
        <f t="shared" si="19"/>
        <v>189678.62</v>
      </c>
      <c r="K60" s="67"/>
      <c r="L60" s="148">
        <f t="shared" si="20"/>
        <v>189678.62</v>
      </c>
      <c r="M60" s="7"/>
    </row>
    <row r="61" spans="1:13" hidden="1" outlineLevel="1">
      <c r="A61" s="1">
        <v>567</v>
      </c>
      <c r="B61" s="7">
        <f>VLOOKUP(A61,'Total Electric Download'!$A$6:$E$85,5,0)</f>
        <v>23086</v>
      </c>
      <c r="C61" s="7">
        <f>SUMIF('Total Electric Download'!A:A,A61,'Total Electric Download'!B:B)</f>
        <v>23086</v>
      </c>
      <c r="D61" s="7"/>
      <c r="E61" s="7">
        <f>SUMIF('Total Electric Download'!A:A,A61,'Total Electric Download'!D:D)</f>
        <v>0</v>
      </c>
      <c r="F61" s="6">
        <f t="shared" si="17"/>
        <v>15174.43</v>
      </c>
      <c r="G61" s="148">
        <f t="shared" si="18"/>
        <v>15174.43</v>
      </c>
      <c r="H61" s="7"/>
      <c r="I61" s="6">
        <f>SUMIF('Total Electric Download'!A:A,A61,'Total Electric Download'!C:C)</f>
        <v>0</v>
      </c>
      <c r="J61" s="6">
        <f t="shared" si="19"/>
        <v>7911.57</v>
      </c>
      <c r="K61" s="67"/>
      <c r="L61" s="148">
        <f>I61+J61+K61</f>
        <v>7911.57</v>
      </c>
      <c r="M61" s="7"/>
    </row>
    <row r="62" spans="1:13" hidden="1" outlineLevel="1">
      <c r="A62" s="1">
        <v>568</v>
      </c>
      <c r="B62" s="7">
        <f>VLOOKUP(A62,'Total Electric Download'!$A$6:$E$85,5,0)</f>
        <v>558195</v>
      </c>
      <c r="C62" s="7">
        <f>SUMIF('Total Electric Download'!A:A,A62,'Total Electric Download'!B:B)</f>
        <v>557284</v>
      </c>
      <c r="D62" s="7"/>
      <c r="E62" s="7">
        <f>SUMIF('Total Electric Download'!A:A,A62,'Total Electric Download'!D:D)</f>
        <v>911</v>
      </c>
      <c r="F62" s="6">
        <f t="shared" si="17"/>
        <v>366302.77</v>
      </c>
      <c r="G62" s="148">
        <f t="shared" si="18"/>
        <v>367213.77</v>
      </c>
      <c r="H62" s="7"/>
      <c r="I62" s="6">
        <f>SUMIF('Total Electric Download'!A:A,A62,'Total Electric Download'!C:C)</f>
        <v>0</v>
      </c>
      <c r="J62" s="6">
        <f t="shared" si="19"/>
        <v>190981.23</v>
      </c>
      <c r="K62" s="67"/>
      <c r="L62" s="148">
        <f t="shared" si="20"/>
        <v>190981.23</v>
      </c>
      <c r="M62" s="7"/>
    </row>
    <row r="63" spans="1:13" hidden="1" outlineLevel="1">
      <c r="A63" s="1">
        <v>569</v>
      </c>
      <c r="B63" s="7">
        <f>VLOOKUP(A63,'Total Electric Download'!$A$6:$E$85,5,0)</f>
        <v>280147</v>
      </c>
      <c r="C63" s="7">
        <f>SUMIF('Total Electric Download'!A:A,A63,'Total Electric Download'!B:B)</f>
        <v>276680</v>
      </c>
      <c r="D63" s="7"/>
      <c r="E63" s="7">
        <f>SUMIF('Total Electric Download'!A:A,A63,'Total Electric Download'!D:D)</f>
        <v>3351</v>
      </c>
      <c r="F63" s="6">
        <f t="shared" si="17"/>
        <v>181861.76000000001</v>
      </c>
      <c r="G63" s="148">
        <f t="shared" si="18"/>
        <v>185212.76</v>
      </c>
      <c r="H63" s="7"/>
      <c r="I63" s="6">
        <f>SUMIF('Total Electric Download'!A:A,A63,'Total Electric Download'!C:C)</f>
        <v>116</v>
      </c>
      <c r="J63" s="6">
        <f t="shared" si="19"/>
        <v>94818.240000000005</v>
      </c>
      <c r="K63" s="67"/>
      <c r="L63" s="148">
        <f t="shared" si="20"/>
        <v>94934.24</v>
      </c>
      <c r="M63" s="7"/>
    </row>
    <row r="64" spans="1:13" hidden="1" outlineLevel="1">
      <c r="A64" s="1">
        <v>570</v>
      </c>
      <c r="B64" s="7">
        <f>VLOOKUP(A64,'Total Electric Download'!$A$6:$E$85,5,0)</f>
        <v>622021</v>
      </c>
      <c r="C64" s="7">
        <f>SUMIF('Total Electric Download'!A:A,A64,'Total Electric Download'!B:B)</f>
        <v>621035</v>
      </c>
      <c r="D64" s="7"/>
      <c r="E64" s="7">
        <f>SUMIF('Total Electric Download'!A:A,A64,'Total Electric Download'!D:D)</f>
        <v>368</v>
      </c>
      <c r="F64" s="6">
        <f t="shared" si="17"/>
        <v>408206.31</v>
      </c>
      <c r="G64" s="148">
        <f t="shared" si="18"/>
        <v>408574.31</v>
      </c>
      <c r="H64" s="7"/>
      <c r="I64" s="6">
        <f>SUMIF('Total Electric Download'!A:A,A64,'Total Electric Download'!C:C)</f>
        <v>618</v>
      </c>
      <c r="J64" s="6">
        <f t="shared" si="19"/>
        <v>212828.69</v>
      </c>
      <c r="K64" s="67"/>
      <c r="L64" s="148">
        <f t="shared" si="20"/>
        <v>213446.69</v>
      </c>
      <c r="M64" s="7"/>
    </row>
    <row r="65" spans="1:13" hidden="1" outlineLevel="1">
      <c r="A65" s="1">
        <v>571</v>
      </c>
      <c r="B65" s="7">
        <f>VLOOKUP(A65,'Total Electric Download'!$A$6:$E$85,5,0)</f>
        <v>24120</v>
      </c>
      <c r="C65" s="7">
        <f>SUMIF('Total Electric Download'!A:A,A65,'Total Electric Download'!B:B)</f>
        <v>19449</v>
      </c>
      <c r="D65" s="7"/>
      <c r="E65" s="7">
        <f>SUMIF('Total Electric Download'!A:A,A65,'Total Electric Download'!D:D)</f>
        <v>4671</v>
      </c>
      <c r="F65" s="6">
        <f t="shared" si="17"/>
        <v>12783.83</v>
      </c>
      <c r="G65" s="148">
        <f t="shared" si="18"/>
        <v>17454.830000000002</v>
      </c>
      <c r="H65" s="7"/>
      <c r="I65" s="6">
        <f>SUMIF('Total Electric Download'!A:A,A65,'Total Electric Download'!C:C)</f>
        <v>0</v>
      </c>
      <c r="J65" s="6">
        <f t="shared" si="19"/>
        <v>6665.17</v>
      </c>
      <c r="K65" s="67"/>
      <c r="L65" s="148">
        <f t="shared" si="20"/>
        <v>6665.17</v>
      </c>
      <c r="M65" s="7"/>
    </row>
    <row r="66" spans="1:13" hidden="1" outlineLevel="1">
      <c r="A66" s="1">
        <v>572</v>
      </c>
      <c r="B66" s="7">
        <f>VLOOKUP(A66,'Total Electric Download'!$A$6:$E$85,5,0)</f>
        <v>1250</v>
      </c>
      <c r="C66" s="7">
        <f>SUMIF('Total Electric Download'!A:A,A66,'Total Electric Download'!B:B)</f>
        <v>794</v>
      </c>
      <c r="D66" s="7"/>
      <c r="E66" s="7">
        <f>SUMIF('Total Electric Download'!A:A,A66,'Total Electric Download'!D:D)</f>
        <v>456</v>
      </c>
      <c r="F66" s="6">
        <f t="shared" si="17"/>
        <v>521.9</v>
      </c>
      <c r="G66" s="148">
        <f t="shared" si="18"/>
        <v>977.9</v>
      </c>
      <c r="H66" s="7"/>
      <c r="I66" s="6">
        <f>SUMIF('Total Electric Download'!A:A,A66,'Total Electric Download'!C:C)</f>
        <v>0</v>
      </c>
      <c r="J66" s="6">
        <f t="shared" si="19"/>
        <v>272.10000000000002</v>
      </c>
      <c r="K66" s="67"/>
      <c r="L66" s="148">
        <f t="shared" si="20"/>
        <v>272.10000000000002</v>
      </c>
      <c r="M66" s="7"/>
    </row>
    <row r="67" spans="1:13" hidden="1" outlineLevel="1">
      <c r="A67" s="1">
        <v>573</v>
      </c>
      <c r="B67" s="7">
        <f>VLOOKUP(A67,'Total Electric Download'!$A$6:$E$85,5,0)</f>
        <v>15237</v>
      </c>
      <c r="C67" s="7">
        <f>SUMIF('Total Electric Download'!A:A,A67,'Total Electric Download'!B:B)</f>
        <v>14845</v>
      </c>
      <c r="D67" s="7"/>
      <c r="E67" s="7">
        <f>SUMIF('Total Electric Download'!A:A,A67,'Total Electric Download'!D:D)</f>
        <v>0</v>
      </c>
      <c r="F67" s="6">
        <f t="shared" si="17"/>
        <v>9757.6200000000008</v>
      </c>
      <c r="G67" s="148">
        <f t="shared" si="18"/>
        <v>9757.6200000000008</v>
      </c>
      <c r="H67" s="7"/>
      <c r="I67" s="6">
        <f>SUMIF('Total Electric Download'!A:A,A67,'Total Electric Download'!C:C)</f>
        <v>392</v>
      </c>
      <c r="J67" s="6">
        <f t="shared" si="19"/>
        <v>5087.38</v>
      </c>
      <c r="K67" s="67"/>
      <c r="L67" s="148">
        <f t="shared" si="20"/>
        <v>5479.38</v>
      </c>
      <c r="M67" s="7"/>
    </row>
    <row r="68" spans="1:13" collapsed="1">
      <c r="A68" s="2" t="s">
        <v>3</v>
      </c>
      <c r="B68" s="93">
        <f>SUM(B55:B67)</f>
        <v>5204938</v>
      </c>
      <c r="C68" s="93">
        <f>SUM(C55:C67)</f>
        <v>5194055</v>
      </c>
      <c r="D68" s="93"/>
      <c r="E68" s="93">
        <f t="shared" ref="E68:J68" si="21">SUM(E55:E67)</f>
        <v>9757</v>
      </c>
      <c r="F68" s="93">
        <f t="shared" si="21"/>
        <v>3414052.37</v>
      </c>
      <c r="G68" s="149">
        <f t="shared" si="21"/>
        <v>3423809.37</v>
      </c>
      <c r="H68" s="93"/>
      <c r="I68" s="93">
        <f t="shared" si="21"/>
        <v>1126</v>
      </c>
      <c r="J68" s="93">
        <f t="shared" si="21"/>
        <v>1780002.63</v>
      </c>
      <c r="K68" s="94"/>
      <c r="L68" s="149">
        <f>SUM(L55:L67)</f>
        <v>1781128.63</v>
      </c>
      <c r="M68" s="7"/>
    </row>
    <row r="69" spans="1:13" ht="9.9499999999999993" customHeight="1">
      <c r="B69" s="6"/>
      <c r="C69" s="6"/>
      <c r="D69" s="7"/>
      <c r="E69" s="6"/>
      <c r="F69" s="6"/>
      <c r="G69" s="148"/>
      <c r="H69" s="7"/>
      <c r="I69" s="6"/>
      <c r="J69" s="6"/>
      <c r="K69" s="67"/>
      <c r="L69" s="148"/>
      <c r="M69" s="7"/>
    </row>
    <row r="70" spans="1:13" hidden="1" outlineLevel="1">
      <c r="A70" s="2" t="s">
        <v>4</v>
      </c>
      <c r="B70" s="6"/>
      <c r="C70" s="6"/>
      <c r="D70" s="7"/>
      <c r="E70" s="6"/>
      <c r="F70" s="6"/>
      <c r="G70" s="148"/>
      <c r="H70" s="7"/>
      <c r="I70" s="6"/>
      <c r="J70" s="6"/>
      <c r="K70" s="67"/>
      <c r="L70" s="148"/>
      <c r="M70" s="7"/>
    </row>
    <row r="71" spans="1:13" hidden="1" outlineLevel="1">
      <c r="A71" s="1">
        <v>580</v>
      </c>
      <c r="B71" s="7">
        <f>VLOOKUP(A71,'Total Electric Download'!$A$6:$E$85,5,0)</f>
        <v>2494058</v>
      </c>
      <c r="C71" s="7">
        <f>SUMIF('Total Electric Download'!A:A,A71,'Total Electric Download'!B:B)</f>
        <v>1475092</v>
      </c>
      <c r="D71" s="7"/>
      <c r="E71" s="7">
        <f>SUMIF('Total Electric Download'!A:A,A71,'Total Electric Download'!D:D)</f>
        <v>764977</v>
      </c>
      <c r="F71" s="6">
        <f t="shared" ref="F71:F89" si="22">C71*$C$130</f>
        <v>981481.96</v>
      </c>
      <c r="G71" s="148">
        <f t="shared" ref="G71:G89" si="23">E71+F71</f>
        <v>1746458.96</v>
      </c>
      <c r="H71" s="7"/>
      <c r="I71" s="6">
        <f>SUMIF('Total Electric Download'!A:A,A71,'Total Electric Download'!C:C)</f>
        <v>253989</v>
      </c>
      <c r="J71" s="6">
        <f t="shared" ref="J71:J89" si="24">C71*$E$130</f>
        <v>493610.04</v>
      </c>
      <c r="K71" s="67"/>
      <c r="L71" s="148">
        <f t="shared" ref="L71:L89" si="25">I71+J71+K71</f>
        <v>747599.04</v>
      </c>
      <c r="M71" s="7"/>
    </row>
    <row r="72" spans="1:13" hidden="1" outlineLevel="1">
      <c r="A72" s="1">
        <v>581</v>
      </c>
      <c r="B72" s="7">
        <v>0</v>
      </c>
      <c r="C72" s="7">
        <f>SUMIF('Total Electric Download'!A:A,A72,'Total Electric Download'!B:B)</f>
        <v>0</v>
      </c>
      <c r="D72" s="7"/>
      <c r="E72" s="7">
        <f>SUMIF('Total Electric Download'!A:A,A72,'Total Electric Download'!D:D)</f>
        <v>0</v>
      </c>
      <c r="F72" s="6">
        <f t="shared" si="22"/>
        <v>0</v>
      </c>
      <c r="G72" s="148">
        <f t="shared" si="23"/>
        <v>0</v>
      </c>
      <c r="H72" s="7"/>
      <c r="I72" s="6">
        <f>SUMIF('Total Electric Download'!A:A,A72,'Total Electric Download'!C:C)</f>
        <v>0</v>
      </c>
      <c r="J72" s="6">
        <f t="shared" si="24"/>
        <v>0</v>
      </c>
      <c r="K72" s="67"/>
      <c r="L72" s="148">
        <f t="shared" si="25"/>
        <v>0</v>
      </c>
      <c r="M72" s="7"/>
    </row>
    <row r="73" spans="1:13" hidden="1" outlineLevel="1">
      <c r="A73" s="1">
        <v>582</v>
      </c>
      <c r="B73" s="7">
        <f>VLOOKUP(A73,'Total Electric Download'!$A$6:$E$85,5,0)</f>
        <v>315349</v>
      </c>
      <c r="C73" s="7">
        <f>SUMIF('Total Electric Download'!A:A,A73,'Total Electric Download'!B:B)</f>
        <v>20256</v>
      </c>
      <c r="D73" s="7"/>
      <c r="E73" s="7">
        <f>SUMIF('Total Electric Download'!A:A,A73,'Total Electric Download'!D:D)</f>
        <v>155041</v>
      </c>
      <c r="F73" s="6">
        <f t="shared" si="22"/>
        <v>13477.73</v>
      </c>
      <c r="G73" s="148">
        <f t="shared" si="23"/>
        <v>168518.73</v>
      </c>
      <c r="H73" s="7"/>
      <c r="I73" s="6">
        <f>SUMIF('Total Electric Download'!A:A,A73,'Total Electric Download'!C:C)</f>
        <v>140052</v>
      </c>
      <c r="J73" s="6">
        <f t="shared" si="24"/>
        <v>6778.27</v>
      </c>
      <c r="K73" s="67"/>
      <c r="L73" s="148">
        <f t="shared" si="25"/>
        <v>146830.26999999999</v>
      </c>
      <c r="M73" s="7"/>
    </row>
    <row r="74" spans="1:13" hidden="1" outlineLevel="1">
      <c r="A74" s="1">
        <v>583</v>
      </c>
      <c r="B74" s="7">
        <f>VLOOKUP(A74,'Total Electric Download'!$A$6:$E$85,5,0)</f>
        <v>907292</v>
      </c>
      <c r="C74" s="7">
        <f>SUMIF('Total Electric Download'!A:A,A74,'Total Electric Download'!B:B)</f>
        <v>222095</v>
      </c>
      <c r="D74" s="7"/>
      <c r="E74" s="7">
        <f>SUMIF('Total Electric Download'!A:A,A74,'Total Electric Download'!D:D)</f>
        <v>433428</v>
      </c>
      <c r="F74" s="6">
        <f t="shared" si="22"/>
        <v>147775.35</v>
      </c>
      <c r="G74" s="148">
        <f t="shared" si="23"/>
        <v>581203.35</v>
      </c>
      <c r="H74" s="7"/>
      <c r="I74" s="6">
        <f>SUMIF('Total Electric Download'!A:A,A74,'Total Electric Download'!C:C)</f>
        <v>251769</v>
      </c>
      <c r="J74" s="6">
        <f t="shared" si="24"/>
        <v>74319.649999999994</v>
      </c>
      <c r="K74" s="67"/>
      <c r="L74" s="148">
        <f t="shared" si="25"/>
        <v>326088.65000000002</v>
      </c>
      <c r="M74" s="7"/>
    </row>
    <row r="75" spans="1:13" hidden="1" outlineLevel="1">
      <c r="A75" s="1">
        <v>584</v>
      </c>
      <c r="B75" s="7">
        <f>VLOOKUP(A75,'Total Electric Download'!$A$6:$E$85,5,0)+'Total Electric Download'!E53</f>
        <v>419117</v>
      </c>
      <c r="C75" s="7">
        <f>SUMIF('Total Electric Download'!A:A,A75,'Total Electric Download'!B:B)</f>
        <v>0</v>
      </c>
      <c r="D75" s="7"/>
      <c r="E75" s="7">
        <f>SUMIF('Total Electric Download'!A:A,A75,'Total Electric Download'!D:D)</f>
        <v>267176</v>
      </c>
      <c r="F75" s="6">
        <f t="shared" si="22"/>
        <v>0</v>
      </c>
      <c r="G75" s="148">
        <f t="shared" si="23"/>
        <v>267176</v>
      </c>
      <c r="H75" s="7"/>
      <c r="I75" s="6">
        <f>SUMIF('Total Electric Download'!A:A,A75,'Total Electric Download'!C:C)</f>
        <v>151941</v>
      </c>
      <c r="J75" s="6">
        <f t="shared" si="24"/>
        <v>0</v>
      </c>
      <c r="K75" s="67"/>
      <c r="L75" s="148">
        <f t="shared" si="25"/>
        <v>151941</v>
      </c>
      <c r="M75" s="7"/>
    </row>
    <row r="76" spans="1:13" hidden="1" outlineLevel="1">
      <c r="A76" s="1">
        <v>585</v>
      </c>
      <c r="B76" s="7">
        <f>VLOOKUP(A76,'Total Electric Download'!$A$6:$E$85,5,0)</f>
        <v>3823</v>
      </c>
      <c r="C76" s="7">
        <f>SUMIF('Total Electric Download'!A:A,A76,'Total Electric Download'!B:B)</f>
        <v>86</v>
      </c>
      <c r="D76" s="7"/>
      <c r="E76" s="7">
        <f>SUMIF('Total Electric Download'!A:A,A76,'Total Electric Download'!D:D)</f>
        <v>3737</v>
      </c>
      <c r="F76" s="6">
        <f t="shared" si="22"/>
        <v>57.22</v>
      </c>
      <c r="G76" s="148">
        <f t="shared" si="23"/>
        <v>3794.22</v>
      </c>
      <c r="H76" s="7"/>
      <c r="I76" s="6">
        <f>SUMIF('Total Electric Download'!A:A,A76,'Total Electric Download'!C:C)</f>
        <v>0</v>
      </c>
      <c r="J76" s="6">
        <f t="shared" si="24"/>
        <v>28.78</v>
      </c>
      <c r="K76" s="67"/>
      <c r="L76" s="148">
        <f t="shared" si="25"/>
        <v>28.78</v>
      </c>
      <c r="M76" s="7"/>
    </row>
    <row r="77" spans="1:13" hidden="1" outlineLevel="1">
      <c r="A77" s="1">
        <v>586</v>
      </c>
      <c r="B77" s="7">
        <f>VLOOKUP(A77,'Total Electric Download'!$A$6:$E$85,5,0)</f>
        <v>952409</v>
      </c>
      <c r="C77" s="7">
        <f>SUMIF('Total Electric Download'!A:A,A77,'Total Electric Download'!B:B)</f>
        <v>26081</v>
      </c>
      <c r="D77" s="7"/>
      <c r="E77" s="7">
        <f>SUMIF('Total Electric Download'!A:A,A77,'Total Electric Download'!D:D)</f>
        <v>724498</v>
      </c>
      <c r="F77" s="6">
        <f t="shared" si="22"/>
        <v>17353.509999999998</v>
      </c>
      <c r="G77" s="148">
        <f t="shared" si="23"/>
        <v>741851.51</v>
      </c>
      <c r="H77" s="7"/>
      <c r="I77" s="6">
        <f>SUMIF('Total Electric Download'!A:A,A77,'Total Electric Download'!C:C)</f>
        <v>201830</v>
      </c>
      <c r="J77" s="6">
        <f t="shared" si="24"/>
        <v>8727.49</v>
      </c>
      <c r="K77" s="67"/>
      <c r="L77" s="148">
        <f t="shared" si="25"/>
        <v>210557.49</v>
      </c>
      <c r="M77" s="7"/>
    </row>
    <row r="78" spans="1:13" hidden="1" outlineLevel="1">
      <c r="A78" s="1">
        <v>587</v>
      </c>
      <c r="B78" s="7">
        <f>VLOOKUP(A78,'Total Electric Download'!$A$6:$E$85,5,0)</f>
        <v>432993</v>
      </c>
      <c r="C78" s="7">
        <f>SUMIF('Total Electric Download'!A:A,A78,'Total Electric Download'!B:B)</f>
        <v>75501</v>
      </c>
      <c r="D78" s="7"/>
      <c r="E78" s="7">
        <f>SUMIF('Total Electric Download'!A:A,A78,'Total Electric Download'!D:D)</f>
        <v>187814</v>
      </c>
      <c r="F78" s="6">
        <f t="shared" si="22"/>
        <v>50236.1</v>
      </c>
      <c r="G78" s="148">
        <f t="shared" si="23"/>
        <v>238050.1</v>
      </c>
      <c r="H78" s="7"/>
      <c r="I78" s="6">
        <f>SUMIF('Total Electric Download'!A:A,A78,'Total Electric Download'!C:C)</f>
        <v>169678</v>
      </c>
      <c r="J78" s="6">
        <f t="shared" si="24"/>
        <v>25264.9</v>
      </c>
      <c r="K78" s="67"/>
      <c r="L78" s="148">
        <f t="shared" si="25"/>
        <v>194942.9</v>
      </c>
      <c r="M78" s="7"/>
    </row>
    <row r="79" spans="1:13" hidden="1" outlineLevel="1">
      <c r="A79" s="1">
        <v>588</v>
      </c>
      <c r="B79" s="7">
        <f>VLOOKUP(A79,'Total Electric Download'!$A$6:$E$85,5,0)</f>
        <v>3982511</v>
      </c>
      <c r="C79" s="7">
        <f>SUMIF('Total Electric Download'!A:A,A79,'Total Electric Download'!B:B)</f>
        <v>1992799</v>
      </c>
      <c r="D79" s="7"/>
      <c r="E79" s="7">
        <f>SUMIF('Total Electric Download'!A:A,A79,'Total Electric Download'!D:D)</f>
        <v>1245510</v>
      </c>
      <c r="F79" s="6">
        <f t="shared" si="22"/>
        <v>1325948.67</v>
      </c>
      <c r="G79" s="148">
        <f t="shared" si="23"/>
        <v>2571458.67</v>
      </c>
      <c r="H79" s="7"/>
      <c r="I79" s="6">
        <f>SUMIF('Total Electric Download'!A:A,A79,'Total Electric Download'!C:C)</f>
        <v>744202</v>
      </c>
      <c r="J79" s="6">
        <f t="shared" si="24"/>
        <v>666850.32999999996</v>
      </c>
      <c r="K79" s="67"/>
      <c r="L79" s="148">
        <f t="shared" si="25"/>
        <v>1411052.33</v>
      </c>
      <c r="M79" s="7"/>
    </row>
    <row r="80" spans="1:13" hidden="1" outlineLevel="1">
      <c r="A80" s="1">
        <v>589</v>
      </c>
      <c r="B80" s="7">
        <f>VLOOKUP(A80,'Total Electric Download'!$A$6:$E$85,5,0)</f>
        <v>20024</v>
      </c>
      <c r="C80" s="7">
        <f>SUMIF('Total Electric Download'!A:A,A80,'Total Electric Download'!B:B)</f>
        <v>20024</v>
      </c>
      <c r="D80" s="7"/>
      <c r="E80" s="7">
        <f>SUMIF('Total Electric Download'!A:A,A80,'Total Electric Download'!D:D)</f>
        <v>0</v>
      </c>
      <c r="F80" s="6">
        <f t="shared" si="22"/>
        <v>13323.37</v>
      </c>
      <c r="G80" s="148">
        <f t="shared" si="23"/>
        <v>13323.37</v>
      </c>
      <c r="H80" s="7"/>
      <c r="I80" s="6">
        <f>SUMIF('Total Electric Download'!A:A,A80,'Total Electric Download'!C:C)</f>
        <v>0</v>
      </c>
      <c r="J80" s="6">
        <f t="shared" si="24"/>
        <v>6700.63</v>
      </c>
      <c r="K80" s="67"/>
      <c r="L80" s="148">
        <f t="shared" si="25"/>
        <v>6700.63</v>
      </c>
      <c r="M80" s="7"/>
    </row>
    <row r="81" spans="1:13" hidden="1" outlineLevel="1">
      <c r="A81" s="1">
        <v>590</v>
      </c>
      <c r="B81" s="7">
        <f>VLOOKUP(A81,'Total Electric Download'!$A$6:$E$85,5,0)</f>
        <v>629867</v>
      </c>
      <c r="C81" s="7">
        <f>SUMIF('Total Electric Download'!A:A,A81,'Total Electric Download'!B:B)</f>
        <v>459152</v>
      </c>
      <c r="D81" s="7"/>
      <c r="E81" s="7">
        <f>SUMIF('Total Electric Download'!A:A,A81,'Total Electric Download'!D:D)</f>
        <v>121894</v>
      </c>
      <c r="F81" s="6">
        <f t="shared" si="22"/>
        <v>305505.96999999997</v>
      </c>
      <c r="G81" s="148">
        <f t="shared" si="23"/>
        <v>427399.97</v>
      </c>
      <c r="H81" s="7"/>
      <c r="I81" s="6">
        <f>SUMIF('Total Electric Download'!A:A,A81,'Total Electric Download'!C:C)</f>
        <v>48821</v>
      </c>
      <c r="J81" s="6">
        <f t="shared" si="24"/>
        <v>153646.03</v>
      </c>
      <c r="K81" s="67"/>
      <c r="L81" s="148">
        <f t="shared" si="25"/>
        <v>202467.03</v>
      </c>
      <c r="M81" s="7"/>
    </row>
    <row r="82" spans="1:13" hidden="1" outlineLevel="1">
      <c r="A82" s="1">
        <v>591</v>
      </c>
      <c r="B82" s="7">
        <f>VLOOKUP(A82,'Total Electric Download'!$A$6:$E$85,5,0)</f>
        <v>195721</v>
      </c>
      <c r="C82" s="7">
        <f>SUMIF('Total Electric Download'!A:A,A82,'Total Electric Download'!B:B)</f>
        <v>0</v>
      </c>
      <c r="D82" s="7"/>
      <c r="E82" s="7">
        <f>SUMIF('Total Electric Download'!A:A,A82,'Total Electric Download'!D:D)</f>
        <v>122666</v>
      </c>
      <c r="F82" s="6">
        <f t="shared" si="22"/>
        <v>0</v>
      </c>
      <c r="G82" s="148">
        <f t="shared" si="23"/>
        <v>122666</v>
      </c>
      <c r="H82" s="7"/>
      <c r="I82" s="6">
        <f>SUMIF('Total Electric Download'!A:A,A82,'Total Electric Download'!C:C)</f>
        <v>73055</v>
      </c>
      <c r="J82" s="6">
        <f t="shared" si="24"/>
        <v>0</v>
      </c>
      <c r="K82" s="67"/>
      <c r="L82" s="148">
        <f t="shared" si="25"/>
        <v>73055</v>
      </c>
      <c r="M82" s="7"/>
    </row>
    <row r="83" spans="1:13" hidden="1" outlineLevel="1">
      <c r="A83" s="1">
        <v>592</v>
      </c>
      <c r="B83" s="7">
        <f>VLOOKUP(A83,'Total Electric Download'!$A$6:$E$85,5,0)</f>
        <v>410102</v>
      </c>
      <c r="C83" s="7">
        <f>SUMIF('Total Electric Download'!A:A,A83,'Total Electric Download'!B:B)</f>
        <v>48774</v>
      </c>
      <c r="D83" s="7"/>
      <c r="E83" s="7">
        <f>SUMIF('Total Electric Download'!A:A,A83,'Total Electric Download'!D:D)</f>
        <v>278581</v>
      </c>
      <c r="F83" s="6">
        <f t="shared" si="22"/>
        <v>32452.76</v>
      </c>
      <c r="G83" s="148">
        <f t="shared" si="23"/>
        <v>311033.76</v>
      </c>
      <c r="H83" s="7"/>
      <c r="I83" s="6">
        <f>SUMIF('Total Electric Download'!A:A,A83,'Total Electric Download'!C:C)</f>
        <v>82747</v>
      </c>
      <c r="J83" s="6">
        <f t="shared" si="24"/>
        <v>16321.24</v>
      </c>
      <c r="K83" s="67"/>
      <c r="L83" s="148">
        <f t="shared" si="25"/>
        <v>99068.24</v>
      </c>
      <c r="M83" s="7"/>
    </row>
    <row r="84" spans="1:13" hidden="1" outlineLevel="1">
      <c r="A84" s="1">
        <v>593</v>
      </c>
      <c r="B84" s="7">
        <f>VLOOKUP(A84,'Total Electric Download'!$A$6:$E$85,5,0)</f>
        <v>1479863</v>
      </c>
      <c r="C84" s="7">
        <f>SUMIF('Total Electric Download'!A:A,A84,'Total Electric Download'!B:B)</f>
        <v>0</v>
      </c>
      <c r="D84" s="7"/>
      <c r="E84" s="7">
        <f>SUMIF('Total Electric Download'!A:A,A84,'Total Electric Download'!D:D)</f>
        <v>966197</v>
      </c>
      <c r="F84" s="6">
        <f t="shared" si="22"/>
        <v>0</v>
      </c>
      <c r="G84" s="148">
        <f t="shared" si="23"/>
        <v>966197</v>
      </c>
      <c r="H84" s="7"/>
      <c r="I84" s="6">
        <f>SUMIF('Total Electric Download'!A:A,A84,'Total Electric Download'!C:C)</f>
        <v>513666</v>
      </c>
      <c r="J84" s="6">
        <f t="shared" si="24"/>
        <v>0</v>
      </c>
      <c r="K84" s="67"/>
      <c r="L84" s="148">
        <f t="shared" si="25"/>
        <v>513666</v>
      </c>
      <c r="M84" s="7"/>
    </row>
    <row r="85" spans="1:13" hidden="1" outlineLevel="1">
      <c r="A85" s="1">
        <v>594</v>
      </c>
      <c r="B85" s="7">
        <f>VLOOKUP(A85,'Total Electric Download'!$A$6:$E$85,5,0)</f>
        <v>404946</v>
      </c>
      <c r="C85" s="7">
        <f>SUMIF('Total Electric Download'!A:A,A85,'Total Electric Download'!B:B)</f>
        <v>0</v>
      </c>
      <c r="D85" s="7"/>
      <c r="E85" s="7">
        <f>SUMIF('Total Electric Download'!A:A,A85,'Total Electric Download'!D:D)</f>
        <v>276581</v>
      </c>
      <c r="F85" s="6">
        <f t="shared" si="22"/>
        <v>0</v>
      </c>
      <c r="G85" s="148">
        <f t="shared" si="23"/>
        <v>276581</v>
      </c>
      <c r="H85" s="7"/>
      <c r="I85" s="6">
        <f>SUMIF('Total Electric Download'!A:A,A85,'Total Electric Download'!C:C)</f>
        <v>128365</v>
      </c>
      <c r="J85" s="6">
        <f t="shared" si="24"/>
        <v>0</v>
      </c>
      <c r="K85" s="67"/>
      <c r="L85" s="148">
        <f t="shared" si="25"/>
        <v>128365</v>
      </c>
      <c r="M85" s="7"/>
    </row>
    <row r="86" spans="1:13" hidden="1" outlineLevel="1">
      <c r="A86" s="1">
        <v>595</v>
      </c>
      <c r="B86" s="7">
        <f>VLOOKUP(A86,'Total Electric Download'!$A$6:$E$85,5,0)</f>
        <v>215646</v>
      </c>
      <c r="C86" s="7">
        <f>SUMIF('Total Electric Download'!A:A,A86,'Total Electric Download'!B:B)</f>
        <v>13239</v>
      </c>
      <c r="D86" s="7"/>
      <c r="E86" s="7">
        <f>SUMIF('Total Electric Download'!A:A,A86,'Total Electric Download'!D:D)</f>
        <v>169891</v>
      </c>
      <c r="F86" s="6">
        <f t="shared" si="22"/>
        <v>8808.83</v>
      </c>
      <c r="G86" s="148">
        <f t="shared" si="23"/>
        <v>178699.83</v>
      </c>
      <c r="H86" s="7"/>
      <c r="I86" s="6">
        <f>SUMIF('Total Electric Download'!A:A,A86,'Total Electric Download'!C:C)</f>
        <v>32516</v>
      </c>
      <c r="J86" s="6">
        <f>C86*$E$130</f>
        <v>4430.17</v>
      </c>
      <c r="K86" s="67"/>
      <c r="L86" s="148">
        <f t="shared" si="25"/>
        <v>36946.17</v>
      </c>
      <c r="M86" s="7"/>
    </row>
    <row r="87" spans="1:13" hidden="1" outlineLevel="1">
      <c r="A87" s="1">
        <v>596</v>
      </c>
      <c r="B87" s="7">
        <f>VLOOKUP(A87,'Total Electric Download'!$A$6:$E$85,5,0)</f>
        <v>175422</v>
      </c>
      <c r="C87" s="7">
        <f>SUMIF('Total Electric Download'!A:A,A87,'Total Electric Download'!B:B)</f>
        <v>0</v>
      </c>
      <c r="D87" s="7"/>
      <c r="E87" s="7">
        <f>SUMIF('Total Electric Download'!A:A,A87,'Total Electric Download'!D:D)</f>
        <v>149629</v>
      </c>
      <c r="F87" s="6">
        <f t="shared" si="22"/>
        <v>0</v>
      </c>
      <c r="G87" s="148">
        <f t="shared" si="23"/>
        <v>149629</v>
      </c>
      <c r="H87" s="7"/>
      <c r="I87" s="6">
        <f>SUMIF('Total Electric Download'!A:A,A87,'Total Electric Download'!C:C)</f>
        <v>25793</v>
      </c>
      <c r="J87" s="6">
        <f t="shared" si="24"/>
        <v>0</v>
      </c>
      <c r="K87" s="67"/>
      <c r="L87" s="148">
        <f t="shared" si="25"/>
        <v>25793</v>
      </c>
      <c r="M87" s="7"/>
    </row>
    <row r="88" spans="1:13" hidden="1" outlineLevel="1">
      <c r="A88" s="1">
        <v>597</v>
      </c>
      <c r="B88" s="7">
        <f>VLOOKUP(A88,'Total Electric Download'!$A$6:$E$85,5,0)</f>
        <v>16508</v>
      </c>
      <c r="C88" s="7">
        <f>SUMIF('Total Electric Download'!A:A,A88,'Total Electric Download'!B:B)</f>
        <v>0</v>
      </c>
      <c r="D88" s="7"/>
      <c r="E88" s="7">
        <f>SUMIF('Total Electric Download'!A:A,A88,'Total Electric Download'!D:D)</f>
        <v>9901</v>
      </c>
      <c r="F88" s="6">
        <f t="shared" si="22"/>
        <v>0</v>
      </c>
      <c r="G88" s="148">
        <f t="shared" si="23"/>
        <v>9901</v>
      </c>
      <c r="H88" s="7"/>
      <c r="I88" s="6">
        <f>SUMIF('Total Electric Download'!A:A,A88,'Total Electric Download'!C:C)</f>
        <v>6607</v>
      </c>
      <c r="J88" s="6">
        <f t="shared" si="24"/>
        <v>0</v>
      </c>
      <c r="K88" s="67"/>
      <c r="L88" s="148">
        <f t="shared" si="25"/>
        <v>6607</v>
      </c>
      <c r="M88" s="7"/>
    </row>
    <row r="89" spans="1:13" hidden="1" outlineLevel="1">
      <c r="A89" s="1">
        <v>598</v>
      </c>
      <c r="B89" s="7">
        <f>VLOOKUP(A89,'Total Electric Download'!$A$6:$E$85,5,0)</f>
        <v>184305</v>
      </c>
      <c r="C89" s="7">
        <f>SUMIF('Total Electric Download'!A:A,A89,'Total Electric Download'!B:B)</f>
        <v>47167</v>
      </c>
      <c r="D89" s="7"/>
      <c r="E89" s="7">
        <f>SUMIF('Total Electric Download'!A:A,A89,'Total Electric Download'!D:D)</f>
        <v>97839</v>
      </c>
      <c r="F89" s="6">
        <f t="shared" si="22"/>
        <v>31383.51</v>
      </c>
      <c r="G89" s="148">
        <f t="shared" si="23"/>
        <v>129222.51</v>
      </c>
      <c r="H89" s="7"/>
      <c r="I89" s="6">
        <f>SUMIF('Total Electric Download'!A:A,A89,'Total Electric Download'!C:C)</f>
        <v>39299</v>
      </c>
      <c r="J89" s="6">
        <f t="shared" si="24"/>
        <v>15783.49</v>
      </c>
      <c r="K89" s="67"/>
      <c r="L89" s="148">
        <f t="shared" si="25"/>
        <v>55082.49</v>
      </c>
      <c r="M89" s="7"/>
    </row>
    <row r="90" spans="1:13" collapsed="1">
      <c r="A90" s="2" t="s">
        <v>5</v>
      </c>
      <c r="B90" s="93">
        <f>SUM(B71:B89)</f>
        <v>13239956</v>
      </c>
      <c r="C90" s="93">
        <f>SUM(C71:C89)</f>
        <v>4400266</v>
      </c>
      <c r="D90" s="93"/>
      <c r="E90" s="93">
        <f t="shared" ref="E90:J90" si="26">SUM(E71:E89)</f>
        <v>5975360</v>
      </c>
      <c r="F90" s="93">
        <f t="shared" si="26"/>
        <v>2927804.98</v>
      </c>
      <c r="G90" s="149">
        <f t="shared" si="26"/>
        <v>8903164.9800000004</v>
      </c>
      <c r="H90" s="93"/>
      <c r="I90" s="93">
        <f t="shared" si="26"/>
        <v>2864330</v>
      </c>
      <c r="J90" s="93">
        <f t="shared" si="26"/>
        <v>1472461.02</v>
      </c>
      <c r="K90" s="94"/>
      <c r="L90" s="149">
        <f>SUM(L71:L89)</f>
        <v>4336791.0199999996</v>
      </c>
      <c r="M90" s="7"/>
    </row>
    <row r="91" spans="1:13">
      <c r="B91" s="54"/>
      <c r="C91" s="54"/>
      <c r="D91" s="65"/>
      <c r="E91" s="54"/>
      <c r="F91" s="54"/>
      <c r="G91" s="148"/>
      <c r="H91" s="65"/>
      <c r="I91" s="54"/>
      <c r="J91" s="54"/>
      <c r="K91" s="95"/>
      <c r="L91" s="148"/>
      <c r="M91" s="7"/>
    </row>
    <row r="92" spans="1:13" hidden="1" outlineLevel="2">
      <c r="A92" s="2" t="s">
        <v>6</v>
      </c>
      <c r="B92" s="6"/>
      <c r="C92" s="6"/>
      <c r="D92" s="7"/>
      <c r="E92" s="6"/>
      <c r="F92" s="6"/>
      <c r="G92" s="148"/>
      <c r="H92" s="7"/>
      <c r="I92" s="6"/>
      <c r="J92" s="6"/>
      <c r="K92" s="67"/>
      <c r="L92" s="148"/>
      <c r="M92" s="7"/>
    </row>
    <row r="93" spans="1:13" hidden="1" outlineLevel="2">
      <c r="A93" s="1">
        <v>901</v>
      </c>
      <c r="B93" s="7">
        <f>VLOOKUP(A93,'Total Electric Download'!$A$6:$E$85,5,0)</f>
        <v>202778</v>
      </c>
      <c r="C93" s="7">
        <f>SUMIF('Total Electric Download'!A:A,A93,'Total Electric Download'!B:B)</f>
        <v>202778</v>
      </c>
      <c r="D93" s="7"/>
      <c r="E93" s="7">
        <f>SUMIF('Total Electric Download'!A:A,A93,'Total Electric Download'!D:D)</f>
        <v>0</v>
      </c>
      <c r="F93" s="6">
        <f>C93*$C$129</f>
        <v>133172.42000000001</v>
      </c>
      <c r="G93" s="148">
        <f>E93+F93</f>
        <v>133172.42000000001</v>
      </c>
      <c r="H93" s="7"/>
      <c r="I93" s="6">
        <f>SUMIF('Total Electric Download'!A:A,A93,'Total Electric Download'!C:C)</f>
        <v>0</v>
      </c>
      <c r="J93" s="6">
        <f>C93*$E$129</f>
        <v>69605.58</v>
      </c>
      <c r="K93" s="67"/>
      <c r="L93" s="148">
        <f>I93+J93+K93</f>
        <v>69605.58</v>
      </c>
      <c r="M93" s="7"/>
    </row>
    <row r="94" spans="1:13" hidden="1" outlineLevel="2">
      <c r="A94" s="1">
        <v>902</v>
      </c>
      <c r="B94" s="7">
        <f>VLOOKUP(A94,'Total Electric Download'!$A$6:$E$85,5,0)</f>
        <v>1742906</v>
      </c>
      <c r="C94" s="7">
        <f>SUMIF('Total Electric Download'!A:A,A94,'Total Electric Download'!B:B)</f>
        <v>80187</v>
      </c>
      <c r="D94" s="7"/>
      <c r="E94" s="7">
        <f>SUMIF('Total Electric Download'!A:A,A94,'Total Electric Download'!D:D)</f>
        <v>1491465</v>
      </c>
      <c r="F94" s="6">
        <f>C94*$C$129</f>
        <v>52662.01</v>
      </c>
      <c r="G94" s="148">
        <f>E94+F94</f>
        <v>1544127.01</v>
      </c>
      <c r="H94" s="7"/>
      <c r="I94" s="6">
        <f>SUMIF('Total Electric Download'!A:A,A94,'Total Electric Download'!C:C)</f>
        <v>171254</v>
      </c>
      <c r="J94" s="6">
        <f>C94*$E$129</f>
        <v>27524.99</v>
      </c>
      <c r="K94" s="67"/>
      <c r="L94" s="148">
        <f>I94+J94+K94</f>
        <v>198778.99</v>
      </c>
      <c r="M94" s="7"/>
    </row>
    <row r="95" spans="1:13" hidden="1" outlineLevel="2">
      <c r="A95" s="1">
        <v>903</v>
      </c>
      <c r="B95" s="7">
        <f>VLOOKUP(A95,'Total Electric Download'!$A$6:$E$85,5,0)</f>
        <v>4771401</v>
      </c>
      <c r="C95" s="7">
        <f>SUMIF('Total Electric Download'!A:A,A95,'Total Electric Download'!B:B)</f>
        <v>3839347</v>
      </c>
      <c r="D95" s="7"/>
      <c r="E95" s="7">
        <f>SUMIF('Total Electric Download'!A:A,A95,'Total Electric Download'!D:D)</f>
        <v>607085</v>
      </c>
      <c r="F95" s="6">
        <f>C95*$C$129</f>
        <v>2521452.75</v>
      </c>
      <c r="G95" s="148">
        <f>E95+F95</f>
        <v>3128537.75</v>
      </c>
      <c r="H95" s="7"/>
      <c r="I95" s="6">
        <f>SUMIF('Total Electric Download'!A:A,A95,'Total Electric Download'!C:C)</f>
        <v>324969</v>
      </c>
      <c r="J95" s="6">
        <f>C95*$E$129</f>
        <v>1317894.25</v>
      </c>
      <c r="K95" s="67"/>
      <c r="L95" s="148">
        <f>I95+J95+K95</f>
        <v>1642863.25</v>
      </c>
      <c r="M95" s="7"/>
    </row>
    <row r="96" spans="1:13" hidden="1" outlineLevel="2">
      <c r="A96" s="1">
        <v>905</v>
      </c>
      <c r="B96" s="7">
        <f>VLOOKUP(A96,'Total Electric Download'!$A$6:$E$85,5,0)</f>
        <v>115532</v>
      </c>
      <c r="C96" s="7">
        <f>SUMIF('Total Electric Download'!A:A,A96,'Total Electric Download'!B:B)</f>
        <v>115532</v>
      </c>
      <c r="D96" s="7"/>
      <c r="E96" s="7">
        <f>SUMIF('Total Electric Download'!A:A,A96,'Total Electric Download'!D:D)</f>
        <v>0</v>
      </c>
      <c r="F96" s="6">
        <f>C96*$C$129</f>
        <v>75874.490000000005</v>
      </c>
      <c r="G96" s="148">
        <f>E96+F96</f>
        <v>75874.490000000005</v>
      </c>
      <c r="H96" s="7"/>
      <c r="I96" s="6">
        <f>SUMIF('Total Electric Download'!A:A,A96,'Total Electric Download'!C:C)</f>
        <v>0</v>
      </c>
      <c r="J96" s="6">
        <f>C96*$E$129</f>
        <v>39657.51</v>
      </c>
      <c r="K96" s="67"/>
      <c r="L96" s="148">
        <f>I96+J96+K96</f>
        <v>39657.51</v>
      </c>
      <c r="M96" s="7"/>
    </row>
    <row r="97" spans="1:13" collapsed="1">
      <c r="A97" s="2" t="s">
        <v>7</v>
      </c>
      <c r="B97" s="37">
        <f>SUM(B93:B96)</f>
        <v>6832617</v>
      </c>
      <c r="C97" s="37">
        <f>SUM(C93:C96)</f>
        <v>4237844</v>
      </c>
      <c r="D97" s="93"/>
      <c r="E97" s="37">
        <f t="shared" ref="E97:J97" si="27">SUM(E93:E96)</f>
        <v>2098550</v>
      </c>
      <c r="F97" s="37">
        <f t="shared" si="27"/>
        <v>2783161.67</v>
      </c>
      <c r="G97" s="149">
        <f t="shared" si="27"/>
        <v>4881711.67</v>
      </c>
      <c r="H97" s="37"/>
      <c r="I97" s="37">
        <f t="shared" si="27"/>
        <v>496223</v>
      </c>
      <c r="J97" s="37">
        <f t="shared" si="27"/>
        <v>1454682.33</v>
      </c>
      <c r="K97" s="68"/>
      <c r="L97" s="149">
        <f>SUM(L93:L96)</f>
        <v>1950905.33</v>
      </c>
      <c r="M97" s="7"/>
    </row>
    <row r="98" spans="1:13">
      <c r="B98" s="6"/>
      <c r="C98" s="6"/>
      <c r="D98" s="7"/>
      <c r="E98" s="6"/>
      <c r="F98" s="6"/>
      <c r="G98" s="148"/>
      <c r="H98" s="7"/>
      <c r="I98" s="6"/>
      <c r="J98" s="6"/>
      <c r="K98" s="67"/>
      <c r="L98" s="148"/>
      <c r="M98" s="7"/>
    </row>
    <row r="99" spans="1:13" hidden="1" outlineLevel="1">
      <c r="A99" s="2" t="s">
        <v>8</v>
      </c>
      <c r="B99" s="6"/>
      <c r="C99" s="6"/>
      <c r="D99" s="7"/>
      <c r="E99" s="6"/>
      <c r="F99" s="6"/>
      <c r="G99" s="148"/>
      <c r="H99" s="7"/>
      <c r="I99" s="6"/>
      <c r="J99" s="6"/>
      <c r="K99" s="67"/>
      <c r="L99" s="148"/>
      <c r="M99" s="7"/>
    </row>
    <row r="100" spans="1:13" hidden="1" outlineLevel="1">
      <c r="A100" s="1">
        <v>908</v>
      </c>
      <c r="B100" s="7">
        <f>VLOOKUP(A100,'Total Electric Download'!$A$6:$E$85,5,0)</f>
        <v>303651</v>
      </c>
      <c r="C100" s="7">
        <f>SUMIF('Total Electric Download'!A:A,A100,'Total Electric Download'!B:B)</f>
        <v>111266</v>
      </c>
      <c r="D100" s="7"/>
      <c r="E100" s="7">
        <f>SUMIF('Total Electric Download'!A:A,A100,'Total Electric Download'!D:D)</f>
        <v>151428</v>
      </c>
      <c r="F100" s="6">
        <f>C100*$C$129</f>
        <v>73072.83</v>
      </c>
      <c r="G100" s="148">
        <f>E100+F100</f>
        <v>224500.83</v>
      </c>
      <c r="H100" s="7"/>
      <c r="I100" s="6">
        <f>SUMIF('Total Electric Download'!A:A,A100,'Total Electric Download'!C:C)</f>
        <v>40957</v>
      </c>
      <c r="J100" s="6">
        <f>C100*$E$129</f>
        <v>38193.17</v>
      </c>
      <c r="K100" s="67"/>
      <c r="L100" s="148">
        <f>I100+J100+K100</f>
        <v>79150.17</v>
      </c>
      <c r="M100" s="7"/>
    </row>
    <row r="101" spans="1:13" hidden="1" outlineLevel="1">
      <c r="A101" s="1">
        <v>909</v>
      </c>
      <c r="B101" s="7">
        <f>VLOOKUP(A101,'Total Electric Download'!$A$6:$E$85,5,0)</f>
        <v>213564</v>
      </c>
      <c r="C101" s="7">
        <f>SUMIF('Total Electric Download'!A:A,A101,'Total Electric Download'!B:B)</f>
        <v>213564</v>
      </c>
      <c r="D101" s="7"/>
      <c r="E101" s="7">
        <f>SUMIF('Total Electric Download'!A:A,A101,'Total Electric Download'!D:D)</f>
        <v>0</v>
      </c>
      <c r="F101" s="6">
        <f>C101*$C$129</f>
        <v>140256.01999999999</v>
      </c>
      <c r="G101" s="148">
        <f>E101+F101</f>
        <v>140256.01999999999</v>
      </c>
      <c r="H101" s="7"/>
      <c r="I101" s="6">
        <f>SUMIF('Total Electric Download'!A:A,A101,'Total Electric Download'!C:C)</f>
        <v>0</v>
      </c>
      <c r="J101" s="6">
        <f>C101*$E$129</f>
        <v>73307.98</v>
      </c>
      <c r="K101" s="67"/>
      <c r="L101" s="148">
        <f>I101+J101+K101</f>
        <v>73307.98</v>
      </c>
      <c r="M101" s="7"/>
    </row>
    <row r="102" spans="1:13" hidden="1" outlineLevel="1">
      <c r="A102" s="1">
        <v>910</v>
      </c>
      <c r="B102" s="7">
        <f>VLOOKUP(A102,'Total Electric Download'!$A$6:$E$85,5,0)</f>
        <v>54300</v>
      </c>
      <c r="C102" s="7">
        <f>SUMIF('Total Electric Download'!A:A,A102,'Total Electric Download'!B:B)</f>
        <v>54300</v>
      </c>
      <c r="D102" s="7"/>
      <c r="E102" s="7">
        <f>SUMIF('Total Electric Download'!A:A,A102,'Total Electric Download'!D:D)</f>
        <v>0</v>
      </c>
      <c r="F102" s="6">
        <f>C102*$C$129</f>
        <v>35660.980000000003</v>
      </c>
      <c r="G102" s="148">
        <f>E102+F102</f>
        <v>35660.980000000003</v>
      </c>
      <c r="H102" s="7"/>
      <c r="I102" s="6">
        <f>SUMIF('Total Electric Download'!A:A,A102,'Total Electric Download'!C:C)</f>
        <v>0</v>
      </c>
      <c r="J102" s="6">
        <f>C102*$E$129</f>
        <v>18639.02</v>
      </c>
      <c r="K102" s="67"/>
      <c r="L102" s="148">
        <f>I102+J102+K102</f>
        <v>18639.02</v>
      </c>
      <c r="M102" s="7"/>
    </row>
    <row r="103" spans="1:13" collapsed="1">
      <c r="A103" s="2" t="s">
        <v>9</v>
      </c>
      <c r="B103" s="37">
        <f>SUM(B100:B102)</f>
        <v>571515</v>
      </c>
      <c r="C103" s="37">
        <f>SUM(C100:C102)</f>
        <v>379130</v>
      </c>
      <c r="D103" s="93"/>
      <c r="E103" s="37">
        <f>SUM(E100:E102)</f>
        <v>151428</v>
      </c>
      <c r="F103" s="37">
        <f>SUM(F100:F102)</f>
        <v>248989.83</v>
      </c>
      <c r="G103" s="149">
        <f>SUM(G100:G102)</f>
        <v>400417.83</v>
      </c>
      <c r="H103" s="37"/>
      <c r="I103" s="37">
        <f>SUM(I100:I102)</f>
        <v>40957</v>
      </c>
      <c r="J103" s="37">
        <f>SUM(J100:J102)</f>
        <v>130140.17</v>
      </c>
      <c r="K103" s="68"/>
      <c r="L103" s="149">
        <f>SUM(L100:L102)</f>
        <v>171097.17</v>
      </c>
      <c r="M103" s="7"/>
    </row>
    <row r="104" spans="1:13">
      <c r="B104" s="6"/>
      <c r="C104" s="6"/>
      <c r="D104" s="7"/>
      <c r="E104" s="6"/>
      <c r="F104" s="6"/>
      <c r="G104" s="148"/>
      <c r="H104" s="7"/>
      <c r="I104" s="6"/>
      <c r="J104" s="6"/>
      <c r="K104" s="67"/>
      <c r="L104" s="148"/>
      <c r="M104" s="7"/>
    </row>
    <row r="105" spans="1:13" hidden="1" outlineLevel="1">
      <c r="A105" s="2" t="s">
        <v>10</v>
      </c>
      <c r="B105" s="6"/>
      <c r="C105" s="6"/>
      <c r="D105" s="7"/>
      <c r="E105" s="6"/>
      <c r="F105" s="6"/>
      <c r="G105" s="148"/>
      <c r="H105" s="7"/>
      <c r="I105" s="6"/>
      <c r="J105" s="6"/>
      <c r="K105" s="67"/>
      <c r="L105" s="148"/>
      <c r="M105" s="7"/>
    </row>
    <row r="106" spans="1:13" hidden="1" outlineLevel="1">
      <c r="A106" s="1">
        <v>911</v>
      </c>
      <c r="B106" s="7">
        <v>0</v>
      </c>
      <c r="C106" s="7">
        <f>SUMIF('Total Electric Download'!A:A,A106,'Total Electric Download'!B:B)</f>
        <v>0</v>
      </c>
      <c r="D106" s="7"/>
      <c r="E106" s="7">
        <f>SUMIF('Total Electric Download'!A:A,A106,'Total Electric Download'!D:D)</f>
        <v>0</v>
      </c>
      <c r="F106" s="6">
        <f>C106*$C$129</f>
        <v>0</v>
      </c>
      <c r="G106" s="148">
        <f>E106+F106</f>
        <v>0</v>
      </c>
      <c r="H106" s="7"/>
      <c r="I106" s="6">
        <f>SUMIF('Total Electric Download'!A:A,A106,'Total Electric Download'!C:C)</f>
        <v>0</v>
      </c>
      <c r="J106" s="6">
        <f>C106*$E$129</f>
        <v>0</v>
      </c>
      <c r="K106" s="67"/>
      <c r="L106" s="148">
        <f>I106+J106+K106</f>
        <v>0</v>
      </c>
      <c r="M106" s="7"/>
    </row>
    <row r="107" spans="1:13" hidden="1" outlineLevel="1">
      <c r="A107" s="1">
        <v>912</v>
      </c>
      <c r="B107" s="7">
        <v>0</v>
      </c>
      <c r="C107" s="7">
        <f>SUMIF('Total Electric Download'!A:A,A107,'Total Electric Download'!B:B)</f>
        <v>0</v>
      </c>
      <c r="D107" s="7"/>
      <c r="E107" s="7">
        <f>SUMIF('Total Electric Download'!A:A,A107,'Total Electric Download'!D:D)</f>
        <v>0</v>
      </c>
      <c r="F107" s="6">
        <f>C107*$C$129</f>
        <v>0</v>
      </c>
      <c r="G107" s="148">
        <f>E107+F107</f>
        <v>0</v>
      </c>
      <c r="H107" s="7"/>
      <c r="I107" s="6">
        <f>SUMIF('Total Electric Download'!A:A,A107,'Total Electric Download'!C:C)</f>
        <v>0</v>
      </c>
      <c r="J107" s="6">
        <f>C107*$E$129</f>
        <v>0</v>
      </c>
      <c r="K107" s="67"/>
      <c r="L107" s="148">
        <f>I107+J107+K107</f>
        <v>0</v>
      </c>
      <c r="M107" s="7"/>
    </row>
    <row r="108" spans="1:13" hidden="1" outlineLevel="1">
      <c r="A108" s="1">
        <v>913</v>
      </c>
      <c r="B108" s="7">
        <v>0</v>
      </c>
      <c r="C108" s="7">
        <f>SUMIF('Total Electric Download'!A:A,A108,'Total Electric Download'!B:B)</f>
        <v>0</v>
      </c>
      <c r="D108" s="7"/>
      <c r="E108" s="7">
        <f>SUMIF('Total Electric Download'!A:A,A108,'Total Electric Download'!D:D)</f>
        <v>0</v>
      </c>
      <c r="F108" s="6">
        <f>C108*$C$129</f>
        <v>0</v>
      </c>
      <c r="G108" s="148">
        <f>E108+F108</f>
        <v>0</v>
      </c>
      <c r="H108" s="7"/>
      <c r="I108" s="6">
        <f>SUMIF('Total Electric Download'!A:A,A108,'Total Electric Download'!C:C)</f>
        <v>0</v>
      </c>
      <c r="J108" s="6">
        <f>C108*$E$129</f>
        <v>0</v>
      </c>
      <c r="K108" s="67"/>
      <c r="L108" s="148">
        <f>I108+J108+K108</f>
        <v>0</v>
      </c>
      <c r="M108" s="7"/>
    </row>
    <row r="109" spans="1:13" hidden="1" outlineLevel="1">
      <c r="A109" s="1">
        <v>916</v>
      </c>
      <c r="B109" s="7">
        <v>0</v>
      </c>
      <c r="C109" s="7">
        <f>SUMIF('Total Electric Download'!A:A,A109,'Total Electric Download'!B:B)</f>
        <v>0</v>
      </c>
      <c r="D109" s="7"/>
      <c r="E109" s="7">
        <f>SUMIF('Total Electric Download'!A:A,A109,'Total Electric Download'!D:D)</f>
        <v>0</v>
      </c>
      <c r="F109" s="6">
        <f>C109*$C$129</f>
        <v>0</v>
      </c>
      <c r="G109" s="148">
        <f>E109+F109</f>
        <v>0</v>
      </c>
      <c r="H109" s="7"/>
      <c r="I109" s="6">
        <f>SUMIF('Total Electric Download'!A:A,A109,'Total Electric Download'!C:C)</f>
        <v>0</v>
      </c>
      <c r="J109" s="6">
        <f>C109*$E$129</f>
        <v>0</v>
      </c>
      <c r="K109" s="67"/>
      <c r="L109" s="148">
        <f>I109+J109+K109</f>
        <v>0</v>
      </c>
      <c r="M109" s="7"/>
    </row>
    <row r="110" spans="1:13" collapsed="1">
      <c r="A110" s="2" t="s">
        <v>11</v>
      </c>
      <c r="B110" s="37">
        <v>0</v>
      </c>
      <c r="C110" s="37">
        <f>SUMIF('Total Electric Download'!A:A,A110,'Total Electric Download'!B:B)</f>
        <v>0</v>
      </c>
      <c r="D110" s="93"/>
      <c r="E110" s="37">
        <f t="shared" ref="E110:J110" si="28">SUM(E106:E109)</f>
        <v>0</v>
      </c>
      <c r="F110" s="37">
        <f t="shared" si="28"/>
        <v>0</v>
      </c>
      <c r="G110" s="149">
        <f t="shared" si="28"/>
        <v>0</v>
      </c>
      <c r="H110" s="37"/>
      <c r="I110" s="37">
        <f t="shared" si="28"/>
        <v>0</v>
      </c>
      <c r="J110" s="37">
        <f t="shared" si="28"/>
        <v>0</v>
      </c>
      <c r="K110" s="37"/>
      <c r="L110" s="149">
        <f>SUM(L106:L109)</f>
        <v>0</v>
      </c>
      <c r="M110" s="7"/>
    </row>
    <row r="111" spans="1:13">
      <c r="B111" s="6"/>
      <c r="C111" s="6"/>
      <c r="D111" s="7"/>
      <c r="E111" s="6"/>
      <c r="F111" s="6"/>
      <c r="G111" s="148"/>
      <c r="H111" s="7"/>
      <c r="I111" s="6"/>
      <c r="J111" s="6"/>
      <c r="K111" s="67"/>
      <c r="L111" s="148"/>
      <c r="M111" s="7"/>
    </row>
    <row r="112" spans="1:13" hidden="1" outlineLevel="1">
      <c r="A112" s="2" t="s">
        <v>12</v>
      </c>
      <c r="B112" s="6"/>
      <c r="C112" s="6"/>
      <c r="D112" s="7"/>
      <c r="E112" s="6"/>
      <c r="F112" s="6"/>
      <c r="G112" s="148"/>
      <c r="H112" s="7"/>
      <c r="I112" s="6"/>
      <c r="J112" s="6"/>
      <c r="K112" s="67"/>
      <c r="L112" s="148"/>
      <c r="M112" s="7"/>
    </row>
    <row r="113" spans="1:13" hidden="1" outlineLevel="1">
      <c r="A113" s="1">
        <v>920</v>
      </c>
      <c r="B113" s="7">
        <f>VLOOKUP(A113,'Total Electric Download'!$A$6:$E$85,5,0)-251</f>
        <v>16470380</v>
      </c>
      <c r="C113" s="7">
        <f>SUMIF('Total Electric Download'!A:A,A113,'Total Electric Download'!B:B)</f>
        <v>16212064</v>
      </c>
      <c r="D113" s="7"/>
      <c r="E113" s="7">
        <f>SUMIF('Total Electric Download'!A:A,A113,'Total Electric Download'!D:D)</f>
        <v>176351</v>
      </c>
      <c r="F113" s="6">
        <f t="shared" ref="F113:F118" si="29">C113*$C$131</f>
        <v>11067976.09</v>
      </c>
      <c r="G113" s="148">
        <f t="shared" ref="G113:G121" si="30">E113+F113</f>
        <v>11244327.09</v>
      </c>
      <c r="H113" s="7"/>
      <c r="I113" s="6">
        <f>SUMIF('Total Electric Download'!A:A,A113,'Total Electric Download'!C:C)</f>
        <v>82216</v>
      </c>
      <c r="J113" s="6">
        <f t="shared" ref="J113:J118" si="31">C113*$E$131</f>
        <v>5144087.91</v>
      </c>
      <c r="K113" s="67"/>
      <c r="L113" s="148">
        <f t="shared" ref="L113:L121" si="32">I113+J113+K113</f>
        <v>5226303.91</v>
      </c>
      <c r="M113" s="7"/>
    </row>
    <row r="114" spans="1:13" hidden="1" outlineLevel="1">
      <c r="A114" s="1">
        <v>921</v>
      </c>
      <c r="B114" s="7">
        <f>VLOOKUP(A114,'Total Electric Download'!$A$6:$E$85,5,0)</f>
        <v>227863</v>
      </c>
      <c r="C114" s="7">
        <f>SUMIF('Total Electric Download'!A:A,A114,'Total Electric Download'!B:B)</f>
        <v>216330</v>
      </c>
      <c r="D114" s="7"/>
      <c r="E114" s="7">
        <f>SUMIF('Total Electric Download'!A:A,A114,'Total Electric Download'!D:D)</f>
        <v>11533</v>
      </c>
      <c r="F114" s="6">
        <f t="shared" si="29"/>
        <v>147688.49</v>
      </c>
      <c r="G114" s="148">
        <f t="shared" si="30"/>
        <v>159221.49</v>
      </c>
      <c r="H114" s="7"/>
      <c r="I114" s="6">
        <f>SUMIF('Total Electric Download'!A:A,A114,'Total Electric Download'!C:C)</f>
        <v>0</v>
      </c>
      <c r="J114" s="6">
        <f t="shared" si="31"/>
        <v>68641.509999999995</v>
      </c>
      <c r="K114" s="67"/>
      <c r="L114" s="148">
        <f t="shared" si="32"/>
        <v>68641.509999999995</v>
      </c>
      <c r="M114" s="7"/>
    </row>
    <row r="115" spans="1:13" hidden="1" outlineLevel="1">
      <c r="A115" s="1">
        <v>923</v>
      </c>
      <c r="B115" s="7">
        <f>VLOOKUP(A115,'Total Electric Download'!$A$6:$E$85,5,0)</f>
        <v>42958</v>
      </c>
      <c r="C115" s="7">
        <f>SUMIF('Total Electric Download'!A:A,A115,'Total Electric Download'!B:B)</f>
        <v>42958</v>
      </c>
      <c r="D115" s="7"/>
      <c r="E115" s="7">
        <f>SUMIF('Total Electric Download'!A:A,A115,'Total Electric Download'!D:D)</f>
        <v>0</v>
      </c>
      <c r="F115" s="6">
        <f t="shared" si="29"/>
        <v>29327.43</v>
      </c>
      <c r="G115" s="148">
        <f t="shared" si="30"/>
        <v>29327.43</v>
      </c>
      <c r="H115" s="7"/>
      <c r="I115" s="6">
        <f>SUMIF('Total Electric Download'!A:A,A115,'Total Electric Download'!C:C)</f>
        <v>0</v>
      </c>
      <c r="J115" s="6">
        <f t="shared" si="31"/>
        <v>13630.57</v>
      </c>
      <c r="K115" s="67"/>
      <c r="L115" s="148">
        <f t="shared" si="32"/>
        <v>13630.57</v>
      </c>
      <c r="M115" s="7"/>
    </row>
    <row r="116" spans="1:13" hidden="1" outlineLevel="1">
      <c r="A116" s="1">
        <v>925</v>
      </c>
      <c r="B116" s="7">
        <f>VLOOKUP(A116,'Total Electric Download'!$A$6:$E$85,5,0)</f>
        <v>523</v>
      </c>
      <c r="C116" s="7">
        <f>SUMIF('Total Electric Download'!A:A,A116,'Total Electric Download'!B:B)</f>
        <v>523</v>
      </c>
      <c r="D116" s="7"/>
      <c r="E116" s="7">
        <f>SUMIF('Total Electric Download'!A:A,A116,'Total Electric Download'!D:D)</f>
        <v>0</v>
      </c>
      <c r="F116" s="6">
        <f t="shared" si="29"/>
        <v>357.05</v>
      </c>
      <c r="G116" s="148">
        <f t="shared" si="30"/>
        <v>357.05</v>
      </c>
      <c r="H116" s="7"/>
      <c r="I116" s="6">
        <f>SUMIF('Total Electric Download'!A:A,A116,'Total Electric Download'!C:C)</f>
        <v>0</v>
      </c>
      <c r="J116" s="6">
        <f t="shared" si="31"/>
        <v>165.95</v>
      </c>
      <c r="K116" s="67"/>
      <c r="L116" s="148">
        <f t="shared" si="32"/>
        <v>165.95</v>
      </c>
      <c r="M116" s="7"/>
    </row>
    <row r="117" spans="1:13" hidden="1" outlineLevel="1">
      <c r="A117" s="1">
        <v>926</v>
      </c>
      <c r="B117" s="7">
        <f>VLOOKUP(A117,'Total Electric Download'!$A$6:$E$85,5,0)</f>
        <v>290069</v>
      </c>
      <c r="C117" s="7">
        <f>SUMIF('Total Electric Download'!A:A,A117,'Total Electric Download'!B:B)</f>
        <v>288547</v>
      </c>
      <c r="D117" s="7"/>
      <c r="E117" s="7">
        <f>SUMIF('Total Electric Download'!A:A,A117,'Total Electric Download'!D:D)</f>
        <v>1522</v>
      </c>
      <c r="F117" s="6">
        <f t="shared" si="29"/>
        <v>196991.04</v>
      </c>
      <c r="G117" s="148">
        <f t="shared" si="30"/>
        <v>198513.04</v>
      </c>
      <c r="H117" s="7"/>
      <c r="I117" s="6">
        <f>SUMIF('Total Electric Download'!A:A,A117,'Total Electric Download'!C:C)</f>
        <v>0</v>
      </c>
      <c r="J117" s="6">
        <f t="shared" si="31"/>
        <v>91555.96</v>
      </c>
      <c r="K117" s="67"/>
      <c r="L117" s="148">
        <f t="shared" si="32"/>
        <v>91555.96</v>
      </c>
      <c r="M117" s="7"/>
    </row>
    <row r="118" spans="1:13" hidden="1" outlineLevel="1">
      <c r="A118" s="1">
        <v>927</v>
      </c>
      <c r="B118" s="7">
        <v>0</v>
      </c>
      <c r="C118" s="7">
        <f>SUMIF('Total Electric Download'!A:A,A118,'Total Electric Download'!B:B)</f>
        <v>0</v>
      </c>
      <c r="D118" s="7"/>
      <c r="E118" s="7">
        <f>SUMIF('Total Electric Download'!A:A,A118,'Total Electric Download'!D:D)</f>
        <v>0</v>
      </c>
      <c r="F118" s="6">
        <f t="shared" si="29"/>
        <v>0</v>
      </c>
      <c r="G118" s="148">
        <f t="shared" si="30"/>
        <v>0</v>
      </c>
      <c r="H118" s="7"/>
      <c r="I118" s="6">
        <f>SUMIF('Total Electric Download'!A:A,A118,'Total Electric Download'!C:C)</f>
        <v>0</v>
      </c>
      <c r="J118" s="6">
        <f t="shared" si="31"/>
        <v>0</v>
      </c>
      <c r="K118" s="67"/>
      <c r="L118" s="148">
        <f t="shared" si="32"/>
        <v>0</v>
      </c>
      <c r="M118" s="7"/>
    </row>
    <row r="119" spans="1:13" hidden="1" outlineLevel="1">
      <c r="A119" s="1">
        <v>928</v>
      </c>
      <c r="B119" s="7">
        <f>VLOOKUP(A119,'Total Electric Download'!$A$6:$E$85,5,0)</f>
        <v>1270542</v>
      </c>
      <c r="C119" s="7">
        <f>SUMIF('Total Electric Download'!A:A,A119,'Total Electric Download'!B:B)</f>
        <v>560008</v>
      </c>
      <c r="D119" s="7"/>
      <c r="E119" s="7">
        <f>SUMIF('Total Electric Download'!A:A,A119,'Total Electric Download'!D:D)</f>
        <v>558177</v>
      </c>
      <c r="F119" s="6">
        <f>C119*$C$128</f>
        <v>368093.26</v>
      </c>
      <c r="G119" s="148">
        <f t="shared" si="30"/>
        <v>926270.26</v>
      </c>
      <c r="H119" s="7"/>
      <c r="I119" s="6">
        <f>SUMIF('Total Electric Download'!A:A,A119,'Total Electric Download'!C:C)</f>
        <v>152357</v>
      </c>
      <c r="J119" s="6">
        <f>C119*$E$128</f>
        <v>191914.74</v>
      </c>
      <c r="K119" s="67"/>
      <c r="L119" s="148">
        <f t="shared" si="32"/>
        <v>344271.74</v>
      </c>
      <c r="M119" s="7"/>
    </row>
    <row r="120" spans="1:13" hidden="1" outlineLevel="1">
      <c r="A120" s="1">
        <v>930</v>
      </c>
      <c r="B120" s="7">
        <f>VLOOKUP(A120,'Total Electric Download'!$A$6:$E$85,5,0)</f>
        <v>258639</v>
      </c>
      <c r="C120" s="7">
        <f>SUMIF('Total Electric Download'!A:A,A120,'Total Electric Download'!B:B)+440</f>
        <v>248555</v>
      </c>
      <c r="D120" s="7"/>
      <c r="E120" s="7">
        <f>SUMIF('Total Electric Download'!A:A,A120,'Total Electric Download'!D:D)</f>
        <v>5887</v>
      </c>
      <c r="F120" s="6">
        <f>C120*$C$131</f>
        <v>169688.5</v>
      </c>
      <c r="G120" s="148">
        <f t="shared" si="30"/>
        <v>175575.5</v>
      </c>
      <c r="H120" s="7"/>
      <c r="I120" s="6">
        <f>SUMIF('Total Electric Download'!A:A,A120,'Total Electric Download'!C:C)</f>
        <v>4637</v>
      </c>
      <c r="J120" s="6">
        <f>C120*$E$131</f>
        <v>78866.5</v>
      </c>
      <c r="K120" s="67"/>
      <c r="L120" s="148">
        <f t="shared" si="32"/>
        <v>83503.5</v>
      </c>
      <c r="M120" s="7"/>
    </row>
    <row r="121" spans="1:13" hidden="1" outlineLevel="1">
      <c r="A121" s="1">
        <v>935</v>
      </c>
      <c r="B121" s="7">
        <f>VLOOKUP(A121,'Total Electric Download'!$A$6:$E$85,5,0)</f>
        <v>1629504</v>
      </c>
      <c r="C121" s="7">
        <f>SUMIF('Total Electric Download'!A:A,A121,'Total Electric Download'!B:B)</f>
        <v>1541796</v>
      </c>
      <c r="D121" s="7"/>
      <c r="E121" s="7">
        <f>SUMIF('Total Electric Download'!A:A,A121,'Total Electric Download'!D:D)</f>
        <v>23833</v>
      </c>
      <c r="F121" s="6">
        <f>C121*$C$131</f>
        <v>1052584.1299999999</v>
      </c>
      <c r="G121" s="148">
        <f t="shared" si="30"/>
        <v>1076417.1299999999</v>
      </c>
      <c r="H121" s="7"/>
      <c r="I121" s="6">
        <f>SUMIF('Total Electric Download'!A:A,A121,'Total Electric Download'!C:C)</f>
        <v>63875</v>
      </c>
      <c r="J121" s="6">
        <f>C121*$E$131</f>
        <v>489211.87</v>
      </c>
      <c r="K121" s="67"/>
      <c r="L121" s="148">
        <f t="shared" si="32"/>
        <v>553086.87</v>
      </c>
      <c r="M121" s="7"/>
    </row>
    <row r="122" spans="1:13" collapsed="1">
      <c r="A122" s="2" t="s">
        <v>104</v>
      </c>
      <c r="B122" s="93">
        <f>SUM(B113:B121)</f>
        <v>20190478</v>
      </c>
      <c r="C122" s="93">
        <f>SUM(C113:C121)</f>
        <v>19110781</v>
      </c>
      <c r="D122" s="93"/>
      <c r="E122" s="93">
        <f>SUM(E113:E121)</f>
        <v>777303</v>
      </c>
      <c r="F122" s="93">
        <f>SUM(F113:F121)</f>
        <v>13032705.99</v>
      </c>
      <c r="G122" s="149">
        <f>SUM(G113:G121)</f>
        <v>13810008.99</v>
      </c>
      <c r="H122" s="93"/>
      <c r="I122" s="93">
        <f>SUM(I113:I121)</f>
        <v>303085</v>
      </c>
      <c r="J122" s="93">
        <f>SUM(J113:J121)</f>
        <v>6078075.0099999998</v>
      </c>
      <c r="K122" s="96"/>
      <c r="L122" s="149">
        <f>SUM(L113:L121)</f>
        <v>6381160.0099999998</v>
      </c>
      <c r="M122" s="65"/>
    </row>
    <row r="123" spans="1:13">
      <c r="B123" s="54"/>
      <c r="C123" s="54"/>
      <c r="D123" s="65"/>
      <c r="E123" s="54"/>
      <c r="F123" s="54"/>
      <c r="G123" s="148"/>
      <c r="H123" s="65"/>
      <c r="I123" s="54"/>
      <c r="J123" s="54"/>
      <c r="K123" s="97"/>
      <c r="L123" s="148"/>
      <c r="M123" s="65"/>
    </row>
    <row r="124" spans="1:13" ht="13.5" thickBot="1">
      <c r="A124" s="2" t="s">
        <v>97</v>
      </c>
      <c r="B124" s="93">
        <f>B52+B68+B90+B97+B103+B110+B122</f>
        <v>63355512</v>
      </c>
      <c r="C124" s="93">
        <f>C52+C68+C90+C97+C103+C110+C122</f>
        <v>50637577</v>
      </c>
      <c r="D124" s="93"/>
      <c r="E124" s="93">
        <f>E52+E68+E90+E97+E103+E110+E122</f>
        <v>9012214</v>
      </c>
      <c r="F124" s="93">
        <f>F52+F68+F90+F97+F103+F110+F122</f>
        <v>33788193.670000002</v>
      </c>
      <c r="G124" s="150">
        <f>G52+G68+G90+G97+G103+G110+G122</f>
        <v>42800407.670000002</v>
      </c>
      <c r="H124" s="133"/>
      <c r="I124" s="93">
        <f>I52+I68+I90+I97+I103+I110+I122</f>
        <v>3705721</v>
      </c>
      <c r="J124" s="93">
        <f>J52+J68+J90+J97+J103+J110+J122</f>
        <v>16849383.34</v>
      </c>
      <c r="K124" s="96"/>
      <c r="L124" s="150">
        <f>L52+L68+L90+L97+L103+L110+L122</f>
        <v>20555104.34</v>
      </c>
      <c r="M124" s="65"/>
    </row>
    <row r="125" spans="1:13">
      <c r="B125" s="111">
        <f>'Total Electric Download'!E85</f>
        <v>63355512</v>
      </c>
      <c r="C125" s="111">
        <f>'Total Electric Download'!B85</f>
        <v>50637577</v>
      </c>
      <c r="D125" s="111"/>
      <c r="E125" s="111">
        <f>'Total Electric Download'!D85</f>
        <v>9012214</v>
      </c>
      <c r="F125" s="111"/>
      <c r="G125" s="144"/>
      <c r="I125" s="111">
        <f>'Total Electric Download'!C85</f>
        <v>3705721</v>
      </c>
      <c r="J125" s="91"/>
      <c r="K125" s="92"/>
      <c r="L125" s="144"/>
    </row>
    <row r="126" spans="1:13">
      <c r="B126" s="29"/>
      <c r="C126" s="29"/>
      <c r="D126" s="59"/>
      <c r="E126" s="29"/>
      <c r="F126" s="29"/>
    </row>
    <row r="127" spans="1:13" ht="13.5" thickBot="1">
      <c r="A127" s="75" t="s">
        <v>161</v>
      </c>
      <c r="B127" s="77" t="s">
        <v>15</v>
      </c>
      <c r="C127" s="77" t="s">
        <v>101</v>
      </c>
      <c r="D127" s="109"/>
      <c r="E127" s="77" t="s">
        <v>102</v>
      </c>
      <c r="F127" s="77" t="s">
        <v>17</v>
      </c>
      <c r="J127" s="29"/>
      <c r="K127" s="2"/>
      <c r="M127" s="2"/>
    </row>
    <row r="128" spans="1:13">
      <c r="A128" s="29" t="s">
        <v>103</v>
      </c>
      <c r="B128" s="78">
        <v>1</v>
      </c>
      <c r="C128" s="78">
        <v>0.6573</v>
      </c>
      <c r="D128" s="112"/>
      <c r="E128" s="78">
        <v>0.3427</v>
      </c>
      <c r="F128" s="79">
        <f>C128+E128</f>
        <v>1</v>
      </c>
      <c r="J128" s="29"/>
      <c r="K128" s="2"/>
      <c r="M128" s="2"/>
    </row>
    <row r="129" spans="1:13">
      <c r="A129" s="29" t="s">
        <v>18</v>
      </c>
      <c r="B129" s="78">
        <v>2</v>
      </c>
      <c r="C129" s="78">
        <v>0.65673999999999999</v>
      </c>
      <c r="D129" s="112"/>
      <c r="E129" s="78">
        <v>0.34326000000000001</v>
      </c>
      <c r="F129" s="79">
        <f>C129+E129</f>
        <v>1</v>
      </c>
      <c r="J129" s="29"/>
      <c r="K129" s="2"/>
      <c r="M129" s="2"/>
    </row>
    <row r="130" spans="1:13">
      <c r="A130" s="29" t="s">
        <v>19</v>
      </c>
      <c r="B130" s="78">
        <v>3</v>
      </c>
      <c r="C130" s="78">
        <v>0.66537000000000002</v>
      </c>
      <c r="D130" s="112"/>
      <c r="E130" s="78">
        <v>0.33462999999999998</v>
      </c>
      <c r="F130" s="79">
        <f>C130+E130</f>
        <v>1</v>
      </c>
      <c r="J130" s="29"/>
      <c r="K130" s="2"/>
      <c r="M130" s="2"/>
    </row>
    <row r="131" spans="1:13">
      <c r="A131" s="29" t="s">
        <v>20</v>
      </c>
      <c r="B131" s="78">
        <v>4</v>
      </c>
      <c r="C131" s="78">
        <v>0.68269999999999997</v>
      </c>
      <c r="D131" s="112"/>
      <c r="E131" s="78">
        <v>0.31730000000000003</v>
      </c>
      <c r="F131" s="79">
        <f>C131+E131</f>
        <v>1</v>
      </c>
      <c r="J131" s="54">
        <f>C124-C125</f>
        <v>0</v>
      </c>
      <c r="K131" s="2"/>
      <c r="M131" s="2"/>
    </row>
    <row r="132" spans="1:13">
      <c r="B132" s="29"/>
      <c r="C132" s="29"/>
      <c r="D132" s="113"/>
      <c r="E132" s="29"/>
      <c r="F132" s="36"/>
    </row>
    <row r="133" spans="1:13">
      <c r="B133" s="36"/>
      <c r="C133" s="36"/>
      <c r="D133" s="113"/>
      <c r="E133" s="36"/>
      <c r="F133" s="36"/>
    </row>
    <row r="134" spans="1:13">
      <c r="A134" s="48" t="s">
        <v>114</v>
      </c>
    </row>
    <row r="136" spans="1:13">
      <c r="A136" s="6"/>
      <c r="B136" s="6"/>
      <c r="C136" s="6"/>
      <c r="D136" s="7"/>
      <c r="E136" s="6"/>
    </row>
    <row r="137" spans="1:13">
      <c r="G137"/>
      <c r="I137"/>
      <c r="L137"/>
    </row>
    <row r="138" spans="1:13">
      <c r="B138" s="6"/>
      <c r="H138" s="54"/>
    </row>
    <row r="140" spans="1:13">
      <c r="B140" s="69"/>
      <c r="C140" s="69"/>
      <c r="D140" s="114"/>
      <c r="E140" s="69"/>
      <c r="G140" s="69"/>
      <c r="I140" s="69"/>
      <c r="L140" s="69"/>
    </row>
    <row r="141" spans="1:13">
      <c r="B141" s="69"/>
      <c r="C141" s="69"/>
      <c r="D141" s="114"/>
      <c r="E141" s="69"/>
      <c r="G141" s="69"/>
      <c r="I141" s="69"/>
      <c r="L141" s="69"/>
    </row>
  </sheetData>
  <phoneticPr fontId="0" type="noConversion"/>
  <pageMargins left="0.11" right="0.5" top="0.5" bottom="0.75" header="0" footer="0"/>
  <pageSetup scale="70" orientation="landscape" r:id="rId1"/>
  <headerFooter alignWithMargins="0">
    <oddHeader>&amp;RAdjustment No. 3.02 Pro-Forma Non-Exec
Workpaper Ref. &amp;A</oddHeader>
    <oddFooter>&amp;L&amp;F&amp;RPrep by:   AMB
          Date:  &amp;D           Mgr. Review:__________</oddFooter>
  </headerFooter>
  <rowBreaks count="2" manualBreakCount="2">
    <brk id="53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J90"/>
  <sheetViews>
    <sheetView zoomScaleNormal="100" workbookViewId="0">
      <pane xSplit="1" ySplit="4" topLeftCell="B79" activePane="bottomRight" state="frozen"/>
      <selection activeCell="J16" sqref="J16"/>
      <selection pane="topRight" activeCell="J16" sqref="J16"/>
      <selection pane="bottomLeft" activeCell="J16" sqref="J16"/>
      <selection pane="bottomRight" activeCell="C108" sqref="C108"/>
    </sheetView>
  </sheetViews>
  <sheetFormatPr defaultColWidth="9.33203125" defaultRowHeight="15"/>
  <cols>
    <col min="1" max="1" width="19.33203125" style="153" customWidth="1"/>
    <col min="2" max="5" width="23.83203125" style="173" customWidth="1"/>
    <col min="6" max="6" width="15" style="153" customWidth="1"/>
    <col min="7" max="7" width="10.5" style="153" bestFit="1" customWidth="1"/>
    <col min="8" max="9" width="9.5" style="153" bestFit="1" customWidth="1"/>
    <col min="10" max="10" width="17.6640625" style="153" bestFit="1" customWidth="1"/>
    <col min="11" max="16384" width="9.33203125" style="153"/>
  </cols>
  <sheetData>
    <row r="1" spans="1:5">
      <c r="A1" s="153" t="s">
        <v>177</v>
      </c>
    </row>
    <row r="3" spans="1:5" s="155" customFormat="1" ht="15.75" thickBot="1">
      <c r="A3" s="193" t="s">
        <v>165</v>
      </c>
      <c r="B3" s="174"/>
      <c r="C3" s="174"/>
      <c r="D3" s="174"/>
      <c r="E3" s="174"/>
    </row>
    <row r="4" spans="1:5" s="187" customFormat="1" ht="30.75" thickBot="1">
      <c r="A4" s="195">
        <v>2016</v>
      </c>
      <c r="B4" s="209" t="s">
        <v>176</v>
      </c>
      <c r="C4" s="202" t="s">
        <v>172</v>
      </c>
      <c r="D4" s="186" t="s">
        <v>171</v>
      </c>
      <c r="E4" s="185" t="s">
        <v>173</v>
      </c>
    </row>
    <row r="5" spans="1:5" s="155" customFormat="1">
      <c r="A5" s="194" t="s">
        <v>163</v>
      </c>
      <c r="B5" s="206"/>
      <c r="C5" s="203"/>
      <c r="D5" s="196"/>
      <c r="E5" s="196"/>
    </row>
    <row r="6" spans="1:5">
      <c r="A6" s="152">
        <v>500</v>
      </c>
      <c r="B6" s="207">
        <v>150979</v>
      </c>
      <c r="C6" s="204"/>
      <c r="D6" s="151"/>
      <c r="E6" s="151">
        <f t="shared" ref="E6:E37" si="0">SUM(B6:D6)</f>
        <v>150979</v>
      </c>
    </row>
    <row r="7" spans="1:5">
      <c r="A7" s="152">
        <v>501.2</v>
      </c>
      <c r="B7" s="207">
        <v>815943</v>
      </c>
      <c r="C7" s="204"/>
      <c r="D7" s="151"/>
      <c r="E7" s="151">
        <f t="shared" si="0"/>
        <v>815943</v>
      </c>
    </row>
    <row r="8" spans="1:5">
      <c r="A8" s="152">
        <v>502</v>
      </c>
      <c r="B8" s="207">
        <v>503663</v>
      </c>
      <c r="C8" s="204"/>
      <c r="D8" s="151"/>
      <c r="E8" s="151">
        <f t="shared" si="0"/>
        <v>503663</v>
      </c>
    </row>
    <row r="9" spans="1:5">
      <c r="A9" s="152">
        <v>505</v>
      </c>
      <c r="B9" s="207">
        <v>512963</v>
      </c>
      <c r="C9" s="204"/>
      <c r="D9" s="151"/>
      <c r="E9" s="151">
        <f t="shared" si="0"/>
        <v>512963</v>
      </c>
    </row>
    <row r="10" spans="1:5">
      <c r="A10" s="152">
        <v>506</v>
      </c>
      <c r="B10" s="207">
        <v>286150</v>
      </c>
      <c r="C10" s="204"/>
      <c r="D10" s="151"/>
      <c r="E10" s="151">
        <f t="shared" si="0"/>
        <v>286150</v>
      </c>
    </row>
    <row r="11" spans="1:5">
      <c r="A11" s="152">
        <v>510</v>
      </c>
      <c r="B11" s="207">
        <v>96116</v>
      </c>
      <c r="C11" s="204"/>
      <c r="D11" s="151"/>
      <c r="E11" s="151">
        <f t="shared" si="0"/>
        <v>96116</v>
      </c>
    </row>
    <row r="12" spans="1:5">
      <c r="A12" s="152">
        <v>511</v>
      </c>
      <c r="B12" s="207">
        <v>10533</v>
      </c>
      <c r="C12" s="204"/>
      <c r="D12" s="151"/>
      <c r="E12" s="151">
        <f t="shared" si="0"/>
        <v>10533</v>
      </c>
    </row>
    <row r="13" spans="1:5">
      <c r="A13" s="152">
        <v>512</v>
      </c>
      <c r="B13" s="207">
        <v>686924</v>
      </c>
      <c r="C13" s="204"/>
      <c r="D13" s="151"/>
      <c r="E13" s="151">
        <f t="shared" si="0"/>
        <v>686924</v>
      </c>
    </row>
    <row r="14" spans="1:5">
      <c r="A14" s="152">
        <v>513</v>
      </c>
      <c r="B14" s="207">
        <v>71383</v>
      </c>
      <c r="C14" s="204"/>
      <c r="D14" s="151"/>
      <c r="E14" s="151">
        <f t="shared" si="0"/>
        <v>71383</v>
      </c>
    </row>
    <row r="15" spans="1:5">
      <c r="A15" s="152">
        <v>514</v>
      </c>
      <c r="B15" s="207">
        <v>139172</v>
      </c>
      <c r="C15" s="204"/>
      <c r="D15" s="151"/>
      <c r="E15" s="151">
        <f t="shared" si="0"/>
        <v>139172</v>
      </c>
    </row>
    <row r="16" spans="1:5">
      <c r="A16" s="152">
        <v>535</v>
      </c>
      <c r="B16" s="207">
        <v>1272233</v>
      </c>
      <c r="C16" s="204"/>
      <c r="D16" s="151"/>
      <c r="E16" s="151">
        <f t="shared" si="0"/>
        <v>1272233</v>
      </c>
    </row>
    <row r="17" spans="1:5">
      <c r="A17" s="152">
        <v>536</v>
      </c>
      <c r="B17" s="207">
        <v>8253</v>
      </c>
      <c r="C17" s="204"/>
      <c r="D17" s="151"/>
      <c r="E17" s="151">
        <f t="shared" si="0"/>
        <v>8253</v>
      </c>
    </row>
    <row r="18" spans="1:5">
      <c r="A18" s="152">
        <v>537</v>
      </c>
      <c r="B18" s="207">
        <v>498675</v>
      </c>
      <c r="C18" s="204"/>
      <c r="D18" s="151"/>
      <c r="E18" s="151">
        <f t="shared" si="0"/>
        <v>498675</v>
      </c>
    </row>
    <row r="19" spans="1:5">
      <c r="A19" s="152">
        <v>538</v>
      </c>
      <c r="B19" s="207">
        <v>4531590</v>
      </c>
      <c r="C19" s="204"/>
      <c r="D19" s="151"/>
      <c r="E19" s="151">
        <f t="shared" si="0"/>
        <v>4531590</v>
      </c>
    </row>
    <row r="20" spans="1:5">
      <c r="A20" s="152">
        <v>539</v>
      </c>
      <c r="B20" s="207">
        <v>134945</v>
      </c>
      <c r="C20" s="204"/>
      <c r="D20" s="151"/>
      <c r="E20" s="151">
        <f t="shared" si="0"/>
        <v>134945</v>
      </c>
    </row>
    <row r="21" spans="1:5">
      <c r="A21" s="152">
        <v>541</v>
      </c>
      <c r="B21" s="207">
        <v>497337</v>
      </c>
      <c r="C21" s="204"/>
      <c r="D21" s="151"/>
      <c r="E21" s="151">
        <f t="shared" si="0"/>
        <v>497337</v>
      </c>
    </row>
    <row r="22" spans="1:5">
      <c r="A22" s="152">
        <v>542</v>
      </c>
      <c r="B22" s="207">
        <v>144190</v>
      </c>
      <c r="C22" s="204"/>
      <c r="D22" s="151"/>
      <c r="E22" s="151">
        <f t="shared" si="0"/>
        <v>144190</v>
      </c>
    </row>
    <row r="23" spans="1:5">
      <c r="A23" s="152">
        <v>543</v>
      </c>
      <c r="B23" s="207">
        <v>547892</v>
      </c>
      <c r="C23" s="204"/>
      <c r="D23" s="151"/>
      <c r="E23" s="151">
        <f t="shared" si="0"/>
        <v>547892</v>
      </c>
    </row>
    <row r="24" spans="1:5">
      <c r="A24" s="152">
        <v>544</v>
      </c>
      <c r="B24" s="207">
        <v>1538563</v>
      </c>
      <c r="C24" s="204"/>
      <c r="D24" s="151"/>
      <c r="E24" s="151">
        <f t="shared" si="0"/>
        <v>1538563</v>
      </c>
    </row>
    <row r="25" spans="1:5">
      <c r="A25" s="152">
        <v>545</v>
      </c>
      <c r="B25" s="207">
        <f>333612+691</f>
        <v>334303</v>
      </c>
      <c r="C25" s="204"/>
      <c r="D25" s="151"/>
      <c r="E25" s="151">
        <f t="shared" si="0"/>
        <v>334303</v>
      </c>
    </row>
    <row r="26" spans="1:5">
      <c r="A26" s="152">
        <v>546</v>
      </c>
      <c r="B26" s="207">
        <v>143051</v>
      </c>
      <c r="C26" s="204"/>
      <c r="D26" s="151"/>
      <c r="E26" s="151">
        <f t="shared" si="0"/>
        <v>143051</v>
      </c>
    </row>
    <row r="27" spans="1:5">
      <c r="A27" s="152">
        <v>548</v>
      </c>
      <c r="B27" s="207">
        <v>255131</v>
      </c>
      <c r="C27" s="204"/>
      <c r="D27" s="151"/>
      <c r="E27" s="151">
        <f t="shared" si="0"/>
        <v>255131</v>
      </c>
    </row>
    <row r="28" spans="1:5">
      <c r="A28" s="152">
        <v>549</v>
      </c>
      <c r="B28" s="207">
        <v>113474</v>
      </c>
      <c r="C28" s="204"/>
      <c r="D28" s="151"/>
      <c r="E28" s="151">
        <f t="shared" si="0"/>
        <v>113474</v>
      </c>
    </row>
    <row r="29" spans="1:5">
      <c r="A29" s="152">
        <v>551</v>
      </c>
      <c r="B29" s="207">
        <v>252006</v>
      </c>
      <c r="C29" s="204"/>
      <c r="D29" s="151"/>
      <c r="E29" s="151">
        <f t="shared" si="0"/>
        <v>252006</v>
      </c>
    </row>
    <row r="30" spans="1:5">
      <c r="A30" s="152">
        <v>552</v>
      </c>
      <c r="B30" s="207">
        <v>481</v>
      </c>
      <c r="C30" s="204"/>
      <c r="D30" s="151"/>
      <c r="E30" s="151">
        <f t="shared" si="0"/>
        <v>481</v>
      </c>
    </row>
    <row r="31" spans="1:5">
      <c r="A31" s="152">
        <v>553</v>
      </c>
      <c r="B31" s="207">
        <v>62207</v>
      </c>
      <c r="C31" s="204"/>
      <c r="D31" s="151">
        <v>-184</v>
      </c>
      <c r="E31" s="151">
        <f t="shared" si="0"/>
        <v>62023</v>
      </c>
    </row>
    <row r="32" spans="1:5">
      <c r="A32" s="152">
        <v>554</v>
      </c>
      <c r="B32" s="207">
        <v>82332</v>
      </c>
      <c r="C32" s="204"/>
      <c r="D32" s="151"/>
      <c r="E32" s="151">
        <f t="shared" si="0"/>
        <v>82332</v>
      </c>
    </row>
    <row r="33" spans="1:7">
      <c r="A33" s="152">
        <v>556</v>
      </c>
      <c r="B33" s="207">
        <v>255972</v>
      </c>
      <c r="C33" s="204"/>
      <c r="D33" s="151"/>
      <c r="E33" s="151">
        <f t="shared" si="0"/>
        <v>255972</v>
      </c>
      <c r="F33" s="166"/>
      <c r="G33" s="154"/>
    </row>
    <row r="34" spans="1:7">
      <c r="A34" s="152">
        <v>557</v>
      </c>
      <c r="B34" s="207">
        <v>3369040</v>
      </c>
      <c r="C34" s="204"/>
      <c r="D34" s="151"/>
      <c r="E34" s="151">
        <f t="shared" si="0"/>
        <v>3369040</v>
      </c>
      <c r="F34" s="166"/>
      <c r="G34" s="154"/>
    </row>
    <row r="35" spans="1:7">
      <c r="A35" s="152">
        <v>560</v>
      </c>
      <c r="B35" s="207">
        <v>1280778</v>
      </c>
      <c r="C35" s="204"/>
      <c r="D35" s="151"/>
      <c r="E35" s="151">
        <f t="shared" si="0"/>
        <v>1280778</v>
      </c>
    </row>
    <row r="36" spans="1:7">
      <c r="A36" s="152">
        <v>561</v>
      </c>
      <c r="B36" s="207">
        <v>35223</v>
      </c>
      <c r="C36" s="204"/>
      <c r="D36" s="151"/>
      <c r="E36" s="151">
        <f t="shared" si="0"/>
        <v>35223</v>
      </c>
    </row>
    <row r="37" spans="1:7">
      <c r="A37" s="152">
        <v>561</v>
      </c>
      <c r="B37" s="207">
        <v>818045</v>
      </c>
      <c r="C37" s="204"/>
      <c r="D37" s="151"/>
      <c r="E37" s="151">
        <f t="shared" si="0"/>
        <v>818045</v>
      </c>
    </row>
    <row r="38" spans="1:7">
      <c r="A38" s="152">
        <v>561</v>
      </c>
      <c r="B38" s="207">
        <v>789951</v>
      </c>
      <c r="C38" s="204"/>
      <c r="D38" s="151"/>
      <c r="E38" s="151">
        <f t="shared" ref="E38:E69" si="1">SUM(B38:D38)</f>
        <v>789951</v>
      </c>
    </row>
    <row r="39" spans="1:7">
      <c r="A39" s="152">
        <v>562</v>
      </c>
      <c r="B39" s="207">
        <v>161460</v>
      </c>
      <c r="C39" s="204"/>
      <c r="D39" s="151"/>
      <c r="E39" s="151">
        <f t="shared" si="1"/>
        <v>161460</v>
      </c>
    </row>
    <row r="40" spans="1:7">
      <c r="A40" s="152">
        <v>563</v>
      </c>
      <c r="B40" s="207">
        <v>41942</v>
      </c>
      <c r="C40" s="204"/>
      <c r="D40" s="151"/>
      <c r="E40" s="151">
        <f t="shared" si="1"/>
        <v>41942</v>
      </c>
    </row>
    <row r="41" spans="1:7">
      <c r="A41" s="152">
        <v>566</v>
      </c>
      <c r="B41" s="207">
        <v>553483</v>
      </c>
      <c r="C41" s="204"/>
      <c r="D41" s="151"/>
      <c r="E41" s="151">
        <f t="shared" si="1"/>
        <v>553483</v>
      </c>
    </row>
    <row r="42" spans="1:7">
      <c r="A42" s="152">
        <v>567</v>
      </c>
      <c r="B42" s="207">
        <v>23086</v>
      </c>
      <c r="C42" s="204"/>
      <c r="D42" s="151"/>
      <c r="E42" s="151">
        <f t="shared" si="1"/>
        <v>23086</v>
      </c>
    </row>
    <row r="43" spans="1:7">
      <c r="A43" s="152">
        <v>568</v>
      </c>
      <c r="B43" s="207">
        <v>557284</v>
      </c>
      <c r="C43" s="204"/>
      <c r="D43" s="151">
        <v>911</v>
      </c>
      <c r="E43" s="151">
        <f t="shared" si="1"/>
        <v>558195</v>
      </c>
    </row>
    <row r="44" spans="1:7">
      <c r="A44" s="152">
        <v>569</v>
      </c>
      <c r="B44" s="207">
        <v>276680</v>
      </c>
      <c r="C44" s="204">
        <v>116</v>
      </c>
      <c r="D44" s="151">
        <v>3351</v>
      </c>
      <c r="E44" s="151">
        <f t="shared" si="1"/>
        <v>280147</v>
      </c>
    </row>
    <row r="45" spans="1:7">
      <c r="A45" s="152">
        <v>570</v>
      </c>
      <c r="B45" s="207">
        <v>621035</v>
      </c>
      <c r="C45" s="204">
        <v>618</v>
      </c>
      <c r="D45" s="151">
        <v>368</v>
      </c>
      <c r="E45" s="151">
        <f t="shared" si="1"/>
        <v>622021</v>
      </c>
    </row>
    <row r="46" spans="1:7">
      <c r="A46" s="152">
        <v>571</v>
      </c>
      <c r="B46" s="207">
        <v>19449</v>
      </c>
      <c r="C46" s="204"/>
      <c r="D46" s="151">
        <v>4671</v>
      </c>
      <c r="E46" s="151">
        <f t="shared" si="1"/>
        <v>24120</v>
      </c>
    </row>
    <row r="47" spans="1:7">
      <c r="A47" s="152">
        <v>572</v>
      </c>
      <c r="B47" s="207">
        <v>794</v>
      </c>
      <c r="C47" s="204"/>
      <c r="D47" s="151">
        <v>456</v>
      </c>
      <c r="E47" s="211">
        <f t="shared" si="1"/>
        <v>1250</v>
      </c>
    </row>
    <row r="48" spans="1:7">
      <c r="A48" s="152">
        <v>573</v>
      </c>
      <c r="B48" s="207">
        <v>14845</v>
      </c>
      <c r="C48" s="204">
        <v>392</v>
      </c>
      <c r="D48" s="151"/>
      <c r="E48" s="211">
        <f t="shared" si="1"/>
        <v>15237</v>
      </c>
    </row>
    <row r="49" spans="1:5">
      <c r="A49" s="152">
        <v>580</v>
      </c>
      <c r="B49" s="207">
        <v>1475092</v>
      </c>
      <c r="C49" s="204">
        <v>253989</v>
      </c>
      <c r="D49" s="151">
        <v>764977</v>
      </c>
      <c r="E49" s="211">
        <f t="shared" si="1"/>
        <v>2494058</v>
      </c>
    </row>
    <row r="50" spans="1:5">
      <c r="A50" s="152">
        <v>582</v>
      </c>
      <c r="B50" s="207">
        <v>20256</v>
      </c>
      <c r="C50" s="204">
        <v>140052</v>
      </c>
      <c r="D50" s="151">
        <v>155041</v>
      </c>
      <c r="E50" s="211">
        <f t="shared" si="1"/>
        <v>315349</v>
      </c>
    </row>
    <row r="51" spans="1:5">
      <c r="A51" s="152">
        <v>583</v>
      </c>
      <c r="B51" s="207">
        <v>222095</v>
      </c>
      <c r="C51" s="204">
        <v>251769</v>
      </c>
      <c r="D51" s="151">
        <v>433428</v>
      </c>
      <c r="E51" s="211">
        <f t="shared" si="1"/>
        <v>907292</v>
      </c>
    </row>
    <row r="52" spans="1:5">
      <c r="A52" s="152">
        <v>584</v>
      </c>
      <c r="B52" s="207">
        <v>0</v>
      </c>
      <c r="C52" s="204">
        <v>151941</v>
      </c>
      <c r="D52" s="151">
        <v>247629</v>
      </c>
      <c r="E52" s="211">
        <f t="shared" si="1"/>
        <v>399570</v>
      </c>
    </row>
    <row r="53" spans="1:5">
      <c r="A53" s="152">
        <v>584</v>
      </c>
      <c r="B53" s="207">
        <v>0</v>
      </c>
      <c r="C53" s="204"/>
      <c r="D53" s="151">
        <v>19547</v>
      </c>
      <c r="E53" s="211">
        <f t="shared" si="1"/>
        <v>19547</v>
      </c>
    </row>
    <row r="54" spans="1:5">
      <c r="A54" s="152">
        <v>585</v>
      </c>
      <c r="B54" s="207">
        <v>86</v>
      </c>
      <c r="C54" s="204"/>
      <c r="D54" s="151">
        <v>3737</v>
      </c>
      <c r="E54" s="211">
        <f t="shared" si="1"/>
        <v>3823</v>
      </c>
    </row>
    <row r="55" spans="1:5">
      <c r="A55" s="152">
        <v>586</v>
      </c>
      <c r="B55" s="207">
        <v>26081</v>
      </c>
      <c r="C55" s="204">
        <v>201830</v>
      </c>
      <c r="D55" s="151">
        <v>724498</v>
      </c>
      <c r="E55" s="211">
        <f t="shared" si="1"/>
        <v>952409</v>
      </c>
    </row>
    <row r="56" spans="1:5">
      <c r="A56" s="152">
        <v>587</v>
      </c>
      <c r="B56" s="207">
        <v>75501</v>
      </c>
      <c r="C56" s="204">
        <v>169678</v>
      </c>
      <c r="D56" s="151">
        <v>187814</v>
      </c>
      <c r="E56" s="211">
        <f t="shared" si="1"/>
        <v>432993</v>
      </c>
    </row>
    <row r="57" spans="1:5">
      <c r="A57" s="152">
        <v>588</v>
      </c>
      <c r="B57" s="207">
        <v>1992799</v>
      </c>
      <c r="C57" s="204">
        <v>744202</v>
      </c>
      <c r="D57" s="151">
        <v>1245510</v>
      </c>
      <c r="E57" s="211">
        <f t="shared" si="1"/>
        <v>3982511</v>
      </c>
    </row>
    <row r="58" spans="1:5">
      <c r="A58" s="152">
        <v>589</v>
      </c>
      <c r="B58" s="207">
        <v>20024</v>
      </c>
      <c r="C58" s="204"/>
      <c r="D58" s="151"/>
      <c r="E58" s="211">
        <f t="shared" si="1"/>
        <v>20024</v>
      </c>
    </row>
    <row r="59" spans="1:5">
      <c r="A59" s="152">
        <v>590</v>
      </c>
      <c r="B59" s="207">
        <v>459152</v>
      </c>
      <c r="C59" s="204">
        <v>48821</v>
      </c>
      <c r="D59" s="151">
        <v>121894</v>
      </c>
      <c r="E59" s="211">
        <f t="shared" si="1"/>
        <v>629867</v>
      </c>
    </row>
    <row r="60" spans="1:5">
      <c r="A60" s="152">
        <v>591</v>
      </c>
      <c r="B60" s="207">
        <v>0</v>
      </c>
      <c r="C60" s="204">
        <v>73055</v>
      </c>
      <c r="D60" s="151">
        <v>122666</v>
      </c>
      <c r="E60" s="211">
        <f t="shared" si="1"/>
        <v>195721</v>
      </c>
    </row>
    <row r="61" spans="1:5">
      <c r="A61" s="152">
        <v>592</v>
      </c>
      <c r="B61" s="207">
        <v>48774</v>
      </c>
      <c r="C61" s="204">
        <v>82747</v>
      </c>
      <c r="D61" s="151">
        <v>278581</v>
      </c>
      <c r="E61" s="211">
        <f t="shared" si="1"/>
        <v>410102</v>
      </c>
    </row>
    <row r="62" spans="1:5">
      <c r="A62" s="152">
        <v>593</v>
      </c>
      <c r="B62" s="207">
        <v>0</v>
      </c>
      <c r="C62" s="204">
        <v>513666</v>
      </c>
      <c r="D62" s="151">
        <v>966197</v>
      </c>
      <c r="E62" s="211">
        <f t="shared" si="1"/>
        <v>1479863</v>
      </c>
    </row>
    <row r="63" spans="1:5">
      <c r="A63" s="152">
        <v>594</v>
      </c>
      <c r="B63" s="207">
        <v>0</v>
      </c>
      <c r="C63" s="204">
        <v>128365</v>
      </c>
      <c r="D63" s="151">
        <v>276581</v>
      </c>
      <c r="E63" s="211">
        <f t="shared" si="1"/>
        <v>404946</v>
      </c>
    </row>
    <row r="64" spans="1:5">
      <c r="A64" s="152">
        <v>595</v>
      </c>
      <c r="B64" s="207">
        <v>13239</v>
      </c>
      <c r="C64" s="204">
        <v>32516</v>
      </c>
      <c r="D64" s="151">
        <v>169891</v>
      </c>
      <c r="E64" s="211">
        <f t="shared" si="1"/>
        <v>215646</v>
      </c>
    </row>
    <row r="65" spans="1:10">
      <c r="A65" s="152">
        <v>596</v>
      </c>
      <c r="B65" s="207">
        <v>0</v>
      </c>
      <c r="C65" s="204">
        <v>25793</v>
      </c>
      <c r="D65" s="151">
        <v>149629</v>
      </c>
      <c r="E65" s="211">
        <f t="shared" si="1"/>
        <v>175422</v>
      </c>
    </row>
    <row r="66" spans="1:10">
      <c r="A66" s="152">
        <v>597</v>
      </c>
      <c r="B66" s="207">
        <v>0</v>
      </c>
      <c r="C66" s="204">
        <v>6607</v>
      </c>
      <c r="D66" s="151">
        <v>9901</v>
      </c>
      <c r="E66" s="211">
        <f t="shared" si="1"/>
        <v>16508</v>
      </c>
    </row>
    <row r="67" spans="1:10">
      <c r="A67" s="152">
        <v>598</v>
      </c>
      <c r="B67" s="207">
        <v>47167</v>
      </c>
      <c r="C67" s="204">
        <v>39299</v>
      </c>
      <c r="D67" s="151">
        <v>97839</v>
      </c>
      <c r="E67" s="211">
        <f t="shared" si="1"/>
        <v>184305</v>
      </c>
    </row>
    <row r="68" spans="1:10">
      <c r="A68" s="152">
        <v>901</v>
      </c>
      <c r="B68" s="207">
        <v>202778</v>
      </c>
      <c r="C68" s="204"/>
      <c r="D68" s="151"/>
      <c r="E68" s="211">
        <f t="shared" si="1"/>
        <v>202778</v>
      </c>
    </row>
    <row r="69" spans="1:10">
      <c r="A69" s="152">
        <v>902</v>
      </c>
      <c r="B69" s="207">
        <v>80187</v>
      </c>
      <c r="C69" s="204">
        <v>171254</v>
      </c>
      <c r="D69" s="151">
        <v>1491465</v>
      </c>
      <c r="E69" s="211">
        <f t="shared" si="1"/>
        <v>1742906</v>
      </c>
    </row>
    <row r="70" spans="1:10">
      <c r="A70" s="152">
        <v>903</v>
      </c>
      <c r="B70" s="207">
        <v>3839347</v>
      </c>
      <c r="C70" s="204">
        <v>324969</v>
      </c>
      <c r="D70" s="151">
        <v>607085</v>
      </c>
      <c r="E70" s="211">
        <f t="shared" ref="E70:E83" si="2">SUM(B70:D70)</f>
        <v>4771401</v>
      </c>
    </row>
    <row r="71" spans="1:10">
      <c r="A71" s="152">
        <v>905</v>
      </c>
      <c r="B71" s="207">
        <v>115532</v>
      </c>
      <c r="C71" s="204"/>
      <c r="D71" s="151"/>
      <c r="E71" s="211">
        <f t="shared" si="2"/>
        <v>115532</v>
      </c>
    </row>
    <row r="72" spans="1:10">
      <c r="A72" s="152">
        <v>908</v>
      </c>
      <c r="B72" s="207">
        <v>111266</v>
      </c>
      <c r="C72" s="204">
        <v>40957</v>
      </c>
      <c r="D72" s="151">
        <v>151428</v>
      </c>
      <c r="E72" s="211">
        <f t="shared" si="2"/>
        <v>303651</v>
      </c>
    </row>
    <row r="73" spans="1:10">
      <c r="A73" s="152">
        <v>909</v>
      </c>
      <c r="B73" s="207">
        <v>213564</v>
      </c>
      <c r="C73" s="204"/>
      <c r="D73" s="151"/>
      <c r="E73" s="211">
        <f t="shared" si="2"/>
        <v>213564</v>
      </c>
      <c r="G73" s="165"/>
      <c r="H73" s="165"/>
      <c r="I73" s="165"/>
      <c r="J73" s="175"/>
    </row>
    <row r="74" spans="1:10">
      <c r="A74" s="152">
        <v>910</v>
      </c>
      <c r="B74" s="207">
        <v>54300</v>
      </c>
      <c r="C74" s="204"/>
      <c r="D74" s="151"/>
      <c r="E74" s="211">
        <f t="shared" si="2"/>
        <v>54300</v>
      </c>
      <c r="F74" s="166"/>
      <c r="G74" s="167"/>
      <c r="H74" s="167"/>
      <c r="I74" s="167"/>
      <c r="J74" s="175"/>
    </row>
    <row r="75" spans="1:10">
      <c r="A75" s="152">
        <v>920</v>
      </c>
      <c r="B75" s="207">
        <f>16212071-7</f>
        <v>16212064</v>
      </c>
      <c r="C75" s="204">
        <v>82216</v>
      </c>
      <c r="D75" s="151">
        <v>176351</v>
      </c>
      <c r="E75" s="211">
        <f t="shared" si="2"/>
        <v>16470631</v>
      </c>
      <c r="F75" s="166"/>
      <c r="G75" s="168"/>
      <c r="H75" s="168"/>
      <c r="I75" s="168"/>
      <c r="J75" s="175"/>
    </row>
    <row r="76" spans="1:10">
      <c r="A76" s="152">
        <v>921</v>
      </c>
      <c r="B76" s="207">
        <v>216330</v>
      </c>
      <c r="C76" s="204"/>
      <c r="D76" s="151">
        <v>11533</v>
      </c>
      <c r="E76" s="151">
        <f t="shared" si="2"/>
        <v>227863</v>
      </c>
    </row>
    <row r="77" spans="1:10">
      <c r="A77" s="152">
        <v>923</v>
      </c>
      <c r="B77" s="207">
        <v>42958</v>
      </c>
      <c r="C77" s="204"/>
      <c r="D77" s="151"/>
      <c r="E77" s="151">
        <f t="shared" si="2"/>
        <v>42958</v>
      </c>
    </row>
    <row r="78" spans="1:10">
      <c r="A78" s="152">
        <v>925</v>
      </c>
      <c r="B78" s="207">
        <v>523</v>
      </c>
      <c r="C78" s="204"/>
      <c r="D78" s="151"/>
      <c r="E78" s="151">
        <f t="shared" si="2"/>
        <v>523</v>
      </c>
    </row>
    <row r="79" spans="1:10">
      <c r="A79" s="152">
        <v>926</v>
      </c>
      <c r="B79" s="207">
        <v>288547</v>
      </c>
      <c r="C79" s="204"/>
      <c r="D79" s="151">
        <v>1522</v>
      </c>
      <c r="E79" s="151">
        <f t="shared" si="2"/>
        <v>290069</v>
      </c>
    </row>
    <row r="80" spans="1:10">
      <c r="A80" s="169">
        <v>928</v>
      </c>
      <c r="B80" s="207">
        <v>560008</v>
      </c>
      <c r="C80" s="204">
        <v>152357</v>
      </c>
      <c r="D80" s="151">
        <v>558177</v>
      </c>
      <c r="E80" s="151">
        <f t="shared" si="2"/>
        <v>1270542</v>
      </c>
    </row>
    <row r="81" spans="1:5">
      <c r="A81" s="176">
        <v>930</v>
      </c>
      <c r="B81" s="207">
        <v>248115</v>
      </c>
      <c r="C81" s="204">
        <v>4637</v>
      </c>
      <c r="D81" s="151">
        <v>5887</v>
      </c>
      <c r="E81" s="151">
        <f t="shared" si="2"/>
        <v>258639</v>
      </c>
    </row>
    <row r="82" spans="1:5">
      <c r="A82" s="152">
        <v>931</v>
      </c>
      <c r="B82" s="207">
        <v>440</v>
      </c>
      <c r="C82" s="204"/>
      <c r="D82" s="151"/>
      <c r="E82" s="151">
        <f t="shared" si="2"/>
        <v>440</v>
      </c>
    </row>
    <row r="83" spans="1:5">
      <c r="A83" s="152">
        <v>935</v>
      </c>
      <c r="B83" s="207">
        <v>1541796</v>
      </c>
      <c r="C83" s="204">
        <v>63875</v>
      </c>
      <c r="D83" s="151">
        <v>23833</v>
      </c>
      <c r="E83" s="151">
        <f t="shared" si="2"/>
        <v>1629504</v>
      </c>
    </row>
    <row r="84" spans="1:5" ht="15.75" thickBot="1">
      <c r="A84" s="152"/>
      <c r="B84" s="207"/>
      <c r="C84" s="204"/>
      <c r="D84" s="151"/>
      <c r="E84" s="151"/>
    </row>
    <row r="85" spans="1:5" s="155" customFormat="1" ht="16.5" thickTop="1" thickBot="1">
      <c r="A85" s="177" t="s">
        <v>175</v>
      </c>
      <c r="B85" s="208">
        <f>SUM(B6:B84)</f>
        <v>50637577</v>
      </c>
      <c r="C85" s="205">
        <f t="shared" ref="C85:E85" si="3">SUM(C6:C84)</f>
        <v>3705721</v>
      </c>
      <c r="D85" s="178">
        <f t="shared" si="3"/>
        <v>9012214</v>
      </c>
      <c r="E85" s="178">
        <f t="shared" si="3"/>
        <v>63355512</v>
      </c>
    </row>
    <row r="86" spans="1:5">
      <c r="A86" s="153" t="s">
        <v>21</v>
      </c>
      <c r="B86" s="179"/>
      <c r="C86" s="179"/>
    </row>
    <row r="89" spans="1:5">
      <c r="A89" s="154"/>
    </row>
    <row r="90" spans="1:5">
      <c r="A90" s="154"/>
    </row>
  </sheetData>
  <phoneticPr fontId="0" type="noConversion"/>
  <pageMargins left="0.36" right="0.5" top="1" bottom="1" header="0.5" footer="0.5"/>
  <pageSetup scale="69" fitToHeight="2" orientation="landscape" r:id="rId1"/>
  <headerFooter alignWithMargins="0">
    <oddHeader>&amp;RAdjustment No.3.02 Pro-Forma Non-Exec
Workpaper Ref. &amp;A</oddHeader>
    <oddFooter>&amp;L&amp;F&amp;RPrep by: AMB 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Q116"/>
  <sheetViews>
    <sheetView zoomScaleNormal="100" workbookViewId="0">
      <pane ySplit="8" topLeftCell="A9" activePane="bottomLeft" state="frozen"/>
      <selection activeCell="F23" sqref="F23"/>
      <selection pane="bottomLeft" activeCell="N42" sqref="N42"/>
    </sheetView>
  </sheetViews>
  <sheetFormatPr defaultColWidth="13.33203125" defaultRowHeight="12.75" outlineLevelRow="1"/>
  <cols>
    <col min="1" max="1" width="24.1640625" style="14" customWidth="1"/>
    <col min="2" max="2" width="17.5" style="14" bestFit="1" customWidth="1"/>
    <col min="3" max="3" width="16.83203125" style="66" bestFit="1" customWidth="1"/>
    <col min="4" max="4" width="16.1640625" style="14" bestFit="1" customWidth="1"/>
    <col min="5" max="5" width="16" style="14" bestFit="1" customWidth="1"/>
    <col min="6" max="6" width="13.33203125" style="14" customWidth="1"/>
    <col min="7" max="7" width="16.1640625" style="14" bestFit="1" customWidth="1"/>
    <col min="8" max="8" width="17" style="14" bestFit="1" customWidth="1"/>
    <col min="9" max="9" width="13.6640625" style="14" customWidth="1"/>
    <col min="10" max="10" width="1.83203125" style="11" customWidth="1"/>
    <col min="11" max="11" width="6.5" style="14" customWidth="1"/>
    <col min="12" max="12" width="23.6640625" style="14" customWidth="1"/>
    <col min="13" max="13" width="6.33203125" style="14" customWidth="1"/>
    <col min="14" max="15" width="9.5" style="14" bestFit="1" customWidth="1"/>
    <col min="16" max="16" width="10.33203125" style="14" bestFit="1" customWidth="1"/>
    <col min="17" max="16384" width="13.33203125" style="14"/>
  </cols>
  <sheetData>
    <row r="1" spans="1:17">
      <c r="A1" s="13" t="str">
        <f>'AN Electric'!A1</f>
        <v>AVISTA UTILITIES</v>
      </c>
    </row>
    <row r="2" spans="1:17">
      <c r="A2" s="15" t="s">
        <v>111</v>
      </c>
    </row>
    <row r="3" spans="1:17">
      <c r="A3" s="15" t="s">
        <v>24</v>
      </c>
    </row>
    <row r="4" spans="1:17">
      <c r="A4" s="15">
        <f>'AN Electric'!A4</f>
        <v>0</v>
      </c>
    </row>
    <row r="6" spans="1:17" ht="13.5" thickBot="1"/>
    <row r="7" spans="1:17">
      <c r="A7" s="16"/>
      <c r="B7" s="16"/>
      <c r="C7" s="82"/>
      <c r="D7" s="16" t="s">
        <v>14</v>
      </c>
      <c r="E7" s="16" t="s">
        <v>15</v>
      </c>
      <c r="F7" s="138" t="s">
        <v>0</v>
      </c>
      <c r="G7" s="16" t="s">
        <v>14</v>
      </c>
      <c r="H7" s="16" t="s">
        <v>15</v>
      </c>
      <c r="I7" s="138" t="s">
        <v>0</v>
      </c>
      <c r="J7" s="12"/>
      <c r="K7" s="16"/>
      <c r="Q7" s="16"/>
    </row>
    <row r="8" spans="1:17">
      <c r="A8" s="16"/>
      <c r="B8" s="38" t="s">
        <v>0</v>
      </c>
      <c r="C8" s="182" t="s">
        <v>16</v>
      </c>
      <c r="D8" s="38" t="s">
        <v>99</v>
      </c>
      <c r="E8" s="38" t="s">
        <v>99</v>
      </c>
      <c r="F8" s="139" t="s">
        <v>99</v>
      </c>
      <c r="G8" s="38" t="s">
        <v>100</v>
      </c>
      <c r="H8" s="38" t="s">
        <v>100</v>
      </c>
      <c r="I8" s="139" t="s">
        <v>100</v>
      </c>
      <c r="J8" s="12"/>
      <c r="K8" s="16"/>
    </row>
    <row r="9" spans="1:17" hidden="1" outlineLevel="1">
      <c r="A9" s="14" t="s">
        <v>31</v>
      </c>
      <c r="F9" s="140"/>
      <c r="I9" s="140"/>
    </row>
    <row r="10" spans="1:17" hidden="1" outlineLevel="1">
      <c r="A10" s="15">
        <v>807</v>
      </c>
      <c r="B10" s="46">
        <f>SUMIF('Gas North Download'!A:A,A10,'Gas North Download'!E:E)</f>
        <v>0</v>
      </c>
      <c r="C10" s="183">
        <v>0</v>
      </c>
      <c r="D10" s="35">
        <f>SUMIF('Gas North Download'!A:A,A10,'Gas North Download'!D:D)</f>
        <v>0</v>
      </c>
      <c r="E10" s="40">
        <f>C10*$C$85</f>
        <v>0</v>
      </c>
      <c r="F10" s="141">
        <f>D10+E10</f>
        <v>0</v>
      </c>
      <c r="G10" s="35">
        <f>SUMIF('Gas North Download'!A:A,A10,'Gas North Download'!C:C)</f>
        <v>0</v>
      </c>
      <c r="H10" s="40">
        <f>$C10*$D$85</f>
        <v>0</v>
      </c>
      <c r="I10" s="141">
        <f>G10+H10</f>
        <v>0</v>
      </c>
      <c r="L10" s="1"/>
    </row>
    <row r="11" spans="1:17" hidden="1" outlineLevel="1">
      <c r="A11" s="47" t="s">
        <v>117</v>
      </c>
      <c r="B11" s="46">
        <f>SUMIF('Gas North Download'!A:A,A11,'Gas North Download'!E:E)</f>
        <v>0</v>
      </c>
      <c r="C11" s="183">
        <v>0</v>
      </c>
      <c r="D11" s="35">
        <f>SUMIF('Gas North Download'!A:A,A11,'Gas North Download'!D:D)</f>
        <v>0</v>
      </c>
      <c r="E11" s="40">
        <f>C11*$C$81</f>
        <v>0</v>
      </c>
      <c r="F11" s="141">
        <f>D11+E11</f>
        <v>0</v>
      </c>
      <c r="G11" s="35">
        <f>SUMIF('Gas North Download'!A:A,A11,'Gas North Download'!C:C)</f>
        <v>0</v>
      </c>
      <c r="H11" s="40">
        <f>$C11*$D$81</f>
        <v>0</v>
      </c>
      <c r="I11" s="141">
        <f>G11+H11</f>
        <v>0</v>
      </c>
      <c r="L11" s="1"/>
    </row>
    <row r="12" spans="1:17" hidden="1" outlineLevel="1">
      <c r="A12" s="15">
        <v>813</v>
      </c>
      <c r="B12" s="46">
        <f>SUMIF('Gas North Download'!A:A,A12,'Gas North Download'!E:E)</f>
        <v>677436.86</v>
      </c>
      <c r="C12" s="183">
        <f>'Gas North Download'!E6</f>
        <v>677436.86</v>
      </c>
      <c r="D12" s="35">
        <f>SUMIF('Gas North Download'!A:A,A12,'Gas North Download'!D:D)</f>
        <v>0</v>
      </c>
      <c r="E12" s="40">
        <f>C12*$C$85</f>
        <v>462743.57</v>
      </c>
      <c r="F12" s="141">
        <f>D12+E12</f>
        <v>462743.57</v>
      </c>
      <c r="G12" s="35">
        <f>SUMIF('Gas North Download'!A:A,A12,'Gas North Download'!C:C)</f>
        <v>0</v>
      </c>
      <c r="H12" s="40">
        <f>$C12*$D$85</f>
        <v>214693.29</v>
      </c>
      <c r="I12" s="141">
        <f>G12+H12</f>
        <v>214693.29</v>
      </c>
      <c r="L12" s="1"/>
    </row>
    <row r="13" spans="1:17" collapsed="1">
      <c r="A13" s="14" t="s">
        <v>28</v>
      </c>
      <c r="B13" s="41">
        <f>SUM(B9:B12)</f>
        <v>677436.86</v>
      </c>
      <c r="C13" s="60">
        <f>SUM(C9:C12)</f>
        <v>677436.86</v>
      </c>
      <c r="D13" s="41">
        <f>SUM(D9:D12)</f>
        <v>0</v>
      </c>
      <c r="E13" s="41">
        <f t="shared" ref="E13:I13" si="0">SUM(E9:E12)</f>
        <v>462743.57</v>
      </c>
      <c r="F13" s="142">
        <f t="shared" si="0"/>
        <v>462743.57</v>
      </c>
      <c r="G13" s="41">
        <f>SUM(G9:G12)</f>
        <v>0</v>
      </c>
      <c r="H13" s="41">
        <f t="shared" si="0"/>
        <v>214693.29</v>
      </c>
      <c r="I13" s="142">
        <f t="shared" si="0"/>
        <v>214693.29</v>
      </c>
      <c r="J13" s="7"/>
    </row>
    <row r="14" spans="1:17">
      <c r="B14" s="40"/>
      <c r="C14" s="184"/>
      <c r="D14" s="40"/>
      <c r="E14" s="40"/>
      <c r="F14" s="141"/>
      <c r="G14" s="40"/>
      <c r="H14" s="40"/>
      <c r="I14" s="141"/>
      <c r="J14" s="7"/>
    </row>
    <row r="15" spans="1:17" hidden="1" outlineLevel="1">
      <c r="A15" s="14" t="s">
        <v>106</v>
      </c>
      <c r="B15" s="40"/>
      <c r="C15" s="184"/>
      <c r="D15" s="40"/>
      <c r="E15" s="40"/>
      <c r="F15" s="141"/>
      <c r="G15" s="40"/>
      <c r="H15" s="40"/>
      <c r="I15" s="141"/>
      <c r="J15" s="7"/>
    </row>
    <row r="16" spans="1:17" hidden="1" outlineLevel="1">
      <c r="A16" s="15">
        <v>814</v>
      </c>
      <c r="B16" s="46">
        <f>SUMIF('Gas North Download'!A:A,A16,'Gas North Download'!E:E)</f>
        <v>8966.2000000000007</v>
      </c>
      <c r="C16" s="183">
        <v>8966</v>
      </c>
      <c r="D16" s="35">
        <f>SUMIF('Gas North Download'!A:A,A16,'Gas North Download'!D:D)</f>
        <v>0</v>
      </c>
      <c r="E16" s="40">
        <f>C16*$C$86</f>
        <v>6323.81</v>
      </c>
      <c r="F16" s="141">
        <f>D16+E16</f>
        <v>6323.81</v>
      </c>
      <c r="G16" s="35">
        <f>SUMIF('Gas North Download'!A:A,A16,'Gas North Download'!C:C)</f>
        <v>0</v>
      </c>
      <c r="H16" s="40">
        <f>$C16*$D$86</f>
        <v>2642.28</v>
      </c>
      <c r="I16" s="141">
        <f>G16+H16</f>
        <v>2642.28</v>
      </c>
      <c r="J16" s="7"/>
      <c r="L16" s="1"/>
    </row>
    <row r="17" spans="1:16" hidden="1" outlineLevel="1">
      <c r="A17" s="15">
        <v>820</v>
      </c>
      <c r="B17" s="46">
        <f>SUMIF('Gas North Download'!A:A,A17,'Gas North Download'!E:E)</f>
        <v>0</v>
      </c>
      <c r="C17" s="183">
        <v>0</v>
      </c>
      <c r="D17" s="35">
        <f>SUMIF('Gas North Download'!A:A,A17,'Gas North Download'!D:D)</f>
        <v>0</v>
      </c>
      <c r="E17" s="40">
        <f>C17*$C$86</f>
        <v>0</v>
      </c>
      <c r="F17" s="141">
        <f>D17+E17</f>
        <v>0</v>
      </c>
      <c r="G17" s="35">
        <f>SUMIF('Gas North Download'!A:A,A17,'Gas North Download'!C:C)</f>
        <v>0</v>
      </c>
      <c r="H17" s="40">
        <f>$C17*$D$86</f>
        <v>0</v>
      </c>
      <c r="I17" s="141">
        <f>G17+H17</f>
        <v>0</v>
      </c>
      <c r="J17" s="7"/>
      <c r="L17" s="1"/>
      <c r="N17" s="39"/>
      <c r="O17" s="39"/>
      <c r="P17" s="39"/>
    </row>
    <row r="18" spans="1:16" collapsed="1">
      <c r="A18" s="57" t="s">
        <v>29</v>
      </c>
      <c r="B18" s="41">
        <f>SUM(B15:B17)</f>
        <v>8966.2000000000007</v>
      </c>
      <c r="C18" s="60">
        <f t="shared" ref="C18:I18" si="1">SUM(C15:C17)</f>
        <v>8966</v>
      </c>
      <c r="D18" s="41">
        <f>SUM(D16:D17)</f>
        <v>0</v>
      </c>
      <c r="E18" s="41">
        <f t="shared" si="1"/>
        <v>6323.81</v>
      </c>
      <c r="F18" s="142">
        <f t="shared" si="1"/>
        <v>6323.81</v>
      </c>
      <c r="G18" s="41">
        <f t="shared" si="1"/>
        <v>0</v>
      </c>
      <c r="H18" s="41">
        <f t="shared" si="1"/>
        <v>2642.28</v>
      </c>
      <c r="I18" s="142">
        <f t="shared" si="1"/>
        <v>2642.28</v>
      </c>
      <c r="J18" s="7"/>
      <c r="L18" s="15"/>
      <c r="N18" s="39"/>
      <c r="O18" s="39"/>
      <c r="P18" s="39"/>
    </row>
    <row r="19" spans="1:16">
      <c r="B19" s="40"/>
      <c r="C19" s="184"/>
      <c r="D19" s="40"/>
      <c r="E19" s="40"/>
      <c r="F19" s="141"/>
      <c r="G19" s="40"/>
      <c r="H19" s="40"/>
      <c r="I19" s="141"/>
      <c r="J19" s="7"/>
    </row>
    <row r="20" spans="1:16" hidden="1" outlineLevel="1">
      <c r="A20" s="14" t="s">
        <v>4</v>
      </c>
      <c r="B20" s="40"/>
      <c r="C20" s="184"/>
      <c r="D20" s="40"/>
      <c r="E20" s="40"/>
      <c r="F20" s="141"/>
      <c r="G20" s="40"/>
      <c r="H20" s="40"/>
      <c r="I20" s="141"/>
      <c r="J20" s="7"/>
    </row>
    <row r="21" spans="1:16" hidden="1" outlineLevel="1">
      <c r="A21" s="15">
        <v>870</v>
      </c>
      <c r="B21" s="46">
        <f>SUMIF('Gas North Download'!A:A,A21,'Gas North Download'!E:E)</f>
        <v>922327.16</v>
      </c>
      <c r="C21" s="183">
        <f>SUMIF('Gas North Download'!A:A,A21,'Gas North Download'!B:B)</f>
        <v>634346.43000000005</v>
      </c>
      <c r="D21" s="35">
        <f>SUMIF('Gas North Download'!A:A,A21,'Gas North Download'!D:D)</f>
        <v>238582.29</v>
      </c>
      <c r="E21" s="40">
        <f>C21*$C$83</f>
        <v>445863.08</v>
      </c>
      <c r="F21" s="141">
        <f>D21+E21</f>
        <v>684445.37</v>
      </c>
      <c r="G21" s="35">
        <f>SUMIF('Gas North Download'!A:A,A21,'Gas North Download'!C:C)</f>
        <v>49398.44</v>
      </c>
      <c r="H21" s="40">
        <f>ROUND(C21*$D$83,2)</f>
        <v>188483.35</v>
      </c>
      <c r="I21" s="141">
        <f>G21+H21</f>
        <v>237881.79</v>
      </c>
      <c r="J21" s="7"/>
      <c r="L21" s="1"/>
    </row>
    <row r="22" spans="1:16" hidden="1" outlineLevel="1">
      <c r="A22" s="15">
        <v>871</v>
      </c>
      <c r="B22" s="46">
        <f>SUMIF('Gas North Download'!A:A,A22,'Gas North Download'!E:E)</f>
        <v>0</v>
      </c>
      <c r="C22" s="183">
        <f>SUMIF('Gas North Download'!A:A,A22,'Gas North Download'!B:B)</f>
        <v>0</v>
      </c>
      <c r="D22" s="35">
        <f>SUMIF('Gas North Download'!A:A,A22,'Gas North Download'!D:D)</f>
        <v>0</v>
      </c>
      <c r="E22" s="40">
        <f t="shared" ref="E22:E41" si="2">C22*$C$82</f>
        <v>0</v>
      </c>
      <c r="F22" s="141">
        <f t="shared" ref="F22:F41" si="3">D22+E22</f>
        <v>0</v>
      </c>
      <c r="G22" s="35">
        <f>SUMIF('Gas North Download'!A:A,A22,'Gas North Download'!C:C)</f>
        <v>0</v>
      </c>
      <c r="H22" s="40">
        <f t="shared" ref="H22:H41" si="4">ROUND(C22*$D$82,2)</f>
        <v>0</v>
      </c>
      <c r="I22" s="141">
        <f t="shared" ref="I22:I41" si="5">G22+H22</f>
        <v>0</v>
      </c>
      <c r="J22" s="7"/>
      <c r="L22" s="15"/>
    </row>
    <row r="23" spans="1:16" hidden="1" outlineLevel="1">
      <c r="A23" s="15">
        <v>872</v>
      </c>
      <c r="B23" s="46">
        <f>SUMIF('Gas North Download'!A:A,A23,'Gas North Download'!E:E)</f>
        <v>0</v>
      </c>
      <c r="C23" s="183">
        <f>SUMIF('Gas North Download'!A:A,A23,'Gas North Download'!B:B)</f>
        <v>0</v>
      </c>
      <c r="D23" s="35">
        <f>SUMIF('Gas North Download'!A:A,A23,'Gas North Download'!D:D)</f>
        <v>0</v>
      </c>
      <c r="E23" s="40">
        <f t="shared" si="2"/>
        <v>0</v>
      </c>
      <c r="F23" s="141">
        <f t="shared" si="3"/>
        <v>0</v>
      </c>
      <c r="G23" s="35">
        <f>SUMIF('Gas North Download'!A:A,A23,'Gas North Download'!C:C)</f>
        <v>0</v>
      </c>
      <c r="H23" s="40">
        <f t="shared" si="4"/>
        <v>0</v>
      </c>
      <c r="I23" s="141">
        <f t="shared" si="5"/>
        <v>0</v>
      </c>
      <c r="J23" s="7"/>
      <c r="L23" s="15"/>
    </row>
    <row r="24" spans="1:16" hidden="1" outlineLevel="1">
      <c r="A24" s="15">
        <v>874</v>
      </c>
      <c r="B24" s="46">
        <f>SUMIF('Gas North Download'!A:A,A24,'Gas North Download'!E:E)</f>
        <v>1686618.45</v>
      </c>
      <c r="C24" s="183">
        <f>SUMIF('Gas North Download'!A:A,A24,'Gas North Download'!B:B)</f>
        <v>598079.65</v>
      </c>
      <c r="D24" s="35">
        <f>SUMIF('Gas North Download'!A:A,A24,'Gas North Download'!D:D)</f>
        <v>830496.3</v>
      </c>
      <c r="E24" s="40">
        <f t="shared" si="2"/>
        <v>396431.12</v>
      </c>
      <c r="F24" s="141">
        <f t="shared" si="3"/>
        <v>1226927.42</v>
      </c>
      <c r="G24" s="35">
        <f>SUMIF('Gas North Download'!A:A,A24,'Gas North Download'!C:C)</f>
        <v>258042.5</v>
      </c>
      <c r="H24" s="40">
        <f t="shared" si="4"/>
        <v>201648.53</v>
      </c>
      <c r="I24" s="141">
        <f t="shared" si="5"/>
        <v>459691.03</v>
      </c>
      <c r="J24" s="7"/>
      <c r="L24" s="1"/>
    </row>
    <row r="25" spans="1:16" hidden="1" outlineLevel="1">
      <c r="A25" s="15">
        <v>875</v>
      </c>
      <c r="B25" s="46">
        <f>SUMIF('Gas North Download'!A:A,A25,'Gas North Download'!E:E)</f>
        <v>44694.62</v>
      </c>
      <c r="C25" s="183">
        <f>SUMIF('Gas North Download'!A:A,A25,'Gas North Download'!B:B)</f>
        <v>0</v>
      </c>
      <c r="D25" s="35">
        <f>SUMIF('Gas North Download'!A:A,A25,'Gas North Download'!D:D)</f>
        <v>30912.84</v>
      </c>
      <c r="E25" s="40">
        <f t="shared" si="2"/>
        <v>0</v>
      </c>
      <c r="F25" s="141">
        <f t="shared" si="3"/>
        <v>30912.84</v>
      </c>
      <c r="G25" s="35">
        <f>SUMIF('Gas North Download'!A:A,A25,'Gas North Download'!C:C)</f>
        <v>13781.78</v>
      </c>
      <c r="H25" s="40">
        <f t="shared" si="4"/>
        <v>0</v>
      </c>
      <c r="I25" s="141">
        <f t="shared" si="5"/>
        <v>13781.78</v>
      </c>
      <c r="J25" s="7"/>
      <c r="L25" s="1"/>
    </row>
    <row r="26" spans="1:16" hidden="1" outlineLevel="1">
      <c r="A26" s="15">
        <v>876</v>
      </c>
      <c r="B26" s="46">
        <f>SUMIF('Gas North Download'!A:A,A26,'Gas North Download'!E:E)</f>
        <v>2278.33</v>
      </c>
      <c r="C26" s="183">
        <f>SUMIF('Gas North Download'!A:A,A26,'Gas North Download'!B:B)</f>
        <v>0</v>
      </c>
      <c r="D26" s="35">
        <f>SUMIF('Gas North Download'!A:A,A26,'Gas North Download'!D:D)</f>
        <v>937.16</v>
      </c>
      <c r="E26" s="40">
        <f t="shared" si="2"/>
        <v>0</v>
      </c>
      <c r="F26" s="141">
        <f t="shared" si="3"/>
        <v>937.16</v>
      </c>
      <c r="G26" s="35">
        <f>SUMIF('Gas North Download'!A:A,A26,'Gas North Download'!C:C)</f>
        <v>1341.17</v>
      </c>
      <c r="H26" s="40">
        <f t="shared" si="4"/>
        <v>0</v>
      </c>
      <c r="I26" s="141">
        <f t="shared" si="5"/>
        <v>1341.17</v>
      </c>
      <c r="J26" s="7"/>
      <c r="L26" s="1"/>
    </row>
    <row r="27" spans="1:16" hidden="1" outlineLevel="1">
      <c r="A27" s="15">
        <v>877</v>
      </c>
      <c r="B27" s="46">
        <f>SUMIF('Gas North Download'!A:A,A27,'Gas North Download'!E:E)</f>
        <v>55859.48</v>
      </c>
      <c r="C27" s="183">
        <f>SUMIF('Gas North Download'!A:A,A27,'Gas North Download'!B:B)</f>
        <v>0</v>
      </c>
      <c r="D27" s="35">
        <f>SUMIF('Gas North Download'!A:A,A27,'Gas North Download'!D:D)</f>
        <v>34053.269999999997</v>
      </c>
      <c r="E27" s="40">
        <f t="shared" si="2"/>
        <v>0</v>
      </c>
      <c r="F27" s="141">
        <f t="shared" si="3"/>
        <v>34053.269999999997</v>
      </c>
      <c r="G27" s="35">
        <f>SUMIF('Gas North Download'!A:A,A27,'Gas North Download'!C:C)</f>
        <v>21806.21</v>
      </c>
      <c r="H27" s="40">
        <f t="shared" si="4"/>
        <v>0</v>
      </c>
      <c r="I27" s="141">
        <f t="shared" si="5"/>
        <v>21806.21</v>
      </c>
      <c r="J27" s="7"/>
      <c r="L27" s="1"/>
    </row>
    <row r="28" spans="1:16" hidden="1" outlineLevel="1">
      <c r="A28" s="15">
        <v>878</v>
      </c>
      <c r="B28" s="46">
        <f>SUMIF('Gas North Download'!A:A,A28,'Gas North Download'!E:E)</f>
        <v>40489.01</v>
      </c>
      <c r="C28" s="183">
        <f>SUMIF('Gas North Download'!A:A,A28,'Gas North Download'!B:B)</f>
        <v>23062.46</v>
      </c>
      <c r="D28" s="35">
        <f>SUMIF('Gas North Download'!A:A,A28,'Gas North Download'!D:D)</f>
        <v>16571.78</v>
      </c>
      <c r="E28" s="40">
        <f t="shared" si="2"/>
        <v>15286.72</v>
      </c>
      <c r="F28" s="141">
        <f t="shared" si="3"/>
        <v>31858.5</v>
      </c>
      <c r="G28" s="35">
        <f>SUMIF('Gas North Download'!A:A,A28,'Gas North Download'!C:C)</f>
        <v>854.77</v>
      </c>
      <c r="H28" s="40">
        <f t="shared" si="4"/>
        <v>7775.74</v>
      </c>
      <c r="I28" s="141">
        <f t="shared" si="5"/>
        <v>8630.51</v>
      </c>
      <c r="J28" s="7"/>
      <c r="L28" s="1"/>
    </row>
    <row r="29" spans="1:16" hidden="1" outlineLevel="1">
      <c r="A29" s="15">
        <v>879</v>
      </c>
      <c r="B29" s="46">
        <f>SUMIF('Gas North Download'!A:A,A29,'Gas North Download'!E:E)</f>
        <v>1249714.3999999999</v>
      </c>
      <c r="C29" s="183">
        <f>SUMIF('Gas North Download'!A:A,A29,'Gas North Download'!B:B)</f>
        <v>82169.48</v>
      </c>
      <c r="D29" s="35">
        <f>SUMIF('Gas North Download'!A:A,A29,'Gas North Download'!D:D)</f>
        <v>674717.27</v>
      </c>
      <c r="E29" s="40">
        <f t="shared" si="2"/>
        <v>54465.22</v>
      </c>
      <c r="F29" s="141">
        <f t="shared" si="3"/>
        <v>729182.49</v>
      </c>
      <c r="G29" s="35">
        <f>SUMIF('Gas North Download'!A:A,A29,'Gas North Download'!C:C)</f>
        <v>492827.65</v>
      </c>
      <c r="H29" s="40">
        <f t="shared" si="4"/>
        <v>27704.26</v>
      </c>
      <c r="I29" s="141">
        <f t="shared" si="5"/>
        <v>520531.91</v>
      </c>
      <c r="J29" s="7"/>
      <c r="L29" s="1"/>
    </row>
    <row r="30" spans="1:16" hidden="1" outlineLevel="1">
      <c r="A30" s="15">
        <v>880</v>
      </c>
      <c r="B30" s="46">
        <f>SUMIF('Gas North Download'!A:A,A30,'Gas North Download'!E:E)</f>
        <v>1229391.8700000001</v>
      </c>
      <c r="C30" s="183">
        <f>SUMIF('Gas North Download'!A:A,A30,'Gas North Download'!B:B)</f>
        <v>327195.42</v>
      </c>
      <c r="D30" s="35">
        <f>SUMIF('Gas North Download'!A:A,A30,'Gas North Download'!D:D)</f>
        <v>654535.80000000005</v>
      </c>
      <c r="E30" s="40">
        <f t="shared" si="2"/>
        <v>216878.21</v>
      </c>
      <c r="F30" s="141">
        <f t="shared" si="3"/>
        <v>871414.01</v>
      </c>
      <c r="G30" s="35">
        <f>SUMIF('Gas North Download'!A:A,A30,'Gas North Download'!C:C)</f>
        <v>247660.65</v>
      </c>
      <c r="H30" s="40">
        <f t="shared" si="4"/>
        <v>110317.21</v>
      </c>
      <c r="I30" s="141">
        <f t="shared" si="5"/>
        <v>357977.86</v>
      </c>
      <c r="J30" s="7"/>
      <c r="L30" s="1"/>
    </row>
    <row r="31" spans="1:16" hidden="1" outlineLevel="1">
      <c r="A31" s="15">
        <v>881</v>
      </c>
      <c r="B31" s="46">
        <f>SUMIF('Gas North Download'!A:A,A31,'Gas North Download'!E:E)</f>
        <v>8609.2000000000007</v>
      </c>
      <c r="C31" s="183">
        <f>SUMIF('Gas North Download'!A:A,A31,'Gas North Download'!B:B)</f>
        <v>8609.2000000000007</v>
      </c>
      <c r="D31" s="35">
        <f>SUMIF('Gas North Download'!A:A,A31,'Gas North Download'!D:D)</f>
        <v>0</v>
      </c>
      <c r="E31" s="40">
        <f t="shared" si="2"/>
        <v>5706.52</v>
      </c>
      <c r="F31" s="141">
        <f t="shared" si="3"/>
        <v>5706.52</v>
      </c>
      <c r="G31" s="35">
        <f>SUMIF('Gas North Download'!A:A,A31,'Gas North Download'!C:C)</f>
        <v>0</v>
      </c>
      <c r="H31" s="40">
        <f t="shared" si="4"/>
        <v>2902.68</v>
      </c>
      <c r="I31" s="141">
        <f t="shared" si="5"/>
        <v>2902.68</v>
      </c>
      <c r="J31" s="7"/>
      <c r="L31" s="1"/>
    </row>
    <row r="32" spans="1:16" hidden="1" outlineLevel="1">
      <c r="A32" s="15">
        <v>885</v>
      </c>
      <c r="B32" s="46">
        <f>SUMIF('Gas North Download'!A:A,A32,'Gas North Download'!E:E)</f>
        <v>86515.75</v>
      </c>
      <c r="C32" s="183">
        <f>SUMIF('Gas North Download'!A:A,A32,'Gas North Download'!B:B)</f>
        <v>1140.47</v>
      </c>
      <c r="D32" s="35">
        <f>SUMIF('Gas North Download'!A:A,A32,'Gas North Download'!D:D)</f>
        <v>38135.67</v>
      </c>
      <c r="E32" s="40">
        <f t="shared" si="2"/>
        <v>755.95</v>
      </c>
      <c r="F32" s="141">
        <f t="shared" si="3"/>
        <v>38891.620000000003</v>
      </c>
      <c r="G32" s="35">
        <f>SUMIF('Gas North Download'!A:A,A32,'Gas North Download'!C:C)</f>
        <v>47239.61</v>
      </c>
      <c r="H32" s="40">
        <f t="shared" si="4"/>
        <v>384.52</v>
      </c>
      <c r="I32" s="141">
        <f t="shared" si="5"/>
        <v>47624.13</v>
      </c>
      <c r="J32" s="7"/>
      <c r="L32" s="1"/>
    </row>
    <row r="33" spans="1:12" hidden="1" outlineLevel="1">
      <c r="A33" s="15">
        <v>886</v>
      </c>
      <c r="B33" s="46">
        <f>SUMIF('Gas North Download'!A:A,A33,'Gas North Download'!E:E)</f>
        <v>0</v>
      </c>
      <c r="C33" s="183">
        <f>SUMIF('Gas North Download'!A:A,A33,'Gas North Download'!B:B)</f>
        <v>0</v>
      </c>
      <c r="D33" s="35">
        <f>SUMIF('Gas North Download'!A:A,A33,'Gas North Download'!D:D)</f>
        <v>0</v>
      </c>
      <c r="E33" s="40">
        <f t="shared" si="2"/>
        <v>0</v>
      </c>
      <c r="F33" s="141">
        <f t="shared" si="3"/>
        <v>0</v>
      </c>
      <c r="G33" s="35">
        <f>SUMIF('Gas North Download'!A:A,A33,'Gas North Download'!C:C)</f>
        <v>0</v>
      </c>
      <c r="H33" s="40">
        <f t="shared" si="4"/>
        <v>0</v>
      </c>
      <c r="I33" s="141">
        <f t="shared" si="5"/>
        <v>0</v>
      </c>
      <c r="J33" s="7"/>
      <c r="L33" s="1"/>
    </row>
    <row r="34" spans="1:12" hidden="1" outlineLevel="1">
      <c r="A34" s="15">
        <v>887</v>
      </c>
      <c r="B34" s="46">
        <f>SUMIF('Gas North Download'!A:A,A34,'Gas North Download'!E:E)</f>
        <v>487779.95</v>
      </c>
      <c r="C34" s="183">
        <f>SUMIF('Gas North Download'!A:A,A34,'Gas North Download'!B:B)</f>
        <v>0</v>
      </c>
      <c r="D34" s="35">
        <f>SUMIF('Gas North Download'!A:A,A34,'Gas North Download'!D:D)</f>
        <v>322070.19</v>
      </c>
      <c r="E34" s="40">
        <f t="shared" si="2"/>
        <v>0</v>
      </c>
      <c r="F34" s="141">
        <f t="shared" si="3"/>
        <v>322070.19</v>
      </c>
      <c r="G34" s="35">
        <f>SUMIF('Gas North Download'!A:A,A34,'Gas North Download'!C:C)</f>
        <v>165709.76000000001</v>
      </c>
      <c r="H34" s="40">
        <f t="shared" si="4"/>
        <v>0</v>
      </c>
      <c r="I34" s="141">
        <f t="shared" si="5"/>
        <v>165709.76000000001</v>
      </c>
      <c r="J34" s="7"/>
      <c r="L34" s="1"/>
    </row>
    <row r="35" spans="1:12" hidden="1" outlineLevel="1">
      <c r="A35" s="15">
        <v>888</v>
      </c>
      <c r="B35" s="46">
        <f>SUMIF('Gas North Download'!A:A,A35,'Gas North Download'!E:E)</f>
        <v>0</v>
      </c>
      <c r="C35" s="183">
        <f>SUMIF('Gas North Download'!A:A,A35,'Gas North Download'!B:B)</f>
        <v>0</v>
      </c>
      <c r="D35" s="35">
        <f>SUMIF('Gas North Download'!A:A,A35,'Gas North Download'!D:D)</f>
        <v>0</v>
      </c>
      <c r="E35" s="40">
        <f t="shared" si="2"/>
        <v>0</v>
      </c>
      <c r="F35" s="141">
        <f t="shared" si="3"/>
        <v>0</v>
      </c>
      <c r="G35" s="35">
        <f>SUMIF('Gas North Download'!A:A,A35,'Gas North Download'!C:C)</f>
        <v>0</v>
      </c>
      <c r="H35" s="40">
        <f t="shared" si="4"/>
        <v>0</v>
      </c>
      <c r="I35" s="141">
        <f t="shared" si="5"/>
        <v>0</v>
      </c>
      <c r="J35" s="7"/>
      <c r="L35" s="1"/>
    </row>
    <row r="36" spans="1:12" hidden="1" outlineLevel="1">
      <c r="A36" s="15">
        <v>889</v>
      </c>
      <c r="B36" s="46">
        <f>SUMIF('Gas North Download'!A:A,A36,'Gas North Download'!E:E)</f>
        <v>98609.82</v>
      </c>
      <c r="C36" s="183">
        <f>SUMIF('Gas North Download'!A:A,A36,'Gas North Download'!B:B)</f>
        <v>0</v>
      </c>
      <c r="D36" s="35">
        <f>SUMIF('Gas North Download'!A:A,A36,'Gas North Download'!D:D)</f>
        <v>67738.960000000006</v>
      </c>
      <c r="E36" s="40">
        <f t="shared" si="2"/>
        <v>0</v>
      </c>
      <c r="F36" s="141">
        <f t="shared" si="3"/>
        <v>67738.960000000006</v>
      </c>
      <c r="G36" s="35">
        <f>SUMIF('Gas North Download'!A:A,A36,'Gas North Download'!C:C)</f>
        <v>30870.86</v>
      </c>
      <c r="H36" s="40">
        <f t="shared" si="4"/>
        <v>0</v>
      </c>
      <c r="I36" s="141">
        <f t="shared" si="5"/>
        <v>30870.86</v>
      </c>
      <c r="J36" s="7"/>
      <c r="L36" s="1"/>
    </row>
    <row r="37" spans="1:12" hidden="1" outlineLevel="1">
      <c r="A37" s="15">
        <v>890</v>
      </c>
      <c r="B37" s="46">
        <f>SUMIF('Gas North Download'!A:A,A37,'Gas North Download'!E:E)</f>
        <v>49337.64</v>
      </c>
      <c r="C37" s="183">
        <f>SUMIF('Gas North Download'!A:A,A37,'Gas North Download'!B:B)</f>
        <v>0</v>
      </c>
      <c r="D37" s="35">
        <f>SUMIF('Gas North Download'!A:A,A37,'Gas North Download'!D:D)</f>
        <v>39993.589999999997</v>
      </c>
      <c r="E37" s="40">
        <f t="shared" si="2"/>
        <v>0</v>
      </c>
      <c r="F37" s="141">
        <f t="shared" si="3"/>
        <v>39993.589999999997</v>
      </c>
      <c r="G37" s="35">
        <f>SUMIF('Gas North Download'!A:A,A37,'Gas North Download'!C:C)</f>
        <v>9344.0499999999993</v>
      </c>
      <c r="H37" s="40">
        <f t="shared" si="4"/>
        <v>0</v>
      </c>
      <c r="I37" s="141">
        <f t="shared" si="5"/>
        <v>9344.0499999999993</v>
      </c>
      <c r="J37" s="7"/>
      <c r="L37" s="1"/>
    </row>
    <row r="38" spans="1:12" hidden="1" outlineLevel="1">
      <c r="A38" s="15">
        <v>891</v>
      </c>
      <c r="B38" s="46">
        <f>SUMIF('Gas North Download'!A:A,A38,'Gas North Download'!E:E)</f>
        <v>32981.06</v>
      </c>
      <c r="C38" s="183">
        <f>SUMIF('Gas North Download'!A:A,A38,'Gas North Download'!B:B)</f>
        <v>0</v>
      </c>
      <c r="D38" s="35">
        <f>SUMIF('Gas North Download'!A:A,A38,'Gas North Download'!D:D)</f>
        <v>18971.03</v>
      </c>
      <c r="E38" s="40">
        <f t="shared" si="2"/>
        <v>0</v>
      </c>
      <c r="F38" s="141">
        <f t="shared" si="3"/>
        <v>18971.03</v>
      </c>
      <c r="G38" s="35">
        <f>SUMIF('Gas North Download'!A:A,A38,'Gas North Download'!C:C)</f>
        <v>14010.03</v>
      </c>
      <c r="H38" s="40">
        <f t="shared" si="4"/>
        <v>0</v>
      </c>
      <c r="I38" s="141">
        <f t="shared" si="5"/>
        <v>14010.03</v>
      </c>
      <c r="J38" s="7"/>
      <c r="L38" s="1"/>
    </row>
    <row r="39" spans="1:12" hidden="1" outlineLevel="1">
      <c r="A39" s="15">
        <v>892</v>
      </c>
      <c r="B39" s="46">
        <f>SUMIF('Gas North Download'!A:A,A39,'Gas North Download'!E:E)</f>
        <v>1054229.95</v>
      </c>
      <c r="C39" s="183">
        <f>SUMIF('Gas North Download'!A:A,A39,'Gas North Download'!B:B)</f>
        <v>1894.66</v>
      </c>
      <c r="D39" s="35">
        <f>SUMIF('Gas North Download'!A:A,A39,'Gas North Download'!D:D)</f>
        <v>604464.63</v>
      </c>
      <c r="E39" s="40">
        <f t="shared" si="2"/>
        <v>1255.8599999999999</v>
      </c>
      <c r="F39" s="141">
        <f t="shared" si="3"/>
        <v>605720.49</v>
      </c>
      <c r="G39" s="35">
        <f>SUMIF('Gas North Download'!A:A,A39,'Gas North Download'!C:C)</f>
        <v>447870.66</v>
      </c>
      <c r="H39" s="40">
        <f t="shared" si="4"/>
        <v>638.79999999999995</v>
      </c>
      <c r="I39" s="141">
        <f t="shared" si="5"/>
        <v>448509.46</v>
      </c>
      <c r="J39" s="7"/>
      <c r="L39" s="1"/>
    </row>
    <row r="40" spans="1:12" hidden="1" outlineLevel="1">
      <c r="A40" s="15">
        <v>893</v>
      </c>
      <c r="B40" s="46">
        <f>SUMIF('Gas North Download'!A:A,A40,'Gas North Download'!E:E)</f>
        <v>993632.77</v>
      </c>
      <c r="C40" s="183">
        <f>SUMIF('Gas North Download'!A:A,A40,'Gas North Download'!B:B)</f>
        <v>265941.40999999997</v>
      </c>
      <c r="D40" s="35">
        <f>SUMIF('Gas North Download'!A:A,A40,'Gas North Download'!D:D)</f>
        <v>494572.35</v>
      </c>
      <c r="E40" s="40">
        <f t="shared" si="2"/>
        <v>176276.6</v>
      </c>
      <c r="F40" s="141">
        <f t="shared" si="3"/>
        <v>670848.94999999995</v>
      </c>
      <c r="G40" s="35">
        <f>SUMIF('Gas North Download'!A:A,A40,'Gas North Download'!C:C)</f>
        <v>233119.01</v>
      </c>
      <c r="H40" s="40">
        <f t="shared" si="4"/>
        <v>89664.81</v>
      </c>
      <c r="I40" s="141">
        <f t="shared" si="5"/>
        <v>322783.82</v>
      </c>
      <c r="J40" s="7"/>
      <c r="L40" s="1"/>
    </row>
    <row r="41" spans="1:12" hidden="1" outlineLevel="1">
      <c r="A41" s="15">
        <v>894</v>
      </c>
      <c r="B41" s="46">
        <f>SUMIF('Gas North Download'!A:A,A41,'Gas North Download'!E:E)</f>
        <v>89854.41</v>
      </c>
      <c r="C41" s="183">
        <f>SUMIF('Gas North Download'!A:A,A41,'Gas North Download'!B:B)</f>
        <v>84830.73</v>
      </c>
      <c r="D41" s="35">
        <f>SUMIF('Gas North Download'!A:A,A41,'Gas North Download'!D:D)</f>
        <v>4627.01</v>
      </c>
      <c r="E41" s="40">
        <f t="shared" si="2"/>
        <v>56229.2</v>
      </c>
      <c r="F41" s="141">
        <f t="shared" si="3"/>
        <v>60856.21</v>
      </c>
      <c r="G41" s="35">
        <f>SUMIF('Gas North Download'!A:A,A41,'Gas North Download'!C:C)</f>
        <v>396.67</v>
      </c>
      <c r="H41" s="40">
        <f t="shared" si="4"/>
        <v>28601.53</v>
      </c>
      <c r="I41" s="141">
        <f t="shared" si="5"/>
        <v>28998.2</v>
      </c>
      <c r="J41" s="7"/>
      <c r="L41" s="1"/>
    </row>
    <row r="42" spans="1:12" collapsed="1">
      <c r="A42" s="14" t="s">
        <v>5</v>
      </c>
      <c r="B42" s="41">
        <f>SUM(B21:B41)</f>
        <v>8132923.8700000001</v>
      </c>
      <c r="C42" s="60">
        <f t="shared" ref="C42:I42" si="6">SUM(C21:C41)</f>
        <v>2027269.91</v>
      </c>
      <c r="D42" s="41">
        <f t="shared" si="6"/>
        <v>4071380.14</v>
      </c>
      <c r="E42" s="41">
        <f t="shared" si="6"/>
        <v>1369148.48</v>
      </c>
      <c r="F42" s="142">
        <f t="shared" si="6"/>
        <v>5440528.6200000001</v>
      </c>
      <c r="G42" s="41">
        <f t="shared" si="6"/>
        <v>2034273.82</v>
      </c>
      <c r="H42" s="41">
        <f t="shared" si="6"/>
        <v>658121.43000000005</v>
      </c>
      <c r="I42" s="142">
        <f t="shared" si="6"/>
        <v>2692395.25</v>
      </c>
      <c r="J42" s="7"/>
      <c r="L42" s="1"/>
    </row>
    <row r="43" spans="1:12">
      <c r="B43" s="40"/>
      <c r="C43" s="184"/>
      <c r="D43" s="40"/>
      <c r="E43" s="40"/>
      <c r="F43" s="141"/>
      <c r="G43" s="40"/>
      <c r="H43" s="40"/>
      <c r="I43" s="141"/>
      <c r="J43" s="7"/>
      <c r="L43" s="1"/>
    </row>
    <row r="44" spans="1:12" hidden="1" outlineLevel="1">
      <c r="A44" s="14" t="s">
        <v>6</v>
      </c>
      <c r="B44" s="40"/>
      <c r="C44" s="184"/>
      <c r="D44" s="40"/>
      <c r="E44" s="40"/>
      <c r="F44" s="141"/>
      <c r="G44" s="40"/>
      <c r="H44" s="40"/>
      <c r="I44" s="141"/>
      <c r="J44" s="7"/>
      <c r="L44" s="1"/>
    </row>
    <row r="45" spans="1:12" hidden="1" outlineLevel="1">
      <c r="A45" s="15">
        <v>901</v>
      </c>
      <c r="B45" s="46">
        <f>SUMIF('Gas North Download'!A:A,A45,'Gas North Download'!E:E)</f>
        <v>127292.07</v>
      </c>
      <c r="C45" s="183">
        <f>SUMIF('Gas North Download'!A:A,A45,'Gas North Download'!B:B)</f>
        <v>127292.07</v>
      </c>
      <c r="D45" s="35">
        <f>SUMIF('Gas North Download'!A:A,A45,'Gas North Download'!D:D)</f>
        <v>0</v>
      </c>
      <c r="E45" s="40">
        <f>C45*$C$81</f>
        <v>84221.53</v>
      </c>
      <c r="F45" s="141">
        <f>D45+E45</f>
        <v>84221.53</v>
      </c>
      <c r="G45" s="35">
        <f>SUMIF('Gas North Download'!A:A,A45,'Gas North Download'!C:C)</f>
        <v>0</v>
      </c>
      <c r="H45" s="40">
        <f>C45*$D$81</f>
        <v>43070.54</v>
      </c>
      <c r="I45" s="141">
        <f>G45+H45</f>
        <v>43070.54</v>
      </c>
      <c r="J45" s="7"/>
      <c r="L45" s="1"/>
    </row>
    <row r="46" spans="1:12" hidden="1" outlineLevel="1">
      <c r="A46" s="15">
        <v>902</v>
      </c>
      <c r="B46" s="46">
        <f>SUMIF('Gas North Download'!A:A,A46,'Gas North Download'!E:E)</f>
        <v>1099953.1599999999</v>
      </c>
      <c r="C46" s="183">
        <f>SUMIF('Gas North Download'!A:A,A46,'Gas North Download'!B:B)</f>
        <v>50336.29</v>
      </c>
      <c r="D46" s="35">
        <f>SUMIF('Gas North Download'!A:A,A46,'Gas North Download'!D:D)</f>
        <v>942114.9</v>
      </c>
      <c r="E46" s="40">
        <f>C46*$C$81</f>
        <v>33304.5</v>
      </c>
      <c r="F46" s="141">
        <f>D46+E46</f>
        <v>975419.4</v>
      </c>
      <c r="G46" s="35">
        <f>SUMIF('Gas North Download'!A:A,A46,'Gas North Download'!C:C)</f>
        <v>107501.97</v>
      </c>
      <c r="H46" s="40">
        <f>C46*$D$81</f>
        <v>17031.79</v>
      </c>
      <c r="I46" s="141">
        <f>G46+H46</f>
        <v>124533.75999999999</v>
      </c>
      <c r="J46" s="7"/>
      <c r="L46" s="1"/>
    </row>
    <row r="47" spans="1:12" hidden="1" outlineLevel="1">
      <c r="A47" s="15">
        <v>903</v>
      </c>
      <c r="B47" s="46">
        <f>SUMIF('Gas North Download'!A:A,A47,'Gas North Download'!E:E)</f>
        <v>2918426.87</v>
      </c>
      <c r="C47" s="183">
        <f>SUMIF('Gas North Download'!A:A,A47,'Gas North Download'!B:B)</f>
        <v>2409422.5499999998</v>
      </c>
      <c r="D47" s="35">
        <f>SUMIF('Gas North Download'!A:A,A47,'Gas North Download'!D:D)</f>
        <v>343226</v>
      </c>
      <c r="E47" s="40">
        <f>C47*$C$81</f>
        <v>1594170.34</v>
      </c>
      <c r="F47" s="141">
        <f>D47+E47</f>
        <v>1937396.34</v>
      </c>
      <c r="G47" s="35">
        <f>SUMIF('Gas North Download'!A:A,A47,'Gas North Download'!C:C)</f>
        <v>165778.32</v>
      </c>
      <c r="H47" s="40">
        <f>C47*$D$81</f>
        <v>815252.21</v>
      </c>
      <c r="I47" s="141">
        <f>G47+H47</f>
        <v>981030.53</v>
      </c>
      <c r="J47" s="7"/>
      <c r="L47" s="1"/>
    </row>
    <row r="48" spans="1:12" hidden="1" outlineLevel="1">
      <c r="A48" s="15">
        <v>905</v>
      </c>
      <c r="B48" s="46">
        <f>SUMIF('Gas North Download'!A:A,A48,'Gas North Download'!E:E)</f>
        <v>72524.149999999994</v>
      </c>
      <c r="C48" s="183">
        <f>SUMIF('Gas North Download'!A:A,A48,'Gas North Download'!B:B)</f>
        <v>72524.149999999994</v>
      </c>
      <c r="D48" s="35">
        <f>SUMIF('Gas North Download'!A:A,A48,'Gas North Download'!D:D)</f>
        <v>0</v>
      </c>
      <c r="E48" s="40">
        <f>C48*$C$81</f>
        <v>47984.88</v>
      </c>
      <c r="F48" s="141">
        <f>D48+E48</f>
        <v>47984.88</v>
      </c>
      <c r="G48" s="35">
        <f>SUMIF('Gas North Download'!A:A,A48,'Gas North Download'!C:C)</f>
        <v>0</v>
      </c>
      <c r="H48" s="40">
        <f>C48*$D$81</f>
        <v>24539.27</v>
      </c>
      <c r="I48" s="141">
        <f>G48+H48</f>
        <v>24539.27</v>
      </c>
      <c r="J48" s="7"/>
      <c r="L48" s="1"/>
    </row>
    <row r="49" spans="1:12" collapsed="1">
      <c r="A49" s="14" t="s">
        <v>7</v>
      </c>
      <c r="B49" s="41">
        <f>SUM(B45:B48)</f>
        <v>4218196.25</v>
      </c>
      <c r="C49" s="60">
        <f t="shared" ref="C49:I49" si="7">SUM(C45:C48)</f>
        <v>2659575.06</v>
      </c>
      <c r="D49" s="41">
        <f t="shared" si="7"/>
        <v>1285340.8999999999</v>
      </c>
      <c r="E49" s="41">
        <f t="shared" si="7"/>
        <v>1759681.25</v>
      </c>
      <c r="F49" s="142">
        <f t="shared" si="7"/>
        <v>3045022.15</v>
      </c>
      <c r="G49" s="41">
        <f t="shared" si="7"/>
        <v>273280.28999999998</v>
      </c>
      <c r="H49" s="41">
        <f t="shared" si="7"/>
        <v>899893.81</v>
      </c>
      <c r="I49" s="142">
        <f t="shared" si="7"/>
        <v>1173174.1000000001</v>
      </c>
      <c r="J49" s="7"/>
    </row>
    <row r="50" spans="1:12">
      <c r="B50" s="40"/>
      <c r="C50" s="184"/>
      <c r="D50" s="40"/>
      <c r="E50" s="40"/>
      <c r="F50" s="141"/>
      <c r="G50" s="40"/>
      <c r="H50" s="40"/>
      <c r="I50" s="141"/>
      <c r="J50" s="7"/>
    </row>
    <row r="51" spans="1:12" hidden="1" outlineLevel="1">
      <c r="A51" s="14" t="s">
        <v>8</v>
      </c>
      <c r="B51" s="40"/>
      <c r="C51" s="184"/>
      <c r="D51" s="40"/>
      <c r="E51" s="40"/>
      <c r="F51" s="141"/>
      <c r="G51" s="40"/>
      <c r="H51" s="40"/>
      <c r="I51" s="141"/>
      <c r="J51" s="7"/>
    </row>
    <row r="52" spans="1:12" hidden="1" outlineLevel="1">
      <c r="A52" s="15">
        <v>908</v>
      </c>
      <c r="B52" s="46">
        <f>SUMIF('Gas North Download'!A:A,A52,'Gas North Download'!E:E)</f>
        <v>207216.98</v>
      </c>
      <c r="C52" s="183">
        <f>SUMIF('Gas North Download'!A:A,A52,'Gas North Download'!B:B)</f>
        <v>65764.69</v>
      </c>
      <c r="D52" s="35">
        <f>SUMIF('Gas North Download'!A:A,A52,'Gas North Download'!D:D)</f>
        <v>115741.93</v>
      </c>
      <c r="E52" s="40">
        <f>C52*$C$81</f>
        <v>43512.55</v>
      </c>
      <c r="F52" s="141">
        <f>D52+E52</f>
        <v>159254.48000000001</v>
      </c>
      <c r="G52" s="35">
        <f>SUMIF('Gas North Download'!A:A,A52,'Gas North Download'!C:C)</f>
        <v>25710.36</v>
      </c>
      <c r="H52" s="40">
        <f>C52*$D$81</f>
        <v>22252.14</v>
      </c>
      <c r="I52" s="141">
        <f>G52+H52</f>
        <v>47962.5</v>
      </c>
      <c r="J52" s="7"/>
      <c r="L52" s="1"/>
    </row>
    <row r="53" spans="1:12" hidden="1" outlineLevel="1">
      <c r="A53" s="15">
        <v>909</v>
      </c>
      <c r="B53" s="46">
        <f>SUMIF('Gas North Download'!A:A,A53,'Gas North Download'!E:E)</f>
        <v>134166.94</v>
      </c>
      <c r="C53" s="183">
        <f>SUMIF('Gas North Download'!A:A,A53,'Gas North Download'!B:B)</f>
        <v>134166.94</v>
      </c>
      <c r="D53" s="35">
        <f>SUMIF('Gas North Download'!A:A,A53,'Gas North Download'!D:D)</f>
        <v>0</v>
      </c>
      <c r="E53" s="40">
        <f>C53*$C$81</f>
        <v>88770.21</v>
      </c>
      <c r="F53" s="141">
        <f>D53+E53</f>
        <v>88770.21</v>
      </c>
      <c r="G53" s="35">
        <f>SUMIF('Gas North Download'!A:A,A53,'Gas North Download'!C:C)</f>
        <v>0</v>
      </c>
      <c r="H53" s="40">
        <f>C53*$D$81</f>
        <v>45396.73</v>
      </c>
      <c r="I53" s="141">
        <f>G53+H53</f>
        <v>45396.73</v>
      </c>
      <c r="J53" s="7"/>
      <c r="L53" s="1"/>
    </row>
    <row r="54" spans="1:12" hidden="1" outlineLevel="1">
      <c r="A54" s="15">
        <v>910</v>
      </c>
      <c r="B54" s="46">
        <f>SUMIF('Gas North Download'!A:A,A54,'Gas North Download'!E:E)</f>
        <v>34086.54</v>
      </c>
      <c r="C54" s="183">
        <f>SUMIF('Gas North Download'!A:A,A54,'Gas North Download'!B:B)</f>
        <v>34086.54</v>
      </c>
      <c r="D54" s="35">
        <f>SUMIF('Gas North Download'!A:A,A54,'Gas North Download'!D:D)</f>
        <v>0</v>
      </c>
      <c r="E54" s="40">
        <f>C54*$C$81</f>
        <v>22553.02</v>
      </c>
      <c r="F54" s="141">
        <f>D54+E54</f>
        <v>22553.02</v>
      </c>
      <c r="G54" s="35">
        <f>SUMIF('Gas North Download'!A:A,A54,'Gas North Download'!C:C)</f>
        <v>0</v>
      </c>
      <c r="H54" s="40">
        <f>C54*$D$81</f>
        <v>11533.52</v>
      </c>
      <c r="I54" s="141">
        <f>G54+H54</f>
        <v>11533.52</v>
      </c>
      <c r="J54" s="7"/>
      <c r="L54" s="1"/>
    </row>
    <row r="55" spans="1:12" collapsed="1">
      <c r="A55" s="14" t="s">
        <v>9</v>
      </c>
      <c r="B55" s="41">
        <f t="shared" ref="B55:I55" si="8">SUM(B52:B54)</f>
        <v>375470.46</v>
      </c>
      <c r="C55" s="60">
        <f t="shared" si="8"/>
        <v>234018.17</v>
      </c>
      <c r="D55" s="41">
        <f t="shared" si="8"/>
        <v>115741.93</v>
      </c>
      <c r="E55" s="41">
        <f t="shared" si="8"/>
        <v>154835.78</v>
      </c>
      <c r="F55" s="142">
        <f t="shared" si="8"/>
        <v>270577.71000000002</v>
      </c>
      <c r="G55" s="41">
        <f t="shared" si="8"/>
        <v>25710.36</v>
      </c>
      <c r="H55" s="41">
        <f t="shared" si="8"/>
        <v>79182.39</v>
      </c>
      <c r="I55" s="142">
        <f t="shared" si="8"/>
        <v>104892.75</v>
      </c>
      <c r="J55" s="7"/>
    </row>
    <row r="56" spans="1:12">
      <c r="B56" s="40"/>
      <c r="C56" s="184"/>
      <c r="D56" s="40"/>
      <c r="E56" s="40"/>
      <c r="F56" s="141"/>
      <c r="G56" s="40"/>
      <c r="H56" s="40"/>
      <c r="I56" s="141"/>
      <c r="J56" s="7"/>
    </row>
    <row r="57" spans="1:12" hidden="1" outlineLevel="1">
      <c r="A57" s="14" t="s">
        <v>10</v>
      </c>
      <c r="B57" s="40"/>
      <c r="C57" s="184"/>
      <c r="D57" s="40"/>
      <c r="E57" s="40"/>
      <c r="F57" s="141"/>
      <c r="G57" s="40"/>
      <c r="H57" s="40"/>
      <c r="I57" s="141"/>
      <c r="J57" s="7"/>
    </row>
    <row r="58" spans="1:12" hidden="1" outlineLevel="1">
      <c r="A58" s="15">
        <v>911</v>
      </c>
      <c r="B58" s="46">
        <f>SUMIF('Gas North Download'!A:A,A58,'Gas North Download'!E:E)</f>
        <v>0</v>
      </c>
      <c r="C58" s="183">
        <f>SUMIF('Gas North Download'!A:A,A58,'Gas North Download'!B:B)</f>
        <v>0</v>
      </c>
      <c r="D58" s="35">
        <f>SUMIF('Gas North Download'!A:A,A58,'Gas North Download'!D:D)</f>
        <v>0</v>
      </c>
      <c r="E58" s="40">
        <f>C58*$C$81</f>
        <v>0</v>
      </c>
      <c r="F58" s="141">
        <f>D58+E58</f>
        <v>0</v>
      </c>
      <c r="G58" s="35">
        <f>SUMIF('Gas North Download'!A:A,A58,'Gas North Download'!C:C)</f>
        <v>0</v>
      </c>
      <c r="H58" s="40">
        <f>C58*$D$81</f>
        <v>0</v>
      </c>
      <c r="I58" s="141">
        <f>G58+H58</f>
        <v>0</v>
      </c>
      <c r="J58" s="7"/>
      <c r="L58" s="1"/>
    </row>
    <row r="59" spans="1:12" hidden="1" outlineLevel="1">
      <c r="A59" s="15">
        <v>912</v>
      </c>
      <c r="B59" s="46">
        <f>SUMIF('Gas North Download'!A:A,A59,'Gas North Download'!E:E)</f>
        <v>0</v>
      </c>
      <c r="C59" s="183">
        <f>SUMIF('Gas North Download'!A:A,A59,'Gas North Download'!B:B)</f>
        <v>0</v>
      </c>
      <c r="D59" s="35">
        <f>SUMIF('Gas North Download'!A:A,A59,'Gas North Download'!D:D)</f>
        <v>0</v>
      </c>
      <c r="E59" s="40">
        <f>C59*$C$81</f>
        <v>0</v>
      </c>
      <c r="F59" s="141">
        <f>D59+E59</f>
        <v>0</v>
      </c>
      <c r="G59" s="35">
        <f>SUMIF('Gas North Download'!A:A,A59,'Gas North Download'!C:C)</f>
        <v>0</v>
      </c>
      <c r="H59" s="40">
        <f>C59*$D$81</f>
        <v>0</v>
      </c>
      <c r="I59" s="141">
        <f>G59+H59</f>
        <v>0</v>
      </c>
      <c r="J59" s="7"/>
      <c r="L59" s="1"/>
    </row>
    <row r="60" spans="1:12" hidden="1" outlineLevel="1">
      <c r="A60" s="15">
        <v>913</v>
      </c>
      <c r="B60" s="46">
        <f>SUMIF('Gas North Download'!A:A,A60,'Gas North Download'!E:E)</f>
        <v>0</v>
      </c>
      <c r="C60" s="183">
        <f>SUMIF('Gas North Download'!A:A,A60,'Gas North Download'!B:B)</f>
        <v>0</v>
      </c>
      <c r="D60" s="35">
        <f>SUMIF('Gas North Download'!A:A,A60,'Gas North Download'!D:D)</f>
        <v>0</v>
      </c>
      <c r="E60" s="40">
        <f>C60*$C$81</f>
        <v>0</v>
      </c>
      <c r="F60" s="141">
        <f>D60+E60</f>
        <v>0</v>
      </c>
      <c r="G60" s="35">
        <f>SUMIF('Gas North Download'!A:A,A60,'Gas North Download'!C:C)</f>
        <v>0</v>
      </c>
      <c r="H60" s="40">
        <f>C60*$D$81</f>
        <v>0</v>
      </c>
      <c r="I60" s="141">
        <f>G60+H60</f>
        <v>0</v>
      </c>
      <c r="J60" s="7"/>
      <c r="L60" s="1"/>
    </row>
    <row r="61" spans="1:12" hidden="1" outlineLevel="1">
      <c r="A61" s="15">
        <v>916</v>
      </c>
      <c r="B61" s="46">
        <f>SUMIF('Gas North Download'!A:A,A61,'Gas North Download'!E:E)</f>
        <v>0</v>
      </c>
      <c r="C61" s="183">
        <f>SUMIF('Gas North Download'!A:A,A61,'Gas North Download'!B:B)</f>
        <v>0</v>
      </c>
      <c r="D61" s="35">
        <f>SUMIF('Gas North Download'!A:A,A61,'Gas North Download'!D:D)</f>
        <v>0</v>
      </c>
      <c r="E61" s="40">
        <f>C61*$C$81</f>
        <v>0</v>
      </c>
      <c r="F61" s="141">
        <f>D61+E61</f>
        <v>0</v>
      </c>
      <c r="G61" s="35">
        <f>SUMIF('Gas North Download'!A:A,A61,'Gas North Download'!C:C)</f>
        <v>0</v>
      </c>
      <c r="H61" s="40">
        <f>C61*$D$81</f>
        <v>0</v>
      </c>
      <c r="I61" s="141">
        <f>G61+H61</f>
        <v>0</v>
      </c>
      <c r="J61" s="7"/>
      <c r="L61" s="1"/>
    </row>
    <row r="62" spans="1:12" collapsed="1">
      <c r="A62" s="14" t="s">
        <v>11</v>
      </c>
      <c r="B62" s="41">
        <f>SUM(B58:B61)</f>
        <v>0</v>
      </c>
      <c r="C62" s="60">
        <f t="shared" ref="C62:I62" si="9">SUM(C58:C61)</f>
        <v>0</v>
      </c>
      <c r="D62" s="41">
        <f t="shared" si="9"/>
        <v>0</v>
      </c>
      <c r="E62" s="41">
        <f t="shared" si="9"/>
        <v>0</v>
      </c>
      <c r="F62" s="142">
        <f t="shared" si="9"/>
        <v>0</v>
      </c>
      <c r="G62" s="41">
        <f t="shared" si="9"/>
        <v>0</v>
      </c>
      <c r="H62" s="41">
        <f t="shared" si="9"/>
        <v>0</v>
      </c>
      <c r="I62" s="142">
        <f t="shared" si="9"/>
        <v>0</v>
      </c>
      <c r="J62" s="7"/>
    </row>
    <row r="63" spans="1:12">
      <c r="B63" s="40"/>
      <c r="C63" s="184"/>
      <c r="D63" s="40"/>
      <c r="E63" s="40"/>
      <c r="F63" s="141"/>
      <c r="G63" s="40"/>
      <c r="H63" s="40"/>
      <c r="I63" s="141"/>
      <c r="J63" s="41"/>
    </row>
    <row r="64" spans="1:12" hidden="1" outlineLevel="1">
      <c r="A64" s="14" t="s">
        <v>12</v>
      </c>
      <c r="B64" s="40"/>
      <c r="C64" s="184"/>
      <c r="D64" s="40"/>
      <c r="E64" s="40"/>
      <c r="F64" s="141"/>
      <c r="G64" s="40"/>
      <c r="H64" s="40"/>
      <c r="I64" s="141"/>
      <c r="J64" s="7"/>
    </row>
    <row r="65" spans="1:12" hidden="1" outlineLevel="1">
      <c r="A65" s="15">
        <v>920</v>
      </c>
      <c r="B65" s="46">
        <f>SUMIF('Gas North Download'!A:A,A65,'Gas North Download'!E:E)</f>
        <v>4429911.55</v>
      </c>
      <c r="C65" s="183">
        <f>SUMIF('Gas North Download'!A:A,A65,'Gas North Download'!B:B)+0.77</f>
        <v>4360944.13</v>
      </c>
      <c r="D65" s="35">
        <f>SUMIF('Gas North Download'!A:A,A65,'Gas North Download'!D:D)</f>
        <v>46425.79</v>
      </c>
      <c r="E65" s="40">
        <f t="shared" ref="E65:E73" si="10">C65*$C$83</f>
        <v>3065176.8</v>
      </c>
      <c r="F65" s="141">
        <f t="shared" ref="F65:F73" si="11">D65+E65</f>
        <v>3111602.59</v>
      </c>
      <c r="G65" s="35">
        <f>SUMIF('Gas North Download'!A:A,A65,'Gas North Download'!C:C)</f>
        <v>22542.400000000001</v>
      </c>
      <c r="H65" s="40">
        <f t="shared" ref="H65:H73" si="12">ROUND(C65*$D$83,2)</f>
        <v>1295767.33</v>
      </c>
      <c r="I65" s="141">
        <f t="shared" ref="I65:I73" si="13">G65+H65</f>
        <v>1318309.73</v>
      </c>
      <c r="J65" s="7"/>
      <c r="L65" s="1"/>
    </row>
    <row r="66" spans="1:12" hidden="1" outlineLevel="1">
      <c r="A66" s="15">
        <v>921</v>
      </c>
      <c r="B66" s="46">
        <f>SUMIF('Gas North Download'!A:A,A66,'Gas North Download'!E:E)</f>
        <v>61953.11</v>
      </c>
      <c r="C66" s="183">
        <f>SUMIF('Gas North Download'!A:A,A66,'Gas North Download'!B:B)</f>
        <v>58790.92</v>
      </c>
      <c r="D66" s="35">
        <f>SUMIF('Gas North Download'!A:A,A66,'Gas North Download'!D:D)</f>
        <v>3162.19</v>
      </c>
      <c r="E66" s="40">
        <f t="shared" si="10"/>
        <v>41322.370000000003</v>
      </c>
      <c r="F66" s="141">
        <f t="shared" si="11"/>
        <v>44484.56</v>
      </c>
      <c r="G66" s="35">
        <f>SUMIF('Gas North Download'!A:A,A66,'Gas North Download'!C:C)</f>
        <v>0</v>
      </c>
      <c r="H66" s="40">
        <f t="shared" si="12"/>
        <v>17468.55</v>
      </c>
      <c r="I66" s="141">
        <f t="shared" si="13"/>
        <v>17468.55</v>
      </c>
      <c r="J66" s="7"/>
      <c r="L66" s="1"/>
    </row>
    <row r="67" spans="1:12" hidden="1" outlineLevel="1">
      <c r="A67" s="15">
        <v>922</v>
      </c>
      <c r="B67" s="46">
        <f>SUMIF('Gas North Download'!A:A,A67,'Gas North Download'!E:E)</f>
        <v>0</v>
      </c>
      <c r="C67" s="183">
        <f>SUMIF('Gas North Download'!A:A,A67,'Gas North Download'!B:B)</f>
        <v>0</v>
      </c>
      <c r="D67" s="35">
        <f>SUMIF('Gas North Download'!A:A,A67,'Gas North Download'!D:D)</f>
        <v>0</v>
      </c>
      <c r="E67" s="40">
        <f t="shared" si="10"/>
        <v>0</v>
      </c>
      <c r="F67" s="141">
        <f>D67+E67</f>
        <v>0</v>
      </c>
      <c r="G67" s="35">
        <f>SUMIF('Gas North Download'!A:A,A67,'Gas North Download'!C:C)</f>
        <v>0</v>
      </c>
      <c r="H67" s="40">
        <f t="shared" si="12"/>
        <v>0</v>
      </c>
      <c r="I67" s="141">
        <f>G67+H67</f>
        <v>0</v>
      </c>
      <c r="J67" s="7"/>
      <c r="L67" s="1"/>
    </row>
    <row r="68" spans="1:12" hidden="1" outlineLevel="1">
      <c r="A68" s="15">
        <v>923</v>
      </c>
      <c r="B68" s="46">
        <f>SUMIF('Gas North Download'!A:A,A68,'Gas North Download'!E:E)</f>
        <v>4353.3500000000004</v>
      </c>
      <c r="C68" s="183">
        <f>SUMIF('Gas North Download'!A:A,A68,'Gas North Download'!B:B)</f>
        <v>4353.3500000000004</v>
      </c>
      <c r="D68" s="35">
        <f>SUMIF('Gas North Download'!A:A,A68,'Gas North Download'!D:D)</f>
        <v>0</v>
      </c>
      <c r="E68" s="40">
        <f t="shared" si="10"/>
        <v>3059.84</v>
      </c>
      <c r="F68" s="141">
        <f t="shared" si="11"/>
        <v>3059.84</v>
      </c>
      <c r="G68" s="35">
        <f>SUMIF('Gas North Download'!A:A,A68,'Gas North Download'!C:C)</f>
        <v>0</v>
      </c>
      <c r="H68" s="40">
        <f t="shared" si="12"/>
        <v>1293.51</v>
      </c>
      <c r="I68" s="141">
        <f t="shared" si="13"/>
        <v>1293.51</v>
      </c>
      <c r="J68" s="7"/>
      <c r="L68" s="1"/>
    </row>
    <row r="69" spans="1:12" ht="12" hidden="1" customHeight="1" outlineLevel="1">
      <c r="A69" s="15">
        <v>924</v>
      </c>
      <c r="B69" s="46">
        <f>SUMIF('Gas North Download'!A:A,A69,'Gas North Download'!E:E)</f>
        <v>0</v>
      </c>
      <c r="C69" s="183">
        <f>SUMIF('Gas North Download'!A:A,A69,'Gas North Download'!B:B)</f>
        <v>0</v>
      </c>
      <c r="D69" s="35">
        <f>SUMIF('Gas North Download'!A:A,A69,'Gas North Download'!D:D)</f>
        <v>0</v>
      </c>
      <c r="E69" s="40">
        <f t="shared" si="10"/>
        <v>0</v>
      </c>
      <c r="F69" s="141">
        <f t="shared" si="11"/>
        <v>0</v>
      </c>
      <c r="G69" s="35">
        <f>SUMIF('Gas North Download'!A:A,A69,'Gas North Download'!C:C)</f>
        <v>0</v>
      </c>
      <c r="H69" s="40">
        <f t="shared" si="12"/>
        <v>0</v>
      </c>
      <c r="I69" s="141">
        <f t="shared" si="13"/>
        <v>0</v>
      </c>
      <c r="J69" s="7"/>
      <c r="L69" s="1"/>
    </row>
    <row r="70" spans="1:12" hidden="1" outlineLevel="1">
      <c r="A70" s="15">
        <v>925</v>
      </c>
      <c r="B70" s="46">
        <f>SUMIF('Gas North Download'!A:A,A70,'Gas North Download'!E:E)+62125+930</f>
        <v>99652.14</v>
      </c>
      <c r="C70" s="183">
        <f>SUMIF('Gas North Download'!A:A,A70,'Gas North Download'!B:B)+61707+930</f>
        <v>99234.14</v>
      </c>
      <c r="D70" s="35">
        <v>417.36</v>
      </c>
      <c r="E70" s="40">
        <f t="shared" si="10"/>
        <v>69748.7</v>
      </c>
      <c r="F70" s="141">
        <f t="shared" si="11"/>
        <v>70166.06</v>
      </c>
      <c r="G70" s="35">
        <f>SUMIF('Gas North Download'!A:A,A70,'Gas North Download'!C:C)</f>
        <v>0</v>
      </c>
      <c r="H70" s="40">
        <f t="shared" si="12"/>
        <v>29485.439999999999</v>
      </c>
      <c r="I70" s="141">
        <f t="shared" si="13"/>
        <v>29485.439999999999</v>
      </c>
      <c r="J70" s="7"/>
      <c r="L70" s="1"/>
    </row>
    <row r="71" spans="1:12" hidden="1" outlineLevel="1">
      <c r="A71" s="15">
        <v>928</v>
      </c>
      <c r="B71" s="46">
        <f>SUMIF('Gas North Download'!A:A,A71,'Gas North Download'!E:E)</f>
        <v>349640.19</v>
      </c>
      <c r="C71" s="183">
        <f>SUMIF('Gas North Download'!A:A,A71,'Gas North Download'!B:B)</f>
        <v>156541.13</v>
      </c>
      <c r="D71" s="35">
        <f>SUMIF('Gas North Download'!A:A,A71,'Gas North Download'!D:D)</f>
        <v>148071.44</v>
      </c>
      <c r="E71" s="40">
        <f t="shared" si="10"/>
        <v>110028.06</v>
      </c>
      <c r="F71" s="141">
        <f t="shared" si="11"/>
        <v>258099.5</v>
      </c>
      <c r="G71" s="35">
        <f>SUMIF('Gas North Download'!A:A,A71,'Gas North Download'!C:C)</f>
        <v>45027.62</v>
      </c>
      <c r="H71" s="40">
        <f t="shared" si="12"/>
        <v>46513.07</v>
      </c>
      <c r="I71" s="141">
        <f t="shared" si="13"/>
        <v>91540.69</v>
      </c>
      <c r="J71" s="7"/>
      <c r="L71" s="1"/>
    </row>
    <row r="72" spans="1:12" s="66" customFormat="1" hidden="1" outlineLevel="1">
      <c r="A72" s="15">
        <v>930</v>
      </c>
      <c r="B72" s="46">
        <f>SUMIF('Gas North Download'!A:A,A72,'Gas North Download'!E:E)+121</f>
        <v>83444.070000000007</v>
      </c>
      <c r="C72" s="183">
        <f>SUMIF('Gas North Download'!A:A,A72,'Gas North Download'!B:B)+121</f>
        <v>80558.61</v>
      </c>
      <c r="D72" s="35">
        <f>SUMIF('Gas North Download'!A:A,A72,'Gas North Download'!D:D)</f>
        <v>1614.15</v>
      </c>
      <c r="E72" s="40">
        <f t="shared" si="10"/>
        <v>56622.23</v>
      </c>
      <c r="F72" s="141">
        <f t="shared" si="11"/>
        <v>58236.38</v>
      </c>
      <c r="G72" s="35">
        <f>SUMIF('Gas North Download'!A:A,A72,'Gas North Download'!C:C)</f>
        <v>1271.31</v>
      </c>
      <c r="H72" s="40">
        <f t="shared" si="12"/>
        <v>23936.38</v>
      </c>
      <c r="I72" s="141">
        <f t="shared" si="13"/>
        <v>25207.69</v>
      </c>
      <c r="J72" s="65"/>
      <c r="L72" s="1"/>
    </row>
    <row r="73" spans="1:12" hidden="1" outlineLevel="1">
      <c r="A73" s="15">
        <v>935</v>
      </c>
      <c r="B73" s="46">
        <f>SUMIF('Gas North Download'!A:A,A73,'Gas North Download'!E:E)</f>
        <v>361573.09</v>
      </c>
      <c r="C73" s="183">
        <f>SUMIF('Gas North Download'!A:A,A73,'Gas North Download'!B:B)</f>
        <v>328998.3</v>
      </c>
      <c r="D73" s="35">
        <f>SUMIF('Gas North Download'!A:A,A73,'Gas North Download'!D:D)</f>
        <v>18668.52</v>
      </c>
      <c r="E73" s="40">
        <f t="shared" si="10"/>
        <v>231243.04</v>
      </c>
      <c r="F73" s="141">
        <f t="shared" si="11"/>
        <v>249911.56</v>
      </c>
      <c r="G73" s="35">
        <f>SUMIF('Gas North Download'!A:A,A73,'Gas North Download'!C:C)</f>
        <v>13906.27</v>
      </c>
      <c r="H73" s="40">
        <f t="shared" si="12"/>
        <v>97755.26</v>
      </c>
      <c r="I73" s="141">
        <f t="shared" si="13"/>
        <v>111661.53</v>
      </c>
      <c r="J73" s="7"/>
      <c r="L73" s="1"/>
    </row>
    <row r="74" spans="1:12" collapsed="1">
      <c r="A74" s="14" t="s">
        <v>13</v>
      </c>
      <c r="B74" s="41">
        <f t="shared" ref="B74:I74" si="14">SUM(B65:B73)</f>
        <v>5390527.5</v>
      </c>
      <c r="C74" s="60">
        <f t="shared" si="14"/>
        <v>5089420.58</v>
      </c>
      <c r="D74" s="41">
        <f t="shared" si="14"/>
        <v>218359.45</v>
      </c>
      <c r="E74" s="41">
        <f t="shared" si="14"/>
        <v>3577201.04</v>
      </c>
      <c r="F74" s="142">
        <f t="shared" si="14"/>
        <v>3795560.49</v>
      </c>
      <c r="G74" s="41">
        <f t="shared" si="14"/>
        <v>82747.600000000006</v>
      </c>
      <c r="H74" s="41">
        <f t="shared" si="14"/>
        <v>1512219.54</v>
      </c>
      <c r="I74" s="142">
        <f t="shared" si="14"/>
        <v>1594967.14</v>
      </c>
      <c r="J74" s="7"/>
    </row>
    <row r="75" spans="1:12">
      <c r="B75" s="40"/>
      <c r="C75" s="184"/>
      <c r="D75" s="40"/>
      <c r="E75" s="40"/>
      <c r="F75" s="141"/>
      <c r="G75" s="40"/>
      <c r="H75" s="40"/>
      <c r="I75" s="141"/>
      <c r="J75" s="7"/>
    </row>
    <row r="76" spans="1:12" ht="13.5" thickBot="1">
      <c r="A76" s="14" t="s">
        <v>112</v>
      </c>
      <c r="B76" s="49">
        <f t="shared" ref="B76:I76" si="15">B13+B18+B42+B49+B55+B62+B74</f>
        <v>18803521.140000001</v>
      </c>
      <c r="C76" s="60">
        <f t="shared" si="15"/>
        <v>10696686.58</v>
      </c>
      <c r="D76" s="49">
        <f t="shared" si="15"/>
        <v>5690822.4199999999</v>
      </c>
      <c r="E76" s="41">
        <f t="shared" si="15"/>
        <v>7329933.9299999997</v>
      </c>
      <c r="F76" s="143">
        <f t="shared" si="15"/>
        <v>13020756.35</v>
      </c>
      <c r="G76" s="50">
        <f t="shared" si="15"/>
        <v>2416012.0699999998</v>
      </c>
      <c r="H76" s="41">
        <f t="shared" si="15"/>
        <v>3366752.74</v>
      </c>
      <c r="I76" s="143">
        <f t="shared" si="15"/>
        <v>5782764.8099999996</v>
      </c>
      <c r="J76" s="7"/>
    </row>
    <row r="77" spans="1:12">
      <c r="B77" s="85">
        <f>'Gas North Download'!E41</f>
        <v>18803521.07</v>
      </c>
      <c r="C77" s="85">
        <f>'Gas North Download'!B41</f>
        <v>10696686.58</v>
      </c>
      <c r="D77" s="64">
        <f>'Gas North Download'!D41</f>
        <v>5690822.4199999999</v>
      </c>
      <c r="G77" s="64">
        <f>'Gas North Download'!C41</f>
        <v>2416012.0699999998</v>
      </c>
      <c r="J77" s="7"/>
    </row>
    <row r="78" spans="1:12">
      <c r="C78" s="85">
        <f>C76-C77</f>
        <v>0</v>
      </c>
      <c r="D78" s="85">
        <f>D76-D77</f>
        <v>0</v>
      </c>
      <c r="J78" s="7"/>
    </row>
    <row r="79" spans="1:12" ht="13.5" thickBot="1">
      <c r="A79" s="80" t="s">
        <v>160</v>
      </c>
      <c r="B79" s="81"/>
      <c r="C79" s="81"/>
      <c r="D79" s="81"/>
      <c r="E79" s="81"/>
      <c r="F79" s="74" t="s">
        <v>115</v>
      </c>
      <c r="G79" s="73"/>
      <c r="J79" s="7"/>
    </row>
    <row r="80" spans="1:12">
      <c r="A80" s="82"/>
      <c r="B80" s="76" t="s">
        <v>15</v>
      </c>
      <c r="C80" s="76" t="s">
        <v>101</v>
      </c>
      <c r="D80" s="76" t="s">
        <v>102</v>
      </c>
      <c r="E80" s="76" t="s">
        <v>17</v>
      </c>
      <c r="J80" s="7"/>
    </row>
    <row r="81" spans="1:10">
      <c r="A81" s="66" t="s">
        <v>18</v>
      </c>
      <c r="B81" s="66">
        <v>2</v>
      </c>
      <c r="C81" s="83">
        <v>0.66164000000000001</v>
      </c>
      <c r="D81" s="83">
        <v>0.33835999999999999</v>
      </c>
      <c r="E81" s="63">
        <f t="shared" ref="E81:E86" si="16">C81+D81</f>
        <v>1</v>
      </c>
      <c r="J81" s="7"/>
    </row>
    <row r="82" spans="1:10">
      <c r="A82" s="66" t="s">
        <v>19</v>
      </c>
      <c r="B82" s="66">
        <v>3</v>
      </c>
      <c r="C82" s="83">
        <v>0.66283999999999998</v>
      </c>
      <c r="D82" s="83">
        <v>0.33716000000000002</v>
      </c>
      <c r="E82" s="63">
        <f t="shared" si="16"/>
        <v>1</v>
      </c>
      <c r="J82" s="7"/>
    </row>
    <row r="83" spans="1:10">
      <c r="A83" s="66" t="s">
        <v>107</v>
      </c>
      <c r="B83" s="66">
        <v>4</v>
      </c>
      <c r="C83" s="83">
        <v>0.70286999999999999</v>
      </c>
      <c r="D83" s="83">
        <v>0.29713000000000001</v>
      </c>
      <c r="E83" s="63">
        <f t="shared" si="16"/>
        <v>1</v>
      </c>
    </row>
    <row r="84" spans="1:10">
      <c r="A84" s="66" t="s">
        <v>108</v>
      </c>
      <c r="B84" s="66">
        <v>6</v>
      </c>
      <c r="C84" s="83">
        <v>0.68267999999999995</v>
      </c>
      <c r="D84" s="83">
        <v>0.31731999999999999</v>
      </c>
      <c r="E84" s="63">
        <f t="shared" si="16"/>
        <v>1</v>
      </c>
      <c r="J84" s="7"/>
    </row>
    <row r="85" spans="1:10">
      <c r="A85" s="66" t="s">
        <v>25</v>
      </c>
      <c r="B85" s="66">
        <v>10</v>
      </c>
      <c r="C85" s="83">
        <v>0.68308000000000002</v>
      </c>
      <c r="D85" s="83">
        <v>0.31691999999999998</v>
      </c>
      <c r="E85" s="63">
        <f t="shared" si="16"/>
        <v>1</v>
      </c>
      <c r="J85" s="7"/>
    </row>
    <row r="86" spans="1:10">
      <c r="A86" s="66" t="s">
        <v>109</v>
      </c>
      <c r="B86" s="66">
        <v>1</v>
      </c>
      <c r="C86" s="83">
        <v>0.70530999999999999</v>
      </c>
      <c r="D86" s="83">
        <v>0.29470000000000002</v>
      </c>
      <c r="E86" s="63">
        <f t="shared" si="16"/>
        <v>1.0000100000000001</v>
      </c>
    </row>
    <row r="87" spans="1:10" ht="14.25" customHeight="1">
      <c r="A87" s="66"/>
      <c r="B87" s="65"/>
      <c r="C87" s="29"/>
      <c r="D87" s="66"/>
      <c r="E87" s="63"/>
      <c r="F87" s="63"/>
      <c r="G87" s="39"/>
    </row>
    <row r="88" spans="1:10">
      <c r="B88" s="7"/>
      <c r="C88" s="29"/>
      <c r="E88" s="39"/>
      <c r="F88" s="39"/>
      <c r="G88" s="39"/>
    </row>
    <row r="89" spans="1:10">
      <c r="B89" s="7"/>
      <c r="C89" s="29"/>
      <c r="E89" s="39"/>
    </row>
    <row r="90" spans="1:10">
      <c r="B90" s="7"/>
      <c r="C90" s="29"/>
      <c r="E90" s="39"/>
    </row>
    <row r="91" spans="1:10">
      <c r="B91" s="7"/>
      <c r="C91" s="29"/>
      <c r="E91" s="39"/>
    </row>
    <row r="92" spans="1:10">
      <c r="B92" s="7"/>
      <c r="C92" s="29"/>
      <c r="E92" s="39"/>
      <c r="J92" s="7"/>
    </row>
    <row r="93" spans="1:10">
      <c r="B93" s="7"/>
      <c r="C93" s="29"/>
      <c r="E93" s="39"/>
      <c r="J93" s="7"/>
    </row>
    <row r="94" spans="1:10">
      <c r="B94" s="7"/>
      <c r="C94" s="29"/>
      <c r="E94" s="39"/>
      <c r="J94" s="7"/>
    </row>
    <row r="95" spans="1:10">
      <c r="B95" s="7"/>
      <c r="C95" s="29"/>
      <c r="E95" s="39"/>
      <c r="G95" s="64"/>
      <c r="J95" s="7"/>
    </row>
    <row r="96" spans="1:10">
      <c r="B96" s="7"/>
      <c r="C96" s="29"/>
      <c r="E96" s="39"/>
      <c r="G96" s="64"/>
      <c r="J96" s="7"/>
    </row>
    <row r="97" spans="2:10">
      <c r="B97" s="7"/>
      <c r="C97" s="29"/>
      <c r="E97" s="39"/>
      <c r="J97" s="7"/>
    </row>
    <row r="98" spans="2:10">
      <c r="B98" s="7"/>
      <c r="C98" s="29"/>
      <c r="E98" s="39"/>
      <c r="J98" s="7"/>
    </row>
    <row r="99" spans="2:10">
      <c r="J99" s="7"/>
    </row>
    <row r="100" spans="2:10">
      <c r="J100" s="7"/>
    </row>
    <row r="101" spans="2:10">
      <c r="J101" s="7"/>
    </row>
    <row r="102" spans="2:10">
      <c r="J102" s="7"/>
    </row>
    <row r="103" spans="2:10">
      <c r="J103" s="7"/>
    </row>
    <row r="104" spans="2:10">
      <c r="J104" s="7"/>
    </row>
    <row r="105" spans="2:10">
      <c r="J105" s="7"/>
    </row>
    <row r="106" spans="2:10">
      <c r="J106" s="7"/>
    </row>
    <row r="107" spans="2:10">
      <c r="J107" s="7"/>
    </row>
    <row r="108" spans="2:10">
      <c r="J108" s="7"/>
    </row>
    <row r="109" spans="2:10">
      <c r="J109" s="7"/>
    </row>
    <row r="110" spans="2:10">
      <c r="J110" s="7"/>
    </row>
    <row r="111" spans="2:10">
      <c r="J111" s="7"/>
    </row>
    <row r="112" spans="2:10">
      <c r="J112" s="7"/>
    </row>
    <row r="113" spans="10:10">
      <c r="J113" s="7"/>
    </row>
    <row r="114" spans="10:10">
      <c r="J114" s="7"/>
    </row>
    <row r="115" spans="10:10">
      <c r="J115" s="7"/>
    </row>
    <row r="116" spans="10:10">
      <c r="J116" s="7"/>
    </row>
  </sheetData>
  <phoneticPr fontId="0" type="noConversion"/>
  <pageMargins left="0.61" right="0.75" top="1" bottom="1" header="0.5" footer="0.5"/>
  <pageSetup scale="70" fitToHeight="0" orientation="landscape" r:id="rId1"/>
  <headerFooter alignWithMargins="0">
    <oddHeader>&amp;RAdjustment No. 3.02 Pro-Forma Non-Exec
Workpaper Ref. &amp;A</oddHeader>
    <oddFooter>&amp;L&amp;F&amp;RPrep by:  AMB
          Date:  &amp;D           Mgr. Review:__________</oddFooter>
  </headerFooter>
  <rowBreaks count="1" manualBreakCount="1">
    <brk id="4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</sheetPr>
  <dimension ref="A1:H46"/>
  <sheetViews>
    <sheetView zoomScaleNormal="100" workbookViewId="0">
      <selection activeCell="F23" sqref="F23"/>
    </sheetView>
  </sheetViews>
  <sheetFormatPr defaultColWidth="9.33203125" defaultRowHeight="15"/>
  <cols>
    <col min="1" max="1" width="10.5" style="172" customWidth="1"/>
    <col min="2" max="5" width="26" style="173" customWidth="1"/>
    <col min="6" max="6" width="10.6640625" style="153" customWidth="1"/>
    <col min="7" max="16384" width="9.33203125" style="153"/>
  </cols>
  <sheetData>
    <row r="1" spans="1:5">
      <c r="A1" s="153" t="s">
        <v>177</v>
      </c>
    </row>
    <row r="2" spans="1:5">
      <c r="A2" s="153"/>
    </row>
    <row r="3" spans="1:5" ht="15.75" thickBot="1">
      <c r="A3" s="156" t="s">
        <v>165</v>
      </c>
      <c r="B3" s="158"/>
      <c r="C3" s="158"/>
      <c r="D3" s="158"/>
      <c r="E3" s="158"/>
    </row>
    <row r="4" spans="1:5" s="162" customFormat="1" ht="30.75" thickBot="1">
      <c r="A4" s="159">
        <v>2016</v>
      </c>
      <c r="B4" s="209" t="s">
        <v>176</v>
      </c>
      <c r="C4" s="161" t="s">
        <v>102</v>
      </c>
      <c r="D4" s="160" t="s">
        <v>101</v>
      </c>
      <c r="E4" s="160" t="s">
        <v>0</v>
      </c>
    </row>
    <row r="5" spans="1:5">
      <c r="A5" s="152" t="s">
        <v>163</v>
      </c>
      <c r="B5" s="163"/>
      <c r="C5" s="163"/>
      <c r="D5" s="157"/>
      <c r="E5" s="157"/>
    </row>
    <row r="6" spans="1:5">
      <c r="A6" s="152">
        <v>813</v>
      </c>
      <c r="B6" s="164">
        <v>677436.86</v>
      </c>
      <c r="C6" s="164"/>
      <c r="D6" s="164"/>
      <c r="E6" s="151">
        <f>SUM(B6:D6)</f>
        <v>677436.86</v>
      </c>
    </row>
    <row r="7" spans="1:5">
      <c r="A7" s="152">
        <v>814</v>
      </c>
      <c r="B7" s="164">
        <v>8966.2000000000007</v>
      </c>
      <c r="C7" s="164"/>
      <c r="D7" s="164"/>
      <c r="E7" s="151">
        <f t="shared" ref="E7:E8" si="0">SUM(B7:D7)</f>
        <v>8966.2000000000007</v>
      </c>
    </row>
    <row r="8" spans="1:5">
      <c r="A8" s="152">
        <v>870</v>
      </c>
      <c r="B8" s="164">
        <v>634346.43000000005</v>
      </c>
      <c r="C8" s="164">
        <v>49398.44</v>
      </c>
      <c r="D8" s="164">
        <v>238582.29</v>
      </c>
      <c r="E8" s="151">
        <f t="shared" si="0"/>
        <v>922327.16</v>
      </c>
    </row>
    <row r="9" spans="1:5" ht="16.5" customHeight="1">
      <c r="A9" s="152">
        <v>874</v>
      </c>
      <c r="B9" s="164">
        <v>598079.65</v>
      </c>
      <c r="C9" s="164">
        <v>258042.5</v>
      </c>
      <c r="D9" s="164">
        <v>830496.3</v>
      </c>
      <c r="E9" s="151">
        <f t="shared" ref="E9:E40" si="1">SUM(B9:D9)</f>
        <v>1686618.45</v>
      </c>
    </row>
    <row r="10" spans="1:5">
      <c r="A10" s="152">
        <v>875</v>
      </c>
      <c r="B10" s="164">
        <v>0</v>
      </c>
      <c r="C10" s="164">
        <v>13781.78</v>
      </c>
      <c r="D10" s="164">
        <v>30912.84</v>
      </c>
      <c r="E10" s="151">
        <f t="shared" si="1"/>
        <v>44694.62</v>
      </c>
    </row>
    <row r="11" spans="1:5">
      <c r="A11" s="152">
        <v>876</v>
      </c>
      <c r="B11" s="164">
        <v>0</v>
      </c>
      <c r="C11" s="164">
        <v>1341.17</v>
      </c>
      <c r="D11" s="164">
        <v>937.16</v>
      </c>
      <c r="E11" s="151">
        <f t="shared" si="1"/>
        <v>2278.33</v>
      </c>
    </row>
    <row r="12" spans="1:5">
      <c r="A12" s="152">
        <v>877</v>
      </c>
      <c r="B12" s="164">
        <v>0</v>
      </c>
      <c r="C12" s="164">
        <v>21806.21</v>
      </c>
      <c r="D12" s="164">
        <v>34053.269999999997</v>
      </c>
      <c r="E12" s="151">
        <f t="shared" si="1"/>
        <v>55859.48</v>
      </c>
    </row>
    <row r="13" spans="1:5">
      <c r="A13" s="152">
        <v>878</v>
      </c>
      <c r="B13" s="164">
        <v>23062.46</v>
      </c>
      <c r="C13" s="164">
        <v>854.77</v>
      </c>
      <c r="D13" s="164">
        <v>16571.78</v>
      </c>
      <c r="E13" s="151">
        <f t="shared" si="1"/>
        <v>40489.01</v>
      </c>
    </row>
    <row r="14" spans="1:5">
      <c r="A14" s="152">
        <v>879</v>
      </c>
      <c r="B14" s="164">
        <v>82169.48</v>
      </c>
      <c r="C14" s="164">
        <v>492827.65</v>
      </c>
      <c r="D14" s="164">
        <v>674717.27</v>
      </c>
      <c r="E14" s="151">
        <f t="shared" si="1"/>
        <v>1249714.3999999999</v>
      </c>
    </row>
    <row r="15" spans="1:5">
      <c r="A15" s="152">
        <v>880</v>
      </c>
      <c r="B15" s="164">
        <v>327195.42</v>
      </c>
      <c r="C15" s="164">
        <v>247660.65</v>
      </c>
      <c r="D15" s="164">
        <v>654535.80000000005</v>
      </c>
      <c r="E15" s="151">
        <f t="shared" si="1"/>
        <v>1229391.8700000001</v>
      </c>
    </row>
    <row r="16" spans="1:5">
      <c r="A16" s="152">
        <v>881</v>
      </c>
      <c r="B16" s="164">
        <v>8609.2000000000007</v>
      </c>
      <c r="C16" s="164"/>
      <c r="D16" s="164"/>
      <c r="E16" s="151">
        <f t="shared" si="1"/>
        <v>8609.2000000000007</v>
      </c>
    </row>
    <row r="17" spans="1:5">
      <c r="A17" s="152">
        <v>885</v>
      </c>
      <c r="B17" s="164">
        <v>1140.47</v>
      </c>
      <c r="C17" s="164">
        <v>47239.61</v>
      </c>
      <c r="D17" s="164">
        <v>38135.67</v>
      </c>
      <c r="E17" s="151">
        <f t="shared" si="1"/>
        <v>86515.75</v>
      </c>
    </row>
    <row r="18" spans="1:5">
      <c r="A18" s="152">
        <v>887</v>
      </c>
      <c r="B18" s="164">
        <v>0</v>
      </c>
      <c r="C18" s="164">
        <v>165709.76000000001</v>
      </c>
      <c r="D18" s="164">
        <v>322070.19</v>
      </c>
      <c r="E18" s="151">
        <f t="shared" si="1"/>
        <v>487779.95</v>
      </c>
    </row>
    <row r="19" spans="1:5">
      <c r="A19" s="152">
        <v>889</v>
      </c>
      <c r="B19" s="164">
        <v>0</v>
      </c>
      <c r="C19" s="164">
        <v>30870.86</v>
      </c>
      <c r="D19" s="164">
        <v>67738.960000000006</v>
      </c>
      <c r="E19" s="151">
        <f t="shared" si="1"/>
        <v>98609.82</v>
      </c>
    </row>
    <row r="20" spans="1:5" ht="17.25" customHeight="1">
      <c r="A20" s="152">
        <v>890</v>
      </c>
      <c r="B20" s="164">
        <v>0</v>
      </c>
      <c r="C20" s="164">
        <v>9344.0499999999993</v>
      </c>
      <c r="D20" s="164">
        <v>39993.589999999997</v>
      </c>
      <c r="E20" s="151">
        <f t="shared" si="1"/>
        <v>49337.64</v>
      </c>
    </row>
    <row r="21" spans="1:5">
      <c r="A21" s="152">
        <v>891</v>
      </c>
      <c r="B21" s="164">
        <v>0</v>
      </c>
      <c r="C21" s="164">
        <v>14010.03</v>
      </c>
      <c r="D21" s="164">
        <v>18971.03</v>
      </c>
      <c r="E21" s="151">
        <f t="shared" si="1"/>
        <v>32981.06</v>
      </c>
    </row>
    <row r="22" spans="1:5">
      <c r="A22" s="152">
        <v>892</v>
      </c>
      <c r="B22" s="164">
        <v>1894.66</v>
      </c>
      <c r="C22" s="164">
        <v>447870.66</v>
      </c>
      <c r="D22" s="164">
        <v>604464.63</v>
      </c>
      <c r="E22" s="151">
        <f t="shared" si="1"/>
        <v>1054229.95</v>
      </c>
    </row>
    <row r="23" spans="1:5">
      <c r="A23" s="152">
        <v>893</v>
      </c>
      <c r="B23" s="164">
        <v>265941.40999999997</v>
      </c>
      <c r="C23" s="164">
        <v>233119.01</v>
      </c>
      <c r="D23" s="164">
        <v>494572.35</v>
      </c>
      <c r="E23" s="151">
        <f t="shared" si="1"/>
        <v>993632.77</v>
      </c>
    </row>
    <row r="24" spans="1:5">
      <c r="A24" s="152">
        <v>894</v>
      </c>
      <c r="B24" s="164">
        <v>84830.73</v>
      </c>
      <c r="C24" s="164">
        <v>396.67</v>
      </c>
      <c r="D24" s="164">
        <v>4627.01</v>
      </c>
      <c r="E24" s="151">
        <f t="shared" si="1"/>
        <v>89854.41</v>
      </c>
    </row>
    <row r="25" spans="1:5">
      <c r="A25" s="152">
        <v>901</v>
      </c>
      <c r="B25" s="164">
        <v>127292.07</v>
      </c>
      <c r="C25" s="164"/>
      <c r="D25" s="164"/>
      <c r="E25" s="151">
        <f t="shared" si="1"/>
        <v>127292.07</v>
      </c>
    </row>
    <row r="26" spans="1:5">
      <c r="A26" s="152">
        <v>902</v>
      </c>
      <c r="B26" s="164">
        <v>50336.29</v>
      </c>
      <c r="C26" s="164">
        <v>107501.97</v>
      </c>
      <c r="D26" s="164">
        <v>942114.9</v>
      </c>
      <c r="E26" s="151">
        <f t="shared" si="1"/>
        <v>1099953.1599999999</v>
      </c>
    </row>
    <row r="27" spans="1:5">
      <c r="A27" s="152">
        <v>903</v>
      </c>
      <c r="B27" s="164">
        <v>2409422.5499999998</v>
      </c>
      <c r="C27" s="164">
        <v>165778.32</v>
      </c>
      <c r="D27" s="164">
        <v>343226</v>
      </c>
      <c r="E27" s="151">
        <f t="shared" si="1"/>
        <v>2918426.87</v>
      </c>
    </row>
    <row r="28" spans="1:5">
      <c r="A28" s="152">
        <v>905</v>
      </c>
      <c r="B28" s="164">
        <v>72524.149999999994</v>
      </c>
      <c r="C28" s="164"/>
      <c r="D28" s="164"/>
      <c r="E28" s="151">
        <f t="shared" si="1"/>
        <v>72524.149999999994</v>
      </c>
    </row>
    <row r="29" spans="1:5">
      <c r="A29" s="152">
        <v>908</v>
      </c>
      <c r="B29" s="164">
        <v>65764.69</v>
      </c>
      <c r="C29" s="164">
        <v>25710.36</v>
      </c>
      <c r="D29" s="164">
        <v>115741.93</v>
      </c>
      <c r="E29" s="151">
        <f t="shared" si="1"/>
        <v>207216.98</v>
      </c>
    </row>
    <row r="30" spans="1:5">
      <c r="A30" s="152">
        <v>909</v>
      </c>
      <c r="B30" s="164">
        <v>134166.94</v>
      </c>
      <c r="C30" s="164"/>
      <c r="D30" s="164"/>
      <c r="E30" s="151">
        <f t="shared" si="1"/>
        <v>134166.94</v>
      </c>
    </row>
    <row r="31" spans="1:5">
      <c r="A31" s="152">
        <v>910</v>
      </c>
      <c r="B31" s="164">
        <v>34086.54</v>
      </c>
      <c r="C31" s="164"/>
      <c r="D31" s="164"/>
      <c r="E31" s="151">
        <f t="shared" si="1"/>
        <v>34086.54</v>
      </c>
    </row>
    <row r="32" spans="1:5">
      <c r="A32" s="152">
        <v>920</v>
      </c>
      <c r="B32" s="164">
        <v>4360943.3600000003</v>
      </c>
      <c r="C32" s="164">
        <v>22542.400000000001</v>
      </c>
      <c r="D32" s="164">
        <v>46425.79</v>
      </c>
      <c r="E32" s="151">
        <f t="shared" si="1"/>
        <v>4429911.55</v>
      </c>
    </row>
    <row r="33" spans="1:8">
      <c r="A33" s="152">
        <v>921</v>
      </c>
      <c r="B33" s="164">
        <v>58790.92</v>
      </c>
      <c r="C33" s="164"/>
      <c r="D33" s="164">
        <v>3162.19</v>
      </c>
      <c r="E33" s="151">
        <f t="shared" si="1"/>
        <v>61953.11</v>
      </c>
    </row>
    <row r="34" spans="1:8">
      <c r="A34" s="152">
        <v>923</v>
      </c>
      <c r="B34" s="164">
        <v>4353.3500000000004</v>
      </c>
      <c r="C34" s="164"/>
      <c r="D34" s="164"/>
      <c r="E34" s="151">
        <f t="shared" si="1"/>
        <v>4353.3500000000004</v>
      </c>
    </row>
    <row r="35" spans="1:8">
      <c r="A35" s="152">
        <v>925</v>
      </c>
      <c r="B35" s="164">
        <f>36527.58+69.56</f>
        <v>36597.14</v>
      </c>
      <c r="C35" s="164"/>
      <c r="D35" s="164"/>
      <c r="E35" s="151">
        <f t="shared" si="1"/>
        <v>36597.14</v>
      </c>
    </row>
    <row r="36" spans="1:8">
      <c r="A36" s="152">
        <v>926</v>
      </c>
      <c r="B36" s="164">
        <f>61707.31+930.04</f>
        <v>62637.35</v>
      </c>
      <c r="C36" s="164"/>
      <c r="D36" s="164">
        <v>417.36</v>
      </c>
      <c r="E36" s="151">
        <f t="shared" si="1"/>
        <v>63054.71</v>
      </c>
      <c r="F36" s="166"/>
      <c r="G36" s="167"/>
      <c r="H36" s="154"/>
    </row>
    <row r="37" spans="1:8">
      <c r="A37" s="152">
        <v>928</v>
      </c>
      <c r="B37" s="164">
        <v>156541.13</v>
      </c>
      <c r="C37" s="164">
        <v>45027.62</v>
      </c>
      <c r="D37" s="164">
        <v>148071.44</v>
      </c>
      <c r="E37" s="151">
        <f t="shared" si="1"/>
        <v>349640.19</v>
      </c>
    </row>
    <row r="38" spans="1:8">
      <c r="A38" s="152">
        <v>930</v>
      </c>
      <c r="B38" s="164">
        <v>80437.61</v>
      </c>
      <c r="C38" s="164">
        <v>1271.31</v>
      </c>
      <c r="D38" s="164">
        <v>1614.15</v>
      </c>
      <c r="E38" s="151">
        <f t="shared" si="1"/>
        <v>83323.070000000007</v>
      </c>
    </row>
    <row r="39" spans="1:8">
      <c r="A39" s="152">
        <v>931</v>
      </c>
      <c r="B39" s="164">
        <v>121.22</v>
      </c>
      <c r="C39" s="164"/>
      <c r="D39" s="164"/>
      <c r="E39" s="151">
        <f t="shared" si="1"/>
        <v>121.22</v>
      </c>
    </row>
    <row r="40" spans="1:8" s="155" customFormat="1" ht="32.25" customHeight="1" thickBot="1">
      <c r="A40" s="152">
        <v>935</v>
      </c>
      <c r="B40" s="164">
        <v>328998.3</v>
      </c>
      <c r="C40" s="164">
        <v>13906.27</v>
      </c>
      <c r="D40" s="164">
        <v>18668.52</v>
      </c>
      <c r="E40" s="151">
        <f t="shared" si="1"/>
        <v>361573.09</v>
      </c>
    </row>
    <row r="41" spans="1:8" ht="16.5" thickTop="1" thickBot="1">
      <c r="A41" s="170" t="s">
        <v>116</v>
      </c>
      <c r="B41" s="171">
        <f>SUM(B6:B40)</f>
        <v>10696686.58</v>
      </c>
      <c r="C41" s="171">
        <f>SUM(C6:C40)</f>
        <v>2416012.0699999998</v>
      </c>
      <c r="D41" s="171">
        <f>SUM(D6:D40)</f>
        <v>5690822.4199999999</v>
      </c>
      <c r="E41" s="171">
        <f>SUM(E6:E40)</f>
        <v>18803521.07</v>
      </c>
    </row>
    <row r="42" spans="1:8" ht="15.75" thickTop="1"/>
    <row r="43" spans="1:8">
      <c r="A43" s="173"/>
    </row>
    <row r="46" spans="1:8">
      <c r="E46" s="173">
        <v>1000</v>
      </c>
    </row>
  </sheetData>
  <phoneticPr fontId="0" type="noConversion"/>
  <pageMargins left="0.61" right="0.75" top="1" bottom="1" header="0.5" footer="0.5"/>
  <pageSetup scale="60" orientation="landscape" r:id="rId1"/>
  <headerFooter alignWithMargins="0">
    <oddHeader>&amp;RAdjustment No. 3.02 Pro-Forma Non-Exec
Workpaper Ref. &amp;A</oddHeader>
    <oddFooter>&amp;L&amp;F&amp;RPrep by:   AMB
          Date:  &amp;D           Mgr. Review:__________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="130" zoomScaleNormal="130" workbookViewId="0">
      <selection activeCell="A27" sqref="A27"/>
    </sheetView>
  </sheetViews>
  <sheetFormatPr defaultColWidth="13.33203125" defaultRowHeight="12.75"/>
  <cols>
    <col min="1" max="1" width="13.33203125" style="105" customWidth="1"/>
    <col min="2" max="2" width="17.83203125" style="105" customWidth="1"/>
    <col min="3" max="3" width="23.1640625" style="105" customWidth="1"/>
    <col min="4" max="16384" width="13.33203125" style="105"/>
  </cols>
  <sheetData>
    <row r="1" spans="1:7">
      <c r="A1" s="8" t="s">
        <v>23</v>
      </c>
    </row>
    <row r="2" spans="1:7">
      <c r="A2" s="105" t="s">
        <v>22</v>
      </c>
    </row>
    <row r="3" spans="1:7">
      <c r="A3" s="56"/>
    </row>
    <row r="4" spans="1:7">
      <c r="A4" s="56"/>
    </row>
    <row r="6" spans="1:7">
      <c r="A6" s="23" t="s">
        <v>27</v>
      </c>
      <c r="D6" s="115"/>
      <c r="E6" s="115"/>
    </row>
    <row r="7" spans="1:7">
      <c r="A7" s="8"/>
    </row>
    <row r="8" spans="1:7">
      <c r="A8" s="132" t="s">
        <v>178</v>
      </c>
      <c r="D8" s="61">
        <v>0.03</v>
      </c>
    </row>
    <row r="9" spans="1:7">
      <c r="A9" s="132" t="s">
        <v>179</v>
      </c>
      <c r="B9" s="132"/>
      <c r="C9" s="132"/>
    </row>
    <row r="10" spans="1:7">
      <c r="A10" s="132"/>
      <c r="B10" s="132"/>
      <c r="C10" s="62" t="str">
        <f xml:space="preserve"> "87/365 ="</f>
        <v>87/365 =</v>
      </c>
      <c r="D10" s="108">
        <f>ROUND(87/365,3)</f>
        <v>0.23799999999999999</v>
      </c>
      <c r="G10" s="189"/>
    </row>
    <row r="11" spans="1:7" ht="13.5" thickBot="1">
      <c r="A11" s="210" t="s">
        <v>205</v>
      </c>
      <c r="B11" s="132"/>
      <c r="C11" s="132"/>
      <c r="D11" s="118">
        <f>ROUND(D8*D10,5)</f>
        <v>7.1399999999999996E-3</v>
      </c>
      <c r="F11" s="105" t="s">
        <v>184</v>
      </c>
    </row>
    <row r="12" spans="1:7" ht="13.5" thickTop="1">
      <c r="D12" s="107"/>
    </row>
    <row r="13" spans="1:7" ht="13.5" thickBot="1">
      <c r="A13" s="8" t="s">
        <v>174</v>
      </c>
      <c r="B13" s="116"/>
      <c r="D13" s="180">
        <v>0.03</v>
      </c>
      <c r="F13" s="188" t="s">
        <v>186</v>
      </c>
    </row>
    <row r="14" spans="1:7" ht="14.25" customHeight="1" thickTop="1">
      <c r="D14" s="72"/>
    </row>
    <row r="15" spans="1:7">
      <c r="A15" s="8" t="s">
        <v>182</v>
      </c>
      <c r="D15" s="61">
        <v>0.03</v>
      </c>
      <c r="F15" s="105" t="s">
        <v>187</v>
      </c>
    </row>
    <row r="16" spans="1:7">
      <c r="A16" s="105" t="s">
        <v>185</v>
      </c>
      <c r="C16" s="217"/>
      <c r="D16" s="214">
        <v>1</v>
      </c>
    </row>
    <row r="17" spans="1:7" ht="13.5" thickBot="1">
      <c r="D17" s="118">
        <f>D15*D16</f>
        <v>0.03</v>
      </c>
      <c r="E17" s="8"/>
      <c r="G17" s="212"/>
    </row>
    <row r="18" spans="1:7" ht="13.5" thickTop="1">
      <c r="D18" s="106"/>
      <c r="E18" s="8"/>
      <c r="G18" s="213"/>
    </row>
    <row r="19" spans="1:7">
      <c r="A19" s="121"/>
      <c r="B19" s="122"/>
      <c r="C19" s="121"/>
      <c r="D19" s="120"/>
      <c r="E19" s="117"/>
    </row>
    <row r="20" spans="1:7">
      <c r="E20" s="107"/>
    </row>
    <row r="21" spans="1:7">
      <c r="A21" s="23" t="s">
        <v>158</v>
      </c>
      <c r="E21" s="107"/>
    </row>
    <row r="22" spans="1:7">
      <c r="A22" s="8"/>
      <c r="E22" s="107"/>
    </row>
    <row r="23" spans="1:7">
      <c r="A23" s="132" t="s">
        <v>180</v>
      </c>
      <c r="D23" s="61">
        <v>0.03</v>
      </c>
      <c r="E23" s="53"/>
    </row>
    <row r="24" spans="1:7" ht="14.25" customHeight="1">
      <c r="A24" s="132" t="s">
        <v>181</v>
      </c>
      <c r="B24" s="132"/>
      <c r="C24" s="132"/>
      <c r="E24" s="53"/>
    </row>
    <row r="25" spans="1:7">
      <c r="A25" s="132"/>
      <c r="B25" s="132"/>
      <c r="C25" s="62" t="str">
        <f>"59/365="</f>
        <v>59/365=</v>
      </c>
      <c r="D25" s="108">
        <f>ROUND(59/365,3)</f>
        <v>0.16200000000000001</v>
      </c>
      <c r="E25" s="26"/>
    </row>
    <row r="26" spans="1:7" ht="14.25" thickBot="1">
      <c r="A26" s="8" t="s">
        <v>205</v>
      </c>
      <c r="D26" s="118">
        <f>ROUND(D25*D23,6)</f>
        <v>4.8599999999999997E-3</v>
      </c>
      <c r="E26" s="27"/>
      <c r="F26" s="105" t="s">
        <v>188</v>
      </c>
    </row>
    <row r="27" spans="1:7" ht="13.5" thickTop="1">
      <c r="D27" s="107"/>
      <c r="E27" s="26"/>
    </row>
    <row r="28" spans="1:7" ht="13.5" thickBot="1">
      <c r="A28" s="8" t="s">
        <v>174</v>
      </c>
      <c r="D28" s="180">
        <v>0.03</v>
      </c>
      <c r="F28" s="188" t="s">
        <v>189</v>
      </c>
    </row>
    <row r="29" spans="1:7" ht="13.5" thickTop="1">
      <c r="D29" s="45"/>
    </row>
    <row r="30" spans="1:7">
      <c r="A30" s="8" t="s">
        <v>182</v>
      </c>
      <c r="D30" s="125">
        <v>0.03</v>
      </c>
    </row>
    <row r="31" spans="1:7">
      <c r="C31" s="62" t="str">
        <f>"365/365="</f>
        <v>365/365=</v>
      </c>
      <c r="D31" s="214">
        <v>1</v>
      </c>
    </row>
    <row r="32" spans="1:7" ht="13.5" thickBot="1">
      <c r="A32" s="105" t="s">
        <v>190</v>
      </c>
      <c r="D32" s="118">
        <f>D30*D31</f>
        <v>0.03</v>
      </c>
      <c r="E32" s="8"/>
      <c r="F32" s="105" t="s">
        <v>204</v>
      </c>
    </row>
    <row r="33" spans="1:7" ht="13.5" thickTop="1">
      <c r="B33" s="99"/>
      <c r="C33" s="99"/>
      <c r="D33" s="119"/>
      <c r="E33" s="117"/>
    </row>
    <row r="34" spans="1:7">
      <c r="B34" s="124"/>
      <c r="C34" s="123"/>
      <c r="D34" s="216"/>
      <c r="E34" s="117"/>
      <c r="G34" s="212"/>
    </row>
    <row r="35" spans="1:7">
      <c r="G35" s="213"/>
    </row>
    <row r="36" spans="1:7" ht="13.7" customHeight="1"/>
    <row r="37" spans="1:7">
      <c r="G37" s="215"/>
    </row>
    <row r="38" spans="1:7">
      <c r="A38" s="8"/>
      <c r="B38" s="98"/>
    </row>
  </sheetData>
  <pageMargins left="0.61" right="0.75" top="1" bottom="1" header="0.5" footer="0.5"/>
  <pageSetup scale="90" orientation="portrait" r:id="rId1"/>
  <headerFooter alignWithMargins="0">
    <oddHeader>&amp;RAdjustment No. 3.02 Pro-Forma Non-Exec
Workpaper Ref. &amp;A</oddHeader>
    <oddFooter>&amp;L&amp;F&amp;RPrep by:  AMB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B59A76-0A5A-4B61-825A-AA48E6EC0945}"/>
</file>

<file path=customXml/itemProps2.xml><?xml version="1.0" encoding="utf-8"?>
<ds:datastoreItem xmlns:ds="http://schemas.openxmlformats.org/officeDocument/2006/customXml" ds:itemID="{46703DCF-990A-4015-9D9F-605F96A3EAEF}"/>
</file>

<file path=customXml/itemProps3.xml><?xml version="1.0" encoding="utf-8"?>
<ds:datastoreItem xmlns:ds="http://schemas.openxmlformats.org/officeDocument/2006/customXml" ds:itemID="{9CC96E2B-DAF6-4F9C-B031-B18FDF40CFB4}"/>
</file>

<file path=customXml/itemProps4.xml><?xml version="1.0" encoding="utf-8"?>
<ds:datastoreItem xmlns:ds="http://schemas.openxmlformats.org/officeDocument/2006/customXml" ds:itemID="{347CD89C-45D4-43F4-A1CD-4720D9ECA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Washington Electric PF</vt:lpstr>
      <vt:lpstr>Washington Gas PF</vt:lpstr>
      <vt:lpstr>AN Electric</vt:lpstr>
      <vt:lpstr>Total Electric Download</vt:lpstr>
      <vt:lpstr>AN Gas</vt:lpstr>
      <vt:lpstr>Gas North Download</vt:lpstr>
      <vt:lpstr>Pro-Forma Increases</vt:lpstr>
      <vt:lpstr>'AN Electric'!Print_Area</vt:lpstr>
      <vt:lpstr>'AN Gas'!Print_Area</vt:lpstr>
      <vt:lpstr>'Gas North Download'!Print_Area</vt:lpstr>
      <vt:lpstr>'Pro-Forma Increases'!Print_Area</vt:lpstr>
      <vt:lpstr>'Total Electric Download'!Print_Area</vt:lpstr>
      <vt:lpstr>'Washington Electric PF'!Print_Area</vt:lpstr>
      <vt:lpstr>'Washington Gas PF'!Print_Area</vt:lpstr>
      <vt:lpstr>'AN Electric'!Print_Titles</vt:lpstr>
      <vt:lpstr>'AN Gas'!Print_Titles</vt:lpstr>
      <vt:lpstr>'Total Electric Download'!Print_Titles</vt:lpstr>
      <vt:lpstr>'Washington Electric PF'!Print_Titles</vt:lpstr>
      <vt:lpstr>'Washington Gas PF'!Print_Titles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 - 2008 Labor&amp;Benefit.xls</dc:title>
  <dc:creator>tm</dc:creator>
  <cp:lastModifiedBy>Kimball, Paul</cp:lastModifiedBy>
  <cp:lastPrinted>2018-03-21T20:35:44Z</cp:lastPrinted>
  <dcterms:created xsi:type="dcterms:W3CDTF">1998-07-15T16:25:24Z</dcterms:created>
  <dcterms:modified xsi:type="dcterms:W3CDTF">2018-03-21T20:35:47Z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