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2835" windowWidth="15450" windowHeight="11640" activeTab="3"/>
  </bookViews>
  <sheets>
    <sheet name="Summary" sheetId="1" r:id="rId1"/>
    <sheet name="Other inputs &amp; calcs" sheetId="2" r:id="rId2"/>
    <sheet name="Normal Revs by RS" sheetId="3" r:id="rId3"/>
    <sheet name="Customers" sheetId="4" r:id="rId4"/>
    <sheet name="Customer Charge" sheetId="5" r:id="rId5"/>
    <sheet name="MDDV Dist &amp; Storage" sheetId="6" r:id="rId6"/>
  </sheets>
  <externalReferences>
    <externalReference r:id="rId9"/>
  </externalReferences>
  <definedNames>
    <definedName name="calcsheet1">#N/A</definedName>
    <definedName name="calcsheet2">#N/A</definedName>
    <definedName name="calcsheet3">#N/A</definedName>
    <definedName name="NORMALIZE">#REF!</definedName>
    <definedName name="page1">#N/A</definedName>
    <definedName name="page2">#N/A</definedName>
    <definedName name="page3">#N/A</definedName>
    <definedName name="pg_2c">#N/A</definedName>
    <definedName name="pg_2d">#N/A</definedName>
    <definedName name="pg_2e">#N/A</definedName>
    <definedName name="pg_2f">#N/A</definedName>
    <definedName name="pg_2h">#N/A</definedName>
    <definedName name="pg_2i">#N/A</definedName>
    <definedName name="pg_2j">#N/A</definedName>
    <definedName name="pg_2k">#N/A</definedName>
    <definedName name="pg_2l">#N/A</definedName>
    <definedName name="pg_2m">#N/A</definedName>
    <definedName name="pg_2n">#N/A</definedName>
    <definedName name="pg_2o">#N/A</definedName>
    <definedName name="_xlnm.Print_Area" localSheetId="4">'Customer Charge'!$A$1:$U$90</definedName>
    <definedName name="_xlnm.Print_Area" localSheetId="3">'Customers'!$A$1:$Q$91</definedName>
    <definedName name="_xlnm.Print_Area" localSheetId="5">'MDDV Dist &amp; Storage'!$A$1:$S$95</definedName>
    <definedName name="_xlnm.Print_Area" localSheetId="2">'Normal Revs by RS'!$A$1:$Q$84</definedName>
    <definedName name="_xlnm.Print_Area" localSheetId="0">'Summary'!$A$1:$J$54</definedName>
    <definedName name="print55">#REF!</definedName>
    <definedName name="ror_1">#N/A</definedName>
    <definedName name="ror_2">#N/A</definedName>
  </definedNames>
  <calcPr fullCalcOnLoad="1"/>
</workbook>
</file>

<file path=xl/sharedStrings.xml><?xml version="1.0" encoding="utf-8"?>
<sst xmlns="http://schemas.openxmlformats.org/spreadsheetml/2006/main" count="665" uniqueCount="186">
  <si>
    <t>Net</t>
  </si>
  <si>
    <t>Test Period</t>
  </si>
  <si>
    <t>Normalized</t>
  </si>
  <si>
    <t>Normalizing</t>
  </si>
  <si>
    <t>Sales in</t>
  </si>
  <si>
    <t>Class</t>
  </si>
  <si>
    <t>Rates</t>
  </si>
  <si>
    <t>Effect</t>
  </si>
  <si>
    <t>Therms</t>
  </si>
  <si>
    <t>Revenue</t>
  </si>
  <si>
    <t>Price</t>
  </si>
  <si>
    <t>Revenues</t>
  </si>
  <si>
    <t>(a)</t>
  </si>
  <si>
    <t>(b)</t>
  </si>
  <si>
    <t>(c)</t>
  </si>
  <si>
    <t>(f)</t>
  </si>
  <si>
    <t>(g)</t>
  </si>
  <si>
    <t>Residential</t>
  </si>
  <si>
    <t>Commercial</t>
  </si>
  <si>
    <t>Industrial Firm</t>
  </si>
  <si>
    <t>Interruptible</t>
  </si>
  <si>
    <t>Total Sales</t>
  </si>
  <si>
    <t>Unaccounted For Gas</t>
  </si>
  <si>
    <t>Total Sales Sendout</t>
  </si>
  <si>
    <t>Other Charges</t>
  </si>
  <si>
    <t>Total Deliveries</t>
  </si>
  <si>
    <t>Cost of Gas</t>
  </si>
  <si>
    <t>Actual</t>
  </si>
  <si>
    <t>Costs</t>
  </si>
  <si>
    <t>Total Demand</t>
  </si>
  <si>
    <t>Tracked Wash Firm Demand</t>
  </si>
  <si>
    <t>Total Cost of Gas</t>
  </si>
  <si>
    <t>Sales</t>
  </si>
  <si>
    <t>Spec Contracts</t>
  </si>
  <si>
    <t>Transportation</t>
  </si>
  <si>
    <t>Total Transportation</t>
  </si>
  <si>
    <t>Firm Transportation</t>
  </si>
  <si>
    <t>Interuptible Transportation</t>
  </si>
  <si>
    <t>Interruptible Sales Demand</t>
  </si>
  <si>
    <t>WACOG Incurred</t>
  </si>
  <si>
    <t>WACOG Deferred</t>
  </si>
  <si>
    <t>Demand Incurred</t>
  </si>
  <si>
    <t>Demand Deferred</t>
  </si>
  <si>
    <t>Minimum</t>
  </si>
  <si>
    <t>Therms in</t>
  </si>
  <si>
    <t>Monthly</t>
  </si>
  <si>
    <t>Total</t>
  </si>
  <si>
    <t>Block</t>
  </si>
  <si>
    <t>Charge</t>
  </si>
  <si>
    <t>Schedule</t>
  </si>
  <si>
    <t>1R</t>
  </si>
  <si>
    <t>N/A</t>
  </si>
  <si>
    <t>1C</t>
  </si>
  <si>
    <t>2R</t>
  </si>
  <si>
    <t>3 CFS</t>
  </si>
  <si>
    <t>3 IFS</t>
  </si>
  <si>
    <t>Intentionally blank</t>
  </si>
  <si>
    <t>1st mantle</t>
  </si>
  <si>
    <t>add'l mtls</t>
  </si>
  <si>
    <t>21C Firm Sales</t>
  </si>
  <si>
    <t>Block 1</t>
  </si>
  <si>
    <t>Block 2</t>
  </si>
  <si>
    <t>Block 3</t>
  </si>
  <si>
    <t>Block 4</t>
  </si>
  <si>
    <t>all additional</t>
  </si>
  <si>
    <t>21I Firm Sales</t>
  </si>
  <si>
    <t>41 Firm Sales</t>
  </si>
  <si>
    <t>41 Firm Trans</t>
  </si>
  <si>
    <t>41 Interr Sales</t>
  </si>
  <si>
    <t>42C Firm Sales</t>
  </si>
  <si>
    <t>Block 5</t>
  </si>
  <si>
    <t>Block 6</t>
  </si>
  <si>
    <t>42I Firm Sales</t>
  </si>
  <si>
    <t>42 Firm Trans</t>
  </si>
  <si>
    <t>42 Interr Sales</t>
  </si>
  <si>
    <t>42 Inter Trans</t>
  </si>
  <si>
    <t>43 Firm Trans</t>
  </si>
  <si>
    <t>43 Interr Trans</t>
  </si>
  <si>
    <t>Totals</t>
  </si>
  <si>
    <t>NW Natural</t>
  </si>
  <si>
    <t>Customers</t>
  </si>
  <si>
    <t>Volumes</t>
  </si>
  <si>
    <t>Vol Charge</t>
  </si>
  <si>
    <t>Worksheet a</t>
  </si>
  <si>
    <t>Test Period - Twelve Months Ended September 30, 2007</t>
  </si>
  <si>
    <t>Weather Normalized Gas Sales and Purchases Adjustment</t>
  </si>
  <si>
    <t>May</t>
  </si>
  <si>
    <t>Extracted  from Margin Model</t>
  </si>
  <si>
    <t>Therms in 000s</t>
  </si>
  <si>
    <t>Unaccounted for Gas</t>
  </si>
  <si>
    <t>Sendout Volumes Allocation Factor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</si>
  <si>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</si>
  <si>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</si>
  <si>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</si>
  <si>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</si>
  <si>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</si>
  <si>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</si>
  <si>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</si>
  <si>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</si>
  <si>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</si>
  <si>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</si>
  <si>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</si>
  <si>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Washington Share</t>
  </si>
  <si>
    <t>Unbilled amounts</t>
  </si>
  <si>
    <t>Demand $</t>
  </si>
  <si>
    <t>WACOG Amortizations</t>
  </si>
  <si>
    <t>Demand Amortizations</t>
  </si>
  <si>
    <t>(TME 200709 allocations cog.xls)</t>
  </si>
  <si>
    <t>Sep 2007 Actual</t>
  </si>
  <si>
    <t>2007 Normal</t>
  </si>
  <si>
    <t>Rates &amp; Regulatory Affairs</t>
  </si>
  <si>
    <t>Normal R</t>
  </si>
  <si>
    <t>Normal C</t>
  </si>
  <si>
    <t>Washington's Allocation of Total Gas Costs:</t>
  </si>
  <si>
    <t>Other Inputs &amp; Calculations</t>
  </si>
  <si>
    <t>Permanent</t>
  </si>
  <si>
    <t>Normalized Volumes</t>
  </si>
  <si>
    <t>Trans Firm</t>
  </si>
  <si>
    <t>Trans Int</t>
  </si>
  <si>
    <t>Avg</t>
  </si>
  <si>
    <t>Summary of Washington Rate Schedules</t>
  </si>
  <si>
    <t>Rate/Therm</t>
  </si>
  <si>
    <t>Rate</t>
  </si>
  <si>
    <t>with Rev Sens</t>
  </si>
  <si>
    <t>without Rev Sens</t>
  </si>
  <si>
    <t>Washington WACOG</t>
  </si>
  <si>
    <t>Sales3</t>
  </si>
  <si>
    <t>Sales21</t>
  </si>
  <si>
    <t>Sales42F</t>
  </si>
  <si>
    <t>Sales42I</t>
  </si>
  <si>
    <t>Trans42F</t>
  </si>
  <si>
    <t>Trans42I</t>
  </si>
  <si>
    <t>Industrial Detail</t>
  </si>
  <si>
    <t>Test Year Normalized Customer Charge by Rate Schedule</t>
  </si>
  <si>
    <t>Test Year Customers by Rate Schedule</t>
  </si>
  <si>
    <t>TME Sep</t>
  </si>
  <si>
    <t>PGA Assumed LUFG %</t>
  </si>
  <si>
    <t>Commercial 21</t>
  </si>
  <si>
    <t>Commercial Excl 21</t>
  </si>
  <si>
    <t>Industrial Firm 21</t>
  </si>
  <si>
    <t>Industrial Firm Excl 21</t>
  </si>
  <si>
    <t>12 MO ENDED</t>
  </si>
  <si>
    <t>Total Commodity Charges</t>
  </si>
  <si>
    <t>Demand Incurred &amp; Deferred</t>
  </si>
  <si>
    <t>Commodity Incurred &amp; Deferred</t>
  </si>
  <si>
    <t>Commodity Amortizations</t>
  </si>
  <si>
    <t>c</t>
  </si>
  <si>
    <t>d</t>
  </si>
  <si>
    <t>e</t>
  </si>
  <si>
    <t>f</t>
  </si>
  <si>
    <t>Cust Charge +</t>
  </si>
  <si>
    <t>(d)</t>
  </si>
  <si>
    <t>(e)</t>
  </si>
  <si>
    <t>(h)</t>
  </si>
  <si>
    <t>(i)</t>
  </si>
  <si>
    <t>(j)</t>
  </si>
  <si>
    <t>(k)</t>
  </si>
  <si>
    <t>(l)</t>
  </si>
  <si>
    <t>(m)</t>
  </si>
  <si>
    <t>WASHINGTON</t>
  </si>
  <si>
    <t>(n)</t>
  </si>
  <si>
    <t>(o)</t>
  </si>
  <si>
    <t>(p)</t>
  </si>
  <si>
    <t>NORMAL VOLUMES:</t>
  </si>
  <si>
    <t>Commodity</t>
  </si>
  <si>
    <t>Collection</t>
  </si>
  <si>
    <t>Demand</t>
  </si>
  <si>
    <t>Firm</t>
  </si>
  <si>
    <t>Derivation of Normalized Revenues</t>
  </si>
  <si>
    <t>Excludes Special Contracts</t>
  </si>
  <si>
    <t>Customer</t>
  </si>
  <si>
    <t>Volumetric</t>
  </si>
  <si>
    <t>Effective</t>
  </si>
  <si>
    <t>therms</t>
  </si>
  <si>
    <t>dollars</t>
  </si>
  <si>
    <t>Special Contracts</t>
  </si>
  <si>
    <t>Test Year Normalized MDDV-Based Distribution Capacity &amp; Storage Charge by Rate Schedule</t>
  </si>
  <si>
    <t>TOTAL</t>
  </si>
  <si>
    <t>Class Totals</t>
  </si>
  <si>
    <t>Special Contracts Firm</t>
  </si>
  <si>
    <t>Special Contracts Interruptible</t>
  </si>
  <si>
    <t>GRAND TOTAL</t>
  </si>
  <si>
    <t>MDDV Dist &amp; Stor</t>
  </si>
  <si>
    <t>Charges</t>
  </si>
  <si>
    <t>MDDV Charge +</t>
  </si>
  <si>
    <t>Applies to RS42 Firm and Interruptible Sales and Firm Transportation and RS43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</si>
</sst>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&quot;$&quot;#,##0.00000_);\(&quot;$&quot;#,##0.00000\)"/>
    <numFmt numFmtId="167" formatCode="dd\-mmm\-yy_)"/>
    <numFmt numFmtId="168" formatCode="_(&quot;$&quot;* #,##0.00000_);_(&quot;$&quot;* \(#,##0.00000\);_(&quot;$&quot;* &quot;-&quot;??_);_(@_)"/>
    <numFmt numFmtId="169" formatCode="&quot;$&quot;#,##0.000000_);\(&quot;$&quot;#,##0.000000\)"/>
    <numFmt numFmtId="170" formatCode="&quot;$&quot;#,##0"/>
    <numFmt numFmtId="171" formatCode="&quot;$&quot;#,##0.00000"/>
    <numFmt numFmtId="172" formatCode="&quot;$&quot;#,##0.00000_);[Red]\(&quot;$&quot;#,##0.00000\)"/>
    <numFmt numFmtId="173" formatCode="#,##0.0_);\(#,##0.0\)"/>
    <numFmt numFmtId="174" formatCode="#,##0.00000_);\(#,##0.00000\)"/>
    <numFmt numFmtId="175" formatCode="0.00_);\(0.00\)"/>
    <numFmt numFmtId="176" formatCode="0.000%"/>
    <numFmt numFmtId="177" formatCode="0.0000%"/>
    <numFmt numFmtId="178" formatCode="0.0%"/>
    <numFmt numFmtId="179" formatCode="&quot;$&quot;#,##0.0_);\(&quot;$&quot;#,##0.0\)"/>
    <numFmt numFmtId="180" formatCode="#,##0.0"/>
    <numFmt numFmtId="181" formatCode="_(* #,##0.00000_);_(* \(#,##0.00000\);_(* &quot;-&quot;??_);_(@_)"/>
    <numFmt numFmtId="182" formatCode="0.00000%"/>
    <numFmt numFmtId="183" formatCode="0.000000%"/>
    <numFmt numFmtId="184" formatCode="&quot;$&quot;#,##0.000_);\(&quot;$&quot;#,##0.000\)"/>
    <numFmt numFmtId="185" formatCode="&quot;$&quot;#,##0.0000_);\(&quot;$&quot;#,##0.0000\)"/>
    <numFmt numFmtId="186" formatCode="_(* #,##0.000_);_(* \(#,##0.000\);_(* &quot;-&quot;???_);_(@_)"/>
    <numFmt numFmtId="187" formatCode="#,##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_);\(#,##0.000\)"/>
    <numFmt numFmtId="193" formatCode="#,##0.0000_);\(#,##0.0000\)"/>
    <numFmt numFmtId="194" formatCode="#,##0.000000_);\(#,##0.000000\)"/>
    <numFmt numFmtId="195" formatCode="_(* #,##0.0_);_(* \(#,##0.0\);_(* &quot;-&quot;?_);_(@_)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??_);_(@_)"/>
    <numFmt numFmtId="199" formatCode="0.00000000"/>
    <numFmt numFmtId="200" formatCode="0.0000000"/>
    <numFmt numFmtId="201" formatCode="0.000000"/>
    <numFmt numFmtId="202" formatCode="0.00000"/>
    <numFmt numFmtId="203" formatCode="#,##0.000000000_);\(#,##0.000000000\)"/>
    <numFmt numFmtId="204" formatCode="&quot;$&quot;#,##0.0_);[Red]\(&quot;$&quot;#,##0.0\)"/>
    <numFmt numFmtId="205" formatCode="&quot;$&quot;#,##0.000_);[Red]\(&quot;$&quot;#,##0.000\)"/>
    <numFmt numFmtId="206" formatCode="&quot;$&quot;#,##0.0000_);[Red]\(&quot;$&quot;#,##0.0000\)"/>
    <numFmt numFmtId="207" formatCode="#,##0.00000000_);\(#,##0.00000000\)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</numFmts>
  <fonts count="53">
    <font>
      <sz val="10"/>
      <name val="Arial"/>
      <family val="0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imes New Roman"/>
      <family val="0"/>
    </font>
    <font>
      <sz val="10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0"/>
      <color indexed="12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name val="Tahoma"/>
      <family val="2"/>
    </font>
    <font>
      <b/>
      <u val="single"/>
      <sz val="10"/>
      <name val="Tahom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5" fillId="0" borderId="0" xfId="61" applyFont="1" applyBorder="1">
      <alignment/>
      <protection/>
    </xf>
    <xf numFmtId="0" fontId="6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0" fontId="5" fillId="0" borderId="0" xfId="61" applyFont="1" applyBorder="1" applyAlignment="1">
      <alignment horizontal="center"/>
      <protection/>
    </xf>
    <xf numFmtId="0" fontId="7" fillId="0" borderId="0" xfId="61" applyFont="1" applyBorder="1" applyAlignment="1">
      <alignment horizontal="center"/>
      <protection/>
    </xf>
    <xf numFmtId="173" fontId="5" fillId="0" borderId="0" xfId="61" applyNumberFormat="1" applyFont="1" applyBorder="1">
      <alignment/>
      <protection/>
    </xf>
    <xf numFmtId="0" fontId="5" fillId="0" borderId="0" xfId="61" applyFont="1">
      <alignment/>
      <protection/>
    </xf>
    <xf numFmtId="37" fontId="5" fillId="0" borderId="0" xfId="61" applyNumberFormat="1" applyFont="1">
      <alignment/>
      <protection/>
    </xf>
    <xf numFmtId="0" fontId="8" fillId="0" borderId="0" xfId="61" applyFont="1" applyBorder="1" applyAlignment="1">
      <alignment horizontal="centerContinuous"/>
      <protection/>
    </xf>
    <xf numFmtId="0" fontId="6" fillId="0" borderId="0" xfId="61" applyFont="1">
      <alignment/>
      <protection/>
    </xf>
    <xf numFmtId="0" fontId="5" fillId="0" borderId="0" xfId="61" applyFont="1" applyAlignment="1">
      <alignment horizontal="center"/>
      <protection/>
    </xf>
    <xf numFmtId="14" fontId="5" fillId="0" borderId="0" xfId="61" applyNumberFormat="1" applyFont="1" applyAlignment="1">
      <alignment horizontal="center"/>
      <protection/>
    </xf>
    <xf numFmtId="0" fontId="5" fillId="0" borderId="10" xfId="61" applyFont="1" applyBorder="1" applyAlignment="1">
      <alignment horizontal="center"/>
      <protection/>
    </xf>
    <xf numFmtId="0" fontId="5" fillId="0" borderId="11" xfId="61" applyFont="1" applyFill="1" applyBorder="1" applyAlignment="1">
      <alignment horizontal="center"/>
      <protection/>
    </xf>
    <xf numFmtId="0" fontId="9" fillId="0" borderId="11" xfId="61" applyFont="1" applyFill="1" applyBorder="1" applyAlignment="1">
      <alignment horizontal="center"/>
      <protection/>
    </xf>
    <xf numFmtId="0" fontId="7" fillId="0" borderId="12" xfId="61" applyFont="1" applyBorder="1" applyAlignment="1">
      <alignment horizontal="center"/>
      <protection/>
    </xf>
    <xf numFmtId="37" fontId="7" fillId="0" borderId="12" xfId="61" applyNumberFormat="1" applyFont="1" applyBorder="1" applyAlignment="1">
      <alignment horizontal="center"/>
      <protection/>
    </xf>
    <xf numFmtId="0" fontId="5" fillId="0" borderId="13" xfId="61" applyFont="1" applyFill="1" applyBorder="1" applyAlignment="1">
      <alignment horizontal="center"/>
      <protection/>
    </xf>
    <xf numFmtId="0" fontId="9" fillId="0" borderId="13" xfId="61" applyFont="1" applyFill="1" applyBorder="1" applyAlignment="1">
      <alignment horizontal="center"/>
      <protection/>
    </xf>
    <xf numFmtId="174" fontId="5" fillId="0" borderId="12" xfId="61" applyNumberFormat="1" applyFont="1" applyBorder="1" applyAlignment="1">
      <alignment horizontal="center"/>
      <protection/>
    </xf>
    <xf numFmtId="0" fontId="11" fillId="0" borderId="13" xfId="61" applyFont="1" applyFill="1" applyBorder="1" applyAlignment="1">
      <alignment horizontal="center"/>
      <protection/>
    </xf>
    <xf numFmtId="43" fontId="5" fillId="0" borderId="0" xfId="42" applyFont="1" applyBorder="1" applyAlignment="1">
      <alignment/>
    </xf>
    <xf numFmtId="0" fontId="5" fillId="0" borderId="0" xfId="61" applyFont="1" applyFill="1" applyBorder="1" applyAlignment="1">
      <alignment horizontal="center"/>
      <protection/>
    </xf>
    <xf numFmtId="175" fontId="9" fillId="0" borderId="0" xfId="61" applyNumberFormat="1" applyFont="1" applyFill="1" applyBorder="1" applyAlignment="1">
      <alignment horizontal="center"/>
      <protection/>
    </xf>
    <xf numFmtId="37" fontId="5" fillId="0" borderId="0" xfId="61" applyNumberFormat="1" applyFont="1" applyBorder="1">
      <alignment/>
      <protection/>
    </xf>
    <xf numFmtId="37" fontId="5" fillId="0" borderId="0" xfId="61" applyNumberFormat="1" applyFont="1" applyBorder="1" applyAlignment="1">
      <alignment horizontal="center"/>
      <protection/>
    </xf>
    <xf numFmtId="39" fontId="5" fillId="0" borderId="0" xfId="61" applyNumberFormat="1" applyFont="1" applyBorder="1">
      <alignment/>
      <protection/>
    </xf>
    <xf numFmtId="174" fontId="5" fillId="0" borderId="0" xfId="61" applyNumberFormat="1" applyFont="1" applyBorder="1">
      <alignment/>
      <protection/>
    </xf>
    <xf numFmtId="0" fontId="5" fillId="0" borderId="12" xfId="61" applyFont="1" applyFill="1" applyBorder="1" applyAlignment="1">
      <alignment horizontal="center"/>
      <protection/>
    </xf>
    <xf numFmtId="175" fontId="12" fillId="0" borderId="12" xfId="61" applyNumberFormat="1" applyFont="1" applyFill="1" applyBorder="1" applyAlignment="1">
      <alignment horizontal="center"/>
      <protection/>
    </xf>
    <xf numFmtId="0" fontId="9" fillId="0" borderId="12" xfId="61" applyFont="1" applyFill="1" applyBorder="1" applyAlignment="1">
      <alignment horizontal="center"/>
      <protection/>
    </xf>
    <xf numFmtId="174" fontId="5" fillId="0" borderId="0" xfId="61" applyNumberFormat="1" applyFont="1" applyBorder="1" applyAlignment="1">
      <alignment/>
      <protection/>
    </xf>
    <xf numFmtId="174" fontId="5" fillId="0" borderId="0" xfId="61" applyNumberFormat="1" applyFont="1" applyFill="1" applyBorder="1" applyAlignment="1">
      <alignment/>
      <protection/>
    </xf>
    <xf numFmtId="174" fontId="5" fillId="0" borderId="13" xfId="61" applyNumberFormat="1" applyFont="1" applyFill="1" applyBorder="1" applyAlignment="1">
      <alignment horizontal="center"/>
      <protection/>
    </xf>
    <xf numFmtId="0" fontId="7" fillId="0" borderId="0" xfId="61" applyFont="1">
      <alignment/>
      <protection/>
    </xf>
    <xf numFmtId="3" fontId="7" fillId="0" borderId="0" xfId="62" applyNumberFormat="1" applyFont="1">
      <alignment vertical="top"/>
      <protection/>
    </xf>
    <xf numFmtId="0" fontId="5" fillId="0" borderId="0" xfId="62" applyFont="1">
      <alignment vertical="top"/>
      <protection/>
    </xf>
    <xf numFmtId="37" fontId="5" fillId="0" borderId="0" xfId="62" applyNumberFormat="1" applyFont="1" applyProtection="1">
      <alignment vertical="top"/>
      <protection/>
    </xf>
    <xf numFmtId="5" fontId="5" fillId="0" borderId="0" xfId="62" applyNumberFormat="1" applyFont="1" applyProtection="1">
      <alignment vertical="top"/>
      <protection/>
    </xf>
    <xf numFmtId="165" fontId="5" fillId="0" borderId="0" xfId="44" applyNumberFormat="1" applyFont="1" applyAlignment="1" applyProtection="1">
      <alignment/>
      <protection/>
    </xf>
    <xf numFmtId="3" fontId="7" fillId="0" borderId="0" xfId="62" applyNumberFormat="1" applyFont="1" applyAlignment="1" quotePrefix="1">
      <alignment horizontal="left" vertical="top"/>
      <protection/>
    </xf>
    <xf numFmtId="3" fontId="13" fillId="0" borderId="0" xfId="62" applyNumberFormat="1" applyFont="1" applyAlignment="1" quotePrefix="1">
      <alignment horizontal="left" vertical="top"/>
      <protection/>
    </xf>
    <xf numFmtId="164" fontId="7" fillId="0" borderId="0" xfId="62" applyNumberFormat="1" applyFont="1" applyProtection="1">
      <alignment vertical="top"/>
      <protection/>
    </xf>
    <xf numFmtId="166" fontId="5" fillId="0" borderId="0" xfId="62" applyNumberFormat="1" applyFont="1" applyProtection="1">
      <alignment vertical="top"/>
      <protection/>
    </xf>
    <xf numFmtId="167" fontId="7" fillId="0" borderId="0" xfId="62" applyNumberFormat="1" applyFont="1" applyProtection="1">
      <alignment vertical="top"/>
      <protection/>
    </xf>
    <xf numFmtId="3" fontId="5" fillId="0" borderId="0" xfId="62" applyNumberFormat="1" applyFont="1">
      <alignment vertical="top"/>
      <protection/>
    </xf>
    <xf numFmtId="3" fontId="5" fillId="0" borderId="0" xfId="62" applyNumberFormat="1" applyFont="1">
      <alignment vertical="top"/>
      <protection/>
    </xf>
    <xf numFmtId="164" fontId="7" fillId="0" borderId="0" xfId="62" applyNumberFormat="1" applyFont="1" applyAlignment="1" applyProtection="1">
      <alignment horizontal="center"/>
      <protection/>
    </xf>
    <xf numFmtId="0" fontId="5" fillId="0" borderId="0" xfId="62" applyFont="1" applyAlignment="1">
      <alignment horizontal="center"/>
      <protection/>
    </xf>
    <xf numFmtId="4" fontId="5" fillId="0" borderId="0" xfId="44" applyFont="1" applyAlignment="1">
      <alignment horizontal="center"/>
    </xf>
    <xf numFmtId="166" fontId="5" fillId="0" borderId="0" xfId="62" applyNumberFormat="1" applyFont="1" applyAlignment="1" applyProtection="1">
      <alignment horizontal="center"/>
      <protection/>
    </xf>
    <xf numFmtId="3" fontId="5" fillId="0" borderId="0" xfId="62" applyNumberFormat="1" applyFont="1" applyBorder="1">
      <alignment vertical="top"/>
      <protection/>
    </xf>
    <xf numFmtId="10" fontId="5" fillId="0" borderId="0" xfId="66" applyNumberFormat="1" applyFont="1" applyAlignment="1">
      <alignment/>
    </xf>
    <xf numFmtId="4" fontId="7" fillId="0" borderId="0" xfId="44" applyFont="1" applyAlignment="1" applyProtection="1">
      <alignment horizontal="center"/>
      <protection/>
    </xf>
    <xf numFmtId="166" fontId="7" fillId="0" borderId="0" xfId="62" applyNumberFormat="1" applyFont="1" applyAlignment="1" applyProtection="1">
      <alignment horizontal="center"/>
      <protection/>
    </xf>
    <xf numFmtId="181" fontId="7" fillId="0" borderId="0" xfId="44" applyNumberFormat="1" applyFont="1" applyAlignment="1" applyProtection="1">
      <alignment horizontal="center"/>
      <protection/>
    </xf>
    <xf numFmtId="0" fontId="14" fillId="0" borderId="0" xfId="62" applyFont="1">
      <alignment vertical="top"/>
      <protection/>
    </xf>
    <xf numFmtId="164" fontId="5" fillId="0" borderId="14" xfId="62" applyNumberFormat="1" applyFont="1" applyBorder="1" applyProtection="1">
      <alignment vertical="top"/>
      <protection/>
    </xf>
    <xf numFmtId="164" fontId="7" fillId="0" borderId="14" xfId="62" applyNumberFormat="1" applyFont="1" applyBorder="1" applyAlignment="1" applyProtection="1">
      <alignment horizontal="center"/>
      <protection/>
    </xf>
    <xf numFmtId="0" fontId="7" fillId="0" borderId="0" xfId="62" applyFont="1">
      <alignment vertical="top"/>
      <protection/>
    </xf>
    <xf numFmtId="0" fontId="7" fillId="0" borderId="0" xfId="62" applyFont="1" applyAlignment="1">
      <alignment horizontal="center"/>
      <protection/>
    </xf>
    <xf numFmtId="3" fontId="7" fillId="0" borderId="0" xfId="62" applyNumberFormat="1" applyFont="1" applyBorder="1">
      <alignment vertical="top"/>
      <protection/>
    </xf>
    <xf numFmtId="37" fontId="10" fillId="0" borderId="0" xfId="62" applyNumberFormat="1" applyFont="1" applyProtection="1">
      <alignment vertical="top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6" fontId="5" fillId="0" borderId="0" xfId="0" applyNumberFormat="1" applyFont="1" applyBorder="1" applyAlignment="1">
      <alignment/>
    </xf>
    <xf numFmtId="6" fontId="5" fillId="0" borderId="0" xfId="0" applyNumberFormat="1" applyFont="1" applyAlignment="1">
      <alignment/>
    </xf>
    <xf numFmtId="164" fontId="7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6" fontId="5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5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>
      <alignment/>
    </xf>
    <xf numFmtId="38" fontId="5" fillId="0" borderId="0" xfId="0" applyNumberFormat="1" applyFont="1" applyAlignment="1">
      <alignment/>
    </xf>
    <xf numFmtId="164" fontId="7" fillId="0" borderId="15" xfId="0" applyNumberFormat="1" applyFont="1" applyBorder="1" applyAlignment="1" applyProtection="1">
      <alignment/>
      <protection/>
    </xf>
    <xf numFmtId="164" fontId="5" fillId="0" borderId="15" xfId="0" applyNumberFormat="1" applyFont="1" applyBorder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5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68" fontId="5" fillId="0" borderId="0" xfId="46" applyNumberFormat="1" applyFont="1" applyAlignment="1">
      <alignment/>
    </xf>
    <xf numFmtId="171" fontId="5" fillId="0" borderId="0" xfId="0" applyNumberFormat="1" applyFont="1" applyAlignment="1">
      <alignment/>
    </xf>
    <xf numFmtId="37" fontId="5" fillId="0" borderId="12" xfId="0" applyNumberFormat="1" applyFont="1" applyBorder="1" applyAlignment="1" applyProtection="1">
      <alignment/>
      <protection/>
    </xf>
    <xf numFmtId="166" fontId="5" fillId="0" borderId="12" xfId="0" applyNumberFormat="1" applyFont="1" applyBorder="1" applyAlignment="1" applyProtection="1">
      <alignment/>
      <protection/>
    </xf>
    <xf numFmtId="6" fontId="5" fillId="0" borderId="12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 applyProtection="1">
      <alignment/>
      <protection/>
    </xf>
    <xf numFmtId="170" fontId="5" fillId="0" borderId="0" xfId="0" applyNumberFormat="1" applyFont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/>
      <protection/>
    </xf>
    <xf numFmtId="6" fontId="5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37" fontId="5" fillId="0" borderId="14" xfId="0" applyNumberFormat="1" applyFont="1" applyBorder="1" applyAlignment="1" applyProtection="1">
      <alignment/>
      <protection/>
    </xf>
    <xf numFmtId="170" fontId="5" fillId="0" borderId="14" xfId="0" applyNumberFormat="1" applyFont="1" applyBorder="1" applyAlignment="1" applyProtection="1">
      <alignment/>
      <protection/>
    </xf>
    <xf numFmtId="38" fontId="5" fillId="0" borderId="14" xfId="0" applyNumberFormat="1" applyFont="1" applyBorder="1" applyAlignment="1" applyProtection="1">
      <alignment/>
      <protection/>
    </xf>
    <xf numFmtId="166" fontId="5" fillId="0" borderId="12" xfId="0" applyNumberFormat="1" applyFont="1" applyBorder="1" applyAlignment="1">
      <alignment/>
    </xf>
    <xf numFmtId="6" fontId="5" fillId="0" borderId="14" xfId="0" applyNumberFormat="1" applyFont="1" applyBorder="1" applyAlignment="1" applyProtection="1">
      <alignment/>
      <protection/>
    </xf>
    <xf numFmtId="5" fontId="5" fillId="0" borderId="0" xfId="0" applyNumberFormat="1" applyFont="1" applyBorder="1" applyAlignment="1" applyProtection="1">
      <alignment/>
      <protection/>
    </xf>
    <xf numFmtId="164" fontId="7" fillId="0" borderId="0" xfId="0" applyNumberFormat="1" applyFont="1" applyAlignment="1" applyProtection="1">
      <alignment horizontal="center"/>
      <protection/>
    </xf>
    <xf numFmtId="5" fontId="7" fillId="0" borderId="0" xfId="0" applyNumberFormat="1" applyFont="1" applyAlignment="1" applyProtection="1">
      <alignment horizontal="center"/>
      <protection/>
    </xf>
    <xf numFmtId="164" fontId="7" fillId="0" borderId="14" xfId="0" applyNumberFormat="1" applyFont="1" applyBorder="1" applyAlignment="1" applyProtection="1">
      <alignment horizontal="center"/>
      <protection/>
    </xf>
    <xf numFmtId="5" fontId="7" fillId="0" borderId="14" xfId="0" applyNumberFormat="1" applyFont="1" applyBorder="1" applyAlignment="1" applyProtection="1">
      <alignment horizontal="center"/>
      <protection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3" fontId="5" fillId="0" borderId="12" xfId="0" applyNumberFormat="1" applyFont="1" applyBorder="1" applyAlignment="1">
      <alignment/>
    </xf>
    <xf numFmtId="5" fontId="5" fillId="0" borderId="12" xfId="0" applyNumberFormat="1" applyFont="1" applyBorder="1" applyAlignment="1" applyProtection="1">
      <alignment/>
      <protection/>
    </xf>
    <xf numFmtId="5" fontId="10" fillId="0" borderId="0" xfId="62" applyNumberFormat="1" applyFont="1" applyProtection="1">
      <alignment vertical="top"/>
      <protection/>
    </xf>
    <xf numFmtId="164" fontId="7" fillId="0" borderId="10" xfId="62" applyNumberFormat="1" applyFont="1" applyBorder="1" applyProtection="1">
      <alignment vertical="top"/>
      <protection/>
    </xf>
    <xf numFmtId="167" fontId="7" fillId="0" borderId="10" xfId="62" applyNumberFormat="1" applyFont="1" applyBorder="1" applyProtection="1">
      <alignment vertical="top"/>
      <protection/>
    </xf>
    <xf numFmtId="0" fontId="5" fillId="0" borderId="10" xfId="62" applyFont="1" applyBorder="1">
      <alignment vertical="top"/>
      <protection/>
    </xf>
    <xf numFmtId="166" fontId="5" fillId="0" borderId="10" xfId="62" applyNumberFormat="1" applyFont="1" applyBorder="1" applyProtection="1">
      <alignment vertical="top"/>
      <protection/>
    </xf>
    <xf numFmtId="164" fontId="15" fillId="0" borderId="10" xfId="0" applyNumberFormat="1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169" fontId="5" fillId="0" borderId="10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>
      <alignment/>
    </xf>
    <xf numFmtId="164" fontId="7" fillId="0" borderId="10" xfId="0" applyNumberFormat="1" applyFont="1" applyBorder="1" applyAlignment="1" applyProtection="1">
      <alignment horizontal="left"/>
      <protection/>
    </xf>
    <xf numFmtId="170" fontId="10" fillId="0" borderId="0" xfId="0" applyNumberFormat="1" applyFont="1" applyAlignment="1" applyProtection="1">
      <alignment/>
      <protection/>
    </xf>
    <xf numFmtId="170" fontId="10" fillId="0" borderId="12" xfId="0" applyNumberFormat="1" applyFont="1" applyBorder="1" applyAlignment="1" applyProtection="1">
      <alignment/>
      <protection/>
    </xf>
    <xf numFmtId="37" fontId="10" fillId="0" borderId="12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166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left"/>
    </xf>
    <xf numFmtId="0" fontId="17" fillId="0" borderId="0" xfId="0" applyFont="1" applyAlignment="1">
      <alignment/>
    </xf>
    <xf numFmtId="164" fontId="17" fillId="0" borderId="0" xfId="0" applyNumberFormat="1" applyFont="1" applyAlignment="1" applyProtection="1">
      <alignment horizontal="left"/>
      <protection/>
    </xf>
    <xf numFmtId="164" fontId="5" fillId="0" borderId="12" xfId="0" applyNumberFormat="1" applyFont="1" applyBorder="1" applyAlignment="1" applyProtection="1">
      <alignment/>
      <protection/>
    </xf>
    <xf numFmtId="164" fontId="7" fillId="0" borderId="0" xfId="0" applyNumberFormat="1" applyFont="1" applyBorder="1" applyAlignment="1" applyProtection="1">
      <alignment/>
      <protection/>
    </xf>
    <xf numFmtId="173" fontId="5" fillId="0" borderId="0" xfId="0" applyNumberFormat="1" applyFont="1" applyAlignment="1">
      <alignment/>
    </xf>
    <xf numFmtId="173" fontId="10" fillId="0" borderId="0" xfId="0" applyNumberFormat="1" applyFont="1" applyAlignment="1">
      <alignment/>
    </xf>
    <xf numFmtId="173" fontId="5" fillId="0" borderId="12" xfId="0" applyNumberFormat="1" applyFont="1" applyBorder="1" applyAlignment="1">
      <alignment/>
    </xf>
    <xf numFmtId="173" fontId="10" fillId="0" borderId="12" xfId="0" applyNumberFormat="1" applyFont="1" applyBorder="1" applyAlignment="1">
      <alignment/>
    </xf>
    <xf numFmtId="0" fontId="16" fillId="0" borderId="0" xfId="0" applyFont="1" applyAlignment="1">
      <alignment horizontal="center"/>
    </xf>
    <xf numFmtId="10" fontId="10" fillId="0" borderId="0" xfId="65" applyNumberFormat="1" applyFont="1" applyAlignment="1">
      <alignment/>
    </xf>
    <xf numFmtId="37" fontId="5" fillId="0" borderId="16" xfId="0" applyNumberFormat="1" applyFont="1" applyBorder="1" applyAlignment="1">
      <alignment/>
    </xf>
    <xf numFmtId="172" fontId="10" fillId="0" borderId="0" xfId="0" applyNumberFormat="1" applyFont="1" applyAlignment="1">
      <alignment/>
    </xf>
    <xf numFmtId="38" fontId="5" fillId="0" borderId="12" xfId="0" applyNumberFormat="1" applyFont="1" applyBorder="1" applyAlignment="1">
      <alignment/>
    </xf>
    <xf numFmtId="38" fontId="5" fillId="0" borderId="0" xfId="0" applyNumberFormat="1" applyFont="1" applyAlignment="1">
      <alignment/>
    </xf>
    <xf numFmtId="0" fontId="5" fillId="0" borderId="0" xfId="0" applyFont="1" applyAlignment="1">
      <alignment/>
    </xf>
    <xf numFmtId="5" fontId="5" fillId="0" borderId="0" xfId="0" applyNumberFormat="1" applyFont="1" applyAlignment="1">
      <alignment/>
    </xf>
    <xf numFmtId="5" fontId="5" fillId="0" borderId="12" xfId="0" applyNumberFormat="1" applyFont="1" applyBorder="1" applyAlignment="1">
      <alignment/>
    </xf>
    <xf numFmtId="5" fontId="5" fillId="0" borderId="17" xfId="0" applyNumberFormat="1" applyFont="1" applyBorder="1" applyAlignment="1">
      <alignment/>
    </xf>
    <xf numFmtId="5" fontId="10" fillId="0" borderId="0" xfId="0" applyNumberFormat="1" applyFont="1" applyAlignment="1">
      <alignment/>
    </xf>
    <xf numFmtId="5" fontId="10" fillId="0" borderId="12" xfId="0" applyNumberFormat="1" applyFont="1" applyBorder="1" applyAlignment="1">
      <alignment/>
    </xf>
    <xf numFmtId="0" fontId="8" fillId="0" borderId="0" xfId="0" applyFont="1" applyBorder="1" applyAlignment="1">
      <alignment/>
    </xf>
    <xf numFmtId="173" fontId="5" fillId="0" borderId="0" xfId="61" applyNumberFormat="1" applyFont="1" applyFill="1" applyBorder="1">
      <alignment/>
      <protection/>
    </xf>
    <xf numFmtId="0" fontId="16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61" applyFont="1" applyBorder="1">
      <alignment/>
      <protection/>
    </xf>
    <xf numFmtId="174" fontId="7" fillId="0" borderId="0" xfId="61" applyNumberFormat="1" applyFont="1" applyBorder="1">
      <alignment/>
      <protection/>
    </xf>
    <xf numFmtId="173" fontId="5" fillId="0" borderId="13" xfId="0" applyNumberFormat="1" applyFont="1" applyBorder="1" applyAlignment="1">
      <alignment/>
    </xf>
    <xf numFmtId="38" fontId="5" fillId="0" borderId="0" xfId="0" applyNumberFormat="1" applyFont="1" applyBorder="1" applyAlignment="1">
      <alignment/>
    </xf>
    <xf numFmtId="37" fontId="5" fillId="0" borderId="0" xfId="42" applyNumberFormat="1" applyFont="1" applyAlignment="1">
      <alignment/>
    </xf>
    <xf numFmtId="37" fontId="5" fillId="0" borderId="0" xfId="42" applyNumberFormat="1" applyFont="1" applyBorder="1" applyAlignment="1">
      <alignment/>
    </xf>
    <xf numFmtId="173" fontId="5" fillId="0" borderId="0" xfId="42" applyNumberFormat="1" applyFont="1" applyAlignment="1">
      <alignment/>
    </xf>
    <xf numFmtId="173" fontId="5" fillId="0" borderId="0" xfId="42" applyNumberFormat="1" applyFont="1" applyBorder="1" applyAlignment="1">
      <alignment/>
    </xf>
    <xf numFmtId="179" fontId="5" fillId="0" borderId="0" xfId="61" applyNumberFormat="1" applyFont="1" applyBorder="1">
      <alignment/>
      <protection/>
    </xf>
    <xf numFmtId="166" fontId="5" fillId="0" borderId="0" xfId="61" applyNumberFormat="1" applyFont="1" applyFill="1" applyBorder="1" applyAlignment="1">
      <alignment/>
      <protection/>
    </xf>
    <xf numFmtId="166" fontId="5" fillId="0" borderId="13" xfId="61" applyNumberFormat="1" applyFont="1" applyFill="1" applyBorder="1" applyAlignment="1">
      <alignment/>
      <protection/>
    </xf>
    <xf numFmtId="166" fontId="5" fillId="0" borderId="12" xfId="61" applyNumberFormat="1" applyFont="1" applyFill="1" applyBorder="1" applyAlignment="1">
      <alignment/>
      <protection/>
    </xf>
    <xf numFmtId="181" fontId="5" fillId="0" borderId="0" xfId="42" applyNumberFormat="1" applyFont="1" applyBorder="1" applyAlignment="1">
      <alignment/>
    </xf>
    <xf numFmtId="164" fontId="5" fillId="0" borderId="0" xfId="0" applyNumberFormat="1" applyFont="1" applyAlignment="1" applyProtection="1">
      <alignment horizontal="left"/>
      <protection/>
    </xf>
    <xf numFmtId="164" fontId="16" fillId="0" borderId="0" xfId="0" applyNumberFormat="1" applyFont="1" applyAlignment="1" applyProtection="1">
      <alignment horizontal="left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11" fillId="0" borderId="0" xfId="62" applyFont="1" applyAlignment="1">
      <alignment horizontal="center" vertical="top"/>
      <protection/>
    </xf>
    <xf numFmtId="164" fontId="7" fillId="0" borderId="12" xfId="0" applyNumberFormat="1" applyFont="1" applyBorder="1" applyAlignment="1" applyProtection="1">
      <alignment horizontal="center"/>
      <protection/>
    </xf>
    <xf numFmtId="37" fontId="10" fillId="0" borderId="0" xfId="61" applyNumberFormat="1" applyFont="1" applyBorder="1">
      <alignment/>
      <protection/>
    </xf>
    <xf numFmtId="0" fontId="5" fillId="0" borderId="12" xfId="61" applyFont="1" applyBorder="1" applyAlignment="1">
      <alignment horizontal="center"/>
      <protection/>
    </xf>
    <xf numFmtId="0" fontId="5" fillId="0" borderId="0" xfId="61" applyFont="1" applyBorder="1" applyAlignment="1">
      <alignment horizontal="right"/>
      <protection/>
    </xf>
    <xf numFmtId="172" fontId="5" fillId="0" borderId="0" xfId="0" applyNumberFormat="1" applyFont="1" applyAlignment="1" applyProtection="1">
      <alignment/>
      <protection/>
    </xf>
    <xf numFmtId="176" fontId="10" fillId="0" borderId="0" xfId="65" applyNumberFormat="1" applyFont="1" applyAlignment="1">
      <alignment/>
    </xf>
    <xf numFmtId="174" fontId="5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37" fontId="5" fillId="0" borderId="0" xfId="62" applyNumberFormat="1" applyFont="1" applyBorder="1" applyProtection="1">
      <alignment vertical="top"/>
      <protection/>
    </xf>
    <xf numFmtId="5" fontId="5" fillId="0" borderId="0" xfId="62" applyNumberFormat="1" applyFont="1" applyBorder="1" applyProtection="1">
      <alignment vertical="top"/>
      <protection/>
    </xf>
    <xf numFmtId="0" fontId="5" fillId="0" borderId="0" xfId="62" applyFont="1" applyBorder="1">
      <alignment vertical="top"/>
      <protection/>
    </xf>
    <xf numFmtId="37" fontId="7" fillId="0" borderId="0" xfId="62" applyNumberFormat="1" applyFont="1" applyBorder="1" applyAlignment="1" applyProtection="1">
      <alignment horizontal="center"/>
      <protection/>
    </xf>
    <xf numFmtId="5" fontId="7" fillId="0" borderId="0" xfId="62" applyNumberFormat="1" applyFont="1" applyBorder="1" applyAlignment="1" applyProtection="1">
      <alignment horizontal="center"/>
      <protection/>
    </xf>
    <xf numFmtId="0" fontId="5" fillId="0" borderId="0" xfId="62" applyFont="1" applyBorder="1" applyAlignment="1">
      <alignment horizontal="center"/>
      <protection/>
    </xf>
    <xf numFmtId="0" fontId="7" fillId="0" borderId="0" xfId="62" applyFont="1" applyBorder="1" applyAlignment="1">
      <alignment horizontal="center" vertical="top"/>
      <protection/>
    </xf>
    <xf numFmtId="164" fontId="7" fillId="0" borderId="0" xfId="62" applyNumberFormat="1" applyFont="1" applyBorder="1" applyAlignment="1" applyProtection="1">
      <alignment horizontal="center"/>
      <protection/>
    </xf>
    <xf numFmtId="0" fontId="7" fillId="0" borderId="0" xfId="62" applyFont="1" applyBorder="1" applyAlignment="1">
      <alignment horizontal="center"/>
      <protection/>
    </xf>
    <xf numFmtId="5" fontId="5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 horizontal="center"/>
    </xf>
    <xf numFmtId="198" fontId="5" fillId="0" borderId="0" xfId="42" applyNumberFormat="1" applyFont="1" applyBorder="1" applyAlignment="1">
      <alignment/>
    </xf>
    <xf numFmtId="173" fontId="5" fillId="0" borderId="0" xfId="0" applyNumberFormat="1" applyFont="1" applyBorder="1" applyAlignment="1">
      <alignment horizontal="left"/>
    </xf>
    <xf numFmtId="173" fontId="5" fillId="0" borderId="0" xfId="0" applyNumberFormat="1" applyFont="1" applyBorder="1" applyAlignment="1" applyProtection="1">
      <alignment/>
      <protection/>
    </xf>
    <xf numFmtId="173" fontId="5" fillId="0" borderId="0" xfId="0" applyNumberFormat="1" applyFont="1" applyBorder="1" applyAlignment="1">
      <alignment/>
    </xf>
    <xf numFmtId="173" fontId="5" fillId="0" borderId="0" xfId="42" applyNumberFormat="1" applyFont="1" applyBorder="1" applyAlignment="1" applyProtection="1">
      <alignment/>
      <protection/>
    </xf>
    <xf numFmtId="39" fontId="5" fillId="0" borderId="12" xfId="61" applyNumberFormat="1" applyFont="1" applyBorder="1">
      <alignment/>
      <protection/>
    </xf>
    <xf numFmtId="39" fontId="5" fillId="0" borderId="12" xfId="42" applyNumberFormat="1" applyFont="1" applyBorder="1" applyAlignment="1">
      <alignment/>
    </xf>
    <xf numFmtId="39" fontId="7" fillId="0" borderId="12" xfId="61" applyNumberFormat="1" applyFont="1" applyBorder="1">
      <alignment/>
      <protection/>
    </xf>
    <xf numFmtId="39" fontId="5" fillId="0" borderId="0" xfId="61" applyNumberFormat="1" applyFont="1" applyFill="1" applyBorder="1" applyAlignment="1">
      <alignment/>
      <protection/>
    </xf>
    <xf numFmtId="39" fontId="5" fillId="0" borderId="13" xfId="61" applyNumberFormat="1" applyFont="1" applyFill="1" applyBorder="1" applyAlignment="1">
      <alignment/>
      <protection/>
    </xf>
    <xf numFmtId="39" fontId="5" fillId="0" borderId="12" xfId="61" applyNumberFormat="1" applyFont="1" applyBorder="1" applyAlignment="1">
      <alignment/>
      <protection/>
    </xf>
    <xf numFmtId="198" fontId="5" fillId="0" borderId="0" xfId="42" applyNumberFormat="1" applyFont="1" applyAlignment="1">
      <alignment/>
    </xf>
    <xf numFmtId="174" fontId="5" fillId="0" borderId="0" xfId="0" applyNumberFormat="1" applyFont="1" applyBorder="1" applyAlignment="1" applyProtection="1">
      <alignment/>
      <protection/>
    </xf>
    <xf numFmtId="165" fontId="5" fillId="0" borderId="0" xfId="42" applyNumberFormat="1" applyFont="1" applyBorder="1" applyAlignment="1" applyProtection="1">
      <alignment/>
      <protection/>
    </xf>
    <xf numFmtId="5" fontId="5" fillId="0" borderId="12" xfId="0" applyNumberFormat="1" applyFont="1" applyBorder="1" applyAlignment="1">
      <alignment/>
    </xf>
    <xf numFmtId="5" fontId="5" fillId="0" borderId="12" xfId="0" applyNumberFormat="1" applyFont="1" applyBorder="1" applyAlignment="1" applyProtection="1" quotePrefix="1">
      <alignment/>
      <protection/>
    </xf>
    <xf numFmtId="5" fontId="5" fillId="0" borderId="0" xfId="0" applyNumberFormat="1" applyFont="1" applyBorder="1" applyAlignment="1" applyProtection="1" quotePrefix="1">
      <alignment/>
      <protection/>
    </xf>
    <xf numFmtId="164" fontId="5" fillId="0" borderId="0" xfId="0" applyNumberFormat="1" applyFont="1" applyAlignment="1" applyProtection="1">
      <alignment/>
      <protection/>
    </xf>
    <xf numFmtId="0" fontId="5" fillId="0" borderId="12" xfId="0" applyFont="1" applyBorder="1" applyAlignment="1">
      <alignment/>
    </xf>
    <xf numFmtId="164" fontId="7" fillId="0" borderId="18" xfId="62" applyNumberFormat="1" applyFont="1" applyBorder="1" applyAlignment="1" applyProtection="1">
      <alignment horizontal="center"/>
      <protection/>
    </xf>
    <xf numFmtId="164" fontId="7" fillId="0" borderId="19" xfId="62" applyNumberFormat="1" applyFont="1" applyBorder="1" applyAlignment="1" applyProtection="1">
      <alignment horizontal="center"/>
      <protection/>
    </xf>
    <xf numFmtId="164" fontId="7" fillId="0" borderId="20" xfId="62" applyNumberFormat="1" applyFont="1" applyBorder="1" applyAlignment="1" applyProtection="1">
      <alignment horizontal="center"/>
      <protection/>
    </xf>
    <xf numFmtId="166" fontId="5" fillId="0" borderId="19" xfId="61" applyNumberFormat="1" applyFont="1" applyBorder="1">
      <alignment/>
      <protection/>
    </xf>
    <xf numFmtId="166" fontId="5" fillId="0" borderId="21" xfId="61" applyNumberFormat="1" applyFont="1" applyBorder="1">
      <alignment/>
      <protection/>
    </xf>
    <xf numFmtId="0" fontId="7" fillId="0" borderId="0" xfId="61" applyFont="1" applyBorder="1">
      <alignment/>
      <protection/>
    </xf>
    <xf numFmtId="37" fontId="5" fillId="0" borderId="0" xfId="61" applyNumberFormat="1" applyFont="1" applyFill="1" applyBorder="1">
      <alignment/>
      <protection/>
    </xf>
    <xf numFmtId="5" fontId="5" fillId="0" borderId="0" xfId="61" applyNumberFormat="1" applyFont="1" applyBorder="1">
      <alignment/>
      <protection/>
    </xf>
    <xf numFmtId="5" fontId="5" fillId="0" borderId="0" xfId="42" applyNumberFormat="1" applyFont="1" applyAlignment="1">
      <alignment/>
    </xf>
    <xf numFmtId="5" fontId="5" fillId="0" borderId="0" xfId="42" applyNumberFormat="1" applyFont="1" applyBorder="1" applyAlignment="1">
      <alignment/>
    </xf>
    <xf numFmtId="5" fontId="5" fillId="0" borderId="0" xfId="46" applyNumberFormat="1" applyFont="1" applyBorder="1" applyAlignment="1">
      <alignment/>
    </xf>
    <xf numFmtId="5" fontId="5" fillId="0" borderId="0" xfId="0" applyNumberFormat="1" applyFont="1" applyBorder="1" applyAlignment="1">
      <alignment horizontal="center"/>
    </xf>
    <xf numFmtId="0" fontId="17" fillId="0" borderId="22" xfId="61" applyFont="1" applyBorder="1">
      <alignment/>
      <protection/>
    </xf>
    <xf numFmtId="0" fontId="5" fillId="0" borderId="23" xfId="61" applyFont="1" applyBorder="1">
      <alignment/>
      <protection/>
    </xf>
    <xf numFmtId="0" fontId="5" fillId="0" borderId="24" xfId="61" applyFont="1" applyBorder="1">
      <alignment/>
      <protection/>
    </xf>
    <xf numFmtId="37" fontId="5" fillId="0" borderId="25" xfId="61" applyNumberFormat="1" applyFont="1" applyBorder="1">
      <alignment/>
      <protection/>
    </xf>
    <xf numFmtId="0" fontId="5" fillId="0" borderId="26" xfId="61" applyFont="1" applyBorder="1">
      <alignment/>
      <protection/>
    </xf>
    <xf numFmtId="37" fontId="5" fillId="0" borderId="27" xfId="61" applyNumberFormat="1" applyFont="1" applyBorder="1">
      <alignment/>
      <protection/>
    </xf>
    <xf numFmtId="5" fontId="5" fillId="0" borderId="0" xfId="46" applyNumberFormat="1" applyFont="1" applyBorder="1" applyAlignment="1" quotePrefix="1">
      <alignment/>
    </xf>
    <xf numFmtId="165" fontId="5" fillId="0" borderId="0" xfId="42" applyNumberFormat="1" applyFont="1" applyBorder="1" applyAlignment="1">
      <alignment/>
    </xf>
    <xf numFmtId="5" fontId="5" fillId="0" borderId="0" xfId="61" applyNumberFormat="1" applyFont="1" applyBorder="1" quotePrefix="1">
      <alignment/>
      <protection/>
    </xf>
    <xf numFmtId="198" fontId="5" fillId="0" borderId="0" xfId="61" applyNumberFormat="1" applyFont="1" applyBorder="1">
      <alignment/>
      <protection/>
    </xf>
    <xf numFmtId="173" fontId="5" fillId="0" borderId="12" xfId="42" applyNumberFormat="1" applyFont="1" applyBorder="1" applyAlignment="1">
      <alignment/>
    </xf>
    <xf numFmtId="5" fontId="5" fillId="0" borderId="12" xfId="42" applyNumberFormat="1" applyFont="1" applyBorder="1" applyAlignment="1">
      <alignment/>
    </xf>
    <xf numFmtId="5" fontId="5" fillId="0" borderId="28" xfId="42" applyNumberFormat="1" applyFont="1" applyBorder="1" applyAlignment="1">
      <alignment/>
    </xf>
    <xf numFmtId="0" fontId="11" fillId="0" borderId="0" xfId="61" applyFont="1" applyBorder="1" applyAlignment="1">
      <alignment horizontal="center"/>
      <protection/>
    </xf>
    <xf numFmtId="7" fontId="10" fillId="0" borderId="12" xfId="61" applyNumberFormat="1" applyFont="1" applyBorder="1">
      <alignment/>
      <protection/>
    </xf>
    <xf numFmtId="7" fontId="10" fillId="0" borderId="12" xfId="42" applyNumberFormat="1" applyFont="1" applyBorder="1" applyAlignment="1">
      <alignment/>
    </xf>
    <xf numFmtId="7" fontId="10" fillId="0" borderId="0" xfId="61" applyNumberFormat="1" applyFont="1" applyBorder="1">
      <alignment/>
      <protection/>
    </xf>
    <xf numFmtId="7" fontId="13" fillId="0" borderId="12" xfId="61" applyNumberFormat="1" applyFont="1" applyBorder="1">
      <alignment/>
      <protection/>
    </xf>
    <xf numFmtId="7" fontId="10" fillId="0" borderId="0" xfId="61" applyNumberFormat="1" applyFont="1" applyFill="1" applyBorder="1" applyAlignment="1">
      <alignment/>
      <protection/>
    </xf>
    <xf numFmtId="7" fontId="10" fillId="0" borderId="13" xfId="61" applyNumberFormat="1" applyFont="1" applyFill="1" applyBorder="1" applyAlignment="1">
      <alignment/>
      <protection/>
    </xf>
    <xf numFmtId="7" fontId="10" fillId="0" borderId="12" xfId="61" applyNumberFormat="1" applyFont="1" applyBorder="1" applyAlignment="1">
      <alignment/>
      <protection/>
    </xf>
    <xf numFmtId="173" fontId="5" fillId="0" borderId="16" xfId="61" applyNumberFormat="1" applyFont="1" applyBorder="1">
      <alignment/>
      <protection/>
    </xf>
    <xf numFmtId="5" fontId="5" fillId="0" borderId="16" xfId="61" applyNumberFormat="1" applyFont="1" applyBorder="1">
      <alignment/>
      <protection/>
    </xf>
    <xf numFmtId="5" fontId="5" fillId="0" borderId="29" xfId="61" applyNumberFormat="1" applyFont="1" applyBorder="1">
      <alignment/>
      <protection/>
    </xf>
    <xf numFmtId="0" fontId="7" fillId="0" borderId="0" xfId="61" applyFont="1" applyAlignment="1">
      <alignment horizontal="right"/>
      <protection/>
    </xf>
    <xf numFmtId="0" fontId="7" fillId="0" borderId="0" xfId="61" applyFont="1" applyAlignment="1">
      <alignment horizontal="center"/>
      <protection/>
    </xf>
    <xf numFmtId="39" fontId="10" fillId="0" borderId="12" xfId="61" applyNumberFormat="1" applyFont="1" applyBorder="1">
      <alignment/>
      <protection/>
    </xf>
    <xf numFmtId="39" fontId="10" fillId="0" borderId="12" xfId="42" applyNumberFormat="1" applyFont="1" applyBorder="1" applyAlignment="1">
      <alignment/>
    </xf>
    <xf numFmtId="0" fontId="5" fillId="33" borderId="0" xfId="61" applyFont="1" applyFill="1" applyBorder="1" applyAlignment="1">
      <alignment horizontal="center"/>
      <protection/>
    </xf>
    <xf numFmtId="175" fontId="9" fillId="33" borderId="0" xfId="61" applyNumberFormat="1" applyFont="1" applyFill="1" applyBorder="1" applyAlignment="1">
      <alignment horizontal="center"/>
      <protection/>
    </xf>
    <xf numFmtId="37" fontId="5" fillId="33" borderId="0" xfId="61" applyNumberFormat="1" applyFont="1" applyFill="1" applyBorder="1" applyAlignment="1">
      <alignment horizontal="center"/>
      <protection/>
    </xf>
    <xf numFmtId="39" fontId="10" fillId="33" borderId="0" xfId="61" applyNumberFormat="1" applyFont="1" applyFill="1" applyBorder="1">
      <alignment/>
      <protection/>
    </xf>
    <xf numFmtId="39" fontId="9" fillId="33" borderId="0" xfId="61" applyNumberFormat="1" applyFont="1" applyFill="1" applyBorder="1">
      <alignment/>
      <protection/>
    </xf>
    <xf numFmtId="173" fontId="5" fillId="33" borderId="0" xfId="61" applyNumberFormat="1" applyFont="1" applyFill="1" applyBorder="1">
      <alignment/>
      <protection/>
    </xf>
    <xf numFmtId="0" fontId="5" fillId="33" borderId="0" xfId="61" applyFont="1" applyFill="1" applyBorder="1">
      <alignment/>
      <protection/>
    </xf>
    <xf numFmtId="39" fontId="10" fillId="0" borderId="0" xfId="61" applyNumberFormat="1" applyFont="1" applyBorder="1">
      <alignment/>
      <protection/>
    </xf>
    <xf numFmtId="39" fontId="13" fillId="0" borderId="12" xfId="61" applyNumberFormat="1" applyFont="1" applyBorder="1">
      <alignment/>
      <protection/>
    </xf>
    <xf numFmtId="39" fontId="10" fillId="0" borderId="0" xfId="61" applyNumberFormat="1" applyFont="1" applyFill="1" applyBorder="1" applyAlignment="1">
      <alignment/>
      <protection/>
    </xf>
    <xf numFmtId="39" fontId="10" fillId="0" borderId="13" xfId="61" applyNumberFormat="1" applyFont="1" applyFill="1" applyBorder="1" applyAlignment="1">
      <alignment/>
      <protection/>
    </xf>
    <xf numFmtId="39" fontId="10" fillId="0" borderId="12" xfId="61" applyNumberFormat="1" applyFont="1" applyBorder="1" applyAlignment="1">
      <alignment/>
      <protection/>
    </xf>
    <xf numFmtId="173" fontId="10" fillId="0" borderId="0" xfId="61" applyNumberFormat="1" applyFont="1" applyBorder="1">
      <alignment/>
      <protection/>
    </xf>
    <xf numFmtId="173" fontId="5" fillId="0" borderId="0" xfId="61" applyNumberFormat="1" applyFont="1">
      <alignment/>
      <protection/>
    </xf>
    <xf numFmtId="0" fontId="5" fillId="0" borderId="0" xfId="61" applyFont="1" applyFill="1">
      <alignment/>
      <protection/>
    </xf>
    <xf numFmtId="0" fontId="8" fillId="0" borderId="0" xfId="61" applyFont="1" applyFill="1" applyBorder="1" applyAlignment="1">
      <alignment horizontal="centerContinuous"/>
      <protection/>
    </xf>
    <xf numFmtId="0" fontId="5" fillId="0" borderId="0" xfId="61" applyFont="1" applyFill="1" applyAlignment="1">
      <alignment horizontal="center"/>
      <protection/>
    </xf>
    <xf numFmtId="14" fontId="5" fillId="0" borderId="0" xfId="61" applyNumberFormat="1" applyFont="1" applyFill="1" applyAlignment="1">
      <alignment horizontal="center"/>
      <protection/>
    </xf>
    <xf numFmtId="0" fontId="5" fillId="0" borderId="10" xfId="61" applyFont="1" applyFill="1" applyBorder="1" applyAlignment="1">
      <alignment horizontal="center"/>
      <protection/>
    </xf>
    <xf numFmtId="0" fontId="7" fillId="0" borderId="12" xfId="61" applyFont="1" applyFill="1" applyBorder="1" applyAlignment="1">
      <alignment horizontal="center"/>
      <protection/>
    </xf>
    <xf numFmtId="166" fontId="5" fillId="0" borderId="12" xfId="61" applyNumberFormat="1" applyFont="1" applyFill="1" applyBorder="1">
      <alignment/>
      <protection/>
    </xf>
    <xf numFmtId="7" fontId="5" fillId="0" borderId="12" xfId="42" applyNumberFormat="1" applyFont="1" applyFill="1" applyBorder="1" applyAlignment="1">
      <alignment/>
    </xf>
    <xf numFmtId="7" fontId="10" fillId="0" borderId="0" xfId="61" applyNumberFormat="1" applyFont="1" applyFill="1" applyBorder="1">
      <alignment/>
      <protection/>
    </xf>
    <xf numFmtId="166" fontId="5" fillId="0" borderId="0" xfId="61" applyNumberFormat="1" applyFont="1" applyFill="1" applyBorder="1">
      <alignment/>
      <protection/>
    </xf>
    <xf numFmtId="166" fontId="7" fillId="0" borderId="12" xfId="61" applyNumberFormat="1" applyFont="1" applyFill="1" applyBorder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Rev &amp; Cost Model b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NWN AL 2006-07 Washington PGA re-filing" xfId="61"/>
    <cellStyle name="Normal_Rev &amp; Cost Model b" xfId="62"/>
    <cellStyle name="Note" xfId="63"/>
    <cellStyle name="Output" xfId="64"/>
    <cellStyle name="Percent" xfId="65"/>
    <cellStyle name="Percent_Rev &amp; Cost Model b" xfId="66"/>
    <cellStyle name="Percent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PSNT01\GROUPS\Regulatory_Affairs\RATE%20INFORMATION\Rate%20Histories\washington\WA%20Sch%202%20histo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S 2 BR History"/>
      <sheetName val="WA RS 2 BR Histo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zoomScalePageLayoutView="0" workbookViewId="0" topLeftCell="A1">
      <pane xSplit="3" ySplit="10" topLeftCell="E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14" sqref="I14"/>
    </sheetView>
  </sheetViews>
  <sheetFormatPr defaultColWidth="8.8515625" defaultRowHeight="12.75"/>
  <cols>
    <col min="1" max="1" width="8.8515625" style="64" customWidth="1"/>
    <col min="2" max="2" width="30.57421875" style="64" customWidth="1"/>
    <col min="3" max="3" width="4.7109375" style="64" customWidth="1"/>
    <col min="4" max="4" width="12.7109375" style="64" customWidth="1"/>
    <col min="5" max="5" width="14.00390625" style="64" customWidth="1"/>
    <col min="6" max="7" width="12.7109375" style="64" customWidth="1"/>
    <col min="8" max="8" width="14.28125" style="64" customWidth="1"/>
    <col min="9" max="9" width="14.7109375" style="64" customWidth="1"/>
    <col min="10" max="14" width="15.7109375" style="64" customWidth="1"/>
    <col min="15" max="17" width="12.7109375" style="64" customWidth="1"/>
    <col min="18" max="20" width="8.8515625" style="64" customWidth="1"/>
    <col min="21" max="21" width="15.7109375" style="64" customWidth="1"/>
    <col min="22" max="22" width="16.7109375" style="64" customWidth="1"/>
    <col min="23" max="23" width="12.7109375" style="64" customWidth="1"/>
    <col min="24" max="16384" width="8.8515625" style="64" customWidth="1"/>
  </cols>
  <sheetData>
    <row r="1" spans="1:14" s="37" customFormat="1" ht="12" customHeight="1">
      <c r="A1" s="36" t="s">
        <v>79</v>
      </c>
      <c r="J1" s="41" t="s">
        <v>83</v>
      </c>
      <c r="K1" s="38"/>
      <c r="L1" s="39"/>
      <c r="M1" s="40"/>
      <c r="N1" s="41"/>
    </row>
    <row r="2" spans="1:13" s="37" customFormat="1" ht="12.75">
      <c r="A2" s="42" t="s">
        <v>84</v>
      </c>
      <c r="C2" s="43"/>
      <c r="D2" s="43"/>
      <c r="G2" s="44"/>
      <c r="I2" s="44"/>
      <c r="K2" s="38"/>
      <c r="L2" s="39"/>
      <c r="M2" s="38"/>
    </row>
    <row r="3" spans="1:13" s="37" customFormat="1" ht="12.75">
      <c r="A3" s="36" t="s">
        <v>85</v>
      </c>
      <c r="C3" s="43"/>
      <c r="D3" s="45"/>
      <c r="G3" s="44"/>
      <c r="I3" s="44"/>
      <c r="K3" s="38"/>
      <c r="L3" s="39"/>
      <c r="M3" s="38"/>
    </row>
    <row r="4" spans="3:22" s="37" customFormat="1" ht="12.75">
      <c r="C4" s="43"/>
      <c r="D4" s="45"/>
      <c r="G4" s="44"/>
      <c r="I4" s="44"/>
      <c r="K4" s="38"/>
      <c r="L4" s="39"/>
      <c r="M4" s="38"/>
      <c r="U4" s="46"/>
      <c r="V4" s="47"/>
    </row>
    <row r="5" spans="1:22" s="37" customFormat="1" ht="13.5" thickBot="1">
      <c r="A5" s="168">
        <v>1</v>
      </c>
      <c r="B5" s="120" t="s">
        <v>11</v>
      </c>
      <c r="C5" s="112"/>
      <c r="D5" s="113"/>
      <c r="E5" s="114"/>
      <c r="F5" s="114"/>
      <c r="G5" s="115"/>
      <c r="H5" s="114"/>
      <c r="I5" s="115"/>
      <c r="J5" s="114"/>
      <c r="K5" s="177"/>
      <c r="L5" s="178"/>
      <c r="M5" s="177"/>
      <c r="N5" s="179"/>
      <c r="U5" s="46"/>
      <c r="V5" s="47"/>
    </row>
    <row r="6" spans="1:23" s="37" customFormat="1" ht="12.75">
      <c r="A6" s="168">
        <f>+A5+1</f>
        <v>2</v>
      </c>
      <c r="C6" s="43"/>
      <c r="D6" s="48"/>
      <c r="E6" s="49"/>
      <c r="F6" s="50"/>
      <c r="G6" s="51"/>
      <c r="H6" s="49"/>
      <c r="I6" s="51"/>
      <c r="J6" s="49"/>
      <c r="K6" s="180"/>
      <c r="L6" s="181"/>
      <c r="M6" s="180"/>
      <c r="N6" s="182"/>
      <c r="U6" s="52"/>
      <c r="V6" s="47"/>
      <c r="W6" s="53"/>
    </row>
    <row r="7" spans="1:23" s="37" customFormat="1" ht="12.75">
      <c r="A7" s="168">
        <f aca="true" t="shared" si="0" ref="A7:A52">+A6+1</f>
        <v>3</v>
      </c>
      <c r="D7" s="48"/>
      <c r="E7" s="48"/>
      <c r="F7" s="54"/>
      <c r="G7" s="55"/>
      <c r="H7" s="56"/>
      <c r="I7" s="55"/>
      <c r="J7" s="48"/>
      <c r="K7" s="180"/>
      <c r="L7" s="183"/>
      <c r="M7" s="180"/>
      <c r="N7" s="184"/>
      <c r="U7" s="52"/>
      <c r="V7" s="47"/>
      <c r="W7" s="53"/>
    </row>
    <row r="8" spans="1:22" s="37" customFormat="1" ht="15">
      <c r="A8" s="168">
        <f t="shared" si="0"/>
        <v>4</v>
      </c>
      <c r="D8" s="48" t="s">
        <v>1</v>
      </c>
      <c r="E8" s="48"/>
      <c r="F8" s="48" t="s">
        <v>2</v>
      </c>
      <c r="G8" s="55"/>
      <c r="H8" s="48"/>
      <c r="I8" s="55"/>
      <c r="J8" s="48" t="s">
        <v>0</v>
      </c>
      <c r="K8" s="180"/>
      <c r="L8" s="184"/>
      <c r="M8" s="180"/>
      <c r="N8" s="184"/>
      <c r="T8" s="57"/>
      <c r="U8" s="52"/>
      <c r="V8" s="47"/>
    </row>
    <row r="9" spans="1:22" s="37" customFormat="1" ht="12.75">
      <c r="A9" s="168">
        <f t="shared" si="0"/>
        <v>5</v>
      </c>
      <c r="D9" s="48" t="s">
        <v>4</v>
      </c>
      <c r="E9" s="48" t="s">
        <v>1</v>
      </c>
      <c r="F9" s="48" t="s">
        <v>4</v>
      </c>
      <c r="G9" s="48"/>
      <c r="H9" s="48" t="s">
        <v>2</v>
      </c>
      <c r="I9" s="166" t="s">
        <v>2</v>
      </c>
      <c r="J9" s="48" t="s">
        <v>3</v>
      </c>
      <c r="K9" s="184"/>
      <c r="L9" s="181"/>
      <c r="M9" s="180"/>
      <c r="N9" s="184"/>
      <c r="U9" s="52"/>
      <c r="V9" s="47"/>
    </row>
    <row r="10" spans="1:23" s="37" customFormat="1" ht="12.75">
      <c r="A10" s="168">
        <f t="shared" si="0"/>
        <v>6</v>
      </c>
      <c r="B10" s="58"/>
      <c r="C10" s="58"/>
      <c r="D10" s="59" t="s">
        <v>8</v>
      </c>
      <c r="E10" s="59" t="s">
        <v>9</v>
      </c>
      <c r="F10" s="59" t="s">
        <v>8</v>
      </c>
      <c r="G10" s="59"/>
      <c r="H10" s="59" t="s">
        <v>11</v>
      </c>
      <c r="I10" s="169" t="s">
        <v>122</v>
      </c>
      <c r="J10" s="59" t="s">
        <v>7</v>
      </c>
      <c r="K10" s="184"/>
      <c r="L10" s="184"/>
      <c r="M10" s="184"/>
      <c r="N10" s="184"/>
      <c r="U10" s="52"/>
      <c r="V10" s="47"/>
      <c r="W10" s="53"/>
    </row>
    <row r="11" spans="1:21" s="60" customFormat="1" ht="12.75">
      <c r="A11" s="168">
        <f t="shared" si="0"/>
        <v>7</v>
      </c>
      <c r="D11" s="61" t="s">
        <v>12</v>
      </c>
      <c r="E11" s="61" t="s">
        <v>13</v>
      </c>
      <c r="F11" s="61" t="s">
        <v>14</v>
      </c>
      <c r="G11" s="61"/>
      <c r="H11" s="61" t="s">
        <v>151</v>
      </c>
      <c r="I11" s="61" t="s">
        <v>152</v>
      </c>
      <c r="J11" s="61" t="s">
        <v>15</v>
      </c>
      <c r="K11" s="185"/>
      <c r="L11" s="185"/>
      <c r="M11" s="185"/>
      <c r="N11" s="185"/>
      <c r="U11" s="62"/>
    </row>
    <row r="12" spans="1:23" ht="12.75">
      <c r="A12" s="168">
        <f t="shared" si="0"/>
        <v>8</v>
      </c>
      <c r="B12" s="127" t="s">
        <v>32</v>
      </c>
      <c r="D12" s="65"/>
      <c r="E12" s="65"/>
      <c r="F12" s="65"/>
      <c r="G12" s="65"/>
      <c r="H12" s="61"/>
      <c r="I12" s="61"/>
      <c r="J12" s="65"/>
      <c r="K12" s="167"/>
      <c r="L12" s="167"/>
      <c r="M12" s="167"/>
      <c r="N12" s="167"/>
      <c r="Q12" s="65"/>
      <c r="U12" s="66"/>
      <c r="W12" s="67"/>
    </row>
    <row r="13" spans="1:16" ht="12.75">
      <c r="A13" s="168">
        <f t="shared" si="0"/>
        <v>9</v>
      </c>
      <c r="B13" s="68" t="s">
        <v>17</v>
      </c>
      <c r="C13" s="63"/>
      <c r="D13" s="63">
        <v>43003386</v>
      </c>
      <c r="E13" s="111">
        <v>57336046</v>
      </c>
      <c r="F13" s="38">
        <f>+'Other inputs &amp; calcs'!D13</f>
        <v>42299885.46625907</v>
      </c>
      <c r="G13" s="72"/>
      <c r="H13" s="73">
        <f>+'Normal Revs by RS'!M85+(F13*('Other inputs &amp; calcs'!$D$51+'Other inputs &amp; calcs'!$D$55))</f>
        <v>55505710.70116243</v>
      </c>
      <c r="I13" s="72">
        <f>+H13/F13</f>
        <v>1.3121952953143836</v>
      </c>
      <c r="J13" s="73">
        <f>+H13-E13</f>
        <v>-1830335.2988375723</v>
      </c>
      <c r="K13" s="73"/>
      <c r="L13" s="73"/>
      <c r="M13" s="102"/>
      <c r="N13" s="102"/>
      <c r="P13" s="74"/>
    </row>
    <row r="14" spans="1:14" ht="12.75">
      <c r="A14" s="168">
        <f>+A13+1</f>
        <v>10</v>
      </c>
      <c r="B14" s="68" t="s">
        <v>18</v>
      </c>
      <c r="C14" s="63"/>
      <c r="D14" s="63">
        <v>20455924</v>
      </c>
      <c r="E14" s="111">
        <f>26404703</f>
        <v>26404703</v>
      </c>
      <c r="F14" s="38">
        <f>+'Other inputs &amp; calcs'!D14</f>
        <v>20273009.781694617</v>
      </c>
      <c r="G14" s="72"/>
      <c r="H14" s="73">
        <f>+'Normal Revs by RS'!M86+'Normal Revs by RS'!M87+(F14*('Other inputs &amp; calcs'!$D$51+'Other inputs &amp; calcs'!$D$55))</f>
        <v>25539249.867137723</v>
      </c>
      <c r="I14" s="72">
        <f>+H14/F14</f>
        <v>1.2597660703640672</v>
      </c>
      <c r="J14" s="73">
        <f>+H14-E14</f>
        <v>-865453.1328622773</v>
      </c>
      <c r="K14" s="73"/>
      <c r="L14" s="73"/>
      <c r="M14" s="102"/>
      <c r="N14" s="102"/>
    </row>
    <row r="15" spans="1:14" ht="12.75">
      <c r="A15" s="168">
        <f>+A14+1</f>
        <v>11</v>
      </c>
      <c r="B15" s="68" t="s">
        <v>19</v>
      </c>
      <c r="C15" s="63"/>
      <c r="D15" s="63">
        <v>3269923</v>
      </c>
      <c r="E15" s="111">
        <f>3646239</f>
        <v>3646239</v>
      </c>
      <c r="F15" s="38">
        <f>+'Other inputs &amp; calcs'!D15</f>
        <v>3275414.6</v>
      </c>
      <c r="G15" s="72"/>
      <c r="H15" s="73">
        <f>+'Normal Revs by RS'!M88+'Normal Revs by RS'!M89+(F15*('Other inputs &amp; calcs'!$D$51+'Other inputs &amp; calcs'!$D$55))</f>
        <v>3599636.6704450003</v>
      </c>
      <c r="I15" s="72">
        <f>+H15/F15</f>
        <v>1.0989865742324652</v>
      </c>
      <c r="J15" s="73">
        <f>+H15-E15</f>
        <v>-46602.32955499971</v>
      </c>
      <c r="K15" s="73"/>
      <c r="L15" s="73"/>
      <c r="M15" s="102"/>
      <c r="N15" s="102"/>
    </row>
    <row r="16" spans="1:14" ht="12.75">
      <c r="A16" s="168">
        <f t="shared" si="0"/>
        <v>12</v>
      </c>
      <c r="B16" s="68" t="s">
        <v>20</v>
      </c>
      <c r="C16" s="63"/>
      <c r="D16" s="63">
        <v>6300386</v>
      </c>
      <c r="E16" s="111">
        <v>5835604</v>
      </c>
      <c r="F16" s="38">
        <f>+'Other inputs &amp; calcs'!D16</f>
        <v>6285390</v>
      </c>
      <c r="G16" s="72"/>
      <c r="H16" s="73">
        <f>+'Normal Revs by RS'!M90+(F16*('Other inputs &amp; calcs'!$D$52+'Other inputs &amp; calcs'!$D$55))</f>
        <v>5617214.286081</v>
      </c>
      <c r="I16" s="72">
        <f>+H16/F16</f>
        <v>0.8936938338084033</v>
      </c>
      <c r="J16" s="73">
        <f>+H16-E16</f>
        <v>-218389.71391899977</v>
      </c>
      <c r="K16" s="73"/>
      <c r="L16" s="73"/>
      <c r="M16" s="102"/>
      <c r="N16" s="102"/>
    </row>
    <row r="17" spans="1:14" ht="12.75">
      <c r="A17" s="168">
        <f t="shared" si="0"/>
        <v>13</v>
      </c>
      <c r="B17" s="68"/>
      <c r="C17" s="68"/>
      <c r="D17" s="69"/>
      <c r="E17" s="173"/>
      <c r="F17" s="69"/>
      <c r="G17" s="72"/>
      <c r="H17" s="72"/>
      <c r="I17" s="72"/>
      <c r="J17" s="73"/>
      <c r="K17" s="102"/>
      <c r="L17" s="73"/>
      <c r="M17" s="102"/>
      <c r="N17" s="102"/>
    </row>
    <row r="18" spans="1:14" ht="12.75">
      <c r="A18" s="168">
        <f t="shared" si="0"/>
        <v>14</v>
      </c>
      <c r="B18" s="76"/>
      <c r="C18" s="76"/>
      <c r="D18" s="77"/>
      <c r="E18" s="77"/>
      <c r="F18" s="77"/>
      <c r="G18" s="77"/>
      <c r="H18" s="77"/>
      <c r="I18" s="77"/>
      <c r="J18" s="77"/>
      <c r="K18" s="102"/>
      <c r="L18" s="73"/>
      <c r="M18" s="94"/>
      <c r="N18" s="94"/>
    </row>
    <row r="19" spans="1:14" ht="12.75">
      <c r="A19" s="168">
        <f t="shared" si="0"/>
        <v>15</v>
      </c>
      <c r="B19" s="68" t="s">
        <v>21</v>
      </c>
      <c r="C19" s="68"/>
      <c r="D19" s="69">
        <f>SUM(D13:D17)</f>
        <v>73029619</v>
      </c>
      <c r="E19" s="73">
        <f>SUM(E13:E17)</f>
        <v>93222592</v>
      </c>
      <c r="F19" s="69">
        <f>SUM(F13:F17)</f>
        <v>72133699.84795368</v>
      </c>
      <c r="G19" s="91"/>
      <c r="H19" s="73">
        <f>SUM(H13:H17)</f>
        <v>90261811.52482615</v>
      </c>
      <c r="I19" s="72"/>
      <c r="J19" s="73">
        <f>SUM(J13:J17)</f>
        <v>-2960780.475173849</v>
      </c>
      <c r="K19" s="102"/>
      <c r="L19" s="73"/>
      <c r="M19" s="102"/>
      <c r="N19" s="102"/>
    </row>
    <row r="20" spans="1:14" ht="12.75">
      <c r="A20" s="168">
        <f t="shared" si="0"/>
        <v>16</v>
      </c>
      <c r="B20" s="78"/>
      <c r="C20" s="78"/>
      <c r="D20" s="69"/>
      <c r="E20" s="73"/>
      <c r="G20" s="63"/>
      <c r="K20" s="186"/>
      <c r="L20" s="73"/>
      <c r="M20" s="108"/>
      <c r="N20" s="186"/>
    </row>
    <row r="21" spans="1:23" ht="12.75">
      <c r="A21" s="168">
        <f t="shared" si="0"/>
        <v>17</v>
      </c>
      <c r="B21" s="68" t="s">
        <v>103</v>
      </c>
      <c r="C21" s="68"/>
      <c r="D21" s="63">
        <v>163557</v>
      </c>
      <c r="E21" s="111">
        <v>287096</v>
      </c>
      <c r="F21" s="69"/>
      <c r="G21" s="63"/>
      <c r="I21" s="80"/>
      <c r="J21" s="73">
        <f>-E21</f>
        <v>-287096</v>
      </c>
      <c r="K21" s="186"/>
      <c r="L21" s="73"/>
      <c r="M21" s="108"/>
      <c r="N21" s="108"/>
      <c r="U21" s="74"/>
      <c r="W21" s="81"/>
    </row>
    <row r="22" spans="1:14" ht="12.75">
      <c r="A22" s="168">
        <f t="shared" si="0"/>
        <v>18</v>
      </c>
      <c r="B22" s="68"/>
      <c r="C22" s="68"/>
      <c r="D22" s="69"/>
      <c r="E22" s="73"/>
      <c r="F22" s="69"/>
      <c r="G22" s="63"/>
      <c r="K22" s="186"/>
      <c r="L22" s="73"/>
      <c r="M22" s="108"/>
      <c r="N22" s="108"/>
    </row>
    <row r="23" spans="1:23" ht="12.75">
      <c r="A23" s="168">
        <f t="shared" si="0"/>
        <v>19</v>
      </c>
      <c r="B23" s="68" t="s">
        <v>22</v>
      </c>
      <c r="C23" s="68"/>
      <c r="D23" s="69">
        <f>+'Other inputs &amp; calcs'!E44</f>
        <v>228702</v>
      </c>
      <c r="E23" s="72"/>
      <c r="F23" s="69">
        <f>+F19*'Other inputs &amp; calcs'!E46</f>
        <v>341913.73727930046</v>
      </c>
      <c r="K23" s="186"/>
      <c r="L23" s="73"/>
      <c r="M23" s="108"/>
      <c r="N23" s="108"/>
      <c r="U23" s="74"/>
      <c r="W23" s="81"/>
    </row>
    <row r="24" spans="1:21" ht="12.75">
      <c r="A24" s="168">
        <f t="shared" si="0"/>
        <v>20</v>
      </c>
      <c r="B24" s="130"/>
      <c r="C24" s="130"/>
      <c r="D24" s="129"/>
      <c r="E24" s="129"/>
      <c r="F24" s="129"/>
      <c r="G24" s="129"/>
      <c r="H24" s="129"/>
      <c r="I24" s="129"/>
      <c r="J24" s="129"/>
      <c r="K24" s="186"/>
      <c r="L24" s="73"/>
      <c r="M24" s="108"/>
      <c r="N24" s="108"/>
      <c r="U24" s="74"/>
    </row>
    <row r="25" spans="1:21" ht="12.75">
      <c r="A25" s="168">
        <f t="shared" si="0"/>
        <v>21</v>
      </c>
      <c r="B25" s="68" t="s">
        <v>23</v>
      </c>
      <c r="C25" s="68"/>
      <c r="D25" s="69">
        <f>SUM(D19:D23)</f>
        <v>73421878</v>
      </c>
      <c r="E25" s="73">
        <f>SUM(E19:E23)</f>
        <v>93509688</v>
      </c>
      <c r="F25" s="69">
        <f>SUM(F19:F23)</f>
        <v>72475613.58523297</v>
      </c>
      <c r="H25" s="73">
        <f>SUM(H19:H23)</f>
        <v>90261811.52482615</v>
      </c>
      <c r="J25" s="73">
        <f>SUM(J19:J23)</f>
        <v>-3247876.475173849</v>
      </c>
      <c r="K25" s="186"/>
      <c r="L25" s="73"/>
      <c r="M25" s="108"/>
      <c r="N25" s="108"/>
      <c r="U25" s="74"/>
    </row>
    <row r="26" spans="1:14" ht="12.75">
      <c r="A26" s="168">
        <f t="shared" si="0"/>
        <v>22</v>
      </c>
      <c r="B26" s="78"/>
      <c r="C26" s="78"/>
      <c r="D26" s="69"/>
      <c r="E26" s="73"/>
      <c r="K26" s="186"/>
      <c r="L26" s="73"/>
      <c r="M26" s="187"/>
      <c r="N26" s="108"/>
    </row>
    <row r="27" spans="1:14" ht="12.75">
      <c r="A27" s="168">
        <f t="shared" si="0"/>
        <v>23</v>
      </c>
      <c r="B27" s="78"/>
      <c r="C27" s="78"/>
      <c r="D27" s="69"/>
      <c r="E27" s="73"/>
      <c r="K27" s="186"/>
      <c r="L27" s="73"/>
      <c r="M27" s="108"/>
      <c r="N27" s="108"/>
    </row>
    <row r="28" spans="1:21" ht="12.75">
      <c r="A28" s="168">
        <f t="shared" si="0"/>
        <v>24</v>
      </c>
      <c r="B28" s="128" t="s">
        <v>34</v>
      </c>
      <c r="C28" s="68"/>
      <c r="D28" s="69"/>
      <c r="G28" s="73"/>
      <c r="I28" s="73"/>
      <c r="K28" s="186"/>
      <c r="L28" s="73"/>
      <c r="M28" s="108"/>
      <c r="N28" s="108"/>
      <c r="U28" s="82"/>
    </row>
    <row r="29" spans="1:21" ht="12.75">
      <c r="A29" s="168">
        <f t="shared" si="0"/>
        <v>25</v>
      </c>
      <c r="B29" s="68" t="s">
        <v>36</v>
      </c>
      <c r="C29" s="68"/>
      <c r="D29" s="71">
        <v>3738309</v>
      </c>
      <c r="E29" s="121">
        <v>314899</v>
      </c>
      <c r="F29" s="69">
        <f>+'Other inputs &amp; calcs'!D19</f>
        <v>3806659</v>
      </c>
      <c r="G29" s="79"/>
      <c r="H29" s="70">
        <f>+I29*F29</f>
        <v>296524.00635161303</v>
      </c>
      <c r="I29" s="72">
        <f>+'Normal Revs by RS'!R91</f>
        <v>0.07789613053115949</v>
      </c>
      <c r="J29" s="70">
        <f>+H29-E29</f>
        <v>-18374.993648386968</v>
      </c>
      <c r="K29" s="102"/>
      <c r="L29" s="73"/>
      <c r="M29" s="108"/>
      <c r="N29" s="108"/>
      <c r="U29" s="84"/>
    </row>
    <row r="30" spans="1:14" ht="12.75">
      <c r="A30" s="168">
        <f t="shared" si="0"/>
        <v>26</v>
      </c>
      <c r="B30" s="68" t="s">
        <v>37</v>
      </c>
      <c r="C30" s="68"/>
      <c r="D30" s="71">
        <v>3635521</v>
      </c>
      <c r="E30" s="121">
        <v>247407</v>
      </c>
      <c r="F30" s="69">
        <f>+'Other inputs &amp; calcs'!D20</f>
        <v>3656057.2</v>
      </c>
      <c r="G30" s="79"/>
      <c r="H30" s="70">
        <f>+I30*F30</f>
        <v>278265.67763291346</v>
      </c>
      <c r="I30" s="72">
        <f>+'Normal Revs by RS'!R92</f>
        <v>0.07611086545169847</v>
      </c>
      <c r="J30" s="70">
        <f>+H30-E30</f>
        <v>30858.67763291346</v>
      </c>
      <c r="K30" s="102"/>
      <c r="L30" s="73"/>
      <c r="M30" s="108"/>
      <c r="N30" s="108"/>
    </row>
    <row r="31" spans="1:14" ht="12.75">
      <c r="A31" s="168">
        <f t="shared" si="0"/>
        <v>27</v>
      </c>
      <c r="B31" s="68" t="s">
        <v>175</v>
      </c>
      <c r="C31" s="68"/>
      <c r="D31" s="71">
        <f>2570395+3486175</f>
        <v>6056570</v>
      </c>
      <c r="E31" s="121">
        <f>241814.39+92721.06</f>
        <v>334535.45</v>
      </c>
      <c r="F31" s="69">
        <f>+'Other inputs &amp; calcs'!D21</f>
        <v>5977188</v>
      </c>
      <c r="H31" s="70">
        <f>+I31*F31</f>
        <v>330150.77466529736</v>
      </c>
      <c r="I31" s="72">
        <f>+E31/D31</f>
        <v>0.05523513308687921</v>
      </c>
      <c r="J31" s="70">
        <f>+H31-E31</f>
        <v>-4384.675334702653</v>
      </c>
      <c r="K31" s="217"/>
      <c r="L31" s="73"/>
      <c r="M31" s="108"/>
      <c r="N31" s="108"/>
    </row>
    <row r="32" spans="1:16" ht="12.75">
      <c r="A32" s="168">
        <f t="shared" si="0"/>
        <v>28</v>
      </c>
      <c r="B32" s="68" t="s">
        <v>24</v>
      </c>
      <c r="C32" s="68"/>
      <c r="D32" s="123">
        <v>0</v>
      </c>
      <c r="E32" s="122">
        <v>188</v>
      </c>
      <c r="F32" s="85">
        <v>0</v>
      </c>
      <c r="H32" s="87">
        <f>+E32</f>
        <v>188</v>
      </c>
      <c r="I32" s="86">
        <v>0</v>
      </c>
      <c r="J32" s="87">
        <f>+H32-E32</f>
        <v>0</v>
      </c>
      <c r="K32" s="186"/>
      <c r="L32" s="73"/>
      <c r="M32" s="108"/>
      <c r="N32" s="108"/>
      <c r="P32" s="75"/>
    </row>
    <row r="33" spans="1:14" ht="12.75">
      <c r="A33" s="168">
        <f t="shared" si="0"/>
        <v>29</v>
      </c>
      <c r="B33" s="68" t="s">
        <v>35</v>
      </c>
      <c r="C33" s="68"/>
      <c r="D33" s="88">
        <f>SUM(D29:D32)</f>
        <v>13430400</v>
      </c>
      <c r="E33" s="89">
        <f>SUM(E29:E32)</f>
        <v>897029.45</v>
      </c>
      <c r="F33" s="90">
        <f>SUM(F29:F32)</f>
        <v>13439904.2</v>
      </c>
      <c r="H33" s="66">
        <f>SUM(H29:H32)</f>
        <v>905128.4586498238</v>
      </c>
      <c r="I33" s="91">
        <f>+H33/F33</f>
        <v>0.06734634750222579</v>
      </c>
      <c r="J33" s="66">
        <f>SUM(J29:J32)</f>
        <v>8099.008649823838</v>
      </c>
      <c r="K33" s="186"/>
      <c r="L33" s="73"/>
      <c r="M33" s="108"/>
      <c r="N33" s="108"/>
    </row>
    <row r="34" spans="1:14" ht="12.75">
      <c r="A34" s="168">
        <f t="shared" si="0"/>
        <v>30</v>
      </c>
      <c r="B34" s="68"/>
      <c r="C34" s="68"/>
      <c r="D34" s="92"/>
      <c r="E34" s="93"/>
      <c r="F34" s="94"/>
      <c r="H34" s="95"/>
      <c r="I34" s="94"/>
      <c r="J34" s="95"/>
      <c r="K34" s="186"/>
      <c r="L34" s="73"/>
      <c r="M34" s="108"/>
      <c r="N34" s="108"/>
    </row>
    <row r="35" spans="1:14" ht="12.75">
      <c r="A35" s="168">
        <f t="shared" si="0"/>
        <v>31</v>
      </c>
      <c r="B35" s="96" t="s">
        <v>25</v>
      </c>
      <c r="C35" s="96"/>
      <c r="D35" s="97">
        <f>+D33+D25</f>
        <v>86852278</v>
      </c>
      <c r="E35" s="98">
        <f>+E33+E25</f>
        <v>94406717.45</v>
      </c>
      <c r="F35" s="99">
        <f>+F33+F25</f>
        <v>85915517.78523298</v>
      </c>
      <c r="H35" s="101">
        <f>+H33+H25</f>
        <v>91166939.98347598</v>
      </c>
      <c r="I35" s="100">
        <f>+H35/F35</f>
        <v>1.0611230931689224</v>
      </c>
      <c r="J35" s="101">
        <f>+J33+J25</f>
        <v>-3239777.4665240254</v>
      </c>
      <c r="K35" s="186"/>
      <c r="L35" s="73"/>
      <c r="M35" s="108"/>
      <c r="N35" s="108"/>
    </row>
    <row r="36" spans="1:14" ht="12.75">
      <c r="A36" s="168">
        <f t="shared" si="0"/>
        <v>32</v>
      </c>
      <c r="H36" s="67"/>
      <c r="J36" s="67"/>
      <c r="K36" s="186"/>
      <c r="L36" s="73"/>
      <c r="M36" s="108"/>
      <c r="N36" s="108"/>
    </row>
    <row r="37" spans="1:14" ht="12.75">
      <c r="A37" s="168">
        <f t="shared" si="0"/>
        <v>33</v>
      </c>
      <c r="D37" s="69"/>
      <c r="E37" s="83"/>
      <c r="F37" s="69"/>
      <c r="J37" s="199"/>
      <c r="K37" s="186"/>
      <c r="L37" s="73"/>
      <c r="M37" s="108"/>
      <c r="N37" s="108"/>
    </row>
    <row r="38" spans="1:14" ht="12.75">
      <c r="A38" s="168">
        <f t="shared" si="0"/>
        <v>34</v>
      </c>
      <c r="F38" s="69"/>
      <c r="J38" s="102"/>
      <c r="K38" s="186"/>
      <c r="L38" s="73"/>
      <c r="M38" s="108"/>
      <c r="N38" s="108"/>
    </row>
    <row r="39" spans="1:14" ht="15.75" thickBot="1">
      <c r="A39" s="168">
        <f t="shared" si="0"/>
        <v>35</v>
      </c>
      <c r="B39" s="120" t="s">
        <v>26</v>
      </c>
      <c r="C39" s="116"/>
      <c r="D39" s="117"/>
      <c r="E39" s="118"/>
      <c r="F39" s="119"/>
      <c r="G39" s="117"/>
      <c r="H39" s="117"/>
      <c r="I39" s="117"/>
      <c r="J39" s="117"/>
      <c r="K39" s="186"/>
      <c r="L39" s="73"/>
      <c r="M39" s="108"/>
      <c r="N39" s="108"/>
    </row>
    <row r="40" spans="1:14" ht="12.75">
      <c r="A40" s="168">
        <f t="shared" si="0"/>
        <v>36</v>
      </c>
      <c r="K40" s="186"/>
      <c r="L40" s="73"/>
      <c r="M40" s="108"/>
      <c r="N40" s="108"/>
    </row>
    <row r="41" spans="1:14" ht="12.75">
      <c r="A41" s="168">
        <f t="shared" si="0"/>
        <v>37</v>
      </c>
      <c r="D41" s="103" t="s">
        <v>27</v>
      </c>
      <c r="E41" s="104" t="s">
        <v>27</v>
      </c>
      <c r="F41" s="166" t="s">
        <v>2</v>
      </c>
      <c r="H41" s="166" t="s">
        <v>2</v>
      </c>
      <c r="I41" s="166" t="s">
        <v>2</v>
      </c>
      <c r="J41" s="48" t="s">
        <v>3</v>
      </c>
      <c r="K41" s="218"/>
      <c r="L41" s="73"/>
      <c r="M41" s="108"/>
      <c r="N41" s="108"/>
    </row>
    <row r="42" spans="1:14" ht="12.75">
      <c r="A42" s="168">
        <f t="shared" si="0"/>
        <v>38</v>
      </c>
      <c r="D42" s="105" t="s">
        <v>8</v>
      </c>
      <c r="E42" s="106" t="s">
        <v>28</v>
      </c>
      <c r="F42" s="169" t="s">
        <v>8</v>
      </c>
      <c r="H42" s="169" t="s">
        <v>28</v>
      </c>
      <c r="I42" s="169" t="s">
        <v>122</v>
      </c>
      <c r="J42" s="59" t="s">
        <v>7</v>
      </c>
      <c r="K42" s="218"/>
      <c r="L42" s="73"/>
      <c r="M42" s="108"/>
      <c r="N42" s="108"/>
    </row>
    <row r="43" spans="1:14" ht="12.75">
      <c r="A43" s="168">
        <f>+A42+1</f>
        <v>39</v>
      </c>
      <c r="F43" s="108"/>
      <c r="H43" s="108"/>
      <c r="I43" s="108"/>
      <c r="J43" s="108"/>
      <c r="K43" s="186"/>
      <c r="L43" s="73"/>
      <c r="M43" s="108"/>
      <c r="N43" s="108"/>
    </row>
    <row r="44" spans="1:14" ht="12.75">
      <c r="A44" s="168" t="s">
        <v>146</v>
      </c>
      <c r="B44" s="64" t="s">
        <v>143</v>
      </c>
      <c r="E44" s="79">
        <f>+'Other inputs &amp; calcs'!D64+'Other inputs &amp; calcs'!D65</f>
        <v>7122665.230000028</v>
      </c>
      <c r="F44" s="108"/>
      <c r="H44" s="204">
        <f>+'Other inputs &amp; calcs'!G53</f>
        <v>7741343.610001691</v>
      </c>
      <c r="I44" s="108"/>
      <c r="J44" s="102">
        <f>+H44-E44</f>
        <v>618678.3800016623</v>
      </c>
      <c r="K44" s="186"/>
      <c r="L44" s="73"/>
      <c r="M44" s="108"/>
      <c r="N44" s="108"/>
    </row>
    <row r="45" spans="1:14" ht="12.75">
      <c r="A45" s="168" t="s">
        <v>147</v>
      </c>
      <c r="B45" s="64" t="s">
        <v>106</v>
      </c>
      <c r="D45" s="206"/>
      <c r="E45" s="202">
        <f>+'Other inputs &amp; calcs'!D66</f>
        <v>-893748.89</v>
      </c>
      <c r="F45" s="206"/>
      <c r="H45" s="110">
        <v>0</v>
      </c>
      <c r="I45" s="206"/>
      <c r="J45" s="110">
        <f>+H45-E45</f>
        <v>893748.89</v>
      </c>
      <c r="K45" s="186"/>
      <c r="L45" s="73"/>
      <c r="M45" s="108"/>
      <c r="N45" s="108"/>
    </row>
    <row r="46" spans="1:14" ht="12.75">
      <c r="A46" s="168">
        <f>+A43+1</f>
        <v>40</v>
      </c>
      <c r="B46" s="68" t="s">
        <v>29</v>
      </c>
      <c r="C46" s="68"/>
      <c r="D46" s="107"/>
      <c r="E46" s="102">
        <f>+'Other inputs &amp; calcs'!D67</f>
        <v>6228916.340000029</v>
      </c>
      <c r="F46" s="126"/>
      <c r="H46" s="204">
        <f>SUM(H44:H45)</f>
        <v>7741343.610001691</v>
      </c>
      <c r="I46" s="126"/>
      <c r="J46" s="204">
        <f>SUM(J44:J45)</f>
        <v>1512427.2700016624</v>
      </c>
      <c r="K46" s="186"/>
      <c r="L46" s="73"/>
      <c r="M46" s="108"/>
      <c r="N46" s="108"/>
    </row>
    <row r="47" spans="1:14" ht="12.75">
      <c r="A47" s="168">
        <f t="shared" si="0"/>
        <v>41</v>
      </c>
      <c r="B47" s="78"/>
      <c r="C47" s="78"/>
      <c r="E47" s="102"/>
      <c r="F47" s="108"/>
      <c r="H47" s="102"/>
      <c r="I47" s="108"/>
      <c r="J47" s="102"/>
      <c r="K47" s="186"/>
      <c r="L47" s="73"/>
      <c r="M47" s="108"/>
      <c r="N47" s="108"/>
    </row>
    <row r="48" spans="1:14" ht="12.75">
      <c r="A48" s="168" t="s">
        <v>148</v>
      </c>
      <c r="B48" s="205" t="s">
        <v>144</v>
      </c>
      <c r="C48" s="78"/>
      <c r="E48" s="102">
        <f>+'Other inputs &amp; calcs'!D59+'Other inputs &amp; calcs'!D60</f>
        <v>53740406.260000065</v>
      </c>
      <c r="F48" s="108"/>
      <c r="H48" s="204">
        <f>+F50*I50</f>
        <v>49648182.93134956</v>
      </c>
      <c r="I48" s="108"/>
      <c r="J48" s="102">
        <f>+H48-E48</f>
        <v>-4092223.3286505044</v>
      </c>
      <c r="K48" s="186"/>
      <c r="L48" s="73"/>
      <c r="M48" s="108"/>
      <c r="N48" s="108"/>
    </row>
    <row r="49" spans="1:14" ht="12.75">
      <c r="A49" s="168" t="s">
        <v>149</v>
      </c>
      <c r="B49" s="64" t="s">
        <v>145</v>
      </c>
      <c r="C49" s="78"/>
      <c r="D49" s="206"/>
      <c r="E49" s="110">
        <f>+'Other inputs &amp; calcs'!D61</f>
        <v>-252991.79</v>
      </c>
      <c r="F49" s="206"/>
      <c r="H49" s="203">
        <v>0</v>
      </c>
      <c r="I49" s="206"/>
      <c r="J49" s="110">
        <f>+H49-E49</f>
        <v>252991.79</v>
      </c>
      <c r="K49" s="186"/>
      <c r="L49" s="73"/>
      <c r="M49" s="108"/>
      <c r="N49" s="108"/>
    </row>
    <row r="50" spans="1:14" ht="12.75">
      <c r="A50" s="168">
        <f>+A47+1</f>
        <v>42</v>
      </c>
      <c r="B50" s="68" t="s">
        <v>142</v>
      </c>
      <c r="C50" s="68"/>
      <c r="D50" s="124">
        <f>+D19</f>
        <v>73029619</v>
      </c>
      <c r="E50" s="102">
        <f>+'Other inputs &amp; calcs'!D62</f>
        <v>53487414.470000066</v>
      </c>
      <c r="F50" s="124">
        <f>+F19</f>
        <v>72133699.84795368</v>
      </c>
      <c r="H50" s="204">
        <f>+F50*I50</f>
        <v>49648182.93134956</v>
      </c>
      <c r="I50" s="125">
        <f>+'Other inputs &amp; calcs'!E55</f>
        <v>0.68828</v>
      </c>
      <c r="J50" s="204">
        <f>SUM(J48:J49)</f>
        <v>-3839231.5386505043</v>
      </c>
      <c r="K50" s="186"/>
      <c r="L50" s="73"/>
      <c r="M50" s="108"/>
      <c r="N50" s="108"/>
    </row>
    <row r="51" spans="1:14" ht="12.75">
      <c r="A51" s="168">
        <f t="shared" si="0"/>
        <v>43</v>
      </c>
      <c r="B51" s="78"/>
      <c r="C51" s="78"/>
      <c r="E51" s="72"/>
      <c r="F51" s="108"/>
      <c r="H51" s="102"/>
      <c r="I51" s="125"/>
      <c r="J51" s="102"/>
      <c r="K51" s="186"/>
      <c r="L51" s="73"/>
      <c r="M51" s="108"/>
      <c r="N51" s="108"/>
    </row>
    <row r="52" spans="1:14" ht="12.75">
      <c r="A52" s="168">
        <f t="shared" si="0"/>
        <v>44</v>
      </c>
      <c r="B52" s="68" t="s">
        <v>31</v>
      </c>
      <c r="C52" s="68"/>
      <c r="D52" s="109"/>
      <c r="E52" s="110">
        <f>+E50+E46</f>
        <v>59716330.81000009</v>
      </c>
      <c r="F52" s="85">
        <f>+F50</f>
        <v>72133699.84795368</v>
      </c>
      <c r="H52" s="110">
        <f>+H50+H46</f>
        <v>57389526.54135125</v>
      </c>
      <c r="I52" s="86">
        <f>+H52/F52</f>
        <v>0.7955993753588019</v>
      </c>
      <c r="J52" s="110">
        <f>+H52-E52</f>
        <v>-2326804.2686488405</v>
      </c>
      <c r="K52" s="186"/>
      <c r="L52" s="73"/>
      <c r="M52" s="108"/>
      <c r="N52" s="108"/>
    </row>
    <row r="53" spans="2:14" ht="12.75">
      <c r="B53" s="78"/>
      <c r="C53" s="78"/>
      <c r="F53" s="108"/>
      <c r="G53" s="108"/>
      <c r="H53" s="108"/>
      <c r="I53" s="108"/>
      <c r="J53" s="108"/>
      <c r="K53" s="186"/>
      <c r="L53" s="186"/>
      <c r="M53" s="108"/>
      <c r="N53" s="108"/>
    </row>
    <row r="54" spans="2:14" ht="12.75">
      <c r="B54" s="78"/>
      <c r="C54" s="78"/>
      <c r="D54" s="124"/>
      <c r="E54" s="201"/>
      <c r="F54" s="108"/>
      <c r="G54" s="108"/>
      <c r="H54" s="201"/>
      <c r="I54" s="108"/>
      <c r="J54" s="201"/>
      <c r="K54" s="186"/>
      <c r="L54" s="186"/>
      <c r="M54" s="108"/>
      <c r="N54" s="108"/>
    </row>
    <row r="55" spans="2:14" ht="12.75">
      <c r="B55" s="68"/>
      <c r="C55" s="68"/>
      <c r="D55" s="126"/>
      <c r="E55" s="125"/>
      <c r="F55" s="126"/>
      <c r="G55" s="126"/>
      <c r="H55" s="200"/>
      <c r="I55" s="189"/>
      <c r="J55" s="190"/>
      <c r="K55" s="186"/>
      <c r="L55" s="186"/>
      <c r="M55" s="108"/>
      <c r="N55" s="108"/>
    </row>
    <row r="56" spans="2:14" ht="12.75">
      <c r="B56" s="78"/>
      <c r="C56" s="78"/>
      <c r="D56" s="108"/>
      <c r="E56" s="102"/>
      <c r="F56" s="108"/>
      <c r="G56" s="108"/>
      <c r="H56" s="190"/>
      <c r="I56" s="191"/>
      <c r="J56" s="190"/>
      <c r="K56" s="186"/>
      <c r="L56" s="186"/>
      <c r="M56" s="108"/>
      <c r="N56" s="108"/>
    </row>
    <row r="57" spans="4:14" ht="12.75">
      <c r="D57" s="124"/>
      <c r="E57" s="102"/>
      <c r="F57" s="124"/>
      <c r="G57" s="125"/>
      <c r="H57" s="190"/>
      <c r="I57" s="190"/>
      <c r="J57" s="190"/>
      <c r="K57" s="186"/>
      <c r="L57" s="186"/>
      <c r="M57" s="108"/>
      <c r="N57" s="108"/>
    </row>
    <row r="58" spans="2:14" ht="12.75">
      <c r="B58" s="78"/>
      <c r="C58" s="78"/>
      <c r="D58" s="108"/>
      <c r="E58" s="125"/>
      <c r="F58" s="108"/>
      <c r="G58" s="125"/>
      <c r="H58" s="190"/>
      <c r="I58" s="190"/>
      <c r="J58" s="190"/>
      <c r="K58" s="186"/>
      <c r="L58" s="186"/>
      <c r="M58" s="108"/>
      <c r="N58" s="108"/>
    </row>
    <row r="59" spans="4:12" ht="12.75">
      <c r="D59" s="88"/>
      <c r="E59" s="102"/>
      <c r="F59" s="124"/>
      <c r="G59" s="125"/>
      <c r="H59" s="192"/>
      <c r="I59" s="190"/>
      <c r="J59" s="190"/>
      <c r="K59" s="186"/>
      <c r="L59" s="186"/>
    </row>
    <row r="60" spans="4:12" ht="12.75">
      <c r="D60" s="108"/>
      <c r="E60" s="108"/>
      <c r="F60" s="108"/>
      <c r="G60" s="108"/>
      <c r="H60" s="158"/>
      <c r="I60" s="191"/>
      <c r="J60" s="191"/>
      <c r="K60" s="186"/>
      <c r="L60" s="186"/>
    </row>
    <row r="61" spans="4:12" ht="12.75">
      <c r="D61" s="108"/>
      <c r="E61" s="108"/>
      <c r="F61" s="108"/>
      <c r="G61" s="108"/>
      <c r="H61" s="191"/>
      <c r="I61" s="191"/>
      <c r="J61" s="191"/>
      <c r="K61" s="186"/>
      <c r="L61" s="186"/>
    </row>
    <row r="62" spans="8:10" ht="12.75">
      <c r="H62" s="131"/>
      <c r="I62" s="131"/>
      <c r="J62" s="131"/>
    </row>
    <row r="63" spans="8:10" ht="12.75">
      <c r="H63" s="131"/>
      <c r="I63" s="131"/>
      <c r="J63" s="131"/>
    </row>
    <row r="64" spans="8:10" ht="12.75">
      <c r="H64" s="131"/>
      <c r="I64" s="131"/>
      <c r="J64" s="131"/>
    </row>
    <row r="65" spans="8:10" ht="12.75">
      <c r="H65" s="131"/>
      <c r="I65" s="131"/>
      <c r="J65" s="131"/>
    </row>
  </sheetData>
  <sheetProtection/>
  <printOptions horizontalCentered="1"/>
  <pageMargins left="0.5" right="0.5" top="0.5" bottom="0.5" header="0.25" footer="0.25"/>
  <pageSetup fitToHeight="1" fitToWidth="1" horizontalDpi="600" verticalDpi="600" orientation="landscape" scale="80" r:id="rId1"/>
  <headerFooter alignWithMargins="0">
    <oddFooter>&amp;C&amp;"Tahoma,Regular"&amp;8&amp;F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"/>
  <sheetViews>
    <sheetView zoomScalePageLayoutView="0" workbookViewId="0" topLeftCell="A1">
      <selection activeCell="D35" sqref="D35"/>
    </sheetView>
  </sheetViews>
  <sheetFormatPr defaultColWidth="8.8515625" defaultRowHeight="12.75"/>
  <cols>
    <col min="1" max="2" width="8.8515625" style="64" customWidth="1"/>
    <col min="3" max="3" width="24.7109375" style="64" customWidth="1"/>
    <col min="4" max="11" width="14.7109375" style="64" customWidth="1"/>
    <col min="12" max="22" width="13.7109375" style="64" customWidth="1"/>
    <col min="23" max="16384" width="8.8515625" style="64" customWidth="1"/>
  </cols>
  <sheetData>
    <row r="1" ht="12.75">
      <c r="A1" s="36" t="s">
        <v>79</v>
      </c>
    </row>
    <row r="2" ht="12.75">
      <c r="A2" s="42" t="s">
        <v>84</v>
      </c>
    </row>
    <row r="3" ht="12.75">
      <c r="A3" s="36" t="s">
        <v>85</v>
      </c>
    </row>
    <row r="4" ht="12.75">
      <c r="A4" s="96" t="s">
        <v>114</v>
      </c>
    </row>
    <row r="7" ht="12.75">
      <c r="B7" s="36"/>
    </row>
    <row r="8" ht="12.75">
      <c r="B8" s="36"/>
    </row>
    <row r="9" ht="12.75">
      <c r="B9" s="36"/>
    </row>
    <row r="10" spans="1:2" ht="12.75">
      <c r="A10" s="150">
        <v>1</v>
      </c>
      <c r="B10" s="127" t="s">
        <v>116</v>
      </c>
    </row>
    <row r="11" spans="1:2" ht="12.75">
      <c r="A11" s="150">
        <f>+A10+1</f>
        <v>2</v>
      </c>
      <c r="B11" s="36"/>
    </row>
    <row r="12" spans="1:6" ht="12.75">
      <c r="A12" s="150">
        <f>+A11+1</f>
        <v>3</v>
      </c>
      <c r="B12" s="149" t="s">
        <v>32</v>
      </c>
      <c r="F12" s="149" t="s">
        <v>132</v>
      </c>
    </row>
    <row r="13" spans="1:8" ht="12.75">
      <c r="A13" s="150">
        <f aca="true" t="shared" si="0" ref="A13:A29">+A12+1</f>
        <v>4</v>
      </c>
      <c r="B13" s="164" t="s">
        <v>17</v>
      </c>
      <c r="D13" s="132">
        <v>42299885.46625907</v>
      </c>
      <c r="F13" s="64" t="s">
        <v>126</v>
      </c>
      <c r="G13" s="132">
        <v>367014</v>
      </c>
      <c r="H13" s="131"/>
    </row>
    <row r="14" spans="1:8" ht="12.75">
      <c r="A14" s="150">
        <f t="shared" si="0"/>
        <v>5</v>
      </c>
      <c r="B14" s="164" t="s">
        <v>18</v>
      </c>
      <c r="D14" s="132">
        <v>20273009.781694617</v>
      </c>
      <c r="F14" s="64" t="s">
        <v>127</v>
      </c>
      <c r="G14" s="132">
        <v>569922.6</v>
      </c>
      <c r="H14" s="131"/>
    </row>
    <row r="15" spans="1:8" ht="12.75">
      <c r="A15" s="150">
        <f t="shared" si="0"/>
        <v>6</v>
      </c>
      <c r="B15" s="164" t="s">
        <v>19</v>
      </c>
      <c r="D15" s="132">
        <f>SUM(G13:G15)</f>
        <v>3275414.6</v>
      </c>
      <c r="F15" s="64" t="s">
        <v>128</v>
      </c>
      <c r="G15" s="132">
        <v>2338478</v>
      </c>
      <c r="H15" s="131"/>
    </row>
    <row r="16" spans="1:8" ht="12.75">
      <c r="A16" s="150">
        <f t="shared" si="0"/>
        <v>7</v>
      </c>
      <c r="B16" s="164" t="s">
        <v>20</v>
      </c>
      <c r="D16" s="132">
        <f>+G16</f>
        <v>6285390</v>
      </c>
      <c r="F16" s="64" t="s">
        <v>129</v>
      </c>
      <c r="G16" s="132">
        <v>6285390</v>
      </c>
      <c r="H16" s="131"/>
    </row>
    <row r="17" spans="1:8" ht="12.75">
      <c r="A17" s="150">
        <f t="shared" si="0"/>
        <v>8</v>
      </c>
      <c r="B17" s="164"/>
      <c r="D17" s="153">
        <f>SUM(D13:D16)</f>
        <v>72133699.84795368</v>
      </c>
      <c r="F17" s="64" t="s">
        <v>130</v>
      </c>
      <c r="G17" s="132">
        <v>3806659</v>
      </c>
      <c r="H17" s="131"/>
    </row>
    <row r="18" spans="1:8" ht="12.75">
      <c r="A18" s="150">
        <f t="shared" si="0"/>
        <v>9</v>
      </c>
      <c r="B18" s="165" t="s">
        <v>34</v>
      </c>
      <c r="D18" s="132"/>
      <c r="F18" s="64" t="s">
        <v>131</v>
      </c>
      <c r="G18" s="134">
        <v>3656057.2</v>
      </c>
      <c r="H18" s="131"/>
    </row>
    <row r="19" spans="1:8" ht="12.75">
      <c r="A19" s="150">
        <f t="shared" si="0"/>
        <v>10</v>
      </c>
      <c r="B19" s="164" t="s">
        <v>36</v>
      </c>
      <c r="D19" s="132">
        <f>+G17</f>
        <v>3806659</v>
      </c>
      <c r="G19" s="131">
        <f>SUM(G13:G18)</f>
        <v>17023520.8</v>
      </c>
      <c r="H19" s="131"/>
    </row>
    <row r="20" spans="1:4" ht="12.75">
      <c r="A20" s="150">
        <f t="shared" si="0"/>
        <v>11</v>
      </c>
      <c r="B20" s="164" t="s">
        <v>37</v>
      </c>
      <c r="D20" s="132">
        <f>+G18</f>
        <v>3656057.2</v>
      </c>
    </row>
    <row r="21" spans="1:4" ht="12.75">
      <c r="A21" s="150">
        <f t="shared" si="0"/>
        <v>12</v>
      </c>
      <c r="B21" s="164" t="s">
        <v>33</v>
      </c>
      <c r="D21" s="132">
        <v>5977188</v>
      </c>
    </row>
    <row r="22" spans="1:4" ht="12.75">
      <c r="A22" s="150">
        <f t="shared" si="0"/>
        <v>13</v>
      </c>
      <c r="B22" s="36"/>
      <c r="D22" s="153">
        <f>SUM(D19:D21)</f>
        <v>13439904.2</v>
      </c>
    </row>
    <row r="23" ht="12.75">
      <c r="A23" s="150">
        <f t="shared" si="0"/>
        <v>14</v>
      </c>
    </row>
    <row r="24" spans="1:3" ht="12.75">
      <c r="A24" s="150">
        <f t="shared" si="0"/>
        <v>15</v>
      </c>
      <c r="B24" s="127" t="s">
        <v>89</v>
      </c>
      <c r="C24" s="127"/>
    </row>
    <row r="25" ht="12.75">
      <c r="A25" s="150">
        <f t="shared" si="0"/>
        <v>16</v>
      </c>
    </row>
    <row r="26" spans="1:3" ht="12.75">
      <c r="A26" s="150">
        <f t="shared" si="0"/>
        <v>17</v>
      </c>
      <c r="C26" s="64" t="s">
        <v>87</v>
      </c>
    </row>
    <row r="27" spans="1:5" ht="12.75">
      <c r="A27" s="150">
        <f t="shared" si="0"/>
        <v>18</v>
      </c>
      <c r="D27" s="135" t="s">
        <v>88</v>
      </c>
      <c r="E27" s="135" t="s">
        <v>8</v>
      </c>
    </row>
    <row r="28" spans="1:5" ht="12.75">
      <c r="A28" s="150">
        <f t="shared" si="0"/>
        <v>19</v>
      </c>
      <c r="C28" s="64" t="s">
        <v>91</v>
      </c>
      <c r="D28" s="132">
        <v>18.302999999999884</v>
      </c>
      <c r="E28" s="131">
        <f>+D28*1000</f>
        <v>18302.999999999884</v>
      </c>
    </row>
    <row r="29" spans="1:5" ht="12.75">
      <c r="A29" s="150">
        <f t="shared" si="0"/>
        <v>20</v>
      </c>
      <c r="C29" s="64" t="s">
        <v>92</v>
      </c>
      <c r="D29" s="132">
        <v>601.961999999985</v>
      </c>
      <c r="E29" s="131">
        <f aca="true" t="shared" si="1" ref="E29:E39">+D29*1000</f>
        <v>601961.999999985</v>
      </c>
    </row>
    <row r="30" spans="1:5" ht="12.75">
      <c r="A30" s="150">
        <f aca="true" t="shared" si="2" ref="A30:A71">+A29+1</f>
        <v>21</v>
      </c>
      <c r="C30" s="64" t="s">
        <v>93</v>
      </c>
      <c r="D30" s="132">
        <v>1946.3499999999767</v>
      </c>
      <c r="E30" s="131">
        <f t="shared" si="1"/>
        <v>1946349.9999999767</v>
      </c>
    </row>
    <row r="31" spans="1:5" ht="12.75">
      <c r="A31" s="150">
        <f t="shared" si="2"/>
        <v>22</v>
      </c>
      <c r="C31" s="64" t="s">
        <v>94</v>
      </c>
      <c r="D31" s="132">
        <v>1059.771000000008</v>
      </c>
      <c r="E31" s="131">
        <f t="shared" si="1"/>
        <v>1059771.000000008</v>
      </c>
    </row>
    <row r="32" spans="1:5" ht="12.75">
      <c r="A32" s="150">
        <f t="shared" si="2"/>
        <v>23</v>
      </c>
      <c r="C32" s="64" t="s">
        <v>95</v>
      </c>
      <c r="D32" s="132">
        <v>-127.20000000001164</v>
      </c>
      <c r="E32" s="131">
        <f t="shared" si="1"/>
        <v>-127200.00000001164</v>
      </c>
    </row>
    <row r="33" spans="1:5" ht="12.75">
      <c r="A33" s="150">
        <f t="shared" si="2"/>
        <v>24</v>
      </c>
      <c r="C33" s="64" t="s">
        <v>96</v>
      </c>
      <c r="D33" s="132">
        <v>407.09999999999127</v>
      </c>
      <c r="E33" s="131">
        <f t="shared" si="1"/>
        <v>407099.99999999127</v>
      </c>
    </row>
    <row r="34" spans="1:5" ht="12.75">
      <c r="A34" s="150">
        <f t="shared" si="2"/>
        <v>25</v>
      </c>
      <c r="C34" s="64" t="s">
        <v>97</v>
      </c>
      <c r="D34" s="132">
        <v>-638.8999999999942</v>
      </c>
      <c r="E34" s="131">
        <f t="shared" si="1"/>
        <v>-638899.9999999942</v>
      </c>
    </row>
    <row r="35" spans="1:5" ht="12.75">
      <c r="A35" s="150">
        <f t="shared" si="2"/>
        <v>26</v>
      </c>
      <c r="C35" s="64" t="s">
        <v>86</v>
      </c>
      <c r="D35" s="132">
        <v>1251.6000000000058</v>
      </c>
      <c r="E35" s="131">
        <f t="shared" si="1"/>
        <v>1251600.0000000058</v>
      </c>
    </row>
    <row r="36" spans="1:5" ht="12.75">
      <c r="A36" s="150">
        <f t="shared" si="2"/>
        <v>27</v>
      </c>
      <c r="C36" s="64" t="s">
        <v>98</v>
      </c>
      <c r="D36" s="132">
        <v>76.70000000000437</v>
      </c>
      <c r="E36" s="131">
        <f t="shared" si="1"/>
        <v>76700.00000000437</v>
      </c>
    </row>
    <row r="37" spans="1:5" ht="12.75">
      <c r="A37" s="150">
        <f t="shared" si="2"/>
        <v>28</v>
      </c>
      <c r="C37" s="64" t="s">
        <v>99</v>
      </c>
      <c r="D37" s="132">
        <v>-772.0599999999977</v>
      </c>
      <c r="E37" s="131">
        <f t="shared" si="1"/>
        <v>-772059.9999999977</v>
      </c>
    </row>
    <row r="38" spans="1:5" ht="12.75">
      <c r="A38" s="150">
        <f t="shared" si="2"/>
        <v>29</v>
      </c>
      <c r="C38" s="64" t="s">
        <v>100</v>
      </c>
      <c r="D38" s="132">
        <v>-742.3470000000016</v>
      </c>
      <c r="E38" s="131">
        <f t="shared" si="1"/>
        <v>-742347.0000000016</v>
      </c>
    </row>
    <row r="39" spans="1:5" ht="12.75">
      <c r="A39" s="150">
        <f t="shared" si="2"/>
        <v>30</v>
      </c>
      <c r="C39" s="64" t="s">
        <v>101</v>
      </c>
      <c r="D39" s="134">
        <v>93.56100000000879</v>
      </c>
      <c r="E39" s="133">
        <f t="shared" si="1"/>
        <v>93561.00000000879</v>
      </c>
    </row>
    <row r="40" spans="1:5" ht="12.75">
      <c r="A40" s="150">
        <f t="shared" si="2"/>
        <v>31</v>
      </c>
      <c r="D40" s="131">
        <f>SUM(D28:D39)</f>
        <v>3174.8399999999747</v>
      </c>
      <c r="E40" s="131">
        <f>SUM(E28:E39)</f>
        <v>3174839.9999999753</v>
      </c>
    </row>
    <row r="41" spans="1:4" ht="12.75">
      <c r="A41" s="150">
        <f t="shared" si="2"/>
        <v>32</v>
      </c>
      <c r="D41" s="131"/>
    </row>
    <row r="42" spans="1:5" ht="12.75">
      <c r="A42" s="150">
        <f t="shared" si="2"/>
        <v>33</v>
      </c>
      <c r="C42" s="64" t="s">
        <v>90</v>
      </c>
      <c r="D42" s="131"/>
      <c r="E42" s="136">
        <v>0.07203569642021299</v>
      </c>
    </row>
    <row r="43" spans="1:20" ht="12.75">
      <c r="A43" s="150">
        <f t="shared" si="2"/>
        <v>34</v>
      </c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</row>
    <row r="44" spans="1:5" ht="13.5" thickBot="1">
      <c r="A44" s="150">
        <f t="shared" si="2"/>
        <v>35</v>
      </c>
      <c r="C44" s="64" t="s">
        <v>102</v>
      </c>
      <c r="E44" s="137">
        <f>ROUND(E40*E42,0)</f>
        <v>228702</v>
      </c>
    </row>
    <row r="45" spans="1:5" ht="13.5" thickTop="1">
      <c r="A45" s="150">
        <f t="shared" si="2"/>
        <v>36</v>
      </c>
      <c r="E45" s="90"/>
    </row>
    <row r="46" spans="1:5" ht="12.75">
      <c r="A46" s="150">
        <f t="shared" si="2"/>
        <v>37</v>
      </c>
      <c r="C46" s="64" t="s">
        <v>136</v>
      </c>
      <c r="E46" s="174">
        <v>0.00474</v>
      </c>
    </row>
    <row r="47" ht="12.75">
      <c r="A47" s="150">
        <f t="shared" si="2"/>
        <v>38</v>
      </c>
    </row>
    <row r="48" ht="12.75">
      <c r="A48" s="150">
        <f t="shared" si="2"/>
        <v>39</v>
      </c>
    </row>
    <row r="49" spans="1:8" ht="12.75">
      <c r="A49" s="150">
        <f t="shared" si="2"/>
        <v>40</v>
      </c>
      <c r="B49" s="127" t="s">
        <v>26</v>
      </c>
      <c r="D49" s="65" t="s">
        <v>123</v>
      </c>
      <c r="E49" s="65" t="s">
        <v>124</v>
      </c>
      <c r="H49" s="108"/>
    </row>
    <row r="50" spans="1:8" ht="12.75">
      <c r="A50" s="150">
        <f t="shared" si="2"/>
        <v>41</v>
      </c>
      <c r="D50" s="135" t="s">
        <v>121</v>
      </c>
      <c r="E50" s="135" t="s">
        <v>121</v>
      </c>
      <c r="F50" s="135" t="s">
        <v>8</v>
      </c>
      <c r="G50" s="135" t="s">
        <v>104</v>
      </c>
      <c r="H50" s="108"/>
    </row>
    <row r="51" spans="1:8" ht="12.75">
      <c r="A51" s="150">
        <f t="shared" si="2"/>
        <v>42</v>
      </c>
      <c r="C51" s="64" t="s">
        <v>30</v>
      </c>
      <c r="D51" s="138">
        <v>0.11887</v>
      </c>
      <c r="E51" s="138">
        <v>0.11377</v>
      </c>
      <c r="F51" s="154">
        <f>+SUM(Summary!F13:F15)</f>
        <v>65848309.847953685</v>
      </c>
      <c r="G51" s="142">
        <f>+F51*E51</f>
        <v>7491562.211401691</v>
      </c>
      <c r="H51" s="154"/>
    </row>
    <row r="52" spans="1:8" ht="12.75">
      <c r="A52" s="150">
        <f t="shared" si="2"/>
        <v>43</v>
      </c>
      <c r="C52" s="64" t="s">
        <v>38</v>
      </c>
      <c r="D52" s="138">
        <v>0.04152</v>
      </c>
      <c r="E52" s="138">
        <v>0.03974</v>
      </c>
      <c r="F52" s="139">
        <f>+Summary!F16</f>
        <v>6285390</v>
      </c>
      <c r="G52" s="143">
        <f>+F52*E52</f>
        <v>249781.3986</v>
      </c>
      <c r="H52" s="154"/>
    </row>
    <row r="53" spans="1:8" ht="12.75">
      <c r="A53" s="150">
        <f t="shared" si="2"/>
        <v>44</v>
      </c>
      <c r="C53" s="138"/>
      <c r="F53" s="140">
        <f>SUM(F51:F52)</f>
        <v>72133699.84795368</v>
      </c>
      <c r="G53" s="142">
        <f>SUM(G51:G52)</f>
        <v>7741343.610001691</v>
      </c>
      <c r="H53" s="154"/>
    </row>
    <row r="54" spans="1:7" ht="12.75">
      <c r="A54" s="150">
        <f t="shared" si="2"/>
        <v>45</v>
      </c>
      <c r="C54" s="138"/>
      <c r="F54" s="140"/>
      <c r="G54" s="142"/>
    </row>
    <row r="55" spans="1:8" ht="12.75">
      <c r="A55" s="150">
        <f t="shared" si="2"/>
        <v>46</v>
      </c>
      <c r="C55" s="82" t="s">
        <v>125</v>
      </c>
      <c r="D55" s="138">
        <v>0.71915</v>
      </c>
      <c r="E55" s="138">
        <v>0.68828</v>
      </c>
      <c r="F55" s="175"/>
      <c r="G55" s="175"/>
      <c r="H55" s="176"/>
    </row>
    <row r="56" spans="1:8" ht="12.75">
      <c r="A56" s="150">
        <f t="shared" si="2"/>
        <v>47</v>
      </c>
      <c r="F56" s="175"/>
      <c r="G56" s="175"/>
      <c r="H56" s="176"/>
    </row>
    <row r="57" spans="1:7" ht="12.75">
      <c r="A57" s="150">
        <f t="shared" si="2"/>
        <v>48</v>
      </c>
      <c r="C57" s="149" t="s">
        <v>113</v>
      </c>
      <c r="F57" s="141"/>
      <c r="G57" s="141"/>
    </row>
    <row r="58" spans="1:7" ht="12.75">
      <c r="A58" s="150">
        <f t="shared" si="2"/>
        <v>49</v>
      </c>
      <c r="C58" s="79"/>
      <c r="F58" s="141"/>
      <c r="G58" s="141"/>
    </row>
    <row r="59" spans="1:4" ht="12.75">
      <c r="A59" s="150">
        <f t="shared" si="2"/>
        <v>50</v>
      </c>
      <c r="C59" s="64" t="s">
        <v>39</v>
      </c>
      <c r="D59" s="145">
        <v>48872110.260000065</v>
      </c>
    </row>
    <row r="60" spans="1:4" ht="12.75">
      <c r="A60" s="150">
        <f t="shared" si="2"/>
        <v>51</v>
      </c>
      <c r="C60" s="64" t="s">
        <v>40</v>
      </c>
      <c r="D60" s="145">
        <v>4868296</v>
      </c>
    </row>
    <row r="61" spans="1:4" ht="12.75">
      <c r="A61" s="150">
        <f t="shared" si="2"/>
        <v>52</v>
      </c>
      <c r="C61" s="64" t="s">
        <v>105</v>
      </c>
      <c r="D61" s="146">
        <v>-252991.79</v>
      </c>
    </row>
    <row r="62" spans="1:4" ht="12.75">
      <c r="A62" s="150">
        <f t="shared" si="2"/>
        <v>53</v>
      </c>
      <c r="D62" s="142">
        <f>SUM(D59:D61)</f>
        <v>53487414.470000066</v>
      </c>
    </row>
    <row r="63" spans="1:4" ht="12.75">
      <c r="A63" s="150">
        <f t="shared" si="2"/>
        <v>54</v>
      </c>
      <c r="D63" s="142"/>
    </row>
    <row r="64" spans="1:4" ht="12.75">
      <c r="A64" s="150">
        <f t="shared" si="2"/>
        <v>55</v>
      </c>
      <c r="C64" s="64" t="s">
        <v>41</v>
      </c>
      <c r="D64" s="145">
        <v>7422779.430000029</v>
      </c>
    </row>
    <row r="65" spans="1:4" ht="12.75">
      <c r="A65" s="150">
        <f t="shared" si="2"/>
        <v>56</v>
      </c>
      <c r="C65" s="64" t="s">
        <v>42</v>
      </c>
      <c r="D65" s="145">
        <v>-300114.2</v>
      </c>
    </row>
    <row r="66" spans="1:4" ht="12.75">
      <c r="A66" s="150">
        <f t="shared" si="2"/>
        <v>57</v>
      </c>
      <c r="C66" s="64" t="s">
        <v>106</v>
      </c>
      <c r="D66" s="146">
        <v>-893748.89</v>
      </c>
    </row>
    <row r="67" spans="1:4" ht="12.75">
      <c r="A67" s="150">
        <f t="shared" si="2"/>
        <v>58</v>
      </c>
      <c r="D67" s="142">
        <f>SUM(D64:D66)</f>
        <v>6228916.340000029</v>
      </c>
    </row>
    <row r="68" spans="1:4" ht="12.75">
      <c r="A68" s="150">
        <f t="shared" si="2"/>
        <v>59</v>
      </c>
      <c r="D68" s="142"/>
    </row>
    <row r="69" spans="1:4" ht="13.5" thickBot="1">
      <c r="A69" s="150">
        <f t="shared" si="2"/>
        <v>60</v>
      </c>
      <c r="D69" s="144">
        <f>+D67+D62</f>
        <v>59716330.81000009</v>
      </c>
    </row>
    <row r="70" spans="1:6" ht="13.5" thickTop="1">
      <c r="A70" s="150">
        <f t="shared" si="2"/>
        <v>61</v>
      </c>
      <c r="F70" s="141"/>
    </row>
    <row r="71" spans="1:6" ht="12.75">
      <c r="A71" s="150">
        <f t="shared" si="2"/>
        <v>62</v>
      </c>
      <c r="D71" s="64" t="s">
        <v>107</v>
      </c>
      <c r="F71" s="141"/>
    </row>
    <row r="72" spans="6:7" ht="12.75">
      <c r="F72" s="141"/>
      <c r="G72" s="141"/>
    </row>
    <row r="73" spans="6:7" ht="12.75">
      <c r="F73" s="141"/>
      <c r="G73" s="141"/>
    </row>
    <row r="74" spans="6:7" ht="12.75">
      <c r="F74" s="141"/>
      <c r="G74" s="141"/>
    </row>
    <row r="75" spans="6:7" ht="12.75">
      <c r="F75" s="141"/>
      <c r="G75" s="141"/>
    </row>
    <row r="76" spans="6:7" ht="12.75">
      <c r="F76" s="141"/>
      <c r="G76" s="141"/>
    </row>
    <row r="77" spans="6:7" ht="12.75">
      <c r="F77" s="141"/>
      <c r="G77" s="141"/>
    </row>
    <row r="78" spans="6:7" ht="12.75">
      <c r="F78" s="141"/>
      <c r="G78" s="141"/>
    </row>
    <row r="79" spans="6:7" ht="12.75">
      <c r="F79" s="141"/>
      <c r="G79" s="141"/>
    </row>
    <row r="80" spans="6:7" ht="12.75">
      <c r="F80" s="141"/>
      <c r="G80" s="141"/>
    </row>
  </sheetData>
  <sheetProtection/>
  <printOptions horizontalCentered="1"/>
  <pageMargins left="0.5" right="0.5" top="0.5" bottom="0.5" header="0.25" footer="0.25"/>
  <pageSetup fitToHeight="1" fitToWidth="1" horizontalDpi="600" verticalDpi="600" orientation="portrait" scale="82" r:id="rId1"/>
  <headerFooter alignWithMargins="0">
    <oddFooter>&amp;C&amp;"Tahoma,Regular"&amp;8&amp;F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7"/>
  <sheetViews>
    <sheetView zoomScalePageLayoutView="0" workbookViewId="0" topLeftCell="A1">
      <pane xSplit="3" ySplit="15" topLeftCell="D16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H16" sqref="H16"/>
    </sheetView>
  </sheetViews>
  <sheetFormatPr defaultColWidth="8.00390625" defaultRowHeight="12.75"/>
  <cols>
    <col min="1" max="1" width="5.8515625" style="1" customWidth="1"/>
    <col min="2" max="2" width="15.28125" style="7" customWidth="1"/>
    <col min="3" max="3" width="8.00390625" style="7" customWidth="1"/>
    <col min="4" max="5" width="11.7109375" style="7" customWidth="1"/>
    <col min="6" max="6" width="11.7109375" style="261" customWidth="1"/>
    <col min="7" max="7" width="10.140625" style="7" customWidth="1"/>
    <col min="8" max="12" width="15.7109375" style="1" customWidth="1"/>
    <col min="13" max="13" width="14.7109375" style="1" customWidth="1"/>
    <col min="14" max="18" width="13.7109375" style="1" customWidth="1"/>
    <col min="19" max="19" width="12.421875" style="1" customWidth="1"/>
    <col min="20" max="16384" width="8.00390625" style="1" customWidth="1"/>
  </cols>
  <sheetData>
    <row r="1" spans="1:11" ht="14.25">
      <c r="A1" s="147" t="s">
        <v>79</v>
      </c>
      <c r="J1" s="219" t="s">
        <v>163</v>
      </c>
      <c r="K1" s="220"/>
    </row>
    <row r="2" spans="1:12" ht="14.25">
      <c r="A2" s="147" t="s">
        <v>110</v>
      </c>
      <c r="J2" s="221" t="s">
        <v>111</v>
      </c>
      <c r="K2" s="222">
        <f>+'Other inputs &amp; calcs'!D13</f>
        <v>42299885.46625907</v>
      </c>
      <c r="L2" s="25"/>
    </row>
    <row r="3" spans="1:12" ht="14.25">
      <c r="A3" s="147" t="s">
        <v>120</v>
      </c>
      <c r="J3" s="221" t="s">
        <v>112</v>
      </c>
      <c r="K3" s="222">
        <f>+'Other inputs &amp; calcs'!D14</f>
        <v>20273009.781694617</v>
      </c>
      <c r="L3" s="25"/>
    </row>
    <row r="4" spans="1:12" ht="12.75">
      <c r="A4" s="1" t="s">
        <v>168</v>
      </c>
      <c r="J4" s="221" t="s">
        <v>126</v>
      </c>
      <c r="K4" s="222">
        <f>+'Other inputs &amp; calcs'!G13</f>
        <v>367014</v>
      </c>
      <c r="L4" s="25"/>
    </row>
    <row r="5" spans="1:12" ht="12.75">
      <c r="A5" s="1" t="s">
        <v>169</v>
      </c>
      <c r="J5" s="221" t="s">
        <v>127</v>
      </c>
      <c r="K5" s="222">
        <f>+'Other inputs &amp; calcs'!G14</f>
        <v>569922.6</v>
      </c>
      <c r="L5" s="25"/>
    </row>
    <row r="6" spans="10:12" ht="12.75">
      <c r="J6" s="221" t="s">
        <v>128</v>
      </c>
      <c r="K6" s="222">
        <f>+'Other inputs &amp; calcs'!G15</f>
        <v>2338478</v>
      </c>
      <c r="L6" s="25"/>
    </row>
    <row r="7" spans="1:12" ht="14.25">
      <c r="A7" s="147"/>
      <c r="J7" s="221" t="s">
        <v>129</v>
      </c>
      <c r="K7" s="222">
        <f>+'Other inputs &amp; calcs'!G16</f>
        <v>6285390</v>
      </c>
      <c r="L7" s="25"/>
    </row>
    <row r="8" spans="2:12" ht="14.25">
      <c r="B8" s="1"/>
      <c r="C8" s="1"/>
      <c r="D8" s="1"/>
      <c r="E8" s="1"/>
      <c r="F8" s="262"/>
      <c r="G8" s="9"/>
      <c r="J8" s="221" t="s">
        <v>130</v>
      </c>
      <c r="K8" s="222">
        <f>+'Other inputs &amp; calcs'!G17</f>
        <v>3806659</v>
      </c>
      <c r="L8" s="25"/>
    </row>
    <row r="9" spans="2:12" s="2" customFormat="1" ht="14.25">
      <c r="B9" s="10"/>
      <c r="C9" s="10"/>
      <c r="D9" s="10"/>
      <c r="E9" s="10"/>
      <c r="F9" s="263"/>
      <c r="G9" s="151"/>
      <c r="J9" s="221" t="s">
        <v>131</v>
      </c>
      <c r="K9" s="222">
        <f>+'Other inputs &amp; calcs'!G18</f>
        <v>3656057.2</v>
      </c>
      <c r="L9" s="25"/>
    </row>
    <row r="10" spans="1:12" ht="13.5" thickBot="1">
      <c r="A10" s="4">
        <v>1</v>
      </c>
      <c r="F10" s="263" t="s">
        <v>172</v>
      </c>
      <c r="G10" s="11"/>
      <c r="J10" s="223"/>
      <c r="K10" s="224">
        <f>SUM(K2:K9)</f>
        <v>79596416.04795368</v>
      </c>
      <c r="L10" s="25"/>
    </row>
    <row r="11" spans="1:17" ht="12.75">
      <c r="A11" s="4">
        <f>+A10+1</f>
        <v>2</v>
      </c>
      <c r="D11" s="12"/>
      <c r="E11" s="11" t="s">
        <v>43</v>
      </c>
      <c r="F11" s="264">
        <v>39387</v>
      </c>
      <c r="G11" s="12"/>
      <c r="H11" s="4" t="s">
        <v>141</v>
      </c>
      <c r="M11" s="4" t="s">
        <v>184</v>
      </c>
      <c r="N11" s="4"/>
      <c r="O11" s="4" t="s">
        <v>167</v>
      </c>
      <c r="P11" s="4" t="s">
        <v>20</v>
      </c>
      <c r="Q11" s="4" t="s">
        <v>46</v>
      </c>
    </row>
    <row r="12" spans="1:17" ht="12.75">
      <c r="A12" s="4">
        <f aca="true" t="shared" si="0" ref="A12:A75">+A11+1</f>
        <v>3</v>
      </c>
      <c r="D12" s="11" t="s">
        <v>44</v>
      </c>
      <c r="E12" s="11" t="s">
        <v>45</v>
      </c>
      <c r="F12" s="263" t="s">
        <v>115</v>
      </c>
      <c r="G12" s="11"/>
      <c r="H12" s="4" t="s">
        <v>108</v>
      </c>
      <c r="I12" s="4" t="s">
        <v>109</v>
      </c>
      <c r="J12" s="4" t="s">
        <v>171</v>
      </c>
      <c r="K12" s="4" t="s">
        <v>170</v>
      </c>
      <c r="L12" s="4" t="s">
        <v>182</v>
      </c>
      <c r="M12" s="4" t="s">
        <v>150</v>
      </c>
      <c r="N12" s="4" t="s">
        <v>164</v>
      </c>
      <c r="O12" s="4" t="s">
        <v>166</v>
      </c>
      <c r="P12" s="4" t="s">
        <v>166</v>
      </c>
      <c r="Q12" s="4" t="s">
        <v>2</v>
      </c>
    </row>
    <row r="13" spans="1:17" s="3" customFormat="1" ht="13.5" thickBot="1">
      <c r="A13" s="4">
        <f t="shared" si="0"/>
        <v>4</v>
      </c>
      <c r="B13" s="7"/>
      <c r="C13" s="7"/>
      <c r="D13" s="13" t="s">
        <v>47</v>
      </c>
      <c r="E13" s="13" t="s">
        <v>48</v>
      </c>
      <c r="F13" s="265" t="s">
        <v>6</v>
      </c>
      <c r="G13" s="5"/>
      <c r="H13" s="13" t="s">
        <v>81</v>
      </c>
      <c r="I13" s="13" t="s">
        <v>81</v>
      </c>
      <c r="J13" s="13" t="s">
        <v>48</v>
      </c>
      <c r="K13" s="13" t="s">
        <v>48</v>
      </c>
      <c r="L13" s="13" t="s">
        <v>183</v>
      </c>
      <c r="M13" s="13" t="s">
        <v>82</v>
      </c>
      <c r="N13" s="13" t="s">
        <v>165</v>
      </c>
      <c r="O13" s="13" t="s">
        <v>165</v>
      </c>
      <c r="P13" s="13" t="s">
        <v>165</v>
      </c>
      <c r="Q13" s="13" t="s">
        <v>9</v>
      </c>
    </row>
    <row r="14" spans="1:21" s="3" customFormat="1" ht="12.75">
      <c r="A14" s="4">
        <f t="shared" si="0"/>
        <v>5</v>
      </c>
      <c r="B14" s="4" t="s">
        <v>12</v>
      </c>
      <c r="C14" s="4" t="s">
        <v>13</v>
      </c>
      <c r="D14" s="4" t="s">
        <v>14</v>
      </c>
      <c r="E14" s="4" t="s">
        <v>14</v>
      </c>
      <c r="F14" s="23" t="s">
        <v>151</v>
      </c>
      <c r="G14" s="4"/>
      <c r="H14" s="4" t="s">
        <v>152</v>
      </c>
      <c r="I14" s="4" t="s">
        <v>15</v>
      </c>
      <c r="J14" s="4" t="s">
        <v>16</v>
      </c>
      <c r="K14" s="4" t="s">
        <v>153</v>
      </c>
      <c r="L14" s="4" t="s">
        <v>154</v>
      </c>
      <c r="M14" s="4" t="s">
        <v>155</v>
      </c>
      <c r="N14" s="4" t="s">
        <v>156</v>
      </c>
      <c r="O14" s="4" t="s">
        <v>157</v>
      </c>
      <c r="P14" s="4" t="s">
        <v>158</v>
      </c>
      <c r="Q14" s="4" t="s">
        <v>160</v>
      </c>
      <c r="R14" s="4"/>
      <c r="S14" s="4"/>
      <c r="T14" s="4"/>
      <c r="U14" s="4"/>
    </row>
    <row r="15" spans="1:17" s="3" customFormat="1" ht="12.75">
      <c r="A15" s="4">
        <f t="shared" si="0"/>
        <v>6</v>
      </c>
      <c r="B15" s="14" t="s">
        <v>49</v>
      </c>
      <c r="C15" s="15" t="s">
        <v>47</v>
      </c>
      <c r="D15" s="16"/>
      <c r="E15" s="16"/>
      <c r="F15" s="266"/>
      <c r="G15" s="5"/>
      <c r="H15" s="232" t="s">
        <v>173</v>
      </c>
      <c r="I15" s="232" t="s">
        <v>173</v>
      </c>
      <c r="J15" s="232" t="s">
        <v>174</v>
      </c>
      <c r="K15" s="232" t="s">
        <v>174</v>
      </c>
      <c r="L15" s="232" t="s">
        <v>174</v>
      </c>
      <c r="M15" s="232" t="s">
        <v>174</v>
      </c>
      <c r="N15" s="232" t="s">
        <v>174</v>
      </c>
      <c r="O15" s="232" t="s">
        <v>174</v>
      </c>
      <c r="P15" s="232" t="s">
        <v>174</v>
      </c>
      <c r="Q15" s="232" t="s">
        <v>174</v>
      </c>
    </row>
    <row r="16" spans="1:17" ht="12.75">
      <c r="A16" s="4">
        <f t="shared" si="0"/>
        <v>7</v>
      </c>
      <c r="B16" s="18" t="s">
        <v>50</v>
      </c>
      <c r="C16" s="19"/>
      <c r="D16" s="20" t="s">
        <v>51</v>
      </c>
      <c r="E16" s="233">
        <v>2</v>
      </c>
      <c r="F16" s="267">
        <v>0.6776899999999999</v>
      </c>
      <c r="G16" s="28"/>
      <c r="H16" s="6">
        <v>85170</v>
      </c>
      <c r="I16" s="6">
        <f>ROUND($K$2*(H16/(+$H$16+$H$18+$H$22+$H$34)),1)</f>
        <v>83776.7</v>
      </c>
      <c r="J16" s="214">
        <f>+I16*F16</f>
        <v>56774.63182299999</v>
      </c>
      <c r="K16" s="214">
        <f>+'Customer Charge'!U16</f>
        <v>12792</v>
      </c>
      <c r="L16" s="214">
        <f>+'MDDV Dist &amp; Storage'!S13</f>
        <v>0</v>
      </c>
      <c r="M16" s="214">
        <f>+K16+J16+L16</f>
        <v>69566.63182299999</v>
      </c>
      <c r="N16" s="217">
        <f>+I16*'Other inputs &amp; calcs'!$D$55</f>
        <v>60248.013804999995</v>
      </c>
      <c r="O16" s="225">
        <f>+I16*'Other inputs &amp; calcs'!$D$51</f>
        <v>9958.536329</v>
      </c>
      <c r="P16" s="227"/>
      <c r="Q16" s="214">
        <f>SUM(M16:P16)</f>
        <v>139773.181957</v>
      </c>
    </row>
    <row r="17" spans="1:17" ht="12.75">
      <c r="A17" s="4">
        <f t="shared" si="0"/>
        <v>8</v>
      </c>
      <c r="B17" s="18" t="s">
        <v>52</v>
      </c>
      <c r="C17" s="19"/>
      <c r="D17" s="20" t="s">
        <v>51</v>
      </c>
      <c r="E17" s="233">
        <v>2</v>
      </c>
      <c r="F17" s="267">
        <v>0.6776899999999999</v>
      </c>
      <c r="G17" s="28"/>
      <c r="H17" s="6">
        <v>10262</v>
      </c>
      <c r="I17" s="6">
        <f>+ROUND($K$3*((H17/($H$87+$H$86))),1)</f>
        <v>10170.2</v>
      </c>
      <c r="J17" s="214">
        <f>+I17*F17</f>
        <v>6892.242837999999</v>
      </c>
      <c r="K17" s="214">
        <f>+'Customer Charge'!U17</f>
        <v>454</v>
      </c>
      <c r="L17" s="214">
        <f>+'MDDV Dist &amp; Storage'!S14</f>
        <v>0</v>
      </c>
      <c r="M17" s="214">
        <f aca="true" t="shared" si="1" ref="M17:M80">+K17+J17+L17</f>
        <v>7346.242837999999</v>
      </c>
      <c r="N17" s="217">
        <f>+I17*'Other inputs &amp; calcs'!$D$55</f>
        <v>7313.89933</v>
      </c>
      <c r="O17" s="217">
        <f>+I17*'Other inputs &amp; calcs'!$D$51</f>
        <v>1208.9316740000002</v>
      </c>
      <c r="P17" s="227"/>
      <c r="Q17" s="214">
        <f aca="true" t="shared" si="2" ref="Q17:Q80">SUM(M17:P17)</f>
        <v>15869.073841999998</v>
      </c>
    </row>
    <row r="18" spans="1:17" ht="12.75">
      <c r="A18" s="4">
        <f t="shared" si="0"/>
        <v>9</v>
      </c>
      <c r="B18" s="18" t="s">
        <v>53</v>
      </c>
      <c r="C18" s="19"/>
      <c r="D18" s="20" t="s">
        <v>51</v>
      </c>
      <c r="E18" s="233">
        <v>5</v>
      </c>
      <c r="F18" s="267">
        <v>0.3940000000000001</v>
      </c>
      <c r="G18" s="28"/>
      <c r="H18" s="6">
        <v>41953962</v>
      </c>
      <c r="I18" s="6">
        <f>ROUND($K$2*(H18/(+$H$16+$H$18+$H$22+$H$34)),1)</f>
        <v>41267629.2</v>
      </c>
      <c r="J18" s="214">
        <f>+I18*F18</f>
        <v>16259445.904800003</v>
      </c>
      <c r="K18" s="214">
        <f>+'Customer Charge'!U18</f>
        <v>3439910</v>
      </c>
      <c r="L18" s="214">
        <f>+'MDDV Dist &amp; Storage'!S15</f>
        <v>0</v>
      </c>
      <c r="M18" s="214">
        <f t="shared" si="1"/>
        <v>19699355.904800005</v>
      </c>
      <c r="N18" s="217">
        <f>+I18*'Other inputs &amp; calcs'!$D$55</f>
        <v>29677615.53918</v>
      </c>
      <c r="O18" s="217">
        <f>+I18*'Other inputs &amp; calcs'!$D$51</f>
        <v>4905483.083004001</v>
      </c>
      <c r="P18" s="227"/>
      <c r="Q18" s="214">
        <f t="shared" si="2"/>
        <v>54282454.526984006</v>
      </c>
    </row>
    <row r="19" spans="1:17" ht="12.75">
      <c r="A19" s="4">
        <f t="shared" si="0"/>
        <v>10</v>
      </c>
      <c r="B19" s="18" t="s">
        <v>54</v>
      </c>
      <c r="C19" s="19"/>
      <c r="D19" s="20" t="s">
        <v>51</v>
      </c>
      <c r="E19" s="233">
        <v>10.5</v>
      </c>
      <c r="F19" s="267">
        <v>0.41584000000000015</v>
      </c>
      <c r="G19" s="28"/>
      <c r="H19" s="6">
        <v>14693946</v>
      </c>
      <c r="I19" s="6">
        <f>+ROUND($K$3*((H19/($H$87+$H$86))),1)</f>
        <v>14562531.6</v>
      </c>
      <c r="J19" s="214">
        <f>+I19*F19</f>
        <v>6055683.140544002</v>
      </c>
      <c r="K19" s="214">
        <f>+'Customer Charge'!U19</f>
        <v>609567</v>
      </c>
      <c r="L19" s="214">
        <f>+'MDDV Dist &amp; Storage'!S16</f>
        <v>0</v>
      </c>
      <c r="M19" s="214">
        <f t="shared" si="1"/>
        <v>6665250.140544002</v>
      </c>
      <c r="N19" s="217">
        <f>+I19*'Other inputs &amp; calcs'!$D$55</f>
        <v>10472644.60014</v>
      </c>
      <c r="O19" s="217">
        <f>+I19*'Other inputs &amp; calcs'!$D$51</f>
        <v>1731048.131292</v>
      </c>
      <c r="P19" s="227"/>
      <c r="Q19" s="214">
        <f t="shared" si="2"/>
        <v>18868942.871976003</v>
      </c>
    </row>
    <row r="20" spans="1:17" ht="12.75">
      <c r="A20" s="4">
        <f t="shared" si="0"/>
        <v>11</v>
      </c>
      <c r="B20" s="18" t="s">
        <v>55</v>
      </c>
      <c r="C20" s="19"/>
      <c r="D20" s="20" t="s">
        <v>51</v>
      </c>
      <c r="E20" s="233">
        <v>10.5</v>
      </c>
      <c r="F20" s="267">
        <v>0.41584000000000015</v>
      </c>
      <c r="G20" s="28"/>
      <c r="H20" s="6">
        <v>368277</v>
      </c>
      <c r="I20" s="6">
        <f>+K4</f>
        <v>367014</v>
      </c>
      <c r="J20" s="214">
        <f>+I20*F20</f>
        <v>152619.10176000005</v>
      </c>
      <c r="K20" s="214">
        <f>+'Customer Charge'!U20</f>
        <v>1585.5</v>
      </c>
      <c r="L20" s="214">
        <f>+'MDDV Dist &amp; Storage'!S17</f>
        <v>0</v>
      </c>
      <c r="M20" s="214">
        <f t="shared" si="1"/>
        <v>154204.60176000005</v>
      </c>
      <c r="N20" s="217">
        <f>+I20*'Other inputs &amp; calcs'!$D$55</f>
        <v>263938.11809999996</v>
      </c>
      <c r="O20" s="217">
        <f>+I20*'Other inputs &amp; calcs'!$D$51</f>
        <v>43626.95418</v>
      </c>
      <c r="P20" s="227"/>
      <c r="Q20" s="214">
        <f t="shared" si="2"/>
        <v>461769.67404</v>
      </c>
    </row>
    <row r="21" spans="1:17" ht="12.75">
      <c r="A21" s="4">
        <f t="shared" si="0"/>
        <v>12</v>
      </c>
      <c r="B21" s="21" t="s">
        <v>56</v>
      </c>
      <c r="C21" s="19"/>
      <c r="D21" s="20"/>
      <c r="E21" s="233"/>
      <c r="F21" s="267"/>
      <c r="G21" s="28"/>
      <c r="H21" s="6"/>
      <c r="I21" s="6"/>
      <c r="J21" s="214"/>
      <c r="K21" s="214"/>
      <c r="L21" s="214"/>
      <c r="M21" s="214"/>
      <c r="N21" s="217"/>
      <c r="O21" s="217"/>
      <c r="P21" s="227"/>
      <c r="Q21" s="214">
        <f t="shared" si="2"/>
        <v>0</v>
      </c>
    </row>
    <row r="22" spans="1:17" ht="12.75">
      <c r="A22" s="4">
        <f t="shared" si="0"/>
        <v>13</v>
      </c>
      <c r="B22" s="18">
        <v>19</v>
      </c>
      <c r="C22" s="21" t="s">
        <v>57</v>
      </c>
      <c r="D22" s="20" t="s">
        <v>51</v>
      </c>
      <c r="E22" s="234">
        <v>21.56</v>
      </c>
      <c r="F22" s="268">
        <v>5.55</v>
      </c>
      <c r="G22" s="163"/>
      <c r="H22" s="6">
        <v>216</v>
      </c>
      <c r="I22" s="6">
        <f>ROUND($K$2*(H22/(+$H$16+$H$18+$H$22+$H$34)),1)</f>
        <v>212.5</v>
      </c>
      <c r="J22" s="214">
        <f>+I22*F22</f>
        <v>1179.375</v>
      </c>
      <c r="K22" s="214">
        <f>+'Customer Charge'!U22</f>
        <v>560.56</v>
      </c>
      <c r="L22" s="214">
        <f>+'MDDV Dist &amp; Storage'!S19</f>
        <v>0</v>
      </c>
      <c r="M22" s="214">
        <f t="shared" si="1"/>
        <v>1739.935</v>
      </c>
      <c r="N22" s="217">
        <f>+I22*'Other inputs &amp; calcs'!$D$55</f>
        <v>152.81937499999998</v>
      </c>
      <c r="O22" s="217">
        <f>+I22*'Other inputs &amp; calcs'!$D$51</f>
        <v>25.259875</v>
      </c>
      <c r="P22" s="227"/>
      <c r="Q22" s="214">
        <f t="shared" si="2"/>
        <v>1918.01425</v>
      </c>
    </row>
    <row r="23" spans="1:17" ht="12.75">
      <c r="A23" s="4">
        <f t="shared" si="0"/>
        <v>14</v>
      </c>
      <c r="B23" s="18">
        <v>19</v>
      </c>
      <c r="C23" s="21" t="s">
        <v>58</v>
      </c>
      <c r="D23" s="20" t="s">
        <v>51</v>
      </c>
      <c r="E23" s="234">
        <v>20.74</v>
      </c>
      <c r="F23" s="268">
        <v>4.73</v>
      </c>
      <c r="G23" s="22"/>
      <c r="H23" s="6"/>
      <c r="I23" s="6"/>
      <c r="J23" s="214"/>
      <c r="K23" s="214">
        <f>+'Customer Charge'!U23</f>
        <v>0</v>
      </c>
      <c r="L23" s="214">
        <f>+'MDDV Dist &amp; Storage'!S20</f>
        <v>0</v>
      </c>
      <c r="M23" s="214">
        <f t="shared" si="1"/>
        <v>0</v>
      </c>
      <c r="N23" s="217">
        <f>+I23*'Other inputs &amp; calcs'!$D$55</f>
        <v>0</v>
      </c>
      <c r="O23" s="217">
        <f>+I23*'Other inputs &amp; calcs'!$D$51</f>
        <v>0</v>
      </c>
      <c r="P23" s="227"/>
      <c r="Q23" s="214">
        <f t="shared" si="2"/>
        <v>0</v>
      </c>
    </row>
    <row r="24" spans="1:17" ht="12.75">
      <c r="A24" s="4">
        <f t="shared" si="0"/>
        <v>15</v>
      </c>
      <c r="B24" s="23" t="s">
        <v>59</v>
      </c>
      <c r="C24" s="24" t="s">
        <v>60</v>
      </c>
      <c r="D24" s="26">
        <v>500</v>
      </c>
      <c r="E24" s="235">
        <v>209.52</v>
      </c>
      <c r="F24" s="269">
        <v>0</v>
      </c>
      <c r="G24" s="27"/>
      <c r="H24" s="6">
        <v>958147.6</v>
      </c>
      <c r="I24" s="6">
        <f>+ROUND($K$3*((H24/($H$87+$H$86))),1)</f>
        <v>949578.5</v>
      </c>
      <c r="J24" s="214"/>
      <c r="K24" s="214">
        <f>+'Customer Charge'!U24</f>
        <v>416735.27999999997</v>
      </c>
      <c r="L24" s="214">
        <f>+'MDDV Dist &amp; Storage'!S21</f>
        <v>0</v>
      </c>
      <c r="M24" s="214">
        <f t="shared" si="1"/>
        <v>416735.27999999997</v>
      </c>
      <c r="N24" s="217">
        <f>+I24*'Other inputs &amp; calcs'!$D$55</f>
        <v>682889.3782749999</v>
      </c>
      <c r="O24" s="217">
        <f>+I24*'Other inputs &amp; calcs'!$D$51</f>
        <v>112876.396295</v>
      </c>
      <c r="P24" s="227"/>
      <c r="Q24" s="214">
        <f t="shared" si="2"/>
        <v>1212501.05457</v>
      </c>
    </row>
    <row r="25" spans="1:17" ht="12.75">
      <c r="A25" s="4">
        <f t="shared" si="0"/>
        <v>16</v>
      </c>
      <c r="B25" s="23"/>
      <c r="C25" s="24" t="s">
        <v>61</v>
      </c>
      <c r="D25" s="26">
        <v>1500</v>
      </c>
      <c r="E25" s="235"/>
      <c r="F25" s="270">
        <v>0.3378400000000001</v>
      </c>
      <c r="G25" s="28"/>
      <c r="H25" s="6">
        <v>1768675.6</v>
      </c>
      <c r="I25" s="6">
        <f>+ROUND($K$3*((H25/($H$87+$H$86))),1)</f>
        <v>1752857.6</v>
      </c>
      <c r="J25" s="214">
        <f>+I25*F25</f>
        <v>592185.4115840002</v>
      </c>
      <c r="K25" s="214">
        <f>+'Customer Charge'!U25</f>
        <v>0</v>
      </c>
      <c r="L25" s="214">
        <f>+'MDDV Dist &amp; Storage'!S22</f>
        <v>0</v>
      </c>
      <c r="M25" s="214">
        <f t="shared" si="1"/>
        <v>592185.4115840002</v>
      </c>
      <c r="N25" s="217">
        <f>+I25*'Other inputs &amp; calcs'!$D$55</f>
        <v>1260567.54304</v>
      </c>
      <c r="O25" s="217">
        <f>+I25*'Other inputs &amp; calcs'!$D$51</f>
        <v>208362.18291200002</v>
      </c>
      <c r="P25" s="227"/>
      <c r="Q25" s="214">
        <f t="shared" si="2"/>
        <v>2061115.137536</v>
      </c>
    </row>
    <row r="26" spans="1:17" ht="12.75">
      <c r="A26" s="4">
        <f t="shared" si="0"/>
        <v>17</v>
      </c>
      <c r="B26" s="23"/>
      <c r="C26" s="24" t="s">
        <v>62</v>
      </c>
      <c r="D26" s="26">
        <v>98000</v>
      </c>
      <c r="E26" s="235"/>
      <c r="F26" s="270">
        <v>0.3076800000000001</v>
      </c>
      <c r="G26" s="28"/>
      <c r="H26" s="6">
        <v>1554555.8</v>
      </c>
      <c r="I26" s="6">
        <f>+ROUND($K$3*((H26/($H$87+$H$86))),1)</f>
        <v>1540652.7</v>
      </c>
      <c r="J26" s="214">
        <f>+I26*F26</f>
        <v>474028.0227360002</v>
      </c>
      <c r="K26" s="214">
        <f>+'Customer Charge'!U26</f>
        <v>0</v>
      </c>
      <c r="L26" s="214">
        <f>+'MDDV Dist &amp; Storage'!S23</f>
        <v>0</v>
      </c>
      <c r="M26" s="214">
        <f t="shared" si="1"/>
        <v>474028.0227360002</v>
      </c>
      <c r="N26" s="217">
        <f>+I26*'Other inputs &amp; calcs'!$D$55</f>
        <v>1107960.389205</v>
      </c>
      <c r="O26" s="217">
        <f>+I26*'Other inputs &amp; calcs'!$D$51</f>
        <v>183137.386449</v>
      </c>
      <c r="P26" s="227"/>
      <c r="Q26" s="214">
        <f t="shared" si="2"/>
        <v>1765125.7983900001</v>
      </c>
    </row>
    <row r="27" spans="1:17" ht="12.75">
      <c r="A27" s="4">
        <f t="shared" si="0"/>
        <v>18</v>
      </c>
      <c r="B27" s="23"/>
      <c r="C27" s="24" t="s">
        <v>63</v>
      </c>
      <c r="D27" s="26" t="s">
        <v>64</v>
      </c>
      <c r="E27" s="235"/>
      <c r="F27" s="270">
        <v>0.2981599999999999</v>
      </c>
      <c r="G27" s="28"/>
      <c r="H27" s="6">
        <v>0</v>
      </c>
      <c r="I27" s="6">
        <f>+ROUND($K$3*((H27/($H$87+$H$86))),1)</f>
        <v>0</v>
      </c>
      <c r="J27" s="214">
        <f>+I27*F27</f>
        <v>0</v>
      </c>
      <c r="K27" s="214">
        <f>+'Customer Charge'!U27</f>
        <v>0</v>
      </c>
      <c r="L27" s="214">
        <f>+'MDDV Dist &amp; Storage'!S24</f>
        <v>0</v>
      </c>
      <c r="M27" s="214">
        <f t="shared" si="1"/>
        <v>0</v>
      </c>
      <c r="N27" s="217">
        <f>+I27*'Other inputs &amp; calcs'!$D$55</f>
        <v>0</v>
      </c>
      <c r="O27" s="217">
        <f>+I27*'Other inputs &amp; calcs'!$D$51</f>
        <v>0</v>
      </c>
      <c r="P27" s="227"/>
      <c r="Q27" s="214">
        <f t="shared" si="2"/>
        <v>0</v>
      </c>
    </row>
    <row r="28" spans="1:17" ht="12.75">
      <c r="A28" s="4">
        <f t="shared" si="0"/>
        <v>19</v>
      </c>
      <c r="B28" s="29"/>
      <c r="C28" s="30"/>
      <c r="D28" s="17"/>
      <c r="E28" s="236"/>
      <c r="F28" s="271"/>
      <c r="G28" s="152"/>
      <c r="H28" s="6"/>
      <c r="I28" s="6"/>
      <c r="J28" s="214"/>
      <c r="K28" s="214">
        <f>+'Customer Charge'!U28</f>
        <v>0</v>
      </c>
      <c r="L28" s="214">
        <f>+'MDDV Dist &amp; Storage'!S25</f>
        <v>0</v>
      </c>
      <c r="M28" s="214"/>
      <c r="N28" s="217">
        <f>+I28*'Other inputs &amp; calcs'!$D$55</f>
        <v>0</v>
      </c>
      <c r="O28" s="217">
        <f>+I28*'Other inputs &amp; calcs'!$D$51</f>
        <v>0</v>
      </c>
      <c r="P28" s="227"/>
      <c r="Q28" s="214">
        <f t="shared" si="2"/>
        <v>0</v>
      </c>
    </row>
    <row r="29" spans="1:17" ht="12.75">
      <c r="A29" s="4">
        <f t="shared" si="0"/>
        <v>20</v>
      </c>
      <c r="B29" s="23" t="s">
        <v>65</v>
      </c>
      <c r="C29" s="24" t="s">
        <v>60</v>
      </c>
      <c r="D29" s="26">
        <v>500</v>
      </c>
      <c r="E29" s="235">
        <f>+E24</f>
        <v>209.52</v>
      </c>
      <c r="F29" s="269">
        <v>0</v>
      </c>
      <c r="G29" s="27"/>
      <c r="H29" s="6">
        <v>41869.9</v>
      </c>
      <c r="I29" s="6">
        <f>+ROUND($K$5*((H29/SUM($H$29:$H$31))),1)</f>
        <v>41273.1</v>
      </c>
      <c r="J29" s="214"/>
      <c r="K29" s="214">
        <f>+'Customer Charge'!U29</f>
        <v>18018.719999999998</v>
      </c>
      <c r="L29" s="214">
        <f>+'MDDV Dist &amp; Storage'!S26</f>
        <v>0</v>
      </c>
      <c r="M29" s="214">
        <f t="shared" si="1"/>
        <v>18018.719999999998</v>
      </c>
      <c r="N29" s="217">
        <f>+I29*'Other inputs &amp; calcs'!$D$55</f>
        <v>29681.549864999997</v>
      </c>
      <c r="O29" s="217">
        <f>+I29*'Other inputs &amp; calcs'!$D$51</f>
        <v>4906.133397</v>
      </c>
      <c r="P29" s="227"/>
      <c r="Q29" s="214">
        <f t="shared" si="2"/>
        <v>52606.40326199999</v>
      </c>
    </row>
    <row r="30" spans="1:17" ht="12.75">
      <c r="A30" s="4">
        <f t="shared" si="0"/>
        <v>21</v>
      </c>
      <c r="B30" s="23"/>
      <c r="C30" s="24" t="s">
        <v>61</v>
      </c>
      <c r="D30" s="26">
        <v>1500</v>
      </c>
      <c r="E30" s="235"/>
      <c r="F30" s="270">
        <v>0.3378400000000001</v>
      </c>
      <c r="G30" s="28"/>
      <c r="H30" s="6">
        <v>105574.6</v>
      </c>
      <c r="I30" s="6">
        <f>+ROUND($K$5*((H30/SUM($H$29:$H$31))),1)</f>
        <v>104069.7</v>
      </c>
      <c r="J30" s="214">
        <f>+I30*F30</f>
        <v>35158.907448000005</v>
      </c>
      <c r="K30" s="214">
        <f>+'Customer Charge'!U30</f>
        <v>0</v>
      </c>
      <c r="L30" s="214">
        <f>+'MDDV Dist &amp; Storage'!S27</f>
        <v>0</v>
      </c>
      <c r="M30" s="214">
        <f t="shared" si="1"/>
        <v>35158.907448000005</v>
      </c>
      <c r="N30" s="217">
        <f>+I30*'Other inputs &amp; calcs'!$D$55</f>
        <v>74841.72475499999</v>
      </c>
      <c r="O30" s="217">
        <f>+I30*'Other inputs &amp; calcs'!$D$51</f>
        <v>12370.765239</v>
      </c>
      <c r="P30" s="227"/>
      <c r="Q30" s="214">
        <f t="shared" si="2"/>
        <v>122371.39744199999</v>
      </c>
    </row>
    <row r="31" spans="1:17" ht="12.75">
      <c r="A31" s="4">
        <f t="shared" si="0"/>
        <v>22</v>
      </c>
      <c r="B31" s="23"/>
      <c r="C31" s="24" t="s">
        <v>62</v>
      </c>
      <c r="D31" s="26">
        <v>98000</v>
      </c>
      <c r="E31" s="235"/>
      <c r="F31" s="270">
        <v>0.3076800000000001</v>
      </c>
      <c r="G31" s="28"/>
      <c r="H31" s="6">
        <v>430719.2</v>
      </c>
      <c r="I31" s="6">
        <f>+ROUND($K$5*((H31/SUM($H$29:$H$31))),1)</f>
        <v>424579.8</v>
      </c>
      <c r="J31" s="214">
        <f>+I31*F31</f>
        <v>130634.71286400004</v>
      </c>
      <c r="K31" s="214">
        <f>+'Customer Charge'!U31</f>
        <v>0</v>
      </c>
      <c r="L31" s="214">
        <f>+'MDDV Dist &amp; Storage'!S28</f>
        <v>0</v>
      </c>
      <c r="M31" s="214">
        <f t="shared" si="1"/>
        <v>130634.71286400004</v>
      </c>
      <c r="N31" s="217">
        <f>+I31*'Other inputs &amp; calcs'!$D$55</f>
        <v>305336.56317</v>
      </c>
      <c r="O31" s="217">
        <f>+I31*'Other inputs &amp; calcs'!$D$51</f>
        <v>50469.800826</v>
      </c>
      <c r="P31" s="227"/>
      <c r="Q31" s="214">
        <f t="shared" si="2"/>
        <v>486441.07686000003</v>
      </c>
    </row>
    <row r="32" spans="1:17" ht="12.75">
      <c r="A32" s="4">
        <f t="shared" si="0"/>
        <v>23</v>
      </c>
      <c r="B32" s="23"/>
      <c r="C32" s="24" t="s">
        <v>63</v>
      </c>
      <c r="D32" s="26" t="s">
        <v>64</v>
      </c>
      <c r="E32" s="235"/>
      <c r="F32" s="270">
        <v>0.2981599999999999</v>
      </c>
      <c r="G32" s="28"/>
      <c r="H32" s="6"/>
      <c r="I32" s="6"/>
      <c r="J32" s="214">
        <f>+I32*F32</f>
        <v>0</v>
      </c>
      <c r="K32" s="214">
        <f>+'Customer Charge'!U32</f>
        <v>0</v>
      </c>
      <c r="L32" s="214">
        <f>+'MDDV Dist &amp; Storage'!S29</f>
        <v>0</v>
      </c>
      <c r="M32" s="214">
        <f t="shared" si="1"/>
        <v>0</v>
      </c>
      <c r="N32" s="217">
        <f>+I32*'Other inputs &amp; calcs'!$D$55</f>
        <v>0</v>
      </c>
      <c r="O32" s="217">
        <f>+I32*'Other inputs &amp; calcs'!$D$51</f>
        <v>0</v>
      </c>
      <c r="P32" s="227"/>
      <c r="Q32" s="214">
        <f t="shared" si="2"/>
        <v>0</v>
      </c>
    </row>
    <row r="33" spans="1:17" ht="12.75">
      <c r="A33" s="4">
        <f t="shared" si="0"/>
        <v>24</v>
      </c>
      <c r="B33" s="29"/>
      <c r="C33" s="30"/>
      <c r="D33" s="17"/>
      <c r="E33" s="236"/>
      <c r="F33" s="271"/>
      <c r="G33" s="152"/>
      <c r="H33" s="6"/>
      <c r="I33" s="6"/>
      <c r="J33" s="214"/>
      <c r="K33" s="214">
        <f>+'Customer Charge'!U33</f>
        <v>0</v>
      </c>
      <c r="L33" s="214">
        <f>+'MDDV Dist &amp; Storage'!S30</f>
        <v>0</v>
      </c>
      <c r="M33" s="214">
        <f t="shared" si="1"/>
        <v>0</v>
      </c>
      <c r="N33" s="217">
        <f>+I33*'Other inputs &amp; calcs'!$D$55</f>
        <v>0</v>
      </c>
      <c r="O33" s="217">
        <f>+I33*'Other inputs &amp; calcs'!$D$51</f>
        <v>0</v>
      </c>
      <c r="P33" s="227"/>
      <c r="Q33" s="214">
        <f t="shared" si="2"/>
        <v>0</v>
      </c>
    </row>
    <row r="34" spans="1:17" ht="12.75">
      <c r="A34" s="4">
        <f t="shared" si="0"/>
        <v>25</v>
      </c>
      <c r="B34" s="29">
        <v>27</v>
      </c>
      <c r="C34" s="31"/>
      <c r="D34" s="20" t="s">
        <v>51</v>
      </c>
      <c r="E34" s="233">
        <v>0</v>
      </c>
      <c r="F34" s="267">
        <v>0.3025499999999998</v>
      </c>
      <c r="G34" s="28"/>
      <c r="H34" s="6">
        <v>964038</v>
      </c>
      <c r="I34" s="6">
        <f>ROUND($K$2*(H34/(+$H$16+$H$18+$H$22+$H$34)),1)</f>
        <v>948267.1</v>
      </c>
      <c r="J34" s="214">
        <f>+I34*F34</f>
        <v>286898.2111049998</v>
      </c>
      <c r="K34" s="214">
        <f>+'Customer Charge'!U34</f>
        <v>0</v>
      </c>
      <c r="L34" s="214">
        <f>+'MDDV Dist &amp; Storage'!S31</f>
        <v>0</v>
      </c>
      <c r="M34" s="214">
        <f t="shared" si="1"/>
        <v>286898.2111049998</v>
      </c>
      <c r="N34" s="217">
        <f>+I34*'Other inputs &amp; calcs'!$D$55</f>
        <v>681946.284965</v>
      </c>
      <c r="O34" s="217">
        <f>+I34*'Other inputs &amp; calcs'!$D$51</f>
        <v>112720.510177</v>
      </c>
      <c r="P34" s="227"/>
      <c r="Q34" s="214">
        <f t="shared" si="2"/>
        <v>1081565.0062469998</v>
      </c>
    </row>
    <row r="35" spans="1:17" ht="12.75">
      <c r="A35" s="4">
        <f t="shared" si="0"/>
        <v>26</v>
      </c>
      <c r="B35" s="23" t="s">
        <v>66</v>
      </c>
      <c r="C35" s="24" t="s">
        <v>60</v>
      </c>
      <c r="D35" s="26">
        <v>2000</v>
      </c>
      <c r="E35" s="235">
        <v>195.16</v>
      </c>
      <c r="F35" s="270">
        <v>0.38055</v>
      </c>
      <c r="G35" s="28"/>
      <c r="H35" s="148">
        <v>50000</v>
      </c>
      <c r="I35" s="6">
        <f>+ROUND($K$3*((H35/($H$87+$H$86))),1)</f>
        <v>49552.8</v>
      </c>
      <c r="J35" s="214">
        <f>+I35*F35</f>
        <v>18857.318040000002</v>
      </c>
      <c r="K35" s="214">
        <f>+'Customer Charge'!U35</f>
        <v>5074.16</v>
      </c>
      <c r="L35" s="214">
        <f>+'MDDV Dist &amp; Storage'!S32</f>
        <v>0</v>
      </c>
      <c r="M35" s="214">
        <f t="shared" si="1"/>
        <v>23931.47804</v>
      </c>
      <c r="N35" s="217">
        <f>+I35*'Other inputs &amp; calcs'!$D$55</f>
        <v>35635.89612</v>
      </c>
      <c r="O35" s="217">
        <f>+I35*'Other inputs &amp; calcs'!$D$51</f>
        <v>5890.341336</v>
      </c>
      <c r="P35" s="227"/>
      <c r="Q35" s="214">
        <f t="shared" si="2"/>
        <v>65457.715496</v>
      </c>
    </row>
    <row r="36" spans="1:17" ht="12.75">
      <c r="A36" s="4">
        <f t="shared" si="0"/>
        <v>27</v>
      </c>
      <c r="B36" s="23"/>
      <c r="C36" s="24" t="s">
        <v>61</v>
      </c>
      <c r="D36" s="26" t="s">
        <v>64</v>
      </c>
      <c r="E36" s="235"/>
      <c r="F36" s="270">
        <v>0.3597200000000001</v>
      </c>
      <c r="G36" s="28"/>
      <c r="H36" s="148">
        <v>54403.3</v>
      </c>
      <c r="I36" s="6">
        <f>+ROUND($K$3*((H36/($H$87+$H$86))),1)</f>
        <v>53916.7</v>
      </c>
      <c r="J36" s="214">
        <f>+I36*F36</f>
        <v>19394.915324000005</v>
      </c>
      <c r="K36" s="214">
        <f>+'Customer Charge'!U36</f>
        <v>0</v>
      </c>
      <c r="L36" s="214">
        <f>+'MDDV Dist &amp; Storage'!S33</f>
        <v>0</v>
      </c>
      <c r="M36" s="214">
        <f t="shared" si="1"/>
        <v>19394.915324000005</v>
      </c>
      <c r="N36" s="217">
        <f>+I36*'Other inputs &amp; calcs'!$D$55</f>
        <v>38774.19480499999</v>
      </c>
      <c r="O36" s="217">
        <f>+I36*'Other inputs &amp; calcs'!$D$51</f>
        <v>6409.0781289999995</v>
      </c>
      <c r="P36" s="227"/>
      <c r="Q36" s="214">
        <f t="shared" si="2"/>
        <v>64578.188257999995</v>
      </c>
    </row>
    <row r="37" spans="1:17" ht="12.75">
      <c r="A37" s="4">
        <f t="shared" si="0"/>
        <v>28</v>
      </c>
      <c r="B37" s="29"/>
      <c r="C37" s="30"/>
      <c r="D37" s="17"/>
      <c r="E37" s="236"/>
      <c r="F37" s="271"/>
      <c r="G37" s="152"/>
      <c r="H37" s="6"/>
      <c r="I37" s="6"/>
      <c r="J37" s="214">
        <f>+I37*F37</f>
        <v>0</v>
      </c>
      <c r="K37" s="214">
        <f>+'Customer Charge'!U37</f>
        <v>0</v>
      </c>
      <c r="L37" s="214">
        <f>+'MDDV Dist &amp; Storage'!S34</f>
        <v>0</v>
      </c>
      <c r="M37" s="214">
        <f t="shared" si="1"/>
        <v>0</v>
      </c>
      <c r="N37" s="217">
        <f>+I37*'Other inputs &amp; calcs'!$D$55</f>
        <v>0</v>
      </c>
      <c r="O37" s="217">
        <f>+I37*'Other inputs &amp; calcs'!$D$51</f>
        <v>0</v>
      </c>
      <c r="P37" s="227"/>
      <c r="Q37" s="214">
        <f t="shared" si="2"/>
        <v>0</v>
      </c>
    </row>
    <row r="38" spans="1:17" ht="12.75">
      <c r="A38" s="4">
        <f t="shared" si="0"/>
        <v>29</v>
      </c>
      <c r="B38" s="23" t="s">
        <v>67</v>
      </c>
      <c r="C38" s="24" t="s">
        <v>60</v>
      </c>
      <c r="D38" s="26">
        <v>2000</v>
      </c>
      <c r="E38" s="235">
        <v>445.16</v>
      </c>
      <c r="F38" s="270">
        <v>0.36901999999999996</v>
      </c>
      <c r="G38" s="28"/>
      <c r="H38" s="6"/>
      <c r="I38" s="6"/>
      <c r="J38" s="214"/>
      <c r="K38" s="214">
        <f>+'Customer Charge'!U38</f>
        <v>0</v>
      </c>
      <c r="L38" s="214">
        <f>+'MDDV Dist &amp; Storage'!S35</f>
        <v>0</v>
      </c>
      <c r="M38" s="214">
        <f t="shared" si="1"/>
        <v>0</v>
      </c>
      <c r="N38" s="217"/>
      <c r="O38" s="217"/>
      <c r="P38" s="227"/>
      <c r="Q38" s="214">
        <f t="shared" si="2"/>
        <v>0</v>
      </c>
    </row>
    <row r="39" spans="1:17" ht="12.75">
      <c r="A39" s="4">
        <f t="shared" si="0"/>
        <v>30</v>
      </c>
      <c r="B39" s="23"/>
      <c r="C39" s="24" t="s">
        <v>61</v>
      </c>
      <c r="D39" s="26" t="s">
        <v>64</v>
      </c>
      <c r="E39" s="235"/>
      <c r="F39" s="270">
        <v>0.34882</v>
      </c>
      <c r="G39" s="28"/>
      <c r="H39" s="6"/>
      <c r="I39" s="6"/>
      <c r="J39" s="214"/>
      <c r="K39" s="214">
        <f>+'Customer Charge'!U39</f>
        <v>0</v>
      </c>
      <c r="L39" s="214">
        <f>+'MDDV Dist &amp; Storage'!S36</f>
        <v>0</v>
      </c>
      <c r="M39" s="214">
        <f t="shared" si="1"/>
        <v>0</v>
      </c>
      <c r="N39" s="217"/>
      <c r="O39" s="217"/>
      <c r="P39" s="227"/>
      <c r="Q39" s="214">
        <f t="shared" si="2"/>
        <v>0</v>
      </c>
    </row>
    <row r="40" spans="1:17" ht="12.75">
      <c r="A40" s="4">
        <f t="shared" si="0"/>
        <v>31</v>
      </c>
      <c r="B40" s="29"/>
      <c r="C40" s="30"/>
      <c r="D40" s="17"/>
      <c r="E40" s="236"/>
      <c r="F40" s="271"/>
      <c r="G40" s="152"/>
      <c r="H40" s="6"/>
      <c r="I40" s="6"/>
      <c r="J40" s="214"/>
      <c r="K40" s="214">
        <f>+'Customer Charge'!U40</f>
        <v>0</v>
      </c>
      <c r="L40" s="214">
        <f>+'MDDV Dist &amp; Storage'!S37</f>
        <v>0</v>
      </c>
      <c r="M40" s="214">
        <f t="shared" si="1"/>
        <v>0</v>
      </c>
      <c r="N40" s="217"/>
      <c r="O40" s="217"/>
      <c r="P40" s="227"/>
      <c r="Q40" s="214">
        <f t="shared" si="2"/>
        <v>0</v>
      </c>
    </row>
    <row r="41" spans="1:17" ht="12.75">
      <c r="A41" s="4">
        <f t="shared" si="0"/>
        <v>32</v>
      </c>
      <c r="B41" s="23" t="s">
        <v>68</v>
      </c>
      <c r="C41" s="24" t="s">
        <v>60</v>
      </c>
      <c r="D41" s="26">
        <v>2000</v>
      </c>
      <c r="E41" s="235">
        <v>195.16</v>
      </c>
      <c r="F41" s="270">
        <v>0.38054999999999994</v>
      </c>
      <c r="G41" s="28"/>
      <c r="H41" s="6"/>
      <c r="I41" s="6"/>
      <c r="J41" s="214"/>
      <c r="K41" s="214">
        <f>+'Customer Charge'!U41</f>
        <v>0</v>
      </c>
      <c r="L41" s="214">
        <f>+'MDDV Dist &amp; Storage'!S38</f>
        <v>0</v>
      </c>
      <c r="M41" s="214">
        <f t="shared" si="1"/>
        <v>0</v>
      </c>
      <c r="N41" s="217">
        <f>+I41*'Other inputs &amp; calcs'!$D$55</f>
        <v>0</v>
      </c>
      <c r="O41" s="217"/>
      <c r="P41" s="227">
        <f>+I41*'Other inputs &amp; calcs'!$D$52</f>
        <v>0</v>
      </c>
      <c r="Q41" s="214">
        <f t="shared" si="2"/>
        <v>0</v>
      </c>
    </row>
    <row r="42" spans="1:17" ht="12.75">
      <c r="A42" s="4">
        <f t="shared" si="0"/>
        <v>33</v>
      </c>
      <c r="B42" s="23"/>
      <c r="C42" s="24" t="s">
        <v>61</v>
      </c>
      <c r="D42" s="26" t="s">
        <v>64</v>
      </c>
      <c r="E42" s="235"/>
      <c r="F42" s="270">
        <v>0.35972000000000004</v>
      </c>
      <c r="G42" s="28"/>
      <c r="H42" s="6"/>
      <c r="I42" s="6"/>
      <c r="J42" s="214"/>
      <c r="K42" s="214">
        <f>+'Customer Charge'!U42</f>
        <v>0</v>
      </c>
      <c r="L42" s="214">
        <f>+'MDDV Dist &amp; Storage'!S39</f>
        <v>0</v>
      </c>
      <c r="M42" s="214">
        <f t="shared" si="1"/>
        <v>0</v>
      </c>
      <c r="N42" s="217">
        <f>+I42*'Other inputs &amp; calcs'!$D$55</f>
        <v>0</v>
      </c>
      <c r="O42" s="217"/>
      <c r="P42" s="227">
        <f>+I42*'Other inputs &amp; calcs'!$D$52</f>
        <v>0</v>
      </c>
      <c r="Q42" s="214">
        <f t="shared" si="2"/>
        <v>0</v>
      </c>
    </row>
    <row r="43" spans="1:17" ht="12.75">
      <c r="A43" s="4">
        <f t="shared" si="0"/>
        <v>34</v>
      </c>
      <c r="B43" s="29"/>
      <c r="C43" s="30"/>
      <c r="D43" s="17"/>
      <c r="E43" s="236"/>
      <c r="F43" s="271"/>
      <c r="G43" s="152"/>
      <c r="H43" s="6"/>
      <c r="I43" s="6"/>
      <c r="J43" s="214"/>
      <c r="K43" s="214">
        <f>+'Customer Charge'!U43</f>
        <v>0</v>
      </c>
      <c r="L43" s="214">
        <f>+'MDDV Dist &amp; Storage'!S40</f>
        <v>0</v>
      </c>
      <c r="M43" s="214">
        <f t="shared" si="1"/>
        <v>0</v>
      </c>
      <c r="N43" s="217">
        <f>+I43*'Other inputs &amp; calcs'!$D$55</f>
        <v>0</v>
      </c>
      <c r="O43" s="217"/>
      <c r="P43" s="227">
        <f>+I43*'Other inputs &amp; calcs'!$D$52</f>
        <v>0</v>
      </c>
      <c r="Q43" s="214">
        <f t="shared" si="2"/>
        <v>0</v>
      </c>
    </row>
    <row r="44" spans="1:17" ht="12.75">
      <c r="A44" s="4">
        <f t="shared" si="0"/>
        <v>35</v>
      </c>
      <c r="B44" s="23" t="s">
        <v>69</v>
      </c>
      <c r="C44" s="24" t="s">
        <v>60</v>
      </c>
      <c r="D44" s="25">
        <v>10000</v>
      </c>
      <c r="E44" s="235">
        <v>1300</v>
      </c>
      <c r="F44" s="270">
        <v>0.11331000000000008</v>
      </c>
      <c r="G44" s="28"/>
      <c r="H44" s="6">
        <v>993575</v>
      </c>
      <c r="I44" s="6">
        <f aca="true" t="shared" si="3" ref="I44:I49">+ROUND($K$3*((H44/($H$87+$H$86))),1)</f>
        <v>984689</v>
      </c>
      <c r="J44" s="214">
        <f aca="true" t="shared" si="4" ref="J44:J49">+I44*F44</f>
        <v>111575.11059000007</v>
      </c>
      <c r="K44" s="214">
        <f>+'Customer Charge'!U44</f>
        <v>205400</v>
      </c>
      <c r="L44" s="214">
        <f>+'MDDV Dist &amp; Storage'!S41</f>
        <v>0</v>
      </c>
      <c r="M44" s="214">
        <f t="shared" si="1"/>
        <v>316975.11059000005</v>
      </c>
      <c r="N44" s="217">
        <f>+I44*'Other inputs &amp; calcs'!$D$55</f>
        <v>708139.0943499999</v>
      </c>
      <c r="O44" s="217">
        <f>+I44*'Other inputs &amp; calcs'!$D$51</f>
        <v>117049.98143</v>
      </c>
      <c r="P44" s="227"/>
      <c r="Q44" s="214">
        <f t="shared" si="2"/>
        <v>1142164.18637</v>
      </c>
    </row>
    <row r="45" spans="1:17" ht="12.75">
      <c r="A45" s="4">
        <f t="shared" si="0"/>
        <v>36</v>
      </c>
      <c r="B45" s="23"/>
      <c r="C45" s="24" t="s">
        <v>61</v>
      </c>
      <c r="D45" s="25">
        <v>20000</v>
      </c>
      <c r="E45" s="235"/>
      <c r="F45" s="270">
        <v>0.0927099999999999</v>
      </c>
      <c r="G45" s="28"/>
      <c r="H45" s="6">
        <v>363016</v>
      </c>
      <c r="I45" s="6">
        <f t="shared" si="3"/>
        <v>359769.4</v>
      </c>
      <c r="J45" s="214">
        <f t="shared" si="4"/>
        <v>33354.221073999965</v>
      </c>
      <c r="K45" s="214">
        <f>+'Customer Charge'!U45</f>
        <v>0</v>
      </c>
      <c r="L45" s="214">
        <f>+'MDDV Dist &amp; Storage'!S42</f>
        <v>0</v>
      </c>
      <c r="M45" s="214">
        <f t="shared" si="1"/>
        <v>33354.221073999965</v>
      </c>
      <c r="N45" s="217">
        <f>+I45*'Other inputs &amp; calcs'!$D$55</f>
        <v>258728.16401</v>
      </c>
      <c r="O45" s="217">
        <f>+I45*'Other inputs &amp; calcs'!$D$51</f>
        <v>42765.78857800001</v>
      </c>
      <c r="P45" s="227"/>
      <c r="Q45" s="214">
        <f t="shared" si="2"/>
        <v>334848.173662</v>
      </c>
    </row>
    <row r="46" spans="1:17" ht="12.75">
      <c r="A46" s="4">
        <f t="shared" si="0"/>
        <v>37</v>
      </c>
      <c r="B46" s="23"/>
      <c r="C46" s="24" t="s">
        <v>62</v>
      </c>
      <c r="D46" s="25">
        <v>20000</v>
      </c>
      <c r="E46" s="235"/>
      <c r="F46" s="270">
        <v>0.0927099999999999</v>
      </c>
      <c r="G46" s="28"/>
      <c r="H46" s="6">
        <v>9375</v>
      </c>
      <c r="I46" s="6">
        <f t="shared" si="3"/>
        <v>9291.2</v>
      </c>
      <c r="J46" s="214">
        <f t="shared" si="4"/>
        <v>861.3871519999992</v>
      </c>
      <c r="K46" s="214">
        <f>+'Customer Charge'!U46</f>
        <v>0</v>
      </c>
      <c r="L46" s="214">
        <f>+'MDDV Dist &amp; Storage'!S43</f>
        <v>0</v>
      </c>
      <c r="M46" s="214">
        <f t="shared" si="1"/>
        <v>861.3871519999992</v>
      </c>
      <c r="N46" s="217">
        <f>+I46*'Other inputs &amp; calcs'!$D$55</f>
        <v>6681.76648</v>
      </c>
      <c r="O46" s="217">
        <f>+I46*'Other inputs &amp; calcs'!$D$51</f>
        <v>1104.444944</v>
      </c>
      <c r="P46" s="227"/>
      <c r="Q46" s="214">
        <f t="shared" si="2"/>
        <v>8647.598576</v>
      </c>
    </row>
    <row r="47" spans="1:17" ht="12.75">
      <c r="A47" s="4">
        <f t="shared" si="0"/>
        <v>38</v>
      </c>
      <c r="B47" s="23"/>
      <c r="C47" s="24" t="s">
        <v>63</v>
      </c>
      <c r="D47" s="25">
        <v>100000</v>
      </c>
      <c r="E47" s="235"/>
      <c r="F47" s="270">
        <v>0.061809999999999976</v>
      </c>
      <c r="G47" s="28"/>
      <c r="H47" s="6"/>
      <c r="I47" s="6">
        <f t="shared" si="3"/>
        <v>0</v>
      </c>
      <c r="J47" s="214">
        <f t="shared" si="4"/>
        <v>0</v>
      </c>
      <c r="K47" s="214">
        <f>+'Customer Charge'!U47</f>
        <v>0</v>
      </c>
      <c r="L47" s="214">
        <f>+'MDDV Dist &amp; Storage'!S44</f>
        <v>0</v>
      </c>
      <c r="M47" s="214">
        <f t="shared" si="1"/>
        <v>0</v>
      </c>
      <c r="N47" s="217">
        <f>+I47*'Other inputs &amp; calcs'!$D$55</f>
        <v>0</v>
      </c>
      <c r="O47" s="217">
        <f>+I47*'Other inputs &amp; calcs'!$D$51</f>
        <v>0</v>
      </c>
      <c r="P47" s="227"/>
      <c r="Q47" s="214">
        <f t="shared" si="2"/>
        <v>0</v>
      </c>
    </row>
    <row r="48" spans="1:17" ht="12.75">
      <c r="A48" s="4">
        <f t="shared" si="0"/>
        <v>39</v>
      </c>
      <c r="B48" s="23"/>
      <c r="C48" s="24" t="s">
        <v>70</v>
      </c>
      <c r="D48" s="25">
        <v>600000</v>
      </c>
      <c r="E48" s="235"/>
      <c r="F48" s="270">
        <v>0.041210000000000024</v>
      </c>
      <c r="G48" s="28"/>
      <c r="H48" s="6"/>
      <c r="I48" s="6">
        <f t="shared" si="3"/>
        <v>0</v>
      </c>
      <c r="J48" s="214">
        <f t="shared" si="4"/>
        <v>0</v>
      </c>
      <c r="K48" s="214">
        <f>+'Customer Charge'!U48</f>
        <v>0</v>
      </c>
      <c r="L48" s="214">
        <f>+'MDDV Dist &amp; Storage'!S45</f>
        <v>0</v>
      </c>
      <c r="M48" s="214">
        <f t="shared" si="1"/>
        <v>0</v>
      </c>
      <c r="N48" s="217">
        <f>+I48*'Other inputs &amp; calcs'!$D$55</f>
        <v>0</v>
      </c>
      <c r="O48" s="217">
        <f>+I48*'Other inputs &amp; calcs'!$D$51</f>
        <v>0</v>
      </c>
      <c r="P48" s="227"/>
      <c r="Q48" s="214">
        <f t="shared" si="2"/>
        <v>0</v>
      </c>
    </row>
    <row r="49" spans="1:17" ht="12.75">
      <c r="A49" s="4">
        <f t="shared" si="0"/>
        <v>40</v>
      </c>
      <c r="B49" s="23"/>
      <c r="C49" s="24" t="s">
        <v>71</v>
      </c>
      <c r="D49" s="26" t="s">
        <v>64</v>
      </c>
      <c r="E49" s="235"/>
      <c r="F49" s="270">
        <v>0.01545000000000002</v>
      </c>
      <c r="G49" s="28"/>
      <c r="H49" s="6"/>
      <c r="I49" s="6">
        <f t="shared" si="3"/>
        <v>0</v>
      </c>
      <c r="J49" s="214">
        <f t="shared" si="4"/>
        <v>0</v>
      </c>
      <c r="K49" s="214">
        <f>+'Customer Charge'!U49</f>
        <v>0</v>
      </c>
      <c r="L49" s="214">
        <f>+'MDDV Dist &amp; Storage'!S46</f>
        <v>0</v>
      </c>
      <c r="M49" s="214">
        <f t="shared" si="1"/>
        <v>0</v>
      </c>
      <c r="N49" s="217">
        <f>+I49*'Other inputs &amp; calcs'!$D$55</f>
        <v>0</v>
      </c>
      <c r="O49" s="217">
        <f>+I49*'Other inputs &amp; calcs'!$D$51</f>
        <v>0</v>
      </c>
      <c r="P49" s="227"/>
      <c r="Q49" s="214">
        <f t="shared" si="2"/>
        <v>0</v>
      </c>
    </row>
    <row r="50" spans="1:17" ht="12.75">
      <c r="A50" s="4">
        <f t="shared" si="0"/>
        <v>41</v>
      </c>
      <c r="B50" s="29"/>
      <c r="C50" s="30"/>
      <c r="D50" s="17"/>
      <c r="E50" s="236"/>
      <c r="F50" s="271"/>
      <c r="G50" s="152"/>
      <c r="H50" s="6"/>
      <c r="I50" s="6"/>
      <c r="J50" s="214"/>
      <c r="K50" s="214">
        <f>+'Customer Charge'!U50</f>
        <v>0</v>
      </c>
      <c r="L50" s="214">
        <f>+'MDDV Dist &amp; Storage'!S47</f>
        <v>0</v>
      </c>
      <c r="M50" s="214">
        <f t="shared" si="1"/>
        <v>0</v>
      </c>
      <c r="N50" s="217">
        <f>+I50*'Other inputs &amp; calcs'!$D$55</f>
        <v>0</v>
      </c>
      <c r="O50" s="217">
        <f>+I50*'Other inputs &amp; calcs'!$D$51</f>
        <v>0</v>
      </c>
      <c r="P50" s="227"/>
      <c r="Q50" s="214">
        <f t="shared" si="2"/>
        <v>0</v>
      </c>
    </row>
    <row r="51" spans="1:17" ht="12.75">
      <c r="A51" s="4">
        <f t="shared" si="0"/>
        <v>42</v>
      </c>
      <c r="B51" s="23" t="s">
        <v>72</v>
      </c>
      <c r="C51" s="24" t="s">
        <v>60</v>
      </c>
      <c r="D51" s="25">
        <v>10000</v>
      </c>
      <c r="E51" s="235">
        <v>1300</v>
      </c>
      <c r="F51" s="270">
        <v>0.11331000000000008</v>
      </c>
      <c r="G51" s="28"/>
      <c r="H51" s="148">
        <v>1196535</v>
      </c>
      <c r="I51" s="6">
        <f>+ROUND($K$6*((H51/SUM($H$51:$H$54))),1)</f>
        <v>1204257.6</v>
      </c>
      <c r="J51" s="214">
        <f aca="true" t="shared" si="5" ref="J51:J56">+I51*F51</f>
        <v>136454.4286560001</v>
      </c>
      <c r="K51" s="214">
        <f>+'Customer Charge'!U51</f>
        <v>215800</v>
      </c>
      <c r="L51" s="214">
        <f>+'MDDV Dist &amp; Storage'!S48</f>
        <v>60749.399999999994</v>
      </c>
      <c r="M51" s="214">
        <f t="shared" si="1"/>
        <v>413003.8286560001</v>
      </c>
      <c r="N51" s="217">
        <f>+I51*'Other inputs &amp; calcs'!$D$55</f>
        <v>866041.85304</v>
      </c>
      <c r="O51" s="217">
        <f>+I51*'Other inputs &amp; calcs'!$D$51</f>
        <v>143150.10091200002</v>
      </c>
      <c r="P51" s="227"/>
      <c r="Q51" s="214">
        <f t="shared" si="2"/>
        <v>1422195.782608</v>
      </c>
    </row>
    <row r="52" spans="1:17" ht="12.75">
      <c r="A52" s="4">
        <f t="shared" si="0"/>
        <v>43</v>
      </c>
      <c r="B52" s="23"/>
      <c r="C52" s="24" t="s">
        <v>61</v>
      </c>
      <c r="D52" s="25">
        <v>20000</v>
      </c>
      <c r="E52" s="235"/>
      <c r="F52" s="270">
        <v>0.0927099999999999</v>
      </c>
      <c r="G52" s="28"/>
      <c r="H52" s="148">
        <v>857278</v>
      </c>
      <c r="I52" s="6">
        <f>+ROUND($K$6*((H52/SUM($H$51:$H$54))),1)</f>
        <v>862811</v>
      </c>
      <c r="J52" s="214">
        <f t="shared" si="5"/>
        <v>79991.20780999992</v>
      </c>
      <c r="K52" s="214">
        <f>+'Customer Charge'!U52</f>
        <v>0</v>
      </c>
      <c r="L52" s="214">
        <f>+'MDDV Dist &amp; Storage'!S49</f>
        <v>0</v>
      </c>
      <c r="M52" s="214">
        <f t="shared" si="1"/>
        <v>79991.20780999992</v>
      </c>
      <c r="N52" s="217">
        <f>+I52*'Other inputs &amp; calcs'!$D$55</f>
        <v>620490.53065</v>
      </c>
      <c r="O52" s="217">
        <f>+I52*'Other inputs &amp; calcs'!$D$51</f>
        <v>102562.34357</v>
      </c>
      <c r="P52" s="227"/>
      <c r="Q52" s="214">
        <f t="shared" si="2"/>
        <v>803044.0820299999</v>
      </c>
    </row>
    <row r="53" spans="1:17" ht="12.75">
      <c r="A53" s="4">
        <f t="shared" si="0"/>
        <v>44</v>
      </c>
      <c r="B53" s="23"/>
      <c r="C53" s="24" t="s">
        <v>62</v>
      </c>
      <c r="D53" s="25">
        <v>20000</v>
      </c>
      <c r="E53" s="235"/>
      <c r="F53" s="270">
        <v>0.0927099999999999</v>
      </c>
      <c r="G53" s="28"/>
      <c r="H53" s="148">
        <v>224632</v>
      </c>
      <c r="I53" s="6">
        <f>+ROUND($K$6*((H53/SUM($H$51:$H$54))),1)</f>
        <v>226081.8</v>
      </c>
      <c r="J53" s="214">
        <f t="shared" si="5"/>
        <v>20960.043677999976</v>
      </c>
      <c r="K53" s="214">
        <f>+'Customer Charge'!U53</f>
        <v>0</v>
      </c>
      <c r="L53" s="214">
        <f>+'MDDV Dist &amp; Storage'!S50</f>
        <v>0</v>
      </c>
      <c r="M53" s="214">
        <f t="shared" si="1"/>
        <v>20960.043677999976</v>
      </c>
      <c r="N53" s="217">
        <f>+I53*'Other inputs &amp; calcs'!$D$55</f>
        <v>162586.72647</v>
      </c>
      <c r="O53" s="217">
        <f>+I53*'Other inputs &amp; calcs'!$D$51</f>
        <v>26874.343566</v>
      </c>
      <c r="P53" s="227"/>
      <c r="Q53" s="214">
        <f t="shared" si="2"/>
        <v>210421.11371399998</v>
      </c>
    </row>
    <row r="54" spans="1:17" ht="12.75">
      <c r="A54" s="4">
        <f t="shared" si="0"/>
        <v>45</v>
      </c>
      <c r="B54" s="23"/>
      <c r="C54" s="24" t="s">
        <v>63</v>
      </c>
      <c r="D54" s="25">
        <v>100000</v>
      </c>
      <c r="E54" s="235"/>
      <c r="F54" s="270">
        <v>0.061809999999999976</v>
      </c>
      <c r="G54" s="28"/>
      <c r="H54" s="148">
        <v>45037</v>
      </c>
      <c r="I54" s="6">
        <f>+ROUND($K$6*((H54/SUM($H$51:$H$54))),1)</f>
        <v>45327.7</v>
      </c>
      <c r="J54" s="214">
        <f t="shared" si="5"/>
        <v>2801.7051369999986</v>
      </c>
      <c r="K54" s="214">
        <f>+'Customer Charge'!U54</f>
        <v>0</v>
      </c>
      <c r="L54" s="214">
        <f>+'MDDV Dist &amp; Storage'!S51</f>
        <v>0</v>
      </c>
      <c r="M54" s="214">
        <f t="shared" si="1"/>
        <v>2801.7051369999986</v>
      </c>
      <c r="N54" s="217">
        <f>+I54*'Other inputs &amp; calcs'!$D$55</f>
        <v>32597.415454999995</v>
      </c>
      <c r="O54" s="217">
        <f>+I54*'Other inputs &amp; calcs'!$D$51</f>
        <v>5388.103699</v>
      </c>
      <c r="P54" s="227"/>
      <c r="Q54" s="214">
        <f t="shared" si="2"/>
        <v>40787.22429099999</v>
      </c>
    </row>
    <row r="55" spans="1:17" ht="12.75">
      <c r="A55" s="4">
        <f t="shared" si="0"/>
        <v>46</v>
      </c>
      <c r="B55" s="23"/>
      <c r="C55" s="24" t="s">
        <v>70</v>
      </c>
      <c r="D55" s="25">
        <v>600000</v>
      </c>
      <c r="E55" s="235"/>
      <c r="F55" s="270">
        <v>0.041210000000000024</v>
      </c>
      <c r="G55" s="28"/>
      <c r="H55" s="6"/>
      <c r="I55" s="6"/>
      <c r="J55" s="214">
        <f t="shared" si="5"/>
        <v>0</v>
      </c>
      <c r="K55" s="214">
        <f>+'Customer Charge'!U55</f>
        <v>0</v>
      </c>
      <c r="L55" s="214">
        <f>+'MDDV Dist &amp; Storage'!S52</f>
        <v>0</v>
      </c>
      <c r="M55" s="214">
        <f t="shared" si="1"/>
        <v>0</v>
      </c>
      <c r="N55" s="217">
        <f>+I55*'Other inputs &amp; calcs'!$D$55</f>
        <v>0</v>
      </c>
      <c r="O55" s="217">
        <f>+I55*'Other inputs &amp; calcs'!$D$51</f>
        <v>0</v>
      </c>
      <c r="P55" s="227"/>
      <c r="Q55" s="214">
        <f t="shared" si="2"/>
        <v>0</v>
      </c>
    </row>
    <row r="56" spans="1:17" ht="12.75">
      <c r="A56" s="4">
        <f t="shared" si="0"/>
        <v>47</v>
      </c>
      <c r="B56" s="23"/>
      <c r="C56" s="24" t="s">
        <v>71</v>
      </c>
      <c r="D56" s="26" t="s">
        <v>64</v>
      </c>
      <c r="E56" s="235"/>
      <c r="F56" s="270">
        <v>0.01545000000000002</v>
      </c>
      <c r="G56" s="28"/>
      <c r="H56" s="6"/>
      <c r="I56" s="6"/>
      <c r="J56" s="214">
        <f t="shared" si="5"/>
        <v>0</v>
      </c>
      <c r="K56" s="214">
        <f>+'Customer Charge'!U56</f>
        <v>0</v>
      </c>
      <c r="L56" s="214">
        <f>+'MDDV Dist &amp; Storage'!S53</f>
        <v>0</v>
      </c>
      <c r="M56" s="214">
        <f t="shared" si="1"/>
        <v>0</v>
      </c>
      <c r="N56" s="217">
        <f>+I56*'Other inputs &amp; calcs'!$D$55</f>
        <v>0</v>
      </c>
      <c r="O56" s="217">
        <f>+I56*'Other inputs &amp; calcs'!$D$51</f>
        <v>0</v>
      </c>
      <c r="P56" s="227"/>
      <c r="Q56" s="214">
        <f t="shared" si="2"/>
        <v>0</v>
      </c>
    </row>
    <row r="57" spans="1:17" ht="12.75">
      <c r="A57" s="4">
        <f t="shared" si="0"/>
        <v>48</v>
      </c>
      <c r="B57" s="29"/>
      <c r="C57" s="30"/>
      <c r="D57" s="17"/>
      <c r="E57" s="236"/>
      <c r="F57" s="271"/>
      <c r="G57" s="152"/>
      <c r="H57" s="6"/>
      <c r="I57" s="6"/>
      <c r="J57" s="214"/>
      <c r="K57" s="214">
        <f>+'Customer Charge'!U57</f>
        <v>0</v>
      </c>
      <c r="L57" s="214">
        <f>+'MDDV Dist &amp; Storage'!S54</f>
        <v>0</v>
      </c>
      <c r="M57" s="214">
        <f t="shared" si="1"/>
        <v>0</v>
      </c>
      <c r="N57" s="217">
        <f>+I57*'Other inputs &amp; calcs'!$D$55</f>
        <v>0</v>
      </c>
      <c r="O57" s="217">
        <f>+I57*'Other inputs &amp; calcs'!$D$51</f>
        <v>0</v>
      </c>
      <c r="P57" s="227"/>
      <c r="Q57" s="214">
        <f t="shared" si="2"/>
        <v>0</v>
      </c>
    </row>
    <row r="58" spans="1:17" ht="12.75">
      <c r="A58" s="4">
        <f t="shared" si="0"/>
        <v>49</v>
      </c>
      <c r="B58" s="23" t="s">
        <v>73</v>
      </c>
      <c r="C58" s="24" t="s">
        <v>60</v>
      </c>
      <c r="D58" s="25">
        <v>10000</v>
      </c>
      <c r="E58" s="235">
        <v>1550</v>
      </c>
      <c r="F58" s="270">
        <v>0.10987999999999999</v>
      </c>
      <c r="G58" s="28"/>
      <c r="H58" s="6">
        <v>294832</v>
      </c>
      <c r="I58" s="6">
        <f aca="true" t="shared" si="6" ref="I58:I63">+ROUND($K$8*((H58/$H$91)),1)</f>
        <v>293980</v>
      </c>
      <c r="J58" s="214">
        <f aca="true" t="shared" si="7" ref="J58:J63">+I58*F58</f>
        <v>32302.522399999998</v>
      </c>
      <c r="K58" s="214">
        <f>+'Customer Charge'!U58</f>
        <v>18600</v>
      </c>
      <c r="L58" s="214">
        <f>+'MDDV Dist &amp; Storage'!S55</f>
        <v>30954.359999999997</v>
      </c>
      <c r="M58" s="214">
        <f t="shared" si="1"/>
        <v>81856.8824</v>
      </c>
      <c r="N58" s="217"/>
      <c r="O58" s="217"/>
      <c r="P58" s="227"/>
      <c r="Q58" s="214">
        <f t="shared" si="2"/>
        <v>81856.8824</v>
      </c>
    </row>
    <row r="59" spans="1:17" ht="12.75">
      <c r="A59" s="4">
        <f t="shared" si="0"/>
        <v>50</v>
      </c>
      <c r="B59" s="23"/>
      <c r="C59" s="24" t="s">
        <v>61</v>
      </c>
      <c r="D59" s="25">
        <v>20000</v>
      </c>
      <c r="E59" s="235"/>
      <c r="F59" s="270">
        <v>0.08990000000000001</v>
      </c>
      <c r="G59" s="28"/>
      <c r="H59" s="6">
        <v>480000</v>
      </c>
      <c r="I59" s="6">
        <f t="shared" si="6"/>
        <v>478612.9</v>
      </c>
      <c r="J59" s="214">
        <f t="shared" si="7"/>
        <v>43027.29971000001</v>
      </c>
      <c r="K59" s="214">
        <f>+'Customer Charge'!U59</f>
        <v>0</v>
      </c>
      <c r="L59" s="214">
        <f>+'MDDV Dist &amp; Storage'!S56</f>
        <v>0</v>
      </c>
      <c r="M59" s="214">
        <f t="shared" si="1"/>
        <v>43027.29971000001</v>
      </c>
      <c r="N59" s="217"/>
      <c r="O59" s="217"/>
      <c r="P59" s="227"/>
      <c r="Q59" s="214">
        <f t="shared" si="2"/>
        <v>43027.29971000001</v>
      </c>
    </row>
    <row r="60" spans="1:17" ht="12.75">
      <c r="A60" s="4">
        <f t="shared" si="0"/>
        <v>51</v>
      </c>
      <c r="B60" s="23"/>
      <c r="C60" s="24" t="s">
        <v>62</v>
      </c>
      <c r="D60" s="25">
        <v>20000</v>
      </c>
      <c r="E60" s="235"/>
      <c r="F60" s="270">
        <v>0.08990000000000001</v>
      </c>
      <c r="G60" s="28"/>
      <c r="H60" s="6">
        <v>480000</v>
      </c>
      <c r="I60" s="6">
        <f t="shared" si="6"/>
        <v>478612.9</v>
      </c>
      <c r="J60" s="214">
        <f t="shared" si="7"/>
        <v>43027.29971000001</v>
      </c>
      <c r="K60" s="214">
        <f>+'Customer Charge'!U60</f>
        <v>0</v>
      </c>
      <c r="L60" s="214">
        <f>+'MDDV Dist &amp; Storage'!S57</f>
        <v>0</v>
      </c>
      <c r="M60" s="214">
        <f t="shared" si="1"/>
        <v>43027.29971000001</v>
      </c>
      <c r="N60" s="217"/>
      <c r="O60" s="217"/>
      <c r="P60" s="227"/>
      <c r="Q60" s="214">
        <f t="shared" si="2"/>
        <v>43027.29971000001</v>
      </c>
    </row>
    <row r="61" spans="1:17" ht="12.75">
      <c r="A61" s="4">
        <f t="shared" si="0"/>
        <v>52</v>
      </c>
      <c r="B61" s="23"/>
      <c r="C61" s="24" t="s">
        <v>63</v>
      </c>
      <c r="D61" s="25">
        <v>100000</v>
      </c>
      <c r="E61" s="235"/>
      <c r="F61" s="270">
        <v>0.05994</v>
      </c>
      <c r="G61" s="28"/>
      <c r="H61" s="6">
        <v>1330000</v>
      </c>
      <c r="I61" s="6">
        <f t="shared" si="6"/>
        <v>1326156.7</v>
      </c>
      <c r="J61" s="214">
        <f t="shared" si="7"/>
        <v>79489.832598</v>
      </c>
      <c r="K61" s="214">
        <f>+'Customer Charge'!U61</f>
        <v>0</v>
      </c>
      <c r="L61" s="214">
        <f>+'MDDV Dist &amp; Storage'!S58</f>
        <v>0</v>
      </c>
      <c r="M61" s="214">
        <f t="shared" si="1"/>
        <v>79489.832598</v>
      </c>
      <c r="N61" s="217"/>
      <c r="O61" s="217"/>
      <c r="P61" s="227"/>
      <c r="Q61" s="214">
        <f t="shared" si="2"/>
        <v>79489.832598</v>
      </c>
    </row>
    <row r="62" spans="1:17" ht="12.75">
      <c r="A62" s="4">
        <f t="shared" si="0"/>
        <v>53</v>
      </c>
      <c r="B62" s="23"/>
      <c r="C62" s="24" t="s">
        <v>70</v>
      </c>
      <c r="D62" s="25">
        <v>600000</v>
      </c>
      <c r="E62" s="235"/>
      <c r="F62" s="270">
        <v>0.03996</v>
      </c>
      <c r="G62" s="28"/>
      <c r="H62" s="6">
        <v>1232859</v>
      </c>
      <c r="I62" s="6">
        <f t="shared" si="6"/>
        <v>1229296.4</v>
      </c>
      <c r="J62" s="214">
        <f t="shared" si="7"/>
        <v>49122.684144</v>
      </c>
      <c r="K62" s="214">
        <f>+'Customer Charge'!U62</f>
        <v>0</v>
      </c>
      <c r="L62" s="214">
        <f>+'MDDV Dist &amp; Storage'!S59</f>
        <v>0</v>
      </c>
      <c r="M62" s="214">
        <f t="shared" si="1"/>
        <v>49122.684144</v>
      </c>
      <c r="N62" s="217"/>
      <c r="O62" s="217"/>
      <c r="P62" s="227"/>
      <c r="Q62" s="214">
        <f t="shared" si="2"/>
        <v>49122.684144</v>
      </c>
    </row>
    <row r="63" spans="1:17" ht="12.75">
      <c r="A63" s="4">
        <f t="shared" si="0"/>
        <v>54</v>
      </c>
      <c r="B63" s="23"/>
      <c r="C63" s="24" t="s">
        <v>71</v>
      </c>
      <c r="D63" s="26" t="s">
        <v>64</v>
      </c>
      <c r="E63" s="235"/>
      <c r="F63" s="270">
        <v>0.01498</v>
      </c>
      <c r="G63" s="28"/>
      <c r="H63" s="6"/>
      <c r="I63" s="6">
        <f t="shared" si="6"/>
        <v>0</v>
      </c>
      <c r="J63" s="214">
        <f t="shared" si="7"/>
        <v>0</v>
      </c>
      <c r="K63" s="214">
        <f>+'Customer Charge'!U63</f>
        <v>0</v>
      </c>
      <c r="L63" s="214">
        <f>+'MDDV Dist &amp; Storage'!S60</f>
        <v>0</v>
      </c>
      <c r="M63" s="214">
        <f t="shared" si="1"/>
        <v>0</v>
      </c>
      <c r="N63" s="217"/>
      <c r="O63" s="217"/>
      <c r="P63" s="227"/>
      <c r="Q63" s="214">
        <f t="shared" si="2"/>
        <v>0</v>
      </c>
    </row>
    <row r="64" spans="1:17" ht="12.75">
      <c r="A64" s="4">
        <f t="shared" si="0"/>
        <v>55</v>
      </c>
      <c r="B64" s="29"/>
      <c r="C64" s="30"/>
      <c r="D64" s="17"/>
      <c r="E64" s="236"/>
      <c r="F64" s="271"/>
      <c r="G64" s="152"/>
      <c r="H64" s="6"/>
      <c r="I64" s="6"/>
      <c r="J64" s="214"/>
      <c r="K64" s="214">
        <f>+'Customer Charge'!U64</f>
        <v>0</v>
      </c>
      <c r="L64" s="214">
        <f>+'MDDV Dist &amp; Storage'!S61</f>
        <v>0</v>
      </c>
      <c r="M64" s="214">
        <f t="shared" si="1"/>
        <v>0</v>
      </c>
      <c r="N64" s="217"/>
      <c r="O64" s="217"/>
      <c r="P64" s="227"/>
      <c r="Q64" s="214">
        <f t="shared" si="2"/>
        <v>0</v>
      </c>
    </row>
    <row r="65" spans="1:17" ht="12.75">
      <c r="A65" s="4">
        <f t="shared" si="0"/>
        <v>56</v>
      </c>
      <c r="B65" s="23" t="s">
        <v>74</v>
      </c>
      <c r="C65" s="24" t="s">
        <v>60</v>
      </c>
      <c r="D65" s="25">
        <v>10000</v>
      </c>
      <c r="E65" s="235">
        <v>1300</v>
      </c>
      <c r="F65" s="270">
        <v>0.11331000000000001</v>
      </c>
      <c r="G65" s="28"/>
      <c r="H65" s="6">
        <v>1431125</v>
      </c>
      <c r="I65" s="6">
        <f aca="true" t="shared" si="8" ref="I65:I70">+ROUND($K$7*((H65/$H$90)),1)</f>
        <v>1427718.7</v>
      </c>
      <c r="J65" s="214">
        <f aca="true" t="shared" si="9" ref="J65:J70">+I65*F65</f>
        <v>161774.805897</v>
      </c>
      <c r="K65" s="214">
        <f>+'Customer Charge'!U65</f>
        <v>214500</v>
      </c>
      <c r="L65" s="214">
        <f>+'MDDV Dist &amp; Storage'!S62</f>
        <v>49101.23999999999</v>
      </c>
      <c r="M65" s="214">
        <f t="shared" si="1"/>
        <v>425376.045897</v>
      </c>
      <c r="N65" s="217">
        <f>+I65*'Other inputs &amp; calcs'!$D$55</f>
        <v>1026743.9031049999</v>
      </c>
      <c r="O65" s="217"/>
      <c r="P65" s="227">
        <f>+I65*'Other inputs &amp; calcs'!$D$52</f>
        <v>59278.880424</v>
      </c>
      <c r="Q65" s="214">
        <f t="shared" si="2"/>
        <v>1511398.8294260001</v>
      </c>
    </row>
    <row r="66" spans="1:17" ht="12.75">
      <c r="A66" s="4">
        <f t="shared" si="0"/>
        <v>57</v>
      </c>
      <c r="B66" s="23"/>
      <c r="C66" s="24" t="s">
        <v>61</v>
      </c>
      <c r="D66" s="25">
        <v>20000</v>
      </c>
      <c r="E66" s="235"/>
      <c r="F66" s="270">
        <v>0.09270999999999995</v>
      </c>
      <c r="G66" s="28"/>
      <c r="H66" s="6">
        <v>2483915</v>
      </c>
      <c r="I66" s="6">
        <f t="shared" si="8"/>
        <v>2478002.9</v>
      </c>
      <c r="J66" s="214">
        <f t="shared" si="9"/>
        <v>229735.64885899986</v>
      </c>
      <c r="K66" s="214">
        <f>+'Customer Charge'!U66</f>
        <v>0</v>
      </c>
      <c r="L66" s="214">
        <f>+'MDDV Dist &amp; Storage'!S63</f>
        <v>0</v>
      </c>
      <c r="M66" s="214">
        <f t="shared" si="1"/>
        <v>229735.64885899986</v>
      </c>
      <c r="N66" s="217">
        <f>+I66*'Other inputs &amp; calcs'!$D$55</f>
        <v>1782055.7855349998</v>
      </c>
      <c r="O66" s="217"/>
      <c r="P66" s="227">
        <f>+I66*'Other inputs &amp; calcs'!$D$52</f>
        <v>102886.680408</v>
      </c>
      <c r="Q66" s="214">
        <f t="shared" si="2"/>
        <v>2114678.1148019996</v>
      </c>
    </row>
    <row r="67" spans="1:17" ht="12.75">
      <c r="A67" s="4">
        <f t="shared" si="0"/>
        <v>58</v>
      </c>
      <c r="B67" s="23"/>
      <c r="C67" s="24" t="s">
        <v>62</v>
      </c>
      <c r="D67" s="25">
        <v>20000</v>
      </c>
      <c r="E67" s="235"/>
      <c r="F67" s="270">
        <v>0.09270999999999995</v>
      </c>
      <c r="G67" s="28"/>
      <c r="H67" s="6">
        <v>1110509</v>
      </c>
      <c r="I67" s="6">
        <f t="shared" si="8"/>
        <v>1107865.8</v>
      </c>
      <c r="J67" s="214">
        <f t="shared" si="9"/>
        <v>102710.23831799995</v>
      </c>
      <c r="K67" s="214">
        <f>+'Customer Charge'!U67</f>
        <v>0</v>
      </c>
      <c r="L67" s="214">
        <f>+'MDDV Dist &amp; Storage'!S64</f>
        <v>0</v>
      </c>
      <c r="M67" s="214">
        <f t="shared" si="1"/>
        <v>102710.23831799995</v>
      </c>
      <c r="N67" s="217">
        <f>+I67*'Other inputs &amp; calcs'!$D$55</f>
        <v>796721.69007</v>
      </c>
      <c r="O67" s="217"/>
      <c r="P67" s="227">
        <f>+I67*'Other inputs &amp; calcs'!$D$52</f>
        <v>45998.588016</v>
      </c>
      <c r="Q67" s="214">
        <f t="shared" si="2"/>
        <v>945430.516404</v>
      </c>
    </row>
    <row r="68" spans="1:17" ht="12.75">
      <c r="A68" s="4">
        <f t="shared" si="0"/>
        <v>59</v>
      </c>
      <c r="B68" s="23"/>
      <c r="C68" s="24" t="s">
        <v>63</v>
      </c>
      <c r="D68" s="25">
        <v>100000</v>
      </c>
      <c r="E68" s="235"/>
      <c r="F68" s="270">
        <v>0.06181000000000002</v>
      </c>
      <c r="G68" s="28"/>
      <c r="H68" s="6">
        <v>1259004</v>
      </c>
      <c r="I68" s="6">
        <f t="shared" si="8"/>
        <v>1256007.4</v>
      </c>
      <c r="J68" s="214">
        <f t="shared" si="9"/>
        <v>77633.81739400001</v>
      </c>
      <c r="K68" s="214">
        <f>+'Customer Charge'!U68</f>
        <v>0</v>
      </c>
      <c r="L68" s="214">
        <f>+'MDDV Dist &amp; Storage'!S65</f>
        <v>0</v>
      </c>
      <c r="M68" s="214">
        <f t="shared" si="1"/>
        <v>77633.81739400001</v>
      </c>
      <c r="N68" s="217">
        <f>+I68*'Other inputs &amp; calcs'!$D$55</f>
        <v>903257.7217099998</v>
      </c>
      <c r="O68" s="217"/>
      <c r="P68" s="227">
        <f>+I68*'Other inputs &amp; calcs'!$D$52</f>
        <v>52149.427248</v>
      </c>
      <c r="Q68" s="214">
        <f t="shared" si="2"/>
        <v>1033040.9663519999</v>
      </c>
    </row>
    <row r="69" spans="1:17" ht="12.75">
      <c r="A69" s="4">
        <f t="shared" si="0"/>
        <v>60</v>
      </c>
      <c r="B69" s="23"/>
      <c r="C69" s="24" t="s">
        <v>70</v>
      </c>
      <c r="D69" s="25">
        <v>600000</v>
      </c>
      <c r="E69" s="235"/>
      <c r="F69" s="270">
        <v>0.041210000000000066</v>
      </c>
      <c r="G69" s="28"/>
      <c r="H69" s="6">
        <v>15833</v>
      </c>
      <c r="I69" s="6">
        <f t="shared" si="8"/>
        <v>15795.3</v>
      </c>
      <c r="J69" s="214">
        <f t="shared" si="9"/>
        <v>650.924313000001</v>
      </c>
      <c r="K69" s="214">
        <f>+'Customer Charge'!U69</f>
        <v>0</v>
      </c>
      <c r="L69" s="214">
        <f>+'MDDV Dist &amp; Storage'!S66</f>
        <v>0</v>
      </c>
      <c r="M69" s="214">
        <f t="shared" si="1"/>
        <v>650.924313000001</v>
      </c>
      <c r="N69" s="217">
        <f>+I69*'Other inputs &amp; calcs'!$D$55</f>
        <v>11359.189994999999</v>
      </c>
      <c r="O69" s="217"/>
      <c r="P69" s="227">
        <f>+I69*'Other inputs &amp; calcs'!$D$52</f>
        <v>655.8208559999999</v>
      </c>
      <c r="Q69" s="214">
        <f t="shared" si="2"/>
        <v>12665.935164</v>
      </c>
    </row>
    <row r="70" spans="1:17" ht="12.75">
      <c r="A70" s="4">
        <f t="shared" si="0"/>
        <v>61</v>
      </c>
      <c r="B70" s="23"/>
      <c r="C70" s="24" t="s">
        <v>71</v>
      </c>
      <c r="D70" s="26" t="s">
        <v>64</v>
      </c>
      <c r="E70" s="235"/>
      <c r="F70" s="270">
        <v>0.015450000000000061</v>
      </c>
      <c r="G70" s="28"/>
      <c r="H70" s="6"/>
      <c r="I70" s="6">
        <f t="shared" si="8"/>
        <v>0</v>
      </c>
      <c r="J70" s="214">
        <f t="shared" si="9"/>
        <v>0</v>
      </c>
      <c r="K70" s="214">
        <f>+'Customer Charge'!U70</f>
        <v>0</v>
      </c>
      <c r="L70" s="214">
        <f>+'MDDV Dist &amp; Storage'!S67</f>
        <v>0</v>
      </c>
      <c r="M70" s="214">
        <f t="shared" si="1"/>
        <v>0</v>
      </c>
      <c r="N70" s="217">
        <f>+I70*'Other inputs &amp; calcs'!$D$55</f>
        <v>0</v>
      </c>
      <c r="O70" s="217"/>
      <c r="P70" s="227">
        <f>+I70*'Other inputs &amp; calcs'!$D$52</f>
        <v>0</v>
      </c>
      <c r="Q70" s="214">
        <f t="shared" si="2"/>
        <v>0</v>
      </c>
    </row>
    <row r="71" spans="1:17" ht="12.75">
      <c r="A71" s="4">
        <f t="shared" si="0"/>
        <v>62</v>
      </c>
      <c r="B71" s="29"/>
      <c r="C71" s="30"/>
      <c r="D71" s="17"/>
      <c r="E71" s="236"/>
      <c r="F71" s="271"/>
      <c r="G71" s="152"/>
      <c r="H71" s="6"/>
      <c r="I71" s="6"/>
      <c r="J71" s="214"/>
      <c r="K71" s="214">
        <f>+'Customer Charge'!U71</f>
        <v>0</v>
      </c>
      <c r="L71" s="214">
        <f>+'MDDV Dist &amp; Storage'!S68</f>
        <v>0</v>
      </c>
      <c r="M71" s="214">
        <f t="shared" si="1"/>
        <v>0</v>
      </c>
      <c r="N71" s="217">
        <f>+I71*'Other inputs &amp; calcs'!$D$55</f>
        <v>0</v>
      </c>
      <c r="O71" s="217"/>
      <c r="P71" s="227">
        <f>+I71*'Other inputs &amp; calcs'!$D$52</f>
        <v>0</v>
      </c>
      <c r="Q71" s="214">
        <f t="shared" si="2"/>
        <v>0</v>
      </c>
    </row>
    <row r="72" spans="1:17" ht="12.75">
      <c r="A72" s="4">
        <f t="shared" si="0"/>
        <v>63</v>
      </c>
      <c r="B72" s="23" t="s">
        <v>75</v>
      </c>
      <c r="C72" s="24" t="s">
        <v>60</v>
      </c>
      <c r="D72" s="25">
        <v>10000</v>
      </c>
      <c r="E72" s="235">
        <v>1300</v>
      </c>
      <c r="F72" s="160">
        <v>0.10987999999999999</v>
      </c>
      <c r="G72" s="32"/>
      <c r="H72" s="6">
        <v>164034</v>
      </c>
      <c r="I72" s="6">
        <f aca="true" t="shared" si="10" ref="I72:I77">+ROUND($K$9*((H72/$H$92)),1)</f>
        <v>164960.6</v>
      </c>
      <c r="J72" s="214">
        <f aca="true" t="shared" si="11" ref="J72:J77">+I72*F72</f>
        <v>18125.870727999998</v>
      </c>
      <c r="K72" s="214">
        <f>+'Customer Charge'!U72</f>
        <v>46800</v>
      </c>
      <c r="L72" s="214">
        <f>+'MDDV Dist &amp; Storage'!S69</f>
        <v>0</v>
      </c>
      <c r="M72" s="214">
        <f t="shared" si="1"/>
        <v>64925.870727999994</v>
      </c>
      <c r="N72" s="217"/>
      <c r="O72" s="217"/>
      <c r="P72" s="227"/>
      <c r="Q72" s="214">
        <f t="shared" si="2"/>
        <v>64925.870727999994</v>
      </c>
    </row>
    <row r="73" spans="1:17" ht="12.75">
      <c r="A73" s="4">
        <f t="shared" si="0"/>
        <v>64</v>
      </c>
      <c r="B73" s="23"/>
      <c r="C73" s="24" t="s">
        <v>61</v>
      </c>
      <c r="D73" s="25">
        <v>20000</v>
      </c>
      <c r="E73" s="237"/>
      <c r="F73" s="160">
        <v>0.08990000000000001</v>
      </c>
      <c r="G73" s="33"/>
      <c r="H73" s="6">
        <v>389086</v>
      </c>
      <c r="I73" s="6">
        <f t="shared" si="10"/>
        <v>391283.9</v>
      </c>
      <c r="J73" s="214">
        <f t="shared" si="11"/>
        <v>35176.42261000001</v>
      </c>
      <c r="K73" s="214">
        <f>+'Customer Charge'!U73</f>
        <v>0</v>
      </c>
      <c r="L73" s="214">
        <f>+'MDDV Dist &amp; Storage'!S70</f>
        <v>0</v>
      </c>
      <c r="M73" s="214">
        <f t="shared" si="1"/>
        <v>35176.42261000001</v>
      </c>
      <c r="N73" s="217"/>
      <c r="O73" s="217"/>
      <c r="P73" s="227"/>
      <c r="Q73" s="214">
        <f t="shared" si="2"/>
        <v>35176.42261000001</v>
      </c>
    </row>
    <row r="74" spans="1:17" ht="12.75">
      <c r="A74" s="4">
        <f t="shared" si="0"/>
        <v>65</v>
      </c>
      <c r="B74" s="23"/>
      <c r="C74" s="24" t="s">
        <v>62</v>
      </c>
      <c r="D74" s="25">
        <v>20000</v>
      </c>
      <c r="E74" s="237"/>
      <c r="F74" s="160">
        <v>0.08990000000000001</v>
      </c>
      <c r="G74" s="33"/>
      <c r="H74" s="6">
        <v>399676</v>
      </c>
      <c r="I74" s="6">
        <f t="shared" si="10"/>
        <v>401933.7</v>
      </c>
      <c r="J74" s="214">
        <f t="shared" si="11"/>
        <v>36133.83963</v>
      </c>
      <c r="K74" s="214">
        <f>+'Customer Charge'!U74</f>
        <v>0</v>
      </c>
      <c r="L74" s="214">
        <f>+'MDDV Dist &amp; Storage'!S71</f>
        <v>0</v>
      </c>
      <c r="M74" s="214">
        <f t="shared" si="1"/>
        <v>36133.83963</v>
      </c>
      <c r="N74" s="217"/>
      <c r="O74" s="217"/>
      <c r="P74" s="227"/>
      <c r="Q74" s="214">
        <f t="shared" si="2"/>
        <v>36133.83963</v>
      </c>
    </row>
    <row r="75" spans="1:17" ht="12.75">
      <c r="A75" s="4">
        <f t="shared" si="0"/>
        <v>66</v>
      </c>
      <c r="B75" s="23"/>
      <c r="C75" s="24" t="s">
        <v>63</v>
      </c>
      <c r="D75" s="25">
        <v>100000</v>
      </c>
      <c r="E75" s="237"/>
      <c r="F75" s="160">
        <v>0.05994</v>
      </c>
      <c r="G75" s="33"/>
      <c r="H75" s="6">
        <v>1703207</v>
      </c>
      <c r="I75" s="6">
        <f t="shared" si="10"/>
        <v>1712828</v>
      </c>
      <c r="J75" s="214">
        <f t="shared" si="11"/>
        <v>102666.91032</v>
      </c>
      <c r="K75" s="214">
        <f>+'Customer Charge'!U75</f>
        <v>0</v>
      </c>
      <c r="L75" s="214">
        <f>+'MDDV Dist &amp; Storage'!S72</f>
        <v>0</v>
      </c>
      <c r="M75" s="214">
        <f t="shared" si="1"/>
        <v>102666.91032</v>
      </c>
      <c r="N75" s="217"/>
      <c r="O75" s="217"/>
      <c r="P75" s="227"/>
      <c r="Q75" s="214">
        <f t="shared" si="2"/>
        <v>102666.91032</v>
      </c>
    </row>
    <row r="76" spans="1:17" ht="12.75">
      <c r="A76" s="4">
        <f aca="true" t="shared" si="12" ref="A76:A93">+A75+1</f>
        <v>67</v>
      </c>
      <c r="B76" s="23"/>
      <c r="C76" s="24" t="s">
        <v>70</v>
      </c>
      <c r="D76" s="25">
        <v>600000</v>
      </c>
      <c r="E76" s="237"/>
      <c r="F76" s="160">
        <v>0.03996</v>
      </c>
      <c r="G76" s="33"/>
      <c r="H76" s="6">
        <v>979518</v>
      </c>
      <c r="I76" s="6">
        <f t="shared" si="10"/>
        <v>985051.1</v>
      </c>
      <c r="J76" s="214">
        <f t="shared" si="11"/>
        <v>39362.641956</v>
      </c>
      <c r="K76" s="214">
        <f>+'Customer Charge'!U76</f>
        <v>0</v>
      </c>
      <c r="L76" s="214">
        <f>+'MDDV Dist &amp; Storage'!S73</f>
        <v>0</v>
      </c>
      <c r="M76" s="214">
        <f t="shared" si="1"/>
        <v>39362.641956</v>
      </c>
      <c r="N76" s="217"/>
      <c r="O76" s="217"/>
      <c r="P76" s="227"/>
      <c r="Q76" s="214">
        <f t="shared" si="2"/>
        <v>39362.641956</v>
      </c>
    </row>
    <row r="77" spans="1:17" ht="12.75">
      <c r="A77" s="4">
        <f t="shared" si="12"/>
        <v>68</v>
      </c>
      <c r="B77" s="23"/>
      <c r="C77" s="24" t="s">
        <v>71</v>
      </c>
      <c r="D77" s="26" t="s">
        <v>64</v>
      </c>
      <c r="E77" s="237"/>
      <c r="F77" s="160">
        <v>0.01498</v>
      </c>
      <c r="G77" s="33"/>
      <c r="H77" s="6">
        <v>0</v>
      </c>
      <c r="I77" s="6">
        <f t="shared" si="10"/>
        <v>0</v>
      </c>
      <c r="J77" s="214">
        <f t="shared" si="11"/>
        <v>0</v>
      </c>
      <c r="K77" s="214">
        <f>+'Customer Charge'!U77</f>
        <v>0</v>
      </c>
      <c r="L77" s="214">
        <f>+'MDDV Dist &amp; Storage'!S74</f>
        <v>0</v>
      </c>
      <c r="M77" s="214">
        <f t="shared" si="1"/>
        <v>0</v>
      </c>
      <c r="N77" s="217"/>
      <c r="O77" s="217"/>
      <c r="P77" s="227"/>
      <c r="Q77" s="214">
        <f t="shared" si="2"/>
        <v>0</v>
      </c>
    </row>
    <row r="78" spans="1:17" ht="12.75">
      <c r="A78" s="4">
        <f t="shared" si="12"/>
        <v>69</v>
      </c>
      <c r="B78" s="29"/>
      <c r="C78" s="30"/>
      <c r="D78" s="17"/>
      <c r="E78" s="236"/>
      <c r="F78" s="271"/>
      <c r="G78" s="152"/>
      <c r="H78" s="6"/>
      <c r="I78" s="6"/>
      <c r="J78" s="214"/>
      <c r="K78" s="214">
        <f>+'Customer Charge'!U78</f>
        <v>0</v>
      </c>
      <c r="L78" s="214">
        <f>+'MDDV Dist &amp; Storage'!S75</f>
        <v>0</v>
      </c>
      <c r="M78" s="214">
        <f t="shared" si="1"/>
        <v>0</v>
      </c>
      <c r="N78" s="217"/>
      <c r="O78" s="217"/>
      <c r="P78" s="227"/>
      <c r="Q78" s="214">
        <f t="shared" si="2"/>
        <v>0</v>
      </c>
    </row>
    <row r="79" spans="1:17" ht="12.75">
      <c r="A79" s="4">
        <f t="shared" si="12"/>
        <v>70</v>
      </c>
      <c r="B79" s="29" t="s">
        <v>76</v>
      </c>
      <c r="C79" s="31"/>
      <c r="D79" s="34" t="s">
        <v>51</v>
      </c>
      <c r="E79" s="238">
        <v>38000</v>
      </c>
      <c r="F79" s="161">
        <v>0.00499</v>
      </c>
      <c r="G79" s="33"/>
      <c r="H79" s="6"/>
      <c r="I79" s="6">
        <f>+H79</f>
        <v>0</v>
      </c>
      <c r="J79" s="214">
        <f>+I79*F79</f>
        <v>0</v>
      </c>
      <c r="K79" s="214">
        <f>+'Customer Charge'!U79</f>
        <v>0</v>
      </c>
      <c r="L79" s="214">
        <f>+'MDDV Dist &amp; Storage'!S76</f>
        <v>0</v>
      </c>
      <c r="M79" s="214">
        <f t="shared" si="1"/>
        <v>0</v>
      </c>
      <c r="N79" s="217"/>
      <c r="O79" s="217"/>
      <c r="P79" s="227"/>
      <c r="Q79" s="214">
        <f t="shared" si="2"/>
        <v>0</v>
      </c>
    </row>
    <row r="80" spans="1:17" ht="12.75">
      <c r="A80" s="4">
        <f t="shared" si="12"/>
        <v>71</v>
      </c>
      <c r="B80" s="18" t="s">
        <v>77</v>
      </c>
      <c r="C80" s="19"/>
      <c r="D80" s="34" t="s">
        <v>51</v>
      </c>
      <c r="E80" s="238">
        <v>38000</v>
      </c>
      <c r="F80" s="162">
        <v>0.00499</v>
      </c>
      <c r="G80" s="33"/>
      <c r="H80" s="6"/>
      <c r="I80" s="6">
        <f>+H80</f>
        <v>0</v>
      </c>
      <c r="J80" s="214">
        <f>+I80*F80</f>
        <v>0</v>
      </c>
      <c r="K80" s="214">
        <f>+'Customer Charge'!U80</f>
        <v>0</v>
      </c>
      <c r="L80" s="214">
        <f>+'MDDV Dist &amp; Storage'!S77</f>
        <v>0</v>
      </c>
      <c r="M80" s="214">
        <f t="shared" si="1"/>
        <v>0</v>
      </c>
      <c r="N80" s="217"/>
      <c r="O80" s="217"/>
      <c r="P80" s="227"/>
      <c r="Q80" s="214">
        <f t="shared" si="2"/>
        <v>0</v>
      </c>
    </row>
    <row r="81" spans="1:17" ht="13.5" thickBot="1">
      <c r="A81" s="4">
        <f t="shared" si="12"/>
        <v>72</v>
      </c>
      <c r="B81" s="18">
        <v>54</v>
      </c>
      <c r="C81" s="19"/>
      <c r="D81" s="34" t="s">
        <v>51</v>
      </c>
      <c r="E81" s="239">
        <v>0</v>
      </c>
      <c r="F81" s="162">
        <v>0.8645099999999999</v>
      </c>
      <c r="G81" s="32"/>
      <c r="H81" s="6"/>
      <c r="I81" s="6">
        <f>+H81</f>
        <v>0</v>
      </c>
      <c r="J81" s="214">
        <f>+I81*F81</f>
        <v>0</v>
      </c>
      <c r="K81" s="214">
        <f>+'Customer Charge'!U81</f>
        <v>0</v>
      </c>
      <c r="L81" s="214">
        <f>+'MDDV Dist &amp; Storage'!S78</f>
        <v>0</v>
      </c>
      <c r="M81" s="214">
        <f>+K81+J81+L81</f>
        <v>0</v>
      </c>
      <c r="N81" s="217">
        <f>+I81*'Other inputs &amp; calcs'!$D$55</f>
        <v>0</v>
      </c>
      <c r="O81" s="217">
        <f>+I81*'Other inputs &amp; calcs'!$D$51</f>
        <v>0</v>
      </c>
      <c r="P81" s="217">
        <f>+J81*'Other inputs &amp; calcs'!$D$51</f>
        <v>0</v>
      </c>
      <c r="Q81" s="214">
        <f>SUM(M81:P81)</f>
        <v>0</v>
      </c>
    </row>
    <row r="82" spans="1:18" ht="12.75">
      <c r="A82" s="4">
        <f t="shared" si="12"/>
        <v>73</v>
      </c>
      <c r="H82" s="6"/>
      <c r="J82" s="159"/>
      <c r="K82" s="159"/>
      <c r="L82" s="159"/>
      <c r="R82" s="207" t="s">
        <v>119</v>
      </c>
    </row>
    <row r="83" spans="1:18" ht="13.5" thickBot="1">
      <c r="A83" s="4">
        <f t="shared" si="12"/>
        <v>74</v>
      </c>
      <c r="B83" s="35" t="s">
        <v>78</v>
      </c>
      <c r="H83" s="240">
        <f aca="true" t="shared" si="13" ref="H83:Q83">SUM(H16:H81)</f>
        <v>80482863</v>
      </c>
      <c r="I83" s="240">
        <f t="shared" si="13"/>
        <v>79596416.20000002</v>
      </c>
      <c r="J83" s="241">
        <f t="shared" si="13"/>
        <v>25526690.758550018</v>
      </c>
      <c r="K83" s="241">
        <f t="shared" si="13"/>
        <v>5205797.22</v>
      </c>
      <c r="L83" s="241">
        <f>SUM(L16:L81)</f>
        <v>140805</v>
      </c>
      <c r="M83" s="241">
        <f t="shared" si="13"/>
        <v>30873292.978550013</v>
      </c>
      <c r="N83" s="241">
        <f t="shared" si="13"/>
        <v>51874950.355000004</v>
      </c>
      <c r="O83" s="241">
        <f t="shared" si="13"/>
        <v>7827388.597813002</v>
      </c>
      <c r="P83" s="241">
        <f t="shared" si="13"/>
        <v>260969.39695199998</v>
      </c>
      <c r="Q83" s="242">
        <f t="shared" si="13"/>
        <v>90836601.32831506</v>
      </c>
      <c r="R83" s="208" t="s">
        <v>5</v>
      </c>
    </row>
    <row r="84" spans="1:18" ht="13.5" thickTop="1">
      <c r="A84" s="4">
        <f t="shared" si="12"/>
        <v>75</v>
      </c>
      <c r="I84" s="188"/>
      <c r="J84" s="159"/>
      <c r="K84" s="159"/>
      <c r="L84" s="159"/>
      <c r="M84" s="159"/>
      <c r="N84" s="159"/>
      <c r="O84" s="159"/>
      <c r="P84" s="159"/>
      <c r="Q84" s="159"/>
      <c r="R84" s="209" t="s">
        <v>10</v>
      </c>
    </row>
    <row r="85" spans="1:19" ht="12.75">
      <c r="A85" s="4">
        <f t="shared" si="12"/>
        <v>76</v>
      </c>
      <c r="B85" s="7" t="s">
        <v>17</v>
      </c>
      <c r="D85" s="8"/>
      <c r="H85" s="157">
        <f aca="true" t="shared" si="14" ref="H85:Q85">+H18+H16+H22+H34</f>
        <v>43003386</v>
      </c>
      <c r="I85" s="157">
        <f t="shared" si="14"/>
        <v>42299885.50000001</v>
      </c>
      <c r="J85" s="215">
        <f t="shared" si="14"/>
        <v>16604298.122728003</v>
      </c>
      <c r="K85" s="215">
        <f t="shared" si="14"/>
        <v>3453262.56</v>
      </c>
      <c r="L85" s="215">
        <f>+L18+L16+L22+L34</f>
        <v>0</v>
      </c>
      <c r="M85" s="215">
        <f t="shared" si="14"/>
        <v>20057560.682728004</v>
      </c>
      <c r="N85" s="215">
        <f t="shared" si="14"/>
        <v>30419962.657325</v>
      </c>
      <c r="O85" s="215">
        <f t="shared" si="14"/>
        <v>5028187.389385002</v>
      </c>
      <c r="P85" s="215">
        <f t="shared" si="14"/>
        <v>0</v>
      </c>
      <c r="Q85" s="215">
        <f t="shared" si="14"/>
        <v>55505710.72943801</v>
      </c>
      <c r="R85" s="210">
        <f>+(M85)/I85</f>
        <v>0.47417529493615296</v>
      </c>
      <c r="S85" s="210">
        <f>+(Q85)/I85</f>
        <v>1.3121952949361528</v>
      </c>
    </row>
    <row r="86" spans="1:19" ht="12.75">
      <c r="A86" s="4">
        <f t="shared" si="12"/>
        <v>77</v>
      </c>
      <c r="B86" s="7" t="s">
        <v>137</v>
      </c>
      <c r="D86" s="8"/>
      <c r="H86" s="157">
        <f aca="true" t="shared" si="15" ref="H86:Q86">+SUM(H24:H28)</f>
        <v>4281379</v>
      </c>
      <c r="I86" s="157">
        <f t="shared" si="15"/>
        <v>4243088.8</v>
      </c>
      <c r="J86" s="215">
        <f t="shared" si="15"/>
        <v>1066213.4343200005</v>
      </c>
      <c r="K86" s="215">
        <f t="shared" si="15"/>
        <v>416735.27999999997</v>
      </c>
      <c r="L86" s="215">
        <f>+SUM(L24:L28)</f>
        <v>0</v>
      </c>
      <c r="M86" s="215">
        <f t="shared" si="15"/>
        <v>1482948.7143200003</v>
      </c>
      <c r="N86" s="215">
        <f t="shared" si="15"/>
        <v>3051417.31052</v>
      </c>
      <c r="O86" s="215">
        <f t="shared" si="15"/>
        <v>504375.9656560001</v>
      </c>
      <c r="P86" s="215">
        <f t="shared" si="15"/>
        <v>0</v>
      </c>
      <c r="Q86" s="215">
        <f t="shared" si="15"/>
        <v>5038741.990496</v>
      </c>
      <c r="R86" s="210">
        <f aca="true" t="shared" si="16" ref="R86:R92">+(M86)/I86</f>
        <v>0.34949744966921276</v>
      </c>
      <c r="S86" s="210">
        <f aca="true" t="shared" si="17" ref="S86:S92">+(Q86)/I86</f>
        <v>1.1875174496692127</v>
      </c>
    </row>
    <row r="87" spans="1:19" ht="12.75">
      <c r="A87" s="4">
        <f t="shared" si="12"/>
        <v>78</v>
      </c>
      <c r="B87" s="7" t="s">
        <v>138</v>
      </c>
      <c r="D87" s="8"/>
      <c r="H87" s="157">
        <f aca="true" t="shared" si="18" ref="H87:Q87">+H17+H19+SUM(H24:H27)+SUM(H44:H49)+SUM(H35:H36)-H86</f>
        <v>16174577.3</v>
      </c>
      <c r="I87" s="157">
        <f t="shared" si="18"/>
        <v>16029920.899999999</v>
      </c>
      <c r="J87" s="215">
        <f t="shared" si="18"/>
        <v>6246618.335562002</v>
      </c>
      <c r="K87" s="215">
        <f t="shared" si="18"/>
        <v>820495.1599999999</v>
      </c>
      <c r="L87" s="215">
        <f t="shared" si="18"/>
        <v>0</v>
      </c>
      <c r="M87" s="215">
        <f t="shared" si="18"/>
        <v>7067113.495562</v>
      </c>
      <c r="N87" s="215">
        <f t="shared" si="18"/>
        <v>11527917.615235</v>
      </c>
      <c r="O87" s="215">
        <f t="shared" si="18"/>
        <v>1905476.6973829996</v>
      </c>
      <c r="P87" s="215">
        <f t="shared" si="18"/>
        <v>0</v>
      </c>
      <c r="Q87" s="215">
        <f t="shared" si="18"/>
        <v>20500507.808180004</v>
      </c>
      <c r="R87" s="210">
        <f t="shared" si="16"/>
        <v>0.4408701415090577</v>
      </c>
      <c r="S87" s="210">
        <f t="shared" si="17"/>
        <v>1.2788901415090579</v>
      </c>
    </row>
    <row r="88" spans="1:19" ht="12.75">
      <c r="A88" s="4">
        <f t="shared" si="12"/>
        <v>79</v>
      </c>
      <c r="B88" s="7" t="s">
        <v>139</v>
      </c>
      <c r="D88" s="8"/>
      <c r="H88" s="157">
        <f aca="true" t="shared" si="19" ref="H88:Q88">SUM(H29:H33)</f>
        <v>578163.7</v>
      </c>
      <c r="I88" s="157">
        <f t="shared" si="19"/>
        <v>569922.6</v>
      </c>
      <c r="J88" s="215">
        <f t="shared" si="19"/>
        <v>165793.62031200004</v>
      </c>
      <c r="K88" s="215">
        <f t="shared" si="19"/>
        <v>18018.719999999998</v>
      </c>
      <c r="L88" s="215">
        <f>SUM(L29:L33)</f>
        <v>0</v>
      </c>
      <c r="M88" s="215">
        <f t="shared" si="19"/>
        <v>183812.34031200004</v>
      </c>
      <c r="N88" s="215">
        <f t="shared" si="19"/>
        <v>409859.83778999996</v>
      </c>
      <c r="O88" s="215">
        <f t="shared" si="19"/>
        <v>67746.69946199999</v>
      </c>
      <c r="P88" s="215">
        <f t="shared" si="19"/>
        <v>0</v>
      </c>
      <c r="Q88" s="215">
        <f t="shared" si="19"/>
        <v>661418.877564</v>
      </c>
      <c r="R88" s="210">
        <f t="shared" si="16"/>
        <v>0.32252158505733947</v>
      </c>
      <c r="S88" s="210">
        <f t="shared" si="17"/>
        <v>1.1605415850573393</v>
      </c>
    </row>
    <row r="89" spans="1:19" ht="12.75">
      <c r="A89" s="4">
        <f t="shared" si="12"/>
        <v>80</v>
      </c>
      <c r="B89" s="7" t="s">
        <v>140</v>
      </c>
      <c r="D89" s="8"/>
      <c r="H89" s="157">
        <f aca="true" t="shared" si="20" ref="H89:Q89">+H20+SUM(H29:H32)+SUM(H41:H42)+SUM(H51:H55)-H88</f>
        <v>2691759</v>
      </c>
      <c r="I89" s="157">
        <f t="shared" si="20"/>
        <v>2705492.1</v>
      </c>
      <c r="J89" s="215">
        <f t="shared" si="20"/>
        <v>392826.48704100004</v>
      </c>
      <c r="K89" s="215">
        <f t="shared" si="20"/>
        <v>217385.5</v>
      </c>
      <c r="L89" s="215">
        <f t="shared" si="20"/>
        <v>60749.399999999994</v>
      </c>
      <c r="M89" s="215">
        <f t="shared" si="20"/>
        <v>670961.3870410001</v>
      </c>
      <c r="N89" s="215">
        <f t="shared" si="20"/>
        <v>1945654.643715</v>
      </c>
      <c r="O89" s="215">
        <f t="shared" si="20"/>
        <v>321601.84592700005</v>
      </c>
      <c r="P89" s="215">
        <f t="shared" si="20"/>
        <v>0</v>
      </c>
      <c r="Q89" s="215">
        <f t="shared" si="20"/>
        <v>2938217.876683</v>
      </c>
      <c r="R89" s="210">
        <f t="shared" si="16"/>
        <v>0.24799975835856258</v>
      </c>
      <c r="S89" s="210">
        <f t="shared" si="17"/>
        <v>1.0860197583585625</v>
      </c>
    </row>
    <row r="90" spans="1:19" ht="12.75">
      <c r="A90" s="4">
        <f t="shared" si="12"/>
        <v>81</v>
      </c>
      <c r="B90" s="7" t="s">
        <v>20</v>
      </c>
      <c r="D90" s="8"/>
      <c r="H90" s="157">
        <f aca="true" t="shared" si="21" ref="H90:Q90">+SUM(H65:H70)+SUM(H41:H42)</f>
        <v>6300386</v>
      </c>
      <c r="I90" s="157">
        <f t="shared" si="21"/>
        <v>6285390.099999999</v>
      </c>
      <c r="J90" s="215">
        <f t="shared" si="21"/>
        <v>572505.4347809999</v>
      </c>
      <c r="K90" s="215">
        <f t="shared" si="21"/>
        <v>214500</v>
      </c>
      <c r="L90" s="215">
        <f>+SUM(L65:L70)+SUM(L41:L42)</f>
        <v>49101.23999999999</v>
      </c>
      <c r="M90" s="215">
        <f t="shared" si="21"/>
        <v>836106.6747809999</v>
      </c>
      <c r="N90" s="215">
        <f t="shared" si="21"/>
        <v>4520138.290415</v>
      </c>
      <c r="O90" s="215">
        <f t="shared" si="21"/>
        <v>0</v>
      </c>
      <c r="P90" s="215">
        <f t="shared" si="21"/>
        <v>260969.39695199998</v>
      </c>
      <c r="Q90" s="215">
        <f t="shared" si="21"/>
        <v>5617214.362148</v>
      </c>
      <c r="R90" s="210">
        <f t="shared" si="16"/>
        <v>0.13302383169200588</v>
      </c>
      <c r="S90" s="210">
        <f t="shared" si="17"/>
        <v>0.893693831692006</v>
      </c>
    </row>
    <row r="91" spans="1:19" ht="12.75">
      <c r="A91" s="4">
        <f t="shared" si="12"/>
        <v>82</v>
      </c>
      <c r="B91" s="7" t="s">
        <v>117</v>
      </c>
      <c r="D91" s="8"/>
      <c r="H91" s="157">
        <f aca="true" t="shared" si="22" ref="H91:Q91">+SUM(H38:H39)+SUM(H58:H63)</f>
        <v>3817691</v>
      </c>
      <c r="I91" s="157">
        <f t="shared" si="22"/>
        <v>3806658.9</v>
      </c>
      <c r="J91" s="215">
        <f t="shared" si="22"/>
        <v>246969.638562</v>
      </c>
      <c r="K91" s="215">
        <f t="shared" si="22"/>
        <v>18600</v>
      </c>
      <c r="L91" s="215">
        <f>+SUM(L38:L39)+SUM(L58:L63)</f>
        <v>30954.359999999997</v>
      </c>
      <c r="M91" s="215">
        <f t="shared" si="22"/>
        <v>296523.998562</v>
      </c>
      <c r="N91" s="215">
        <f t="shared" si="22"/>
        <v>0</v>
      </c>
      <c r="O91" s="215">
        <f t="shared" si="22"/>
        <v>0</v>
      </c>
      <c r="P91" s="215">
        <f t="shared" si="22"/>
        <v>0</v>
      </c>
      <c r="Q91" s="215">
        <f t="shared" si="22"/>
        <v>296523.998562</v>
      </c>
      <c r="R91" s="210">
        <f t="shared" si="16"/>
        <v>0.07789613053115949</v>
      </c>
      <c r="S91" s="210">
        <f t="shared" si="17"/>
        <v>0.07789613053115949</v>
      </c>
    </row>
    <row r="92" spans="1:19" ht="13.5" thickBot="1">
      <c r="A92" s="4">
        <f t="shared" si="12"/>
        <v>83</v>
      </c>
      <c r="B92" s="7" t="s">
        <v>118</v>
      </c>
      <c r="D92" s="8"/>
      <c r="H92" s="229">
        <f aca="true" t="shared" si="23" ref="H92:Q92">SUM(H72:H77)</f>
        <v>3635521</v>
      </c>
      <c r="I92" s="229">
        <f t="shared" si="23"/>
        <v>3656057.3000000003</v>
      </c>
      <c r="J92" s="230">
        <f t="shared" si="23"/>
        <v>231465.685244</v>
      </c>
      <c r="K92" s="230">
        <f t="shared" si="23"/>
        <v>46800</v>
      </c>
      <c r="L92" s="230">
        <f>SUM(L72:L77)</f>
        <v>0</v>
      </c>
      <c r="M92" s="230">
        <f t="shared" si="23"/>
        <v>278265.685244</v>
      </c>
      <c r="N92" s="230">
        <f t="shared" si="23"/>
        <v>0</v>
      </c>
      <c r="O92" s="230">
        <f t="shared" si="23"/>
        <v>0</v>
      </c>
      <c r="P92" s="230">
        <f t="shared" si="23"/>
        <v>0</v>
      </c>
      <c r="Q92" s="231">
        <f t="shared" si="23"/>
        <v>278265.685244</v>
      </c>
      <c r="R92" s="211">
        <f t="shared" si="16"/>
        <v>0.07611086545169847</v>
      </c>
      <c r="S92" s="210">
        <f t="shared" si="17"/>
        <v>0.07611086545169847</v>
      </c>
    </row>
    <row r="93" spans="1:17" ht="12.75">
      <c r="A93" s="4">
        <f t="shared" si="12"/>
        <v>84</v>
      </c>
      <c r="D93" s="8"/>
      <c r="H93" s="228">
        <f>SUM(H85:H92)</f>
        <v>80482863</v>
      </c>
      <c r="I93" s="228">
        <f aca="true" t="shared" si="24" ref="I93:Q93">SUM(I85:I92)</f>
        <v>79596416.2</v>
      </c>
      <c r="J93" s="214">
        <f t="shared" si="24"/>
        <v>25526690.75855001</v>
      </c>
      <c r="K93" s="214">
        <f t="shared" si="24"/>
        <v>5205797.22</v>
      </c>
      <c r="L93" s="214">
        <f t="shared" si="24"/>
        <v>140804.99999999997</v>
      </c>
      <c r="M93" s="214">
        <f t="shared" si="24"/>
        <v>30873292.978550006</v>
      </c>
      <c r="N93" s="214">
        <f t="shared" si="24"/>
        <v>51874950.355000004</v>
      </c>
      <c r="O93" s="214">
        <f t="shared" si="24"/>
        <v>7827388.597813002</v>
      </c>
      <c r="P93" s="214">
        <f t="shared" si="24"/>
        <v>260969.39695199998</v>
      </c>
      <c r="Q93" s="214">
        <f t="shared" si="24"/>
        <v>90836601.328315</v>
      </c>
    </row>
    <row r="94" spans="4:17" ht="12.75">
      <c r="D94" s="8"/>
      <c r="H94" s="25"/>
      <c r="I94" s="25"/>
      <c r="J94" s="25"/>
      <c r="K94" s="25"/>
      <c r="L94" s="25"/>
      <c r="M94" s="25"/>
      <c r="N94" s="226"/>
      <c r="O94" s="226"/>
      <c r="P94" s="226"/>
      <c r="Q94" s="226"/>
    </row>
    <row r="95" spans="4:14" ht="12.75">
      <c r="D95" s="8"/>
      <c r="H95" s="6"/>
      <c r="M95" s="159"/>
      <c r="N95" s="214"/>
    </row>
    <row r="96" spans="4:8" ht="12.75">
      <c r="D96" s="8"/>
      <c r="H96" s="6"/>
    </row>
    <row r="97" spans="4:8" ht="12.75">
      <c r="D97" s="8"/>
      <c r="H97" s="6"/>
    </row>
  </sheetData>
  <sheetProtection/>
  <printOptions horizontalCentered="1"/>
  <pageMargins left="0.5" right="0.5" top="0.5" bottom="0.5" header="0.25" footer="0.25"/>
  <pageSetup fitToHeight="1" fitToWidth="1" horizontalDpi="600" verticalDpi="600" orientation="landscape" scale="51" r:id="rId1"/>
  <headerFooter alignWithMargins="0">
    <oddFooter>&amp;C&amp;F &amp;D &amp;T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tabSelected="1" zoomScalePageLayoutView="0" workbookViewId="0" topLeftCell="A1">
      <pane xSplit="3" ySplit="15" topLeftCell="D16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D16" sqref="D16"/>
    </sheetView>
  </sheetViews>
  <sheetFormatPr defaultColWidth="8.00390625" defaultRowHeight="12.75"/>
  <cols>
    <col min="1" max="1" width="5.8515625" style="1" customWidth="1"/>
    <col min="2" max="2" width="15.28125" style="7" customWidth="1"/>
    <col min="3" max="3" width="8.00390625" style="7" customWidth="1"/>
    <col min="4" max="4" width="15.7109375" style="1" customWidth="1"/>
    <col min="5" max="5" width="3.7109375" style="1" customWidth="1"/>
    <col min="6" max="17" width="11.7109375" style="1" customWidth="1"/>
    <col min="18" max="16384" width="8.00390625" style="1" customWidth="1"/>
  </cols>
  <sheetData>
    <row r="1" ht="14.25">
      <c r="A1" s="147" t="s">
        <v>79</v>
      </c>
    </row>
    <row r="2" ht="14.25">
      <c r="A2" s="147" t="s">
        <v>110</v>
      </c>
    </row>
    <row r="3" ht="14.25">
      <c r="A3" s="147" t="s">
        <v>120</v>
      </c>
    </row>
    <row r="4" ht="14.25">
      <c r="A4" s="147" t="s">
        <v>134</v>
      </c>
    </row>
    <row r="5" spans="1:17" ht="12.75">
      <c r="A5" s="212" t="s">
        <v>159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</row>
    <row r="6" spans="5:17" ht="12.75"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</row>
    <row r="8" spans="2:3" ht="12.75">
      <c r="B8" s="1"/>
      <c r="C8" s="1"/>
    </row>
    <row r="9" spans="2:4" s="2" customFormat="1" ht="14.25">
      <c r="B9" s="10"/>
      <c r="C9" s="10"/>
      <c r="D9" s="1"/>
    </row>
    <row r="10" ht="12.75">
      <c r="A10" s="4">
        <v>1</v>
      </c>
    </row>
    <row r="11" spans="1:4" ht="12.75">
      <c r="A11" s="4">
        <f aca="true" t="shared" si="0" ref="A11:A42">+A10+1</f>
        <v>2</v>
      </c>
      <c r="D11" s="4"/>
    </row>
    <row r="12" spans="1:17" ht="12.75">
      <c r="A12" s="4">
        <f t="shared" si="0"/>
        <v>3</v>
      </c>
      <c r="D12" s="4" t="s">
        <v>108</v>
      </c>
      <c r="F12" s="4" t="s">
        <v>91</v>
      </c>
      <c r="G12" s="4" t="s">
        <v>92</v>
      </c>
      <c r="H12" s="4" t="s">
        <v>93</v>
      </c>
      <c r="I12" s="4" t="s">
        <v>94</v>
      </c>
      <c r="J12" s="4" t="s">
        <v>95</v>
      </c>
      <c r="K12" s="4" t="s">
        <v>96</v>
      </c>
      <c r="L12" s="4" t="s">
        <v>97</v>
      </c>
      <c r="M12" s="4" t="s">
        <v>86</v>
      </c>
      <c r="N12" s="4" t="s">
        <v>98</v>
      </c>
      <c r="O12" s="4" t="s">
        <v>99</v>
      </c>
      <c r="P12" s="4" t="s">
        <v>100</v>
      </c>
      <c r="Q12" s="4" t="s">
        <v>101</v>
      </c>
    </row>
    <row r="13" spans="1:17" s="3" customFormat="1" ht="13.5" thickBot="1">
      <c r="A13" s="4">
        <f t="shared" si="0"/>
        <v>4</v>
      </c>
      <c r="B13" s="7"/>
      <c r="C13" s="7"/>
      <c r="D13" s="13" t="s">
        <v>80</v>
      </c>
      <c r="E13" s="172"/>
      <c r="F13" s="171">
        <v>2006</v>
      </c>
      <c r="G13" s="171">
        <v>2006</v>
      </c>
      <c r="H13" s="171">
        <v>2006</v>
      </c>
      <c r="I13" s="171">
        <v>2007</v>
      </c>
      <c r="J13" s="171">
        <v>2007</v>
      </c>
      <c r="K13" s="171">
        <v>2007</v>
      </c>
      <c r="L13" s="171">
        <v>2007</v>
      </c>
      <c r="M13" s="171">
        <v>2007</v>
      </c>
      <c r="N13" s="171">
        <v>2007</v>
      </c>
      <c r="O13" s="171">
        <v>2007</v>
      </c>
      <c r="P13" s="171">
        <v>2007</v>
      </c>
      <c r="Q13" s="171">
        <v>2007</v>
      </c>
    </row>
    <row r="14" spans="1:17" s="3" customFormat="1" ht="12.75">
      <c r="A14" s="4">
        <f t="shared" si="0"/>
        <v>5</v>
      </c>
      <c r="B14" s="7"/>
      <c r="C14" s="7"/>
      <c r="D14" s="4" t="s">
        <v>12</v>
      </c>
      <c r="F14" s="4" t="s">
        <v>13</v>
      </c>
      <c r="G14" s="4" t="s">
        <v>14</v>
      </c>
      <c r="H14" s="4" t="s">
        <v>151</v>
      </c>
      <c r="I14" s="4" t="s">
        <v>152</v>
      </c>
      <c r="J14" s="4" t="s">
        <v>15</v>
      </c>
      <c r="K14" s="4" t="s">
        <v>16</v>
      </c>
      <c r="L14" s="4" t="s">
        <v>153</v>
      </c>
      <c r="M14" s="4" t="s">
        <v>154</v>
      </c>
      <c r="N14" s="4" t="s">
        <v>155</v>
      </c>
      <c r="O14" s="4" t="s">
        <v>156</v>
      </c>
      <c r="P14" s="4" t="s">
        <v>157</v>
      </c>
      <c r="Q14" s="4" t="s">
        <v>158</v>
      </c>
    </row>
    <row r="15" spans="1:3" s="3" customFormat="1" ht="12.75">
      <c r="A15" s="4">
        <f t="shared" si="0"/>
        <v>6</v>
      </c>
      <c r="B15" s="14" t="s">
        <v>49</v>
      </c>
      <c r="C15" s="15" t="s">
        <v>47</v>
      </c>
    </row>
    <row r="16" spans="1:17" ht="12.75">
      <c r="A16" s="4">
        <f t="shared" si="0"/>
        <v>7</v>
      </c>
      <c r="B16" s="18" t="s">
        <v>50</v>
      </c>
      <c r="C16" s="19"/>
      <c r="D16" s="25">
        <v>536</v>
      </c>
      <c r="E16" s="25"/>
      <c r="F16" s="25">
        <v>495</v>
      </c>
      <c r="G16" s="25">
        <v>499</v>
      </c>
      <c r="H16" s="25">
        <v>504</v>
      </c>
      <c r="I16" s="25">
        <v>514</v>
      </c>
      <c r="J16" s="25">
        <v>558</v>
      </c>
      <c r="K16" s="25">
        <v>551</v>
      </c>
      <c r="L16" s="25">
        <v>551</v>
      </c>
      <c r="M16" s="25">
        <v>557</v>
      </c>
      <c r="N16" s="25">
        <v>555</v>
      </c>
      <c r="O16" s="25">
        <v>540</v>
      </c>
      <c r="P16" s="25">
        <v>536</v>
      </c>
      <c r="Q16" s="25">
        <v>536</v>
      </c>
    </row>
    <row r="17" spans="1:17" ht="12.75">
      <c r="A17" s="4">
        <f t="shared" si="0"/>
        <v>8</v>
      </c>
      <c r="B17" s="18" t="s">
        <v>52</v>
      </c>
      <c r="C17" s="19"/>
      <c r="D17" s="25">
        <v>21</v>
      </c>
      <c r="E17" s="25"/>
      <c r="F17" s="25">
        <v>18</v>
      </c>
      <c r="G17" s="25">
        <v>18</v>
      </c>
      <c r="H17" s="25">
        <v>19</v>
      </c>
      <c r="I17" s="25">
        <v>19</v>
      </c>
      <c r="J17" s="25">
        <v>19</v>
      </c>
      <c r="K17" s="25">
        <v>18</v>
      </c>
      <c r="L17" s="25">
        <v>19</v>
      </c>
      <c r="M17" s="25">
        <v>19</v>
      </c>
      <c r="N17" s="25">
        <v>19</v>
      </c>
      <c r="O17" s="25">
        <v>20</v>
      </c>
      <c r="P17" s="25">
        <v>18</v>
      </c>
      <c r="Q17" s="25">
        <v>21</v>
      </c>
    </row>
    <row r="18" spans="1:17" ht="12.75">
      <c r="A18" s="4">
        <f t="shared" si="0"/>
        <v>9</v>
      </c>
      <c r="B18" s="18" t="s">
        <v>53</v>
      </c>
      <c r="C18" s="19"/>
      <c r="D18" s="25">
        <v>58169</v>
      </c>
      <c r="E18" s="25"/>
      <c r="F18" s="25">
        <v>56021</v>
      </c>
      <c r="G18" s="25">
        <v>56423</v>
      </c>
      <c r="H18" s="25">
        <v>56795</v>
      </c>
      <c r="I18" s="25">
        <v>57089</v>
      </c>
      <c r="J18" s="25">
        <v>57299</v>
      </c>
      <c r="K18" s="25">
        <v>57494</v>
      </c>
      <c r="L18" s="25">
        <v>57542</v>
      </c>
      <c r="M18" s="25">
        <v>57653</v>
      </c>
      <c r="N18" s="25">
        <v>57734</v>
      </c>
      <c r="O18" s="25">
        <v>57823</v>
      </c>
      <c r="P18" s="25">
        <v>57940</v>
      </c>
      <c r="Q18" s="25">
        <v>58169</v>
      </c>
    </row>
    <row r="19" spans="1:17" ht="12.75">
      <c r="A19" s="4">
        <f t="shared" si="0"/>
        <v>10</v>
      </c>
      <c r="B19" s="18" t="s">
        <v>54</v>
      </c>
      <c r="C19" s="19"/>
      <c r="D19" s="25">
        <v>4852</v>
      </c>
      <c r="E19" s="25"/>
      <c r="F19" s="25">
        <v>4700</v>
      </c>
      <c r="G19" s="25">
        <v>4742</v>
      </c>
      <c r="H19" s="25">
        <v>4812</v>
      </c>
      <c r="I19" s="25">
        <v>4837</v>
      </c>
      <c r="J19" s="25">
        <v>4864</v>
      </c>
      <c r="K19" s="25">
        <v>4877</v>
      </c>
      <c r="L19" s="25">
        <v>4875</v>
      </c>
      <c r="M19" s="25">
        <v>4884</v>
      </c>
      <c r="N19" s="25">
        <v>4875</v>
      </c>
      <c r="O19" s="25">
        <v>4878</v>
      </c>
      <c r="P19" s="25">
        <v>4858</v>
      </c>
      <c r="Q19" s="25">
        <v>4852</v>
      </c>
    </row>
    <row r="20" spans="1:17" ht="12.75">
      <c r="A20" s="4">
        <f t="shared" si="0"/>
        <v>11</v>
      </c>
      <c r="B20" s="18" t="s">
        <v>55</v>
      </c>
      <c r="C20" s="19"/>
      <c r="D20" s="25">
        <v>14</v>
      </c>
      <c r="E20" s="25"/>
      <c r="F20" s="25">
        <v>12</v>
      </c>
      <c r="G20" s="25">
        <v>12</v>
      </c>
      <c r="H20" s="25">
        <v>12</v>
      </c>
      <c r="I20" s="25">
        <v>12</v>
      </c>
      <c r="J20" s="25">
        <v>11</v>
      </c>
      <c r="K20" s="25">
        <v>12</v>
      </c>
      <c r="L20" s="25">
        <v>12</v>
      </c>
      <c r="M20" s="25">
        <v>12</v>
      </c>
      <c r="N20" s="25">
        <v>14</v>
      </c>
      <c r="O20" s="25">
        <v>14</v>
      </c>
      <c r="P20" s="25">
        <v>14</v>
      </c>
      <c r="Q20" s="25">
        <v>14</v>
      </c>
    </row>
    <row r="21" spans="1:17" ht="12.75">
      <c r="A21" s="4">
        <f t="shared" si="0"/>
        <v>12</v>
      </c>
      <c r="B21" s="21" t="s">
        <v>56</v>
      </c>
      <c r="C21" s="19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12.75">
      <c r="A22" s="4">
        <f t="shared" si="0"/>
        <v>13</v>
      </c>
      <c r="B22" s="18">
        <v>19</v>
      </c>
      <c r="C22" s="21" t="s">
        <v>57</v>
      </c>
      <c r="D22" s="25"/>
      <c r="E22" s="25"/>
      <c r="F22" s="25">
        <v>19</v>
      </c>
      <c r="G22" s="25">
        <v>7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</row>
    <row r="23" spans="1:17" ht="12.75">
      <c r="A23" s="4">
        <f t="shared" si="0"/>
        <v>14</v>
      </c>
      <c r="B23" s="18">
        <v>19</v>
      </c>
      <c r="C23" s="21" t="s">
        <v>58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8" ht="12.75">
      <c r="A24" s="4">
        <f t="shared" si="0"/>
        <v>15</v>
      </c>
      <c r="B24" s="23" t="s">
        <v>59</v>
      </c>
      <c r="C24" s="24" t="s">
        <v>60</v>
      </c>
      <c r="D24" s="25">
        <v>159</v>
      </c>
      <c r="E24" s="25"/>
      <c r="F24" s="25">
        <v>171</v>
      </c>
      <c r="G24" s="25">
        <v>168</v>
      </c>
      <c r="H24" s="25">
        <v>170</v>
      </c>
      <c r="I24" s="25">
        <v>169</v>
      </c>
      <c r="J24" s="25">
        <v>167</v>
      </c>
      <c r="K24" s="25">
        <v>167</v>
      </c>
      <c r="L24" s="25">
        <v>168</v>
      </c>
      <c r="M24" s="25">
        <v>167</v>
      </c>
      <c r="N24" s="25">
        <v>162</v>
      </c>
      <c r="O24" s="25">
        <v>162</v>
      </c>
      <c r="P24" s="25">
        <v>159</v>
      </c>
      <c r="Q24" s="25">
        <v>159</v>
      </c>
      <c r="R24" s="25"/>
    </row>
    <row r="25" spans="1:17" ht="12.75">
      <c r="A25" s="4">
        <f t="shared" si="0"/>
        <v>16</v>
      </c>
      <c r="B25" s="23"/>
      <c r="C25" s="24" t="s">
        <v>61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ht="12.75">
      <c r="A26" s="4">
        <f t="shared" si="0"/>
        <v>17</v>
      </c>
      <c r="B26" s="23"/>
      <c r="C26" s="24" t="s">
        <v>62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2.75">
      <c r="A27" s="4">
        <f t="shared" si="0"/>
        <v>18</v>
      </c>
      <c r="B27" s="23"/>
      <c r="C27" s="24" t="s">
        <v>63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ht="12.75">
      <c r="A28" s="4">
        <f t="shared" si="0"/>
        <v>19</v>
      </c>
      <c r="B28" s="29"/>
      <c r="C28" s="30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8" ht="12.75">
      <c r="A29" s="4">
        <f t="shared" si="0"/>
        <v>20</v>
      </c>
      <c r="B29" s="23" t="s">
        <v>65</v>
      </c>
      <c r="C29" s="24" t="s">
        <v>60</v>
      </c>
      <c r="D29" s="25">
        <v>7</v>
      </c>
      <c r="E29" s="25"/>
      <c r="F29" s="25">
        <v>7</v>
      </c>
      <c r="G29" s="25">
        <v>8</v>
      </c>
      <c r="H29" s="25">
        <v>8</v>
      </c>
      <c r="I29" s="25">
        <v>7</v>
      </c>
      <c r="J29" s="25">
        <v>7</v>
      </c>
      <c r="K29" s="25">
        <v>7</v>
      </c>
      <c r="L29" s="25">
        <v>7</v>
      </c>
      <c r="M29" s="25">
        <v>7</v>
      </c>
      <c r="N29" s="25">
        <v>7</v>
      </c>
      <c r="O29" s="25">
        <v>7</v>
      </c>
      <c r="P29" s="25">
        <v>7</v>
      </c>
      <c r="Q29" s="25">
        <v>7</v>
      </c>
      <c r="R29" s="25"/>
    </row>
    <row r="30" spans="1:17" ht="12.75">
      <c r="A30" s="4">
        <f t="shared" si="0"/>
        <v>21</v>
      </c>
      <c r="B30" s="23"/>
      <c r="C30" s="24" t="s">
        <v>61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ht="12.75">
      <c r="A31" s="4">
        <f t="shared" si="0"/>
        <v>22</v>
      </c>
      <c r="B31" s="23"/>
      <c r="C31" s="24" t="s">
        <v>62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ht="12.75">
      <c r="A32" s="4">
        <f t="shared" si="0"/>
        <v>23</v>
      </c>
      <c r="B32" s="23"/>
      <c r="C32" s="24" t="s">
        <v>63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ht="12.75">
      <c r="A33" s="4">
        <f t="shared" si="0"/>
        <v>24</v>
      </c>
      <c r="B33" s="29"/>
      <c r="C33" s="30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ht="12.75">
      <c r="A34" s="4">
        <f t="shared" si="0"/>
        <v>25</v>
      </c>
      <c r="B34" s="29">
        <v>27</v>
      </c>
      <c r="C34" s="31"/>
      <c r="D34" s="25">
        <v>1058</v>
      </c>
      <c r="E34" s="25"/>
      <c r="F34" s="25">
        <v>1313</v>
      </c>
      <c r="G34" s="25">
        <v>1356</v>
      </c>
      <c r="H34" s="25">
        <v>1372</v>
      </c>
      <c r="I34" s="25">
        <v>1328</v>
      </c>
      <c r="J34" s="25">
        <v>1287</v>
      </c>
      <c r="K34" s="25">
        <v>1258</v>
      </c>
      <c r="L34" s="25">
        <v>1236</v>
      </c>
      <c r="M34" s="25">
        <v>1262</v>
      </c>
      <c r="N34" s="25">
        <v>1202</v>
      </c>
      <c r="O34" s="25">
        <v>1160</v>
      </c>
      <c r="P34" s="25">
        <v>1116</v>
      </c>
      <c r="Q34" s="25">
        <v>1058</v>
      </c>
    </row>
    <row r="35" spans="1:17" ht="12.75">
      <c r="A35" s="4">
        <f t="shared" si="0"/>
        <v>26</v>
      </c>
      <c r="B35" s="23" t="s">
        <v>66</v>
      </c>
      <c r="C35" s="24" t="s">
        <v>60</v>
      </c>
      <c r="D35" s="213">
        <v>2</v>
      </c>
      <c r="E35" s="25"/>
      <c r="F35" s="25">
        <v>2</v>
      </c>
      <c r="G35" s="25">
        <v>3</v>
      </c>
      <c r="H35" s="25">
        <v>2</v>
      </c>
      <c r="I35" s="25">
        <v>2</v>
      </c>
      <c r="J35" s="25">
        <v>2</v>
      </c>
      <c r="K35" s="25">
        <v>2</v>
      </c>
      <c r="L35" s="25">
        <v>3</v>
      </c>
      <c r="M35" s="25">
        <v>2</v>
      </c>
      <c r="N35" s="25">
        <v>2</v>
      </c>
      <c r="O35" s="25">
        <v>2</v>
      </c>
      <c r="P35" s="25">
        <v>2</v>
      </c>
      <c r="Q35" s="25">
        <v>2</v>
      </c>
    </row>
    <row r="36" spans="1:17" ht="12.75">
      <c r="A36" s="4">
        <f t="shared" si="0"/>
        <v>27</v>
      </c>
      <c r="B36" s="23"/>
      <c r="C36" s="24" t="s">
        <v>61</v>
      </c>
      <c r="D36" s="213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ht="12.75">
      <c r="A37" s="4">
        <f t="shared" si="0"/>
        <v>28</v>
      </c>
      <c r="B37" s="29"/>
      <c r="C37" s="30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ht="12.75">
      <c r="A38" s="4">
        <f t="shared" si="0"/>
        <v>29</v>
      </c>
      <c r="B38" s="23" t="s">
        <v>67</v>
      </c>
      <c r="C38" s="24" t="s">
        <v>60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ht="12.75">
      <c r="A39" s="4">
        <f t="shared" si="0"/>
        <v>30</v>
      </c>
      <c r="B39" s="23"/>
      <c r="C39" s="24" t="s">
        <v>61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ht="12.75">
      <c r="A40" s="4">
        <f t="shared" si="0"/>
        <v>31</v>
      </c>
      <c r="B40" s="29"/>
      <c r="C40" s="3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ht="12.75">
      <c r="A41" s="4">
        <f t="shared" si="0"/>
        <v>32</v>
      </c>
      <c r="B41" s="23" t="s">
        <v>68</v>
      </c>
      <c r="C41" s="24" t="s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ht="12.75">
      <c r="A42" s="4">
        <f t="shared" si="0"/>
        <v>33</v>
      </c>
      <c r="B42" s="23"/>
      <c r="C42" s="24" t="s">
        <v>61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ht="12.75">
      <c r="A43" s="4">
        <f aca="true" t="shared" si="1" ref="A43:A74">+A42+1</f>
        <v>34</v>
      </c>
      <c r="B43" s="29"/>
      <c r="C43" s="3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ht="12.75">
      <c r="A44" s="4">
        <f t="shared" si="1"/>
        <v>35</v>
      </c>
      <c r="B44" s="23" t="s">
        <v>69</v>
      </c>
      <c r="C44" s="24" t="s">
        <v>60</v>
      </c>
      <c r="D44" s="25">
        <v>12</v>
      </c>
      <c r="E44" s="25"/>
      <c r="F44" s="25">
        <v>12</v>
      </c>
      <c r="G44" s="25">
        <v>12</v>
      </c>
      <c r="H44" s="25">
        <v>12</v>
      </c>
      <c r="I44" s="25">
        <v>12</v>
      </c>
      <c r="J44" s="25">
        <v>17</v>
      </c>
      <c r="K44" s="25">
        <v>18</v>
      </c>
      <c r="L44" s="25">
        <v>13</v>
      </c>
      <c r="M44" s="25">
        <v>13</v>
      </c>
      <c r="N44" s="25">
        <v>13</v>
      </c>
      <c r="O44" s="25">
        <v>12</v>
      </c>
      <c r="P44" s="25">
        <v>12</v>
      </c>
      <c r="Q44" s="25">
        <v>12</v>
      </c>
    </row>
    <row r="45" spans="1:17" ht="12.75">
      <c r="A45" s="4">
        <f t="shared" si="1"/>
        <v>36</v>
      </c>
      <c r="B45" s="23"/>
      <c r="C45" s="24" t="s">
        <v>61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ht="12.75">
      <c r="A46" s="4">
        <f t="shared" si="1"/>
        <v>37</v>
      </c>
      <c r="B46" s="23"/>
      <c r="C46" s="24" t="s">
        <v>62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7" ht="12.75">
      <c r="A47" s="4">
        <f t="shared" si="1"/>
        <v>38</v>
      </c>
      <c r="B47" s="23"/>
      <c r="C47" s="24" t="s">
        <v>63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ht="12.75">
      <c r="A48" s="4">
        <f t="shared" si="1"/>
        <v>39</v>
      </c>
      <c r="B48" s="23"/>
      <c r="C48" s="24" t="s">
        <v>70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1:17" ht="12.75">
      <c r="A49" s="4">
        <f t="shared" si="1"/>
        <v>40</v>
      </c>
      <c r="B49" s="23"/>
      <c r="C49" s="24" t="s">
        <v>71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ht="12.75">
      <c r="A50" s="4">
        <f t="shared" si="1"/>
        <v>41</v>
      </c>
      <c r="B50" s="29"/>
      <c r="C50" s="3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1:17" ht="12.75">
      <c r="A51" s="4">
        <f t="shared" si="1"/>
        <v>42</v>
      </c>
      <c r="B51" s="23" t="s">
        <v>72</v>
      </c>
      <c r="C51" s="24" t="s">
        <v>60</v>
      </c>
      <c r="D51" s="213">
        <v>14</v>
      </c>
      <c r="E51" s="25"/>
      <c r="F51" s="25">
        <v>14</v>
      </c>
      <c r="G51" s="25">
        <v>14</v>
      </c>
      <c r="H51" s="25">
        <v>14</v>
      </c>
      <c r="I51" s="25">
        <v>14</v>
      </c>
      <c r="J51" s="25">
        <v>14</v>
      </c>
      <c r="K51" s="25">
        <v>14</v>
      </c>
      <c r="L51" s="25">
        <v>14</v>
      </c>
      <c r="M51" s="25">
        <v>13</v>
      </c>
      <c r="N51" s="25">
        <v>13</v>
      </c>
      <c r="O51" s="25">
        <v>14</v>
      </c>
      <c r="P51" s="25">
        <v>14</v>
      </c>
      <c r="Q51" s="25">
        <v>14</v>
      </c>
    </row>
    <row r="52" spans="1:17" ht="12.75">
      <c r="A52" s="4">
        <f t="shared" si="1"/>
        <v>43</v>
      </c>
      <c r="B52" s="23"/>
      <c r="C52" s="24" t="s">
        <v>61</v>
      </c>
      <c r="D52" s="213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ht="12.75">
      <c r="A53" s="4">
        <f t="shared" si="1"/>
        <v>44</v>
      </c>
      <c r="B53" s="23"/>
      <c r="C53" s="24" t="s">
        <v>62</v>
      </c>
      <c r="D53" s="213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7" ht="12.75">
      <c r="A54" s="4">
        <f t="shared" si="1"/>
        <v>45</v>
      </c>
      <c r="B54" s="23"/>
      <c r="C54" s="24" t="s">
        <v>63</v>
      </c>
      <c r="D54" s="213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1:17" ht="12.75">
      <c r="A55" s="4">
        <f t="shared" si="1"/>
        <v>46</v>
      </c>
      <c r="B55" s="23"/>
      <c r="C55" s="24" t="s">
        <v>70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1:17" ht="12.75">
      <c r="A56" s="4">
        <f t="shared" si="1"/>
        <v>47</v>
      </c>
      <c r="B56" s="23"/>
      <c r="C56" s="24" t="s">
        <v>71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1:17" ht="12.75">
      <c r="A57" s="4">
        <f t="shared" si="1"/>
        <v>48</v>
      </c>
      <c r="B57" s="29"/>
      <c r="C57" s="30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1:17" ht="12.75">
      <c r="A58" s="4">
        <f t="shared" si="1"/>
        <v>49</v>
      </c>
      <c r="B58" s="23" t="s">
        <v>73</v>
      </c>
      <c r="C58" s="24" t="s">
        <v>60</v>
      </c>
      <c r="D58" s="25">
        <v>1</v>
      </c>
      <c r="E58" s="25"/>
      <c r="F58" s="25">
        <v>1</v>
      </c>
      <c r="G58" s="25">
        <v>1</v>
      </c>
      <c r="H58" s="25">
        <v>1</v>
      </c>
      <c r="I58" s="25">
        <v>1</v>
      </c>
      <c r="J58" s="25">
        <v>1</v>
      </c>
      <c r="K58" s="25">
        <v>1</v>
      </c>
      <c r="L58" s="25">
        <v>1</v>
      </c>
      <c r="M58" s="25">
        <v>1</v>
      </c>
      <c r="N58" s="25">
        <v>1</v>
      </c>
      <c r="O58" s="25">
        <v>1</v>
      </c>
      <c r="P58" s="25">
        <v>1</v>
      </c>
      <c r="Q58" s="25">
        <v>1</v>
      </c>
    </row>
    <row r="59" spans="1:17" ht="12.75">
      <c r="A59" s="4">
        <f t="shared" si="1"/>
        <v>50</v>
      </c>
      <c r="B59" s="23"/>
      <c r="C59" s="24" t="s">
        <v>61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1:17" ht="12.75">
      <c r="A60" s="4">
        <f t="shared" si="1"/>
        <v>51</v>
      </c>
      <c r="B60" s="23"/>
      <c r="C60" s="24" t="s">
        <v>62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7" ht="12.75">
      <c r="A61" s="4">
        <f t="shared" si="1"/>
        <v>52</v>
      </c>
      <c r="B61" s="23"/>
      <c r="C61" s="24" t="s">
        <v>63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1:17" ht="12.75">
      <c r="A62" s="4">
        <f t="shared" si="1"/>
        <v>53</v>
      </c>
      <c r="B62" s="23"/>
      <c r="C62" s="24" t="s">
        <v>70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1:17" ht="12.75">
      <c r="A63" s="4">
        <f t="shared" si="1"/>
        <v>54</v>
      </c>
      <c r="B63" s="23"/>
      <c r="C63" s="24" t="s">
        <v>71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1:17" ht="12.75">
      <c r="A64" s="4">
        <f t="shared" si="1"/>
        <v>55</v>
      </c>
      <c r="B64" s="29"/>
      <c r="C64" s="30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1:17" ht="12.75">
      <c r="A65" s="4">
        <f t="shared" si="1"/>
        <v>56</v>
      </c>
      <c r="B65" s="23" t="s">
        <v>74</v>
      </c>
      <c r="C65" s="24" t="s">
        <v>60</v>
      </c>
      <c r="D65" s="25">
        <v>14</v>
      </c>
      <c r="E65" s="25"/>
      <c r="F65" s="25">
        <v>13</v>
      </c>
      <c r="G65" s="25">
        <v>14</v>
      </c>
      <c r="H65" s="25">
        <v>14</v>
      </c>
      <c r="I65" s="25">
        <v>14</v>
      </c>
      <c r="J65" s="25">
        <v>12</v>
      </c>
      <c r="K65" s="25">
        <v>14</v>
      </c>
      <c r="L65" s="25">
        <v>14</v>
      </c>
      <c r="M65" s="25">
        <v>14</v>
      </c>
      <c r="N65" s="25">
        <v>14</v>
      </c>
      <c r="O65" s="25">
        <v>14</v>
      </c>
      <c r="P65" s="25">
        <v>14</v>
      </c>
      <c r="Q65" s="25">
        <v>14</v>
      </c>
    </row>
    <row r="66" spans="1:17" ht="12.75">
      <c r="A66" s="4">
        <f t="shared" si="1"/>
        <v>57</v>
      </c>
      <c r="B66" s="23"/>
      <c r="C66" s="24" t="s">
        <v>61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1:17" ht="12.75">
      <c r="A67" s="4">
        <f t="shared" si="1"/>
        <v>58</v>
      </c>
      <c r="B67" s="23"/>
      <c r="C67" s="24" t="s">
        <v>62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1:17" ht="12.75">
      <c r="A68" s="4">
        <f t="shared" si="1"/>
        <v>59</v>
      </c>
      <c r="B68" s="23"/>
      <c r="C68" s="24" t="s">
        <v>63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1:17" ht="12.75">
      <c r="A69" s="4">
        <f t="shared" si="1"/>
        <v>60</v>
      </c>
      <c r="B69" s="23"/>
      <c r="C69" s="24" t="s">
        <v>70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1:17" ht="12.75">
      <c r="A70" s="4">
        <f t="shared" si="1"/>
        <v>61</v>
      </c>
      <c r="B70" s="23"/>
      <c r="C70" s="24" t="s">
        <v>71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7" ht="12.75">
      <c r="A71" s="4">
        <f t="shared" si="1"/>
        <v>62</v>
      </c>
      <c r="B71" s="29"/>
      <c r="C71" s="30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ht="12.75">
      <c r="A72" s="4">
        <f t="shared" si="1"/>
        <v>63</v>
      </c>
      <c r="B72" s="23" t="s">
        <v>75</v>
      </c>
      <c r="C72" s="24" t="s">
        <v>60</v>
      </c>
      <c r="D72" s="25">
        <v>3</v>
      </c>
      <c r="E72" s="25"/>
      <c r="F72" s="25">
        <v>3</v>
      </c>
      <c r="G72" s="25">
        <v>3</v>
      </c>
      <c r="H72" s="25">
        <v>3</v>
      </c>
      <c r="I72" s="25">
        <v>3</v>
      </c>
      <c r="J72" s="25">
        <v>3</v>
      </c>
      <c r="K72" s="25">
        <v>3</v>
      </c>
      <c r="L72" s="25">
        <v>3</v>
      </c>
      <c r="M72" s="25">
        <v>3</v>
      </c>
      <c r="N72" s="25">
        <v>3</v>
      </c>
      <c r="O72" s="25">
        <v>3</v>
      </c>
      <c r="P72" s="25">
        <v>3</v>
      </c>
      <c r="Q72" s="25">
        <v>3</v>
      </c>
    </row>
    <row r="73" spans="1:17" ht="12.75">
      <c r="A73" s="4">
        <f t="shared" si="1"/>
        <v>64</v>
      </c>
      <c r="B73" s="23"/>
      <c r="C73" s="24" t="s">
        <v>61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1:17" ht="12.75">
      <c r="A74" s="4">
        <f t="shared" si="1"/>
        <v>65</v>
      </c>
      <c r="B74" s="23"/>
      <c r="C74" s="24" t="s">
        <v>62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1:17" ht="12.75">
      <c r="A75" s="4">
        <f aca="true" t="shared" si="2" ref="A75:A90">+A74+1</f>
        <v>66</v>
      </c>
      <c r="B75" s="23"/>
      <c r="C75" s="24" t="s">
        <v>63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1:17" ht="12.75">
      <c r="A76" s="4">
        <f t="shared" si="2"/>
        <v>67</v>
      </c>
      <c r="B76" s="23"/>
      <c r="C76" s="24" t="s">
        <v>70</v>
      </c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 ht="12.75">
      <c r="A77" s="4">
        <f t="shared" si="2"/>
        <v>68</v>
      </c>
      <c r="B77" s="23"/>
      <c r="C77" s="24" t="s">
        <v>71</v>
      </c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1:17" ht="12.75">
      <c r="A78" s="4">
        <f t="shared" si="2"/>
        <v>69</v>
      </c>
      <c r="B78" s="29"/>
      <c r="C78" s="30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1:17" ht="12.75">
      <c r="A79" s="4">
        <f t="shared" si="2"/>
        <v>70</v>
      </c>
      <c r="B79" s="29" t="s">
        <v>76</v>
      </c>
      <c r="C79" s="31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 ht="12.75">
      <c r="A80" s="4">
        <f t="shared" si="2"/>
        <v>71</v>
      </c>
      <c r="B80" s="18" t="s">
        <v>77</v>
      </c>
      <c r="C80" s="19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1:17" ht="12.75">
      <c r="A81" s="4">
        <f t="shared" si="2"/>
        <v>72</v>
      </c>
      <c r="B81" s="18">
        <v>54</v>
      </c>
      <c r="C81" s="19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1:17" ht="12.75">
      <c r="A82" s="4">
        <f t="shared" si="2"/>
        <v>73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1:17" ht="12.75">
      <c r="A83" s="4">
        <f t="shared" si="2"/>
        <v>74</v>
      </c>
      <c r="B83" s="35" t="s">
        <v>78</v>
      </c>
      <c r="D83" s="25">
        <f>SUM(D16:D81)</f>
        <v>64862</v>
      </c>
      <c r="E83" s="25"/>
      <c r="F83" s="25">
        <f aca="true" t="shared" si="3" ref="F83:Q83">SUM(F16:F81)</f>
        <v>62801</v>
      </c>
      <c r="G83" s="25">
        <f t="shared" si="3"/>
        <v>63280</v>
      </c>
      <c r="H83" s="25">
        <f t="shared" si="3"/>
        <v>63738</v>
      </c>
      <c r="I83" s="25">
        <f t="shared" si="3"/>
        <v>64021</v>
      </c>
      <c r="J83" s="25">
        <f t="shared" si="3"/>
        <v>64261</v>
      </c>
      <c r="K83" s="25">
        <f t="shared" si="3"/>
        <v>64436</v>
      </c>
      <c r="L83" s="25">
        <f t="shared" si="3"/>
        <v>64458</v>
      </c>
      <c r="M83" s="25">
        <f t="shared" si="3"/>
        <v>64607</v>
      </c>
      <c r="N83" s="25">
        <f t="shared" si="3"/>
        <v>64614</v>
      </c>
      <c r="O83" s="25">
        <f t="shared" si="3"/>
        <v>64650</v>
      </c>
      <c r="P83" s="25">
        <f t="shared" si="3"/>
        <v>64694</v>
      </c>
      <c r="Q83" s="25">
        <f t="shared" si="3"/>
        <v>64862</v>
      </c>
    </row>
    <row r="84" spans="1:17" ht="12.75">
      <c r="A84" s="4">
        <f t="shared" si="2"/>
        <v>75</v>
      </c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1:17" ht="12.75">
      <c r="A85" s="4">
        <f t="shared" si="2"/>
        <v>76</v>
      </c>
      <c r="B85" s="7" t="s">
        <v>17</v>
      </c>
      <c r="D85" s="155">
        <f>+D18+D16+D22+D34</f>
        <v>59763</v>
      </c>
      <c r="E85" s="155"/>
      <c r="F85" s="155">
        <f aca="true" t="shared" si="4" ref="F85:Q85">+F18+F16+F22+F34</f>
        <v>57848</v>
      </c>
      <c r="G85" s="155">
        <f t="shared" si="4"/>
        <v>58285</v>
      </c>
      <c r="H85" s="155">
        <f t="shared" si="4"/>
        <v>58671</v>
      </c>
      <c r="I85" s="155">
        <f t="shared" si="4"/>
        <v>58931</v>
      </c>
      <c r="J85" s="155">
        <f t="shared" si="4"/>
        <v>59144</v>
      </c>
      <c r="K85" s="155">
        <f t="shared" si="4"/>
        <v>59303</v>
      </c>
      <c r="L85" s="155">
        <f t="shared" si="4"/>
        <v>59329</v>
      </c>
      <c r="M85" s="155">
        <f t="shared" si="4"/>
        <v>59472</v>
      </c>
      <c r="N85" s="155">
        <f t="shared" si="4"/>
        <v>59491</v>
      </c>
      <c r="O85" s="155">
        <f t="shared" si="4"/>
        <v>59523</v>
      </c>
      <c r="P85" s="155">
        <f t="shared" si="4"/>
        <v>59592</v>
      </c>
      <c r="Q85" s="155">
        <f t="shared" si="4"/>
        <v>59763</v>
      </c>
    </row>
    <row r="86" spans="1:17" ht="12.75">
      <c r="A86" s="4">
        <f t="shared" si="2"/>
        <v>77</v>
      </c>
      <c r="B86" s="7" t="s">
        <v>18</v>
      </c>
      <c r="D86" s="155">
        <f>+D17+D19+SUM(D24:D27)+SUM(D44:D49)</f>
        <v>5044</v>
      </c>
      <c r="E86" s="155"/>
      <c r="F86" s="155">
        <f aca="true" t="shared" si="5" ref="F86:Q86">+F17+F19+SUM(F24:F27)+SUM(F44:F49)</f>
        <v>4901</v>
      </c>
      <c r="G86" s="155">
        <f t="shared" si="5"/>
        <v>4940</v>
      </c>
      <c r="H86" s="155">
        <f t="shared" si="5"/>
        <v>5013</v>
      </c>
      <c r="I86" s="155">
        <f t="shared" si="5"/>
        <v>5037</v>
      </c>
      <c r="J86" s="155">
        <f t="shared" si="5"/>
        <v>5067</v>
      </c>
      <c r="K86" s="155">
        <f t="shared" si="5"/>
        <v>5080</v>
      </c>
      <c r="L86" s="155">
        <f t="shared" si="5"/>
        <v>5075</v>
      </c>
      <c r="M86" s="155">
        <f t="shared" si="5"/>
        <v>5083</v>
      </c>
      <c r="N86" s="155">
        <f t="shared" si="5"/>
        <v>5069</v>
      </c>
      <c r="O86" s="155">
        <f t="shared" si="5"/>
        <v>5072</v>
      </c>
      <c r="P86" s="155">
        <f t="shared" si="5"/>
        <v>5047</v>
      </c>
      <c r="Q86" s="155">
        <f t="shared" si="5"/>
        <v>5044</v>
      </c>
    </row>
    <row r="87" spans="1:17" ht="12.75">
      <c r="A87" s="4">
        <f t="shared" si="2"/>
        <v>78</v>
      </c>
      <c r="B87" s="7" t="s">
        <v>19</v>
      </c>
      <c r="D87" s="155">
        <f>+D20+SUM(D29:D32)+SUM(D41:D42)+SUM(D51:D55)+SUM(D35:D36)</f>
        <v>37</v>
      </c>
      <c r="E87" s="155"/>
      <c r="F87" s="155">
        <f aca="true" t="shared" si="6" ref="F87:Q87">+F20+SUM(F29:F32)+SUM(F41:F42)+SUM(F51:F55)+SUM(F35:F36)</f>
        <v>35</v>
      </c>
      <c r="G87" s="155">
        <f t="shared" si="6"/>
        <v>37</v>
      </c>
      <c r="H87" s="155">
        <f t="shared" si="6"/>
        <v>36</v>
      </c>
      <c r="I87" s="155">
        <f t="shared" si="6"/>
        <v>35</v>
      </c>
      <c r="J87" s="155">
        <f t="shared" si="6"/>
        <v>34</v>
      </c>
      <c r="K87" s="155">
        <f t="shared" si="6"/>
        <v>35</v>
      </c>
      <c r="L87" s="155">
        <f t="shared" si="6"/>
        <v>36</v>
      </c>
      <c r="M87" s="155">
        <f t="shared" si="6"/>
        <v>34</v>
      </c>
      <c r="N87" s="155">
        <f t="shared" si="6"/>
        <v>36</v>
      </c>
      <c r="O87" s="155">
        <f t="shared" si="6"/>
        <v>37</v>
      </c>
      <c r="P87" s="155">
        <f t="shared" si="6"/>
        <v>37</v>
      </c>
      <c r="Q87" s="155">
        <f t="shared" si="6"/>
        <v>37</v>
      </c>
    </row>
    <row r="88" spans="1:17" ht="12.75">
      <c r="A88" s="4">
        <f t="shared" si="2"/>
        <v>79</v>
      </c>
      <c r="B88" s="7" t="s">
        <v>20</v>
      </c>
      <c r="D88" s="155">
        <f>+SUM(D65:D70)+SUM(D41:D42)</f>
        <v>14</v>
      </c>
      <c r="E88" s="155"/>
      <c r="F88" s="155">
        <f aca="true" t="shared" si="7" ref="F88:Q88">+SUM(F65:F70)+SUM(F41:F42)</f>
        <v>13</v>
      </c>
      <c r="G88" s="155">
        <f t="shared" si="7"/>
        <v>14</v>
      </c>
      <c r="H88" s="155">
        <f t="shared" si="7"/>
        <v>14</v>
      </c>
      <c r="I88" s="155">
        <f t="shared" si="7"/>
        <v>14</v>
      </c>
      <c r="J88" s="155">
        <f t="shared" si="7"/>
        <v>12</v>
      </c>
      <c r="K88" s="155">
        <f t="shared" si="7"/>
        <v>14</v>
      </c>
      <c r="L88" s="155">
        <f t="shared" si="7"/>
        <v>14</v>
      </c>
      <c r="M88" s="155">
        <f t="shared" si="7"/>
        <v>14</v>
      </c>
      <c r="N88" s="155">
        <f t="shared" si="7"/>
        <v>14</v>
      </c>
      <c r="O88" s="155">
        <f t="shared" si="7"/>
        <v>14</v>
      </c>
      <c r="P88" s="155">
        <f t="shared" si="7"/>
        <v>14</v>
      </c>
      <c r="Q88" s="155">
        <f t="shared" si="7"/>
        <v>14</v>
      </c>
    </row>
    <row r="89" spans="1:17" ht="12.75">
      <c r="A89" s="4">
        <f t="shared" si="2"/>
        <v>80</v>
      </c>
      <c r="B89" s="7" t="s">
        <v>117</v>
      </c>
      <c r="D89" s="155">
        <f>+SUM(D38:D39)+SUM(D58:D63)</f>
        <v>1</v>
      </c>
      <c r="E89" s="155"/>
      <c r="F89" s="155">
        <f aca="true" t="shared" si="8" ref="F89:Q89">+SUM(F38:F39)+SUM(F58:F63)</f>
        <v>1</v>
      </c>
      <c r="G89" s="155">
        <f t="shared" si="8"/>
        <v>1</v>
      </c>
      <c r="H89" s="155">
        <f t="shared" si="8"/>
        <v>1</v>
      </c>
      <c r="I89" s="155">
        <f t="shared" si="8"/>
        <v>1</v>
      </c>
      <c r="J89" s="155">
        <f t="shared" si="8"/>
        <v>1</v>
      </c>
      <c r="K89" s="155">
        <f t="shared" si="8"/>
        <v>1</v>
      </c>
      <c r="L89" s="155">
        <f t="shared" si="8"/>
        <v>1</v>
      </c>
      <c r="M89" s="155">
        <f t="shared" si="8"/>
        <v>1</v>
      </c>
      <c r="N89" s="155">
        <f t="shared" si="8"/>
        <v>1</v>
      </c>
      <c r="O89" s="155">
        <f t="shared" si="8"/>
        <v>1</v>
      </c>
      <c r="P89" s="155">
        <f t="shared" si="8"/>
        <v>1</v>
      </c>
      <c r="Q89" s="155">
        <f t="shared" si="8"/>
        <v>1</v>
      </c>
    </row>
    <row r="90" spans="1:17" ht="12.75">
      <c r="A90" s="4">
        <f t="shared" si="2"/>
        <v>81</v>
      </c>
      <c r="B90" s="7" t="s">
        <v>118</v>
      </c>
      <c r="D90" s="156">
        <f>SUM(D72:D77)</f>
        <v>3</v>
      </c>
      <c r="E90" s="156"/>
      <c r="F90" s="156">
        <f aca="true" t="shared" si="9" ref="F90:Q90">SUM(F72:F77)</f>
        <v>3</v>
      </c>
      <c r="G90" s="156">
        <f t="shared" si="9"/>
        <v>3</v>
      </c>
      <c r="H90" s="156">
        <f t="shared" si="9"/>
        <v>3</v>
      </c>
      <c r="I90" s="156">
        <f t="shared" si="9"/>
        <v>3</v>
      </c>
      <c r="J90" s="156">
        <f t="shared" si="9"/>
        <v>3</v>
      </c>
      <c r="K90" s="156">
        <f t="shared" si="9"/>
        <v>3</v>
      </c>
      <c r="L90" s="156">
        <f t="shared" si="9"/>
        <v>3</v>
      </c>
      <c r="M90" s="156">
        <f t="shared" si="9"/>
        <v>3</v>
      </c>
      <c r="N90" s="156">
        <f t="shared" si="9"/>
        <v>3</v>
      </c>
      <c r="O90" s="156">
        <f t="shared" si="9"/>
        <v>3</v>
      </c>
      <c r="P90" s="156">
        <f t="shared" si="9"/>
        <v>3</v>
      </c>
      <c r="Q90" s="156">
        <f t="shared" si="9"/>
        <v>3</v>
      </c>
    </row>
    <row r="91" spans="4:17" ht="12.75">
      <c r="D91" s="25"/>
      <c r="E91" s="25"/>
      <c r="F91" s="25">
        <f aca="true" t="shared" si="10" ref="F91:Q91">SUM(F85:F90)-F83</f>
        <v>0</v>
      </c>
      <c r="G91" s="25">
        <f t="shared" si="10"/>
        <v>0</v>
      </c>
      <c r="H91" s="25">
        <f t="shared" si="10"/>
        <v>0</v>
      </c>
      <c r="I91" s="25">
        <f t="shared" si="10"/>
        <v>0</v>
      </c>
      <c r="J91" s="25">
        <f t="shared" si="10"/>
        <v>0</v>
      </c>
      <c r="K91" s="25">
        <f t="shared" si="10"/>
        <v>0</v>
      </c>
      <c r="L91" s="25">
        <f t="shared" si="10"/>
        <v>0</v>
      </c>
      <c r="M91" s="25">
        <f t="shared" si="10"/>
        <v>0</v>
      </c>
      <c r="N91" s="25">
        <f t="shared" si="10"/>
        <v>0</v>
      </c>
      <c r="O91" s="25">
        <f t="shared" si="10"/>
        <v>0</v>
      </c>
      <c r="P91" s="25">
        <f t="shared" si="10"/>
        <v>0</v>
      </c>
      <c r="Q91" s="25">
        <f t="shared" si="10"/>
        <v>0</v>
      </c>
    </row>
    <row r="92" spans="4:17" ht="12.75"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4:17" ht="12.75"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4:17" ht="12.75"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4:17" ht="12.75"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4:17" ht="12.75"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4:17" ht="12.75"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4:17" ht="12.75"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4:17" ht="12.75"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4:17" ht="12.75"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4:17" ht="12.75"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4:17" ht="12.75"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4:17" ht="12.75"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4:17" ht="12.75"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</sheetData>
  <sheetProtection/>
  <printOptions horizontalCentered="1"/>
  <pageMargins left="0.5" right="0.5" top="0.5" bottom="0.5" header="0.25" footer="0.25"/>
  <pageSetup fitToHeight="1" fitToWidth="1" horizontalDpi="600" verticalDpi="600" orientation="landscape" scale="48" r:id="rId1"/>
  <headerFooter alignWithMargins="0">
    <oddFooter>&amp;C&amp;F &amp;D &amp;T
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5"/>
  <sheetViews>
    <sheetView zoomScalePageLayoutView="0" workbookViewId="0" topLeftCell="A1">
      <pane xSplit="3" ySplit="15" topLeftCell="D16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I16" sqref="I16"/>
    </sheetView>
  </sheetViews>
  <sheetFormatPr defaultColWidth="8.00390625" defaultRowHeight="12.75"/>
  <cols>
    <col min="1" max="1" width="5.8515625" style="1" customWidth="1"/>
    <col min="2" max="2" width="15.28125" style="7" customWidth="1"/>
    <col min="3" max="3" width="8.00390625" style="7" customWidth="1"/>
    <col min="4" max="5" width="11.7109375" style="7" customWidth="1"/>
    <col min="6" max="6" width="3.7109375" style="7" customWidth="1"/>
    <col min="7" max="7" width="15.7109375" style="1" customWidth="1"/>
    <col min="8" max="8" width="3.7109375" style="1" customWidth="1"/>
    <col min="9" max="21" width="11.7109375" style="1" customWidth="1"/>
    <col min="22" max="16384" width="8.00390625" style="1" customWidth="1"/>
  </cols>
  <sheetData>
    <row r="1" ht="14.25">
      <c r="A1" s="147" t="s">
        <v>79</v>
      </c>
    </row>
    <row r="2" ht="14.25">
      <c r="A2" s="147" t="s">
        <v>110</v>
      </c>
    </row>
    <row r="3" ht="14.25">
      <c r="A3" s="147" t="s">
        <v>120</v>
      </c>
    </row>
    <row r="4" ht="14.25">
      <c r="A4" s="147" t="s">
        <v>133</v>
      </c>
    </row>
    <row r="5" ht="12.75">
      <c r="A5" s="212" t="s">
        <v>159</v>
      </c>
    </row>
    <row r="8" spans="2:6" ht="14.25">
      <c r="B8" s="1"/>
      <c r="C8" s="1"/>
      <c r="D8" s="1"/>
      <c r="E8" s="1"/>
      <c r="F8" s="9"/>
    </row>
    <row r="9" spans="2:7" s="2" customFormat="1" ht="14.25">
      <c r="B9" s="10"/>
      <c r="C9" s="10"/>
      <c r="D9" s="10"/>
      <c r="E9" s="10"/>
      <c r="F9" s="151"/>
      <c r="G9" s="1"/>
    </row>
    <row r="10" spans="1:6" ht="12.75">
      <c r="A10" s="4">
        <v>1</v>
      </c>
      <c r="F10" s="11"/>
    </row>
    <row r="11" spans="1:7" ht="12.75">
      <c r="A11" s="4">
        <f aca="true" t="shared" si="0" ref="A11:A42">+A10+1</f>
        <v>2</v>
      </c>
      <c r="D11" s="12"/>
      <c r="E11" s="11" t="s">
        <v>43</v>
      </c>
      <c r="F11" s="12"/>
      <c r="G11" s="4"/>
    </row>
    <row r="12" spans="1:20" ht="12.75">
      <c r="A12" s="4">
        <f t="shared" si="0"/>
        <v>3</v>
      </c>
      <c r="D12" s="11" t="s">
        <v>44</v>
      </c>
      <c r="E12" s="11" t="s">
        <v>45</v>
      </c>
      <c r="F12" s="11"/>
      <c r="G12" s="4" t="s">
        <v>108</v>
      </c>
      <c r="I12" s="4" t="s">
        <v>91</v>
      </c>
      <c r="J12" s="4" t="s">
        <v>92</v>
      </c>
      <c r="K12" s="4" t="s">
        <v>93</v>
      </c>
      <c r="L12" s="4" t="s">
        <v>94</v>
      </c>
      <c r="M12" s="4" t="s">
        <v>95</v>
      </c>
      <c r="N12" s="4" t="s">
        <v>96</v>
      </c>
      <c r="O12" s="4" t="s">
        <v>97</v>
      </c>
      <c r="P12" s="4" t="s">
        <v>86</v>
      </c>
      <c r="Q12" s="4" t="s">
        <v>98</v>
      </c>
      <c r="R12" s="4" t="s">
        <v>99</v>
      </c>
      <c r="S12" s="4" t="s">
        <v>100</v>
      </c>
      <c r="T12" s="4" t="s">
        <v>101</v>
      </c>
    </row>
    <row r="13" spans="1:21" s="3" customFormat="1" ht="13.5" thickBot="1">
      <c r="A13" s="4">
        <f t="shared" si="0"/>
        <v>4</v>
      </c>
      <c r="B13" s="7"/>
      <c r="C13" s="7"/>
      <c r="D13" s="13" t="s">
        <v>47</v>
      </c>
      <c r="E13" s="13" t="s">
        <v>48</v>
      </c>
      <c r="F13" s="5"/>
      <c r="G13" s="13" t="s">
        <v>80</v>
      </c>
      <c r="I13" s="171">
        <v>2006</v>
      </c>
      <c r="J13" s="171">
        <v>2006</v>
      </c>
      <c r="K13" s="171">
        <v>2006</v>
      </c>
      <c r="L13" s="171">
        <v>2007</v>
      </c>
      <c r="M13" s="171">
        <v>2007</v>
      </c>
      <c r="N13" s="171">
        <v>2007</v>
      </c>
      <c r="O13" s="171">
        <v>2007</v>
      </c>
      <c r="P13" s="171">
        <v>2007</v>
      </c>
      <c r="Q13" s="171">
        <v>2007</v>
      </c>
      <c r="R13" s="171">
        <v>2007</v>
      </c>
      <c r="S13" s="171">
        <v>2007</v>
      </c>
      <c r="T13" s="171">
        <v>2007</v>
      </c>
      <c r="U13" s="171" t="s">
        <v>135</v>
      </c>
    </row>
    <row r="14" spans="1:21" s="3" customFormat="1" ht="12.75">
      <c r="A14" s="4">
        <f t="shared" si="0"/>
        <v>5</v>
      </c>
      <c r="B14" s="7"/>
      <c r="C14" s="7"/>
      <c r="D14" s="4" t="s">
        <v>12</v>
      </c>
      <c r="E14" s="4" t="s">
        <v>13</v>
      </c>
      <c r="F14" s="4"/>
      <c r="G14" s="4" t="s">
        <v>14</v>
      </c>
      <c r="H14" s="4"/>
      <c r="I14" s="4" t="s">
        <v>151</v>
      </c>
      <c r="J14" s="4" t="s">
        <v>152</v>
      </c>
      <c r="K14" s="4" t="s">
        <v>15</v>
      </c>
      <c r="L14" s="4" t="s">
        <v>16</v>
      </c>
      <c r="M14" s="4" t="s">
        <v>153</v>
      </c>
      <c r="N14" s="4" t="s">
        <v>154</v>
      </c>
      <c r="O14" s="4" t="s">
        <v>155</v>
      </c>
      <c r="P14" s="4" t="s">
        <v>156</v>
      </c>
      <c r="Q14" s="4" t="s">
        <v>157</v>
      </c>
      <c r="R14" s="4" t="s">
        <v>158</v>
      </c>
      <c r="S14" s="4" t="s">
        <v>160</v>
      </c>
      <c r="T14" s="4" t="s">
        <v>161</v>
      </c>
      <c r="U14" s="4" t="s">
        <v>162</v>
      </c>
    </row>
    <row r="15" spans="1:6" s="3" customFormat="1" ht="12.75">
      <c r="A15" s="4">
        <f t="shared" si="0"/>
        <v>6</v>
      </c>
      <c r="B15" s="14" t="s">
        <v>49</v>
      </c>
      <c r="C15" s="15" t="s">
        <v>47</v>
      </c>
      <c r="D15" s="16"/>
      <c r="E15" s="16"/>
      <c r="F15" s="5"/>
    </row>
    <row r="16" spans="1:21" ht="12.75">
      <c r="A16" s="4">
        <f t="shared" si="0"/>
        <v>7</v>
      </c>
      <c r="B16" s="18" t="s">
        <v>50</v>
      </c>
      <c r="C16" s="19"/>
      <c r="D16" s="20" t="s">
        <v>51</v>
      </c>
      <c r="E16" s="193">
        <f>+'Normal Revs by RS'!E16</f>
        <v>2</v>
      </c>
      <c r="F16" s="28"/>
      <c r="G16" s="25">
        <v>536</v>
      </c>
      <c r="I16" s="214">
        <f>+Customers!F16*'Customer Charge'!$E16</f>
        <v>990</v>
      </c>
      <c r="J16" s="214">
        <f>+Customers!G16*'Customer Charge'!$E16</f>
        <v>998</v>
      </c>
      <c r="K16" s="214">
        <f>+Customers!H16*'Customer Charge'!$E16</f>
        <v>1008</v>
      </c>
      <c r="L16" s="214">
        <f>+Customers!I16*'Customer Charge'!$E16</f>
        <v>1028</v>
      </c>
      <c r="M16" s="214">
        <f>+Customers!J16*'Customer Charge'!$E16</f>
        <v>1116</v>
      </c>
      <c r="N16" s="214">
        <f>+Customers!K16*'Customer Charge'!$E16</f>
        <v>1102</v>
      </c>
      <c r="O16" s="214">
        <f>+Customers!L16*'Customer Charge'!$E16</f>
        <v>1102</v>
      </c>
      <c r="P16" s="214">
        <f>+Customers!M16*'Customer Charge'!$E16</f>
        <v>1114</v>
      </c>
      <c r="Q16" s="214">
        <f>+Customers!N16*'Customer Charge'!$E16</f>
        <v>1110</v>
      </c>
      <c r="R16" s="214">
        <f>+Customers!O16*'Customer Charge'!$E16</f>
        <v>1080</v>
      </c>
      <c r="S16" s="214">
        <f>+Customers!P16*'Customer Charge'!$E16</f>
        <v>1072</v>
      </c>
      <c r="T16" s="214">
        <f>+Customers!Q16*'Customer Charge'!$E16</f>
        <v>1072</v>
      </c>
      <c r="U16" s="214">
        <f aca="true" t="shared" si="1" ref="U16:U47">SUM(I16:T16)</f>
        <v>12792</v>
      </c>
    </row>
    <row r="17" spans="1:21" ht="12.75">
      <c r="A17" s="4">
        <f t="shared" si="0"/>
        <v>8</v>
      </c>
      <c r="B17" s="18" t="s">
        <v>52</v>
      </c>
      <c r="C17" s="19"/>
      <c r="D17" s="20" t="s">
        <v>51</v>
      </c>
      <c r="E17" s="193">
        <f>+'Normal Revs by RS'!E17</f>
        <v>2</v>
      </c>
      <c r="F17" s="28"/>
      <c r="G17" s="25">
        <v>21</v>
      </c>
      <c r="I17" s="214">
        <f>+Customers!F17*'Customer Charge'!$E17</f>
        <v>36</v>
      </c>
      <c r="J17" s="214">
        <f>+Customers!G17*'Customer Charge'!$E17</f>
        <v>36</v>
      </c>
      <c r="K17" s="214">
        <f>+Customers!H17*'Customer Charge'!$E17</f>
        <v>38</v>
      </c>
      <c r="L17" s="214">
        <f>+Customers!I17*'Customer Charge'!$E17</f>
        <v>38</v>
      </c>
      <c r="M17" s="214">
        <f>+Customers!J17*'Customer Charge'!$E17</f>
        <v>38</v>
      </c>
      <c r="N17" s="214">
        <f>+Customers!K17*'Customer Charge'!$E17</f>
        <v>36</v>
      </c>
      <c r="O17" s="214">
        <f>+Customers!L17*'Customer Charge'!$E17</f>
        <v>38</v>
      </c>
      <c r="P17" s="214">
        <f>+Customers!M17*'Customer Charge'!$E17</f>
        <v>38</v>
      </c>
      <c r="Q17" s="214">
        <f>+Customers!N17*'Customer Charge'!$E17</f>
        <v>38</v>
      </c>
      <c r="R17" s="214">
        <f>+Customers!O17*'Customer Charge'!$E17</f>
        <v>40</v>
      </c>
      <c r="S17" s="214">
        <f>+Customers!P17*'Customer Charge'!$E17</f>
        <v>36</v>
      </c>
      <c r="T17" s="214">
        <f>+Customers!Q17*'Customer Charge'!$E17</f>
        <v>42</v>
      </c>
      <c r="U17" s="214">
        <f t="shared" si="1"/>
        <v>454</v>
      </c>
    </row>
    <row r="18" spans="1:21" ht="12.75">
      <c r="A18" s="4">
        <f t="shared" si="0"/>
        <v>9</v>
      </c>
      <c r="B18" s="18" t="s">
        <v>53</v>
      </c>
      <c r="C18" s="19"/>
      <c r="D18" s="20" t="s">
        <v>51</v>
      </c>
      <c r="E18" s="193">
        <f>+'Normal Revs by RS'!E18</f>
        <v>5</v>
      </c>
      <c r="F18" s="28"/>
      <c r="G18" s="25">
        <v>58169</v>
      </c>
      <c r="I18" s="214">
        <f>+Customers!F18*'Customer Charge'!$E18</f>
        <v>280105</v>
      </c>
      <c r="J18" s="214">
        <f>+Customers!G18*'Customer Charge'!$E18</f>
        <v>282115</v>
      </c>
      <c r="K18" s="214">
        <f>+Customers!H18*'Customer Charge'!$E18</f>
        <v>283975</v>
      </c>
      <c r="L18" s="214">
        <f>+Customers!I18*'Customer Charge'!$E18</f>
        <v>285445</v>
      </c>
      <c r="M18" s="214">
        <f>+Customers!J18*'Customer Charge'!$E18</f>
        <v>286495</v>
      </c>
      <c r="N18" s="214">
        <f>+Customers!K18*'Customer Charge'!$E18</f>
        <v>287470</v>
      </c>
      <c r="O18" s="214">
        <f>+Customers!L18*'Customer Charge'!$E18</f>
        <v>287710</v>
      </c>
      <c r="P18" s="214">
        <f>+Customers!M18*'Customer Charge'!$E18</f>
        <v>288265</v>
      </c>
      <c r="Q18" s="214">
        <f>+Customers!N18*'Customer Charge'!$E18</f>
        <v>288670</v>
      </c>
      <c r="R18" s="214">
        <f>+Customers!O18*'Customer Charge'!$E18</f>
        <v>289115</v>
      </c>
      <c r="S18" s="214">
        <f>+Customers!P18*'Customer Charge'!$E18</f>
        <v>289700</v>
      </c>
      <c r="T18" s="214">
        <f>+Customers!Q18*'Customer Charge'!$E18</f>
        <v>290845</v>
      </c>
      <c r="U18" s="214">
        <f t="shared" si="1"/>
        <v>3439910</v>
      </c>
    </row>
    <row r="19" spans="1:21" ht="12.75">
      <c r="A19" s="4">
        <f t="shared" si="0"/>
        <v>10</v>
      </c>
      <c r="B19" s="18" t="s">
        <v>54</v>
      </c>
      <c r="C19" s="19"/>
      <c r="D19" s="20" t="s">
        <v>51</v>
      </c>
      <c r="E19" s="193">
        <f>+'Normal Revs by RS'!E19</f>
        <v>10.5</v>
      </c>
      <c r="F19" s="28"/>
      <c r="G19" s="25">
        <v>4852</v>
      </c>
      <c r="I19" s="214">
        <f>+Customers!F19*'Customer Charge'!$E19</f>
        <v>49350</v>
      </c>
      <c r="J19" s="214">
        <f>+Customers!G19*'Customer Charge'!$E19</f>
        <v>49791</v>
      </c>
      <c r="K19" s="214">
        <f>+Customers!H19*'Customer Charge'!$E19</f>
        <v>50526</v>
      </c>
      <c r="L19" s="214">
        <f>+Customers!I19*'Customer Charge'!$E19</f>
        <v>50788.5</v>
      </c>
      <c r="M19" s="214">
        <f>+Customers!J19*'Customer Charge'!$E19</f>
        <v>51072</v>
      </c>
      <c r="N19" s="214">
        <f>+Customers!K19*'Customer Charge'!$E19</f>
        <v>51208.5</v>
      </c>
      <c r="O19" s="214">
        <f>+Customers!L19*'Customer Charge'!$E19</f>
        <v>51187.5</v>
      </c>
      <c r="P19" s="214">
        <f>+Customers!M19*'Customer Charge'!$E19</f>
        <v>51282</v>
      </c>
      <c r="Q19" s="214">
        <f>+Customers!N19*'Customer Charge'!$E19</f>
        <v>51187.5</v>
      </c>
      <c r="R19" s="214">
        <f>+Customers!O19*'Customer Charge'!$E19</f>
        <v>51219</v>
      </c>
      <c r="S19" s="214">
        <f>+Customers!P19*'Customer Charge'!$E19</f>
        <v>51009</v>
      </c>
      <c r="T19" s="214">
        <f>+Customers!Q19*'Customer Charge'!$E19</f>
        <v>50946</v>
      </c>
      <c r="U19" s="214">
        <f t="shared" si="1"/>
        <v>609567</v>
      </c>
    </row>
    <row r="20" spans="1:21" ht="12.75">
      <c r="A20" s="4">
        <f t="shared" si="0"/>
        <v>11</v>
      </c>
      <c r="B20" s="18" t="s">
        <v>55</v>
      </c>
      <c r="C20" s="19"/>
      <c r="D20" s="20" t="s">
        <v>51</v>
      </c>
      <c r="E20" s="193">
        <f>+'Normal Revs by RS'!E20</f>
        <v>10.5</v>
      </c>
      <c r="F20" s="28"/>
      <c r="G20" s="25">
        <v>14</v>
      </c>
      <c r="I20" s="214">
        <f>+Customers!F20*'Customer Charge'!$E20</f>
        <v>126</v>
      </c>
      <c r="J20" s="214">
        <f>+Customers!G20*'Customer Charge'!$E20</f>
        <v>126</v>
      </c>
      <c r="K20" s="214">
        <f>+Customers!H20*'Customer Charge'!$E20</f>
        <v>126</v>
      </c>
      <c r="L20" s="214">
        <f>+Customers!I20*'Customer Charge'!$E20</f>
        <v>126</v>
      </c>
      <c r="M20" s="214">
        <f>+Customers!J20*'Customer Charge'!$E20</f>
        <v>115.5</v>
      </c>
      <c r="N20" s="214">
        <f>+Customers!K20*'Customer Charge'!$E20</f>
        <v>126</v>
      </c>
      <c r="O20" s="214">
        <f>+Customers!L20*'Customer Charge'!$E20</f>
        <v>126</v>
      </c>
      <c r="P20" s="214">
        <f>+Customers!M20*'Customer Charge'!$E20</f>
        <v>126</v>
      </c>
      <c r="Q20" s="214">
        <f>+Customers!N20*'Customer Charge'!$E20</f>
        <v>147</v>
      </c>
      <c r="R20" s="214">
        <f>+Customers!O20*'Customer Charge'!$E20</f>
        <v>147</v>
      </c>
      <c r="S20" s="214">
        <f>+Customers!P20*'Customer Charge'!$E20</f>
        <v>147</v>
      </c>
      <c r="T20" s="214">
        <f>+Customers!Q20*'Customer Charge'!$E20</f>
        <v>147</v>
      </c>
      <c r="U20" s="214">
        <f t="shared" si="1"/>
        <v>1585.5</v>
      </c>
    </row>
    <row r="21" spans="1:21" ht="12.75">
      <c r="A21" s="4">
        <f t="shared" si="0"/>
        <v>12</v>
      </c>
      <c r="B21" s="21" t="s">
        <v>56</v>
      </c>
      <c r="C21" s="19"/>
      <c r="D21" s="20"/>
      <c r="E21" s="193"/>
      <c r="F21" s="28"/>
      <c r="G21" s="25"/>
      <c r="I21" s="214">
        <f>+Customers!F21*'Customer Charge'!$E21</f>
        <v>0</v>
      </c>
      <c r="J21" s="214">
        <f>+Customers!G21*'Customer Charge'!$E21</f>
        <v>0</v>
      </c>
      <c r="K21" s="214">
        <f>+Customers!H21*'Customer Charge'!$E21</f>
        <v>0</v>
      </c>
      <c r="L21" s="214">
        <f>+Customers!I21*'Customer Charge'!$E21</f>
        <v>0</v>
      </c>
      <c r="M21" s="214">
        <f>+Customers!J21*'Customer Charge'!$E21</f>
        <v>0</v>
      </c>
      <c r="N21" s="214">
        <f>+Customers!K21*'Customer Charge'!$E21</f>
        <v>0</v>
      </c>
      <c r="O21" s="214">
        <f>+Customers!L21*'Customer Charge'!$E21</f>
        <v>0</v>
      </c>
      <c r="P21" s="214">
        <f>+Customers!M21*'Customer Charge'!$E21</f>
        <v>0</v>
      </c>
      <c r="Q21" s="214">
        <f>+Customers!N21*'Customer Charge'!$E21</f>
        <v>0</v>
      </c>
      <c r="R21" s="214">
        <f>+Customers!O21*'Customer Charge'!$E21</f>
        <v>0</v>
      </c>
      <c r="S21" s="214">
        <f>+Customers!P21*'Customer Charge'!$E21</f>
        <v>0</v>
      </c>
      <c r="T21" s="214">
        <f>+Customers!Q21*'Customer Charge'!$E21</f>
        <v>0</v>
      </c>
      <c r="U21" s="214">
        <f t="shared" si="1"/>
        <v>0</v>
      </c>
    </row>
    <row r="22" spans="1:21" ht="12.75">
      <c r="A22" s="4">
        <f t="shared" si="0"/>
        <v>13</v>
      </c>
      <c r="B22" s="18">
        <v>19</v>
      </c>
      <c r="C22" s="21" t="s">
        <v>57</v>
      </c>
      <c r="D22" s="20" t="s">
        <v>51</v>
      </c>
      <c r="E22" s="194">
        <f>+'Normal Revs by RS'!E22</f>
        <v>21.56</v>
      </c>
      <c r="F22" s="163"/>
      <c r="G22" s="25"/>
      <c r="I22" s="214">
        <f>+Customers!F22*'Customer Charge'!$E22</f>
        <v>409.64</v>
      </c>
      <c r="J22" s="214">
        <f>+Customers!G22*'Customer Charge'!$E22</f>
        <v>150.92</v>
      </c>
      <c r="K22" s="214">
        <f>+Customers!H22*'Customer Charge'!$E22</f>
        <v>0</v>
      </c>
      <c r="L22" s="214">
        <f>+Customers!I22*'Customer Charge'!$E22</f>
        <v>0</v>
      </c>
      <c r="M22" s="214">
        <f>+Customers!J22*'Customer Charge'!$E22</f>
        <v>0</v>
      </c>
      <c r="N22" s="214">
        <f>+Customers!K22*'Customer Charge'!$E22</f>
        <v>0</v>
      </c>
      <c r="O22" s="214">
        <f>+Customers!L22*'Customer Charge'!$E22</f>
        <v>0</v>
      </c>
      <c r="P22" s="214">
        <f>+Customers!M22*'Customer Charge'!$E22</f>
        <v>0</v>
      </c>
      <c r="Q22" s="214">
        <f>+Customers!N22*'Customer Charge'!$E22</f>
        <v>0</v>
      </c>
      <c r="R22" s="214">
        <f>+Customers!O22*'Customer Charge'!$E22</f>
        <v>0</v>
      </c>
      <c r="S22" s="214">
        <f>+Customers!P22*'Customer Charge'!$E22</f>
        <v>0</v>
      </c>
      <c r="T22" s="214">
        <f>+Customers!Q22*'Customer Charge'!$E22</f>
        <v>0</v>
      </c>
      <c r="U22" s="214">
        <f t="shared" si="1"/>
        <v>560.56</v>
      </c>
    </row>
    <row r="23" spans="1:21" ht="12.75">
      <c r="A23" s="4">
        <f t="shared" si="0"/>
        <v>14</v>
      </c>
      <c r="B23" s="18">
        <v>19</v>
      </c>
      <c r="C23" s="21" t="s">
        <v>58</v>
      </c>
      <c r="D23" s="20" t="s">
        <v>51</v>
      </c>
      <c r="E23" s="194">
        <f>+'Normal Revs by RS'!E23</f>
        <v>20.74</v>
      </c>
      <c r="F23" s="22"/>
      <c r="G23" s="25"/>
      <c r="I23" s="214">
        <f>+Customers!F23*'Customer Charge'!$E23</f>
        <v>0</v>
      </c>
      <c r="J23" s="214">
        <f>+Customers!G23*'Customer Charge'!$E23</f>
        <v>0</v>
      </c>
      <c r="K23" s="214">
        <f>+Customers!H23*'Customer Charge'!$E23</f>
        <v>0</v>
      </c>
      <c r="L23" s="214">
        <f>+Customers!I23*'Customer Charge'!$E23</f>
        <v>0</v>
      </c>
      <c r="M23" s="214">
        <f>+Customers!J23*'Customer Charge'!$E23</f>
        <v>0</v>
      </c>
      <c r="N23" s="214">
        <f>+Customers!K23*'Customer Charge'!$E23</f>
        <v>0</v>
      </c>
      <c r="O23" s="214">
        <f>+Customers!L23*'Customer Charge'!$E23</f>
        <v>0</v>
      </c>
      <c r="P23" s="214">
        <f>+Customers!M23*'Customer Charge'!$E23</f>
        <v>0</v>
      </c>
      <c r="Q23" s="214">
        <f>+Customers!N23*'Customer Charge'!$E23</f>
        <v>0</v>
      </c>
      <c r="R23" s="214">
        <f>+Customers!O23*'Customer Charge'!$E23</f>
        <v>0</v>
      </c>
      <c r="S23" s="214">
        <f>+Customers!P23*'Customer Charge'!$E23</f>
        <v>0</v>
      </c>
      <c r="T23" s="214">
        <f>+Customers!Q23*'Customer Charge'!$E23</f>
        <v>0</v>
      </c>
      <c r="U23" s="214">
        <f t="shared" si="1"/>
        <v>0</v>
      </c>
    </row>
    <row r="24" spans="1:21" ht="12.75">
      <c r="A24" s="4">
        <f t="shared" si="0"/>
        <v>15</v>
      </c>
      <c r="B24" s="23" t="s">
        <v>59</v>
      </c>
      <c r="C24" s="24" t="s">
        <v>60</v>
      </c>
      <c r="D24" s="26">
        <v>500</v>
      </c>
      <c r="E24" s="27">
        <f>+'Normal Revs by RS'!E24</f>
        <v>209.52</v>
      </c>
      <c r="F24" s="27"/>
      <c r="G24" s="25">
        <v>159</v>
      </c>
      <c r="I24" s="214">
        <f>+Customers!F24*'Customer Charge'!$E24</f>
        <v>35827.92</v>
      </c>
      <c r="J24" s="214">
        <f>+Customers!G24*'Customer Charge'!$E24</f>
        <v>35199.36</v>
      </c>
      <c r="K24" s="214">
        <f>+Customers!H24*'Customer Charge'!$E24</f>
        <v>35618.4</v>
      </c>
      <c r="L24" s="214">
        <f>+Customers!I24*'Customer Charge'!$E24</f>
        <v>35408.880000000005</v>
      </c>
      <c r="M24" s="214">
        <f>+Customers!J24*'Customer Charge'!$E24</f>
        <v>34989.840000000004</v>
      </c>
      <c r="N24" s="214">
        <f>+Customers!K24*'Customer Charge'!$E24</f>
        <v>34989.840000000004</v>
      </c>
      <c r="O24" s="214">
        <f>+Customers!L24*'Customer Charge'!$E24</f>
        <v>35199.36</v>
      </c>
      <c r="P24" s="214">
        <f>+Customers!M24*'Customer Charge'!$E24</f>
        <v>34989.840000000004</v>
      </c>
      <c r="Q24" s="214">
        <f>+Customers!N24*'Customer Charge'!$E24</f>
        <v>33942.240000000005</v>
      </c>
      <c r="R24" s="214">
        <f>+Customers!O24*'Customer Charge'!$E24</f>
        <v>33942.240000000005</v>
      </c>
      <c r="S24" s="214">
        <f>+Customers!P24*'Customer Charge'!$E24</f>
        <v>33313.68</v>
      </c>
      <c r="T24" s="214">
        <f>+Customers!Q24*'Customer Charge'!$E24</f>
        <v>33313.68</v>
      </c>
      <c r="U24" s="214">
        <f t="shared" si="1"/>
        <v>416735.27999999997</v>
      </c>
    </row>
    <row r="25" spans="1:21" ht="12.75">
      <c r="A25" s="4">
        <f t="shared" si="0"/>
        <v>16</v>
      </c>
      <c r="B25" s="23"/>
      <c r="C25" s="24" t="s">
        <v>61</v>
      </c>
      <c r="D25" s="26">
        <v>1500</v>
      </c>
      <c r="E25" s="27"/>
      <c r="F25" s="28"/>
      <c r="G25" s="25"/>
      <c r="I25" s="214">
        <f>+Customers!F25*'Customer Charge'!$E25</f>
        <v>0</v>
      </c>
      <c r="J25" s="214">
        <f>+Customers!G25*'Customer Charge'!$E25</f>
        <v>0</v>
      </c>
      <c r="K25" s="214">
        <f>+Customers!H25*'Customer Charge'!$E25</f>
        <v>0</v>
      </c>
      <c r="L25" s="214">
        <f>+Customers!I25*'Customer Charge'!$E25</f>
        <v>0</v>
      </c>
      <c r="M25" s="214">
        <f>+Customers!J25*'Customer Charge'!$E25</f>
        <v>0</v>
      </c>
      <c r="N25" s="214">
        <f>+Customers!K25*'Customer Charge'!$E25</f>
        <v>0</v>
      </c>
      <c r="O25" s="214">
        <f>+Customers!L25*'Customer Charge'!$E25</f>
        <v>0</v>
      </c>
      <c r="P25" s="214">
        <f>+Customers!M25*'Customer Charge'!$E25</f>
        <v>0</v>
      </c>
      <c r="Q25" s="214">
        <f>+Customers!N25*'Customer Charge'!$E25</f>
        <v>0</v>
      </c>
      <c r="R25" s="214">
        <f>+Customers!O25*'Customer Charge'!$E25</f>
        <v>0</v>
      </c>
      <c r="S25" s="214">
        <f>+Customers!P25*'Customer Charge'!$E25</f>
        <v>0</v>
      </c>
      <c r="T25" s="214">
        <f>+Customers!Q25*'Customer Charge'!$E25</f>
        <v>0</v>
      </c>
      <c r="U25" s="214">
        <f t="shared" si="1"/>
        <v>0</v>
      </c>
    </row>
    <row r="26" spans="1:21" ht="12.75">
      <c r="A26" s="4">
        <f t="shared" si="0"/>
        <v>17</v>
      </c>
      <c r="B26" s="23"/>
      <c r="C26" s="24" t="s">
        <v>62</v>
      </c>
      <c r="D26" s="26">
        <v>98000</v>
      </c>
      <c r="E26" s="27"/>
      <c r="F26" s="28"/>
      <c r="G26" s="25"/>
      <c r="I26" s="214">
        <f>+Customers!F26*'Customer Charge'!$E26</f>
        <v>0</v>
      </c>
      <c r="J26" s="214">
        <f>+Customers!G26*'Customer Charge'!$E26</f>
        <v>0</v>
      </c>
      <c r="K26" s="214">
        <f>+Customers!H26*'Customer Charge'!$E26</f>
        <v>0</v>
      </c>
      <c r="L26" s="214">
        <f>+Customers!I26*'Customer Charge'!$E26</f>
        <v>0</v>
      </c>
      <c r="M26" s="214">
        <f>+Customers!J26*'Customer Charge'!$E26</f>
        <v>0</v>
      </c>
      <c r="N26" s="214">
        <f>+Customers!K26*'Customer Charge'!$E26</f>
        <v>0</v>
      </c>
      <c r="O26" s="214">
        <f>+Customers!L26*'Customer Charge'!$E26</f>
        <v>0</v>
      </c>
      <c r="P26" s="214">
        <f>+Customers!M26*'Customer Charge'!$E26</f>
        <v>0</v>
      </c>
      <c r="Q26" s="214">
        <f>+Customers!N26*'Customer Charge'!$E26</f>
        <v>0</v>
      </c>
      <c r="R26" s="214">
        <f>+Customers!O26*'Customer Charge'!$E26</f>
        <v>0</v>
      </c>
      <c r="S26" s="214">
        <f>+Customers!P26*'Customer Charge'!$E26</f>
        <v>0</v>
      </c>
      <c r="T26" s="214">
        <f>+Customers!Q26*'Customer Charge'!$E26</f>
        <v>0</v>
      </c>
      <c r="U26" s="214">
        <f t="shared" si="1"/>
        <v>0</v>
      </c>
    </row>
    <row r="27" spans="1:21" ht="12.75">
      <c r="A27" s="4">
        <f t="shared" si="0"/>
        <v>18</v>
      </c>
      <c r="B27" s="23"/>
      <c r="C27" s="24" t="s">
        <v>63</v>
      </c>
      <c r="D27" s="26" t="s">
        <v>64</v>
      </c>
      <c r="E27" s="27"/>
      <c r="F27" s="28"/>
      <c r="G27" s="25"/>
      <c r="I27" s="214">
        <f>+Customers!F27*'Customer Charge'!$E27</f>
        <v>0</v>
      </c>
      <c r="J27" s="214">
        <f>+Customers!G27*'Customer Charge'!$E27</f>
        <v>0</v>
      </c>
      <c r="K27" s="214">
        <f>+Customers!H27*'Customer Charge'!$E27</f>
        <v>0</v>
      </c>
      <c r="L27" s="214">
        <f>+Customers!I27*'Customer Charge'!$E27</f>
        <v>0</v>
      </c>
      <c r="M27" s="214">
        <f>+Customers!J27*'Customer Charge'!$E27</f>
        <v>0</v>
      </c>
      <c r="N27" s="214">
        <f>+Customers!K27*'Customer Charge'!$E27</f>
        <v>0</v>
      </c>
      <c r="O27" s="214">
        <f>+Customers!L27*'Customer Charge'!$E27</f>
        <v>0</v>
      </c>
      <c r="P27" s="214">
        <f>+Customers!M27*'Customer Charge'!$E27</f>
        <v>0</v>
      </c>
      <c r="Q27" s="214">
        <f>+Customers!N27*'Customer Charge'!$E27</f>
        <v>0</v>
      </c>
      <c r="R27" s="214">
        <f>+Customers!O27*'Customer Charge'!$E27</f>
        <v>0</v>
      </c>
      <c r="S27" s="214">
        <f>+Customers!P27*'Customer Charge'!$E27</f>
        <v>0</v>
      </c>
      <c r="T27" s="214">
        <f>+Customers!Q27*'Customer Charge'!$E27</f>
        <v>0</v>
      </c>
      <c r="U27" s="214">
        <f t="shared" si="1"/>
        <v>0</v>
      </c>
    </row>
    <row r="28" spans="1:21" ht="12.75">
      <c r="A28" s="4">
        <f t="shared" si="0"/>
        <v>19</v>
      </c>
      <c r="B28" s="29"/>
      <c r="C28" s="30"/>
      <c r="D28" s="17"/>
      <c r="E28" s="195"/>
      <c r="F28" s="152"/>
      <c r="G28" s="25"/>
      <c r="I28" s="214">
        <f>+Customers!F28*'Customer Charge'!$E28</f>
        <v>0</v>
      </c>
      <c r="J28" s="214">
        <f>+Customers!G28*'Customer Charge'!$E28</f>
        <v>0</v>
      </c>
      <c r="K28" s="214">
        <f>+Customers!H28*'Customer Charge'!$E28</f>
        <v>0</v>
      </c>
      <c r="L28" s="214">
        <f>+Customers!I28*'Customer Charge'!$E28</f>
        <v>0</v>
      </c>
      <c r="M28" s="214">
        <f>+Customers!J28*'Customer Charge'!$E28</f>
        <v>0</v>
      </c>
      <c r="N28" s="214">
        <f>+Customers!K28*'Customer Charge'!$E28</f>
        <v>0</v>
      </c>
      <c r="O28" s="214">
        <f>+Customers!L28*'Customer Charge'!$E28</f>
        <v>0</v>
      </c>
      <c r="P28" s="214">
        <f>+Customers!M28*'Customer Charge'!$E28</f>
        <v>0</v>
      </c>
      <c r="Q28" s="214">
        <f>+Customers!N28*'Customer Charge'!$E28</f>
        <v>0</v>
      </c>
      <c r="R28" s="214">
        <f>+Customers!O28*'Customer Charge'!$E28</f>
        <v>0</v>
      </c>
      <c r="S28" s="214">
        <f>+Customers!P28*'Customer Charge'!$E28</f>
        <v>0</v>
      </c>
      <c r="T28" s="214">
        <f>+Customers!Q28*'Customer Charge'!$E28</f>
        <v>0</v>
      </c>
      <c r="U28" s="214">
        <f t="shared" si="1"/>
        <v>0</v>
      </c>
    </row>
    <row r="29" spans="1:21" ht="12.75">
      <c r="A29" s="4">
        <f t="shared" si="0"/>
        <v>20</v>
      </c>
      <c r="B29" s="23" t="s">
        <v>65</v>
      </c>
      <c r="C29" s="24" t="s">
        <v>60</v>
      </c>
      <c r="D29" s="26">
        <v>500</v>
      </c>
      <c r="E29" s="27">
        <f>+'Normal Revs by RS'!E29</f>
        <v>209.52</v>
      </c>
      <c r="F29" s="27"/>
      <c r="G29" s="25">
        <v>7</v>
      </c>
      <c r="I29" s="214">
        <f>+Customers!F29*'Customer Charge'!$E29</f>
        <v>1466.64</v>
      </c>
      <c r="J29" s="214">
        <f>+Customers!G29*'Customer Charge'!$E29</f>
        <v>1676.16</v>
      </c>
      <c r="K29" s="214">
        <f>+Customers!H29*'Customer Charge'!$E29</f>
        <v>1676.16</v>
      </c>
      <c r="L29" s="214">
        <f>+Customers!I29*'Customer Charge'!$E29</f>
        <v>1466.64</v>
      </c>
      <c r="M29" s="214">
        <f>+Customers!J29*'Customer Charge'!$E29</f>
        <v>1466.64</v>
      </c>
      <c r="N29" s="214">
        <f>+Customers!K29*'Customer Charge'!$E29</f>
        <v>1466.64</v>
      </c>
      <c r="O29" s="214">
        <f>+Customers!L29*'Customer Charge'!$E29</f>
        <v>1466.64</v>
      </c>
      <c r="P29" s="214">
        <f>+Customers!M29*'Customer Charge'!$E29</f>
        <v>1466.64</v>
      </c>
      <c r="Q29" s="214">
        <f>+Customers!N29*'Customer Charge'!$E29</f>
        <v>1466.64</v>
      </c>
      <c r="R29" s="214">
        <f>+Customers!O29*'Customer Charge'!$E29</f>
        <v>1466.64</v>
      </c>
      <c r="S29" s="214">
        <f>+Customers!P29*'Customer Charge'!$E29</f>
        <v>1466.64</v>
      </c>
      <c r="T29" s="214">
        <f>+Customers!Q29*'Customer Charge'!$E29</f>
        <v>1466.64</v>
      </c>
      <c r="U29" s="214">
        <f t="shared" si="1"/>
        <v>18018.719999999998</v>
      </c>
    </row>
    <row r="30" spans="1:21" ht="12.75">
      <c r="A30" s="4">
        <f t="shared" si="0"/>
        <v>21</v>
      </c>
      <c r="B30" s="23"/>
      <c r="C30" s="24" t="s">
        <v>61</v>
      </c>
      <c r="D30" s="26">
        <v>1500</v>
      </c>
      <c r="E30" s="27"/>
      <c r="F30" s="28"/>
      <c r="G30" s="25"/>
      <c r="I30" s="214">
        <f>+Customers!F30*'Customer Charge'!$E30</f>
        <v>0</v>
      </c>
      <c r="J30" s="214">
        <f>+Customers!G30*'Customer Charge'!$E30</f>
        <v>0</v>
      </c>
      <c r="K30" s="214">
        <f>+Customers!H30*'Customer Charge'!$E30</f>
        <v>0</v>
      </c>
      <c r="L30" s="214">
        <f>+Customers!I30*'Customer Charge'!$E30</f>
        <v>0</v>
      </c>
      <c r="M30" s="214">
        <f>+Customers!J30*'Customer Charge'!$E30</f>
        <v>0</v>
      </c>
      <c r="N30" s="214">
        <f>+Customers!K30*'Customer Charge'!$E30</f>
        <v>0</v>
      </c>
      <c r="O30" s="214">
        <f>+Customers!L30*'Customer Charge'!$E30</f>
        <v>0</v>
      </c>
      <c r="P30" s="214">
        <f>+Customers!M30*'Customer Charge'!$E30</f>
        <v>0</v>
      </c>
      <c r="Q30" s="214">
        <f>+Customers!N30*'Customer Charge'!$E30</f>
        <v>0</v>
      </c>
      <c r="R30" s="214">
        <f>+Customers!O30*'Customer Charge'!$E30</f>
        <v>0</v>
      </c>
      <c r="S30" s="214">
        <f>+Customers!P30*'Customer Charge'!$E30</f>
        <v>0</v>
      </c>
      <c r="T30" s="214">
        <f>+Customers!Q30*'Customer Charge'!$E30</f>
        <v>0</v>
      </c>
      <c r="U30" s="214">
        <f t="shared" si="1"/>
        <v>0</v>
      </c>
    </row>
    <row r="31" spans="1:21" ht="12.75">
      <c r="A31" s="4">
        <f t="shared" si="0"/>
        <v>22</v>
      </c>
      <c r="B31" s="23"/>
      <c r="C31" s="24" t="s">
        <v>62</v>
      </c>
      <c r="D31" s="26">
        <v>98000</v>
      </c>
      <c r="E31" s="27"/>
      <c r="F31" s="28"/>
      <c r="G31" s="25"/>
      <c r="I31" s="214">
        <f>+Customers!F31*'Customer Charge'!$E31</f>
        <v>0</v>
      </c>
      <c r="J31" s="214">
        <f>+Customers!G31*'Customer Charge'!$E31</f>
        <v>0</v>
      </c>
      <c r="K31" s="214">
        <f>+Customers!H31*'Customer Charge'!$E31</f>
        <v>0</v>
      </c>
      <c r="L31" s="214">
        <f>+Customers!I31*'Customer Charge'!$E31</f>
        <v>0</v>
      </c>
      <c r="M31" s="214">
        <f>+Customers!J31*'Customer Charge'!$E31</f>
        <v>0</v>
      </c>
      <c r="N31" s="214">
        <f>+Customers!K31*'Customer Charge'!$E31</f>
        <v>0</v>
      </c>
      <c r="O31" s="214">
        <f>+Customers!L31*'Customer Charge'!$E31</f>
        <v>0</v>
      </c>
      <c r="P31" s="214">
        <f>+Customers!M31*'Customer Charge'!$E31</f>
        <v>0</v>
      </c>
      <c r="Q31" s="214">
        <f>+Customers!N31*'Customer Charge'!$E31</f>
        <v>0</v>
      </c>
      <c r="R31" s="214">
        <f>+Customers!O31*'Customer Charge'!$E31</f>
        <v>0</v>
      </c>
      <c r="S31" s="214">
        <f>+Customers!P31*'Customer Charge'!$E31</f>
        <v>0</v>
      </c>
      <c r="T31" s="214">
        <f>+Customers!Q31*'Customer Charge'!$E31</f>
        <v>0</v>
      </c>
      <c r="U31" s="214">
        <f t="shared" si="1"/>
        <v>0</v>
      </c>
    </row>
    <row r="32" spans="1:21" ht="12.75">
      <c r="A32" s="4">
        <f t="shared" si="0"/>
        <v>23</v>
      </c>
      <c r="B32" s="23"/>
      <c r="C32" s="24" t="s">
        <v>63</v>
      </c>
      <c r="D32" s="26" t="s">
        <v>64</v>
      </c>
      <c r="E32" s="27"/>
      <c r="F32" s="28"/>
      <c r="G32" s="25"/>
      <c r="I32" s="214">
        <f>+Customers!F32*'Customer Charge'!$E32</f>
        <v>0</v>
      </c>
      <c r="J32" s="214">
        <f>+Customers!G32*'Customer Charge'!$E32</f>
        <v>0</v>
      </c>
      <c r="K32" s="214">
        <f>+Customers!H32*'Customer Charge'!$E32</f>
        <v>0</v>
      </c>
      <c r="L32" s="214">
        <f>+Customers!I32*'Customer Charge'!$E32</f>
        <v>0</v>
      </c>
      <c r="M32" s="214">
        <f>+Customers!J32*'Customer Charge'!$E32</f>
        <v>0</v>
      </c>
      <c r="N32" s="214">
        <f>+Customers!K32*'Customer Charge'!$E32</f>
        <v>0</v>
      </c>
      <c r="O32" s="214">
        <f>+Customers!L32*'Customer Charge'!$E32</f>
        <v>0</v>
      </c>
      <c r="P32" s="214">
        <f>+Customers!M32*'Customer Charge'!$E32</f>
        <v>0</v>
      </c>
      <c r="Q32" s="214">
        <f>+Customers!N32*'Customer Charge'!$E32</f>
        <v>0</v>
      </c>
      <c r="R32" s="214">
        <f>+Customers!O32*'Customer Charge'!$E32</f>
        <v>0</v>
      </c>
      <c r="S32" s="214">
        <f>+Customers!P32*'Customer Charge'!$E32</f>
        <v>0</v>
      </c>
      <c r="T32" s="214">
        <f>+Customers!Q32*'Customer Charge'!$E32</f>
        <v>0</v>
      </c>
      <c r="U32" s="214">
        <f t="shared" si="1"/>
        <v>0</v>
      </c>
    </row>
    <row r="33" spans="1:21" ht="12.75">
      <c r="A33" s="4">
        <f t="shared" si="0"/>
        <v>24</v>
      </c>
      <c r="B33" s="29"/>
      <c r="C33" s="30"/>
      <c r="D33" s="17"/>
      <c r="E33" s="195"/>
      <c r="F33" s="152"/>
      <c r="G33" s="25"/>
      <c r="I33" s="214">
        <f>+Customers!F33*'Customer Charge'!$E33</f>
        <v>0</v>
      </c>
      <c r="J33" s="214">
        <f>+Customers!G33*'Customer Charge'!$E33</f>
        <v>0</v>
      </c>
      <c r="K33" s="214">
        <f>+Customers!H33*'Customer Charge'!$E33</f>
        <v>0</v>
      </c>
      <c r="L33" s="214">
        <f>+Customers!I33*'Customer Charge'!$E33</f>
        <v>0</v>
      </c>
      <c r="M33" s="214">
        <f>+Customers!J33*'Customer Charge'!$E33</f>
        <v>0</v>
      </c>
      <c r="N33" s="214">
        <f>+Customers!K33*'Customer Charge'!$E33</f>
        <v>0</v>
      </c>
      <c r="O33" s="214">
        <f>+Customers!L33*'Customer Charge'!$E33</f>
        <v>0</v>
      </c>
      <c r="P33" s="214">
        <f>+Customers!M33*'Customer Charge'!$E33</f>
        <v>0</v>
      </c>
      <c r="Q33" s="214">
        <f>+Customers!N33*'Customer Charge'!$E33</f>
        <v>0</v>
      </c>
      <c r="R33" s="214">
        <f>+Customers!O33*'Customer Charge'!$E33</f>
        <v>0</v>
      </c>
      <c r="S33" s="214">
        <f>+Customers!P33*'Customer Charge'!$E33</f>
        <v>0</v>
      </c>
      <c r="T33" s="214">
        <f>+Customers!Q33*'Customer Charge'!$E33</f>
        <v>0</v>
      </c>
      <c r="U33" s="214">
        <f t="shared" si="1"/>
        <v>0</v>
      </c>
    </row>
    <row r="34" spans="1:21" ht="12.75">
      <c r="A34" s="4">
        <f t="shared" si="0"/>
        <v>25</v>
      </c>
      <c r="B34" s="29">
        <v>27</v>
      </c>
      <c r="C34" s="31"/>
      <c r="D34" s="20" t="s">
        <v>51</v>
      </c>
      <c r="E34" s="193">
        <f>+'Normal Revs by RS'!E34</f>
        <v>0</v>
      </c>
      <c r="F34" s="28"/>
      <c r="G34" s="25">
        <v>1058</v>
      </c>
      <c r="I34" s="214">
        <f>+Customers!F34*'Customer Charge'!$E34</f>
        <v>0</v>
      </c>
      <c r="J34" s="214">
        <f>+Customers!G34*'Customer Charge'!$E34</f>
        <v>0</v>
      </c>
      <c r="K34" s="214">
        <f>+Customers!H34*'Customer Charge'!$E34</f>
        <v>0</v>
      </c>
      <c r="L34" s="214">
        <f>+Customers!I34*'Customer Charge'!$E34</f>
        <v>0</v>
      </c>
      <c r="M34" s="214">
        <f>+Customers!J34*'Customer Charge'!$E34</f>
        <v>0</v>
      </c>
      <c r="N34" s="214">
        <f>+Customers!K34*'Customer Charge'!$E34</f>
        <v>0</v>
      </c>
      <c r="O34" s="214">
        <f>+Customers!L34*'Customer Charge'!$E34</f>
        <v>0</v>
      </c>
      <c r="P34" s="214">
        <f>+Customers!M34*'Customer Charge'!$E34</f>
        <v>0</v>
      </c>
      <c r="Q34" s="214">
        <f>+Customers!N34*'Customer Charge'!$E34</f>
        <v>0</v>
      </c>
      <c r="R34" s="214">
        <f>+Customers!O34*'Customer Charge'!$E34</f>
        <v>0</v>
      </c>
      <c r="S34" s="214">
        <f>+Customers!P34*'Customer Charge'!$E34</f>
        <v>0</v>
      </c>
      <c r="T34" s="214">
        <f>+Customers!Q34*'Customer Charge'!$E34</f>
        <v>0</v>
      </c>
      <c r="U34" s="214">
        <f t="shared" si="1"/>
        <v>0</v>
      </c>
    </row>
    <row r="35" spans="1:21" ht="12.75">
      <c r="A35" s="4">
        <f t="shared" si="0"/>
        <v>26</v>
      </c>
      <c r="B35" s="23" t="s">
        <v>66</v>
      </c>
      <c r="C35" s="24" t="s">
        <v>60</v>
      </c>
      <c r="D35" s="26">
        <v>2000</v>
      </c>
      <c r="E35" s="27">
        <f>+'Normal Revs by RS'!E35</f>
        <v>195.16</v>
      </c>
      <c r="F35" s="28"/>
      <c r="G35" s="25">
        <v>2</v>
      </c>
      <c r="I35" s="214">
        <f>+Customers!F35*'Customer Charge'!$E35</f>
        <v>390.32</v>
      </c>
      <c r="J35" s="214">
        <f>+Customers!G35*'Customer Charge'!$E35</f>
        <v>585.48</v>
      </c>
      <c r="K35" s="214">
        <f>+Customers!H35*'Customer Charge'!$E35</f>
        <v>390.32</v>
      </c>
      <c r="L35" s="214">
        <f>+Customers!I35*'Customer Charge'!$E35</f>
        <v>390.32</v>
      </c>
      <c r="M35" s="214">
        <f>+Customers!J35*'Customer Charge'!$E35</f>
        <v>390.32</v>
      </c>
      <c r="N35" s="214">
        <f>+Customers!K35*'Customer Charge'!$E35</f>
        <v>390.32</v>
      </c>
      <c r="O35" s="214">
        <f>+Customers!L35*'Customer Charge'!$E35</f>
        <v>585.48</v>
      </c>
      <c r="P35" s="214">
        <f>+Customers!M35*'Customer Charge'!$E35</f>
        <v>390.32</v>
      </c>
      <c r="Q35" s="214">
        <f>+Customers!N35*'Customer Charge'!$E35</f>
        <v>390.32</v>
      </c>
      <c r="R35" s="214">
        <f>+Customers!O35*'Customer Charge'!$E35</f>
        <v>390.32</v>
      </c>
      <c r="S35" s="214">
        <f>+Customers!P35*'Customer Charge'!$E35</f>
        <v>390.32</v>
      </c>
      <c r="T35" s="214">
        <f>+Customers!Q35*'Customer Charge'!$E35</f>
        <v>390.32</v>
      </c>
      <c r="U35" s="214">
        <f t="shared" si="1"/>
        <v>5074.16</v>
      </c>
    </row>
    <row r="36" spans="1:21" ht="12.75">
      <c r="A36" s="4">
        <f t="shared" si="0"/>
        <v>27</v>
      </c>
      <c r="B36" s="23"/>
      <c r="C36" s="24" t="s">
        <v>61</v>
      </c>
      <c r="D36" s="26" t="s">
        <v>64</v>
      </c>
      <c r="E36" s="27"/>
      <c r="F36" s="28"/>
      <c r="G36" s="25"/>
      <c r="I36" s="214">
        <f>+Customers!F36*'Customer Charge'!$E36</f>
        <v>0</v>
      </c>
      <c r="J36" s="214">
        <f>+Customers!G36*'Customer Charge'!$E36</f>
        <v>0</v>
      </c>
      <c r="K36" s="214">
        <f>+Customers!H36*'Customer Charge'!$E36</f>
        <v>0</v>
      </c>
      <c r="L36" s="214">
        <f>+Customers!I36*'Customer Charge'!$E36</f>
        <v>0</v>
      </c>
      <c r="M36" s="214">
        <f>+Customers!J36*'Customer Charge'!$E36</f>
        <v>0</v>
      </c>
      <c r="N36" s="214">
        <f>+Customers!K36*'Customer Charge'!$E36</f>
        <v>0</v>
      </c>
      <c r="O36" s="214">
        <f>+Customers!L36*'Customer Charge'!$E36</f>
        <v>0</v>
      </c>
      <c r="P36" s="214">
        <f>+Customers!M36*'Customer Charge'!$E36</f>
        <v>0</v>
      </c>
      <c r="Q36" s="214">
        <f>+Customers!N36*'Customer Charge'!$E36</f>
        <v>0</v>
      </c>
      <c r="R36" s="214">
        <f>+Customers!O36*'Customer Charge'!$E36</f>
        <v>0</v>
      </c>
      <c r="S36" s="214">
        <f>+Customers!P36*'Customer Charge'!$E36</f>
        <v>0</v>
      </c>
      <c r="T36" s="214">
        <f>+Customers!Q36*'Customer Charge'!$E36</f>
        <v>0</v>
      </c>
      <c r="U36" s="214">
        <f t="shared" si="1"/>
        <v>0</v>
      </c>
    </row>
    <row r="37" spans="1:21" ht="12.75">
      <c r="A37" s="4">
        <f t="shared" si="0"/>
        <v>28</v>
      </c>
      <c r="B37" s="29"/>
      <c r="C37" s="30"/>
      <c r="D37" s="17"/>
      <c r="E37" s="195"/>
      <c r="F37" s="152"/>
      <c r="G37" s="25"/>
      <c r="I37" s="214">
        <f>+Customers!F37*'Customer Charge'!$E37</f>
        <v>0</v>
      </c>
      <c r="J37" s="214">
        <f>+Customers!G37*'Customer Charge'!$E37</f>
        <v>0</v>
      </c>
      <c r="K37" s="214">
        <f>+Customers!H37*'Customer Charge'!$E37</f>
        <v>0</v>
      </c>
      <c r="L37" s="214">
        <f>+Customers!I37*'Customer Charge'!$E37</f>
        <v>0</v>
      </c>
      <c r="M37" s="214">
        <f>+Customers!J37*'Customer Charge'!$E37</f>
        <v>0</v>
      </c>
      <c r="N37" s="214">
        <f>+Customers!K37*'Customer Charge'!$E37</f>
        <v>0</v>
      </c>
      <c r="O37" s="214">
        <f>+Customers!L37*'Customer Charge'!$E37</f>
        <v>0</v>
      </c>
      <c r="P37" s="214">
        <f>+Customers!M37*'Customer Charge'!$E37</f>
        <v>0</v>
      </c>
      <c r="Q37" s="214">
        <f>+Customers!N37*'Customer Charge'!$E37</f>
        <v>0</v>
      </c>
      <c r="R37" s="214">
        <f>+Customers!O37*'Customer Charge'!$E37</f>
        <v>0</v>
      </c>
      <c r="S37" s="214">
        <f>+Customers!P37*'Customer Charge'!$E37</f>
        <v>0</v>
      </c>
      <c r="T37" s="214">
        <f>+Customers!Q37*'Customer Charge'!$E37</f>
        <v>0</v>
      </c>
      <c r="U37" s="214">
        <f t="shared" si="1"/>
        <v>0</v>
      </c>
    </row>
    <row r="38" spans="1:21" ht="12.75">
      <c r="A38" s="4">
        <f t="shared" si="0"/>
        <v>29</v>
      </c>
      <c r="B38" s="23" t="s">
        <v>67</v>
      </c>
      <c r="C38" s="24" t="s">
        <v>60</v>
      </c>
      <c r="D38" s="26">
        <v>2000</v>
      </c>
      <c r="E38" s="27">
        <f>+'Normal Revs by RS'!E38</f>
        <v>445.16</v>
      </c>
      <c r="F38" s="28"/>
      <c r="G38" s="25"/>
      <c r="I38" s="214">
        <f>+Customers!F38*'Customer Charge'!$E38</f>
        <v>0</v>
      </c>
      <c r="J38" s="214">
        <f>+Customers!G38*'Customer Charge'!$E38</f>
        <v>0</v>
      </c>
      <c r="K38" s="214">
        <f>+Customers!H38*'Customer Charge'!$E38</f>
        <v>0</v>
      </c>
      <c r="L38" s="214">
        <f>+Customers!I38*'Customer Charge'!$E38</f>
        <v>0</v>
      </c>
      <c r="M38" s="214">
        <f>+Customers!J38*'Customer Charge'!$E38</f>
        <v>0</v>
      </c>
      <c r="N38" s="214">
        <f>+Customers!K38*'Customer Charge'!$E38</f>
        <v>0</v>
      </c>
      <c r="O38" s="214">
        <f>+Customers!L38*'Customer Charge'!$E38</f>
        <v>0</v>
      </c>
      <c r="P38" s="214">
        <f>+Customers!M38*'Customer Charge'!$E38</f>
        <v>0</v>
      </c>
      <c r="Q38" s="214">
        <f>+Customers!N38*'Customer Charge'!$E38</f>
        <v>0</v>
      </c>
      <c r="R38" s="214">
        <f>+Customers!O38*'Customer Charge'!$E38</f>
        <v>0</v>
      </c>
      <c r="S38" s="214">
        <f>+Customers!P38*'Customer Charge'!$E38</f>
        <v>0</v>
      </c>
      <c r="T38" s="214">
        <f>+Customers!Q38*'Customer Charge'!$E38</f>
        <v>0</v>
      </c>
      <c r="U38" s="214">
        <f t="shared" si="1"/>
        <v>0</v>
      </c>
    </row>
    <row r="39" spans="1:21" ht="12.75">
      <c r="A39" s="4">
        <f t="shared" si="0"/>
        <v>30</v>
      </c>
      <c r="B39" s="23"/>
      <c r="C39" s="24" t="s">
        <v>61</v>
      </c>
      <c r="D39" s="26" t="s">
        <v>64</v>
      </c>
      <c r="E39" s="27"/>
      <c r="F39" s="28"/>
      <c r="G39" s="25"/>
      <c r="I39" s="214">
        <f>+Customers!F39*'Customer Charge'!$E39</f>
        <v>0</v>
      </c>
      <c r="J39" s="214">
        <f>+Customers!G39*'Customer Charge'!$E39</f>
        <v>0</v>
      </c>
      <c r="K39" s="214">
        <f>+Customers!H39*'Customer Charge'!$E39</f>
        <v>0</v>
      </c>
      <c r="L39" s="214">
        <f>+Customers!I39*'Customer Charge'!$E39</f>
        <v>0</v>
      </c>
      <c r="M39" s="214">
        <f>+Customers!J39*'Customer Charge'!$E39</f>
        <v>0</v>
      </c>
      <c r="N39" s="214">
        <f>+Customers!K39*'Customer Charge'!$E39</f>
        <v>0</v>
      </c>
      <c r="O39" s="214">
        <f>+Customers!L39*'Customer Charge'!$E39</f>
        <v>0</v>
      </c>
      <c r="P39" s="214">
        <f>+Customers!M39*'Customer Charge'!$E39</f>
        <v>0</v>
      </c>
      <c r="Q39" s="214">
        <f>+Customers!N39*'Customer Charge'!$E39</f>
        <v>0</v>
      </c>
      <c r="R39" s="214">
        <f>+Customers!O39*'Customer Charge'!$E39</f>
        <v>0</v>
      </c>
      <c r="S39" s="214">
        <f>+Customers!P39*'Customer Charge'!$E39</f>
        <v>0</v>
      </c>
      <c r="T39" s="214">
        <f>+Customers!Q39*'Customer Charge'!$E39</f>
        <v>0</v>
      </c>
      <c r="U39" s="214">
        <f t="shared" si="1"/>
        <v>0</v>
      </c>
    </row>
    <row r="40" spans="1:21" ht="12.75">
      <c r="A40" s="4">
        <f t="shared" si="0"/>
        <v>31</v>
      </c>
      <c r="B40" s="29"/>
      <c r="C40" s="30"/>
      <c r="D40" s="17"/>
      <c r="E40" s="195"/>
      <c r="F40" s="152"/>
      <c r="G40" s="25"/>
      <c r="I40" s="214">
        <f>+Customers!F40*'Customer Charge'!$E40</f>
        <v>0</v>
      </c>
      <c r="J40" s="214">
        <f>+Customers!G40*'Customer Charge'!$E40</f>
        <v>0</v>
      </c>
      <c r="K40" s="214">
        <f>+Customers!H40*'Customer Charge'!$E40</f>
        <v>0</v>
      </c>
      <c r="L40" s="214">
        <f>+Customers!I40*'Customer Charge'!$E40</f>
        <v>0</v>
      </c>
      <c r="M40" s="214">
        <f>+Customers!J40*'Customer Charge'!$E40</f>
        <v>0</v>
      </c>
      <c r="N40" s="214">
        <f>+Customers!K40*'Customer Charge'!$E40</f>
        <v>0</v>
      </c>
      <c r="O40" s="214">
        <f>+Customers!L40*'Customer Charge'!$E40</f>
        <v>0</v>
      </c>
      <c r="P40" s="214">
        <f>+Customers!M40*'Customer Charge'!$E40</f>
        <v>0</v>
      </c>
      <c r="Q40" s="214">
        <f>+Customers!N40*'Customer Charge'!$E40</f>
        <v>0</v>
      </c>
      <c r="R40" s="214">
        <f>+Customers!O40*'Customer Charge'!$E40</f>
        <v>0</v>
      </c>
      <c r="S40" s="214">
        <f>+Customers!P40*'Customer Charge'!$E40</f>
        <v>0</v>
      </c>
      <c r="T40" s="214">
        <f>+Customers!Q40*'Customer Charge'!$E40</f>
        <v>0</v>
      </c>
      <c r="U40" s="214">
        <f t="shared" si="1"/>
        <v>0</v>
      </c>
    </row>
    <row r="41" spans="1:21" ht="12.75">
      <c r="A41" s="4">
        <f t="shared" si="0"/>
        <v>32</v>
      </c>
      <c r="B41" s="23" t="s">
        <v>68</v>
      </c>
      <c r="C41" s="24" t="s">
        <v>60</v>
      </c>
      <c r="D41" s="26">
        <v>2000</v>
      </c>
      <c r="E41" s="27">
        <f>+'Normal Revs by RS'!E41</f>
        <v>195.16</v>
      </c>
      <c r="F41" s="28"/>
      <c r="G41" s="25"/>
      <c r="I41" s="214">
        <f>+Customers!F41*'Customer Charge'!$E41</f>
        <v>0</v>
      </c>
      <c r="J41" s="214">
        <f>+Customers!G41*'Customer Charge'!$E41</f>
        <v>0</v>
      </c>
      <c r="K41" s="214">
        <f>+Customers!H41*'Customer Charge'!$E41</f>
        <v>0</v>
      </c>
      <c r="L41" s="214">
        <f>+Customers!I41*'Customer Charge'!$E41</f>
        <v>0</v>
      </c>
      <c r="M41" s="214">
        <f>+Customers!J41*'Customer Charge'!$E41</f>
        <v>0</v>
      </c>
      <c r="N41" s="214">
        <f>+Customers!K41*'Customer Charge'!$E41</f>
        <v>0</v>
      </c>
      <c r="O41" s="214">
        <f>+Customers!L41*'Customer Charge'!$E41</f>
        <v>0</v>
      </c>
      <c r="P41" s="214">
        <f>+Customers!M41*'Customer Charge'!$E41</f>
        <v>0</v>
      </c>
      <c r="Q41" s="214">
        <f>+Customers!N41*'Customer Charge'!$E41</f>
        <v>0</v>
      </c>
      <c r="R41" s="214">
        <f>+Customers!O41*'Customer Charge'!$E41</f>
        <v>0</v>
      </c>
      <c r="S41" s="214">
        <f>+Customers!P41*'Customer Charge'!$E41</f>
        <v>0</v>
      </c>
      <c r="T41" s="214">
        <f>+Customers!Q41*'Customer Charge'!$E41</f>
        <v>0</v>
      </c>
      <c r="U41" s="214">
        <f t="shared" si="1"/>
        <v>0</v>
      </c>
    </row>
    <row r="42" spans="1:21" ht="12.75">
      <c r="A42" s="4">
        <f t="shared" si="0"/>
        <v>33</v>
      </c>
      <c r="B42" s="23"/>
      <c r="C42" s="24" t="s">
        <v>61</v>
      </c>
      <c r="D42" s="26" t="s">
        <v>64</v>
      </c>
      <c r="E42" s="27"/>
      <c r="F42" s="28"/>
      <c r="G42" s="25"/>
      <c r="I42" s="214">
        <f>+Customers!F42*'Customer Charge'!$E42</f>
        <v>0</v>
      </c>
      <c r="J42" s="214">
        <f>+Customers!G42*'Customer Charge'!$E42</f>
        <v>0</v>
      </c>
      <c r="K42" s="214">
        <f>+Customers!H42*'Customer Charge'!$E42</f>
        <v>0</v>
      </c>
      <c r="L42" s="214">
        <f>+Customers!I42*'Customer Charge'!$E42</f>
        <v>0</v>
      </c>
      <c r="M42" s="214">
        <f>+Customers!J42*'Customer Charge'!$E42</f>
        <v>0</v>
      </c>
      <c r="N42" s="214">
        <f>+Customers!K42*'Customer Charge'!$E42</f>
        <v>0</v>
      </c>
      <c r="O42" s="214">
        <f>+Customers!L42*'Customer Charge'!$E42</f>
        <v>0</v>
      </c>
      <c r="P42" s="214">
        <f>+Customers!M42*'Customer Charge'!$E42</f>
        <v>0</v>
      </c>
      <c r="Q42" s="214">
        <f>+Customers!N42*'Customer Charge'!$E42</f>
        <v>0</v>
      </c>
      <c r="R42" s="214">
        <f>+Customers!O42*'Customer Charge'!$E42</f>
        <v>0</v>
      </c>
      <c r="S42" s="214">
        <f>+Customers!P42*'Customer Charge'!$E42</f>
        <v>0</v>
      </c>
      <c r="T42" s="214">
        <f>+Customers!Q42*'Customer Charge'!$E42</f>
        <v>0</v>
      </c>
      <c r="U42" s="214">
        <f t="shared" si="1"/>
        <v>0</v>
      </c>
    </row>
    <row r="43" spans="1:21" ht="12.75">
      <c r="A43" s="4">
        <f aca="true" t="shared" si="2" ref="A43:A74">+A42+1</f>
        <v>34</v>
      </c>
      <c r="B43" s="29"/>
      <c r="C43" s="30"/>
      <c r="D43" s="17"/>
      <c r="E43" s="195"/>
      <c r="F43" s="152"/>
      <c r="G43" s="25"/>
      <c r="I43" s="214">
        <f>+Customers!F43*'Customer Charge'!$E43</f>
        <v>0</v>
      </c>
      <c r="J43" s="214">
        <f>+Customers!G43*'Customer Charge'!$E43</f>
        <v>0</v>
      </c>
      <c r="K43" s="214">
        <f>+Customers!H43*'Customer Charge'!$E43</f>
        <v>0</v>
      </c>
      <c r="L43" s="214">
        <f>+Customers!I43*'Customer Charge'!$E43</f>
        <v>0</v>
      </c>
      <c r="M43" s="214">
        <f>+Customers!J43*'Customer Charge'!$E43</f>
        <v>0</v>
      </c>
      <c r="N43" s="214">
        <f>+Customers!K43*'Customer Charge'!$E43</f>
        <v>0</v>
      </c>
      <c r="O43" s="214">
        <f>+Customers!L43*'Customer Charge'!$E43</f>
        <v>0</v>
      </c>
      <c r="P43" s="214">
        <f>+Customers!M43*'Customer Charge'!$E43</f>
        <v>0</v>
      </c>
      <c r="Q43" s="214">
        <f>+Customers!N43*'Customer Charge'!$E43</f>
        <v>0</v>
      </c>
      <c r="R43" s="214">
        <f>+Customers!O43*'Customer Charge'!$E43</f>
        <v>0</v>
      </c>
      <c r="S43" s="214">
        <f>+Customers!P43*'Customer Charge'!$E43</f>
        <v>0</v>
      </c>
      <c r="T43" s="214">
        <f>+Customers!Q43*'Customer Charge'!$E43</f>
        <v>0</v>
      </c>
      <c r="U43" s="214">
        <f t="shared" si="1"/>
        <v>0</v>
      </c>
    </row>
    <row r="44" spans="1:21" ht="12.75">
      <c r="A44" s="4">
        <f t="shared" si="2"/>
        <v>35</v>
      </c>
      <c r="B44" s="23" t="s">
        <v>69</v>
      </c>
      <c r="C44" s="24" t="s">
        <v>60</v>
      </c>
      <c r="D44" s="25">
        <v>10000</v>
      </c>
      <c r="E44" s="27">
        <f>+'Normal Revs by RS'!E44</f>
        <v>1300</v>
      </c>
      <c r="F44" s="28"/>
      <c r="G44" s="25">
        <v>12</v>
      </c>
      <c r="I44" s="214">
        <f>+Customers!F44*'Customer Charge'!$E44</f>
        <v>15600</v>
      </c>
      <c r="J44" s="214">
        <f>+Customers!G44*'Customer Charge'!$E44</f>
        <v>15600</v>
      </c>
      <c r="K44" s="214">
        <f>+Customers!H44*'Customer Charge'!$E44</f>
        <v>15600</v>
      </c>
      <c r="L44" s="214">
        <f>+Customers!I44*'Customer Charge'!$E44</f>
        <v>15600</v>
      </c>
      <c r="M44" s="214">
        <f>+Customers!J44*'Customer Charge'!$E44</f>
        <v>22100</v>
      </c>
      <c r="N44" s="214">
        <f>+Customers!K44*'Customer Charge'!$E44</f>
        <v>23400</v>
      </c>
      <c r="O44" s="214">
        <f>+Customers!L44*'Customer Charge'!$E44</f>
        <v>16900</v>
      </c>
      <c r="P44" s="214">
        <f>+Customers!M44*'Customer Charge'!$E44</f>
        <v>16900</v>
      </c>
      <c r="Q44" s="214">
        <f>+Customers!N44*'Customer Charge'!$E44</f>
        <v>16900</v>
      </c>
      <c r="R44" s="214">
        <f>+Customers!O44*'Customer Charge'!$E44</f>
        <v>15600</v>
      </c>
      <c r="S44" s="214">
        <f>+Customers!P44*'Customer Charge'!$E44</f>
        <v>15600</v>
      </c>
      <c r="T44" s="214">
        <f>+Customers!Q44*'Customer Charge'!$E44</f>
        <v>15600</v>
      </c>
      <c r="U44" s="214">
        <f t="shared" si="1"/>
        <v>205400</v>
      </c>
    </row>
    <row r="45" spans="1:21" ht="12.75">
      <c r="A45" s="4">
        <f t="shared" si="2"/>
        <v>36</v>
      </c>
      <c r="B45" s="23"/>
      <c r="C45" s="24" t="s">
        <v>61</v>
      </c>
      <c r="D45" s="25">
        <v>20000</v>
      </c>
      <c r="E45" s="27"/>
      <c r="F45" s="28"/>
      <c r="G45" s="25"/>
      <c r="I45" s="214">
        <f>+Customers!F45*'Customer Charge'!$E45</f>
        <v>0</v>
      </c>
      <c r="J45" s="214">
        <f>+Customers!G45*'Customer Charge'!$E45</f>
        <v>0</v>
      </c>
      <c r="K45" s="214">
        <f>+Customers!H45*'Customer Charge'!$E45</f>
        <v>0</v>
      </c>
      <c r="L45" s="214">
        <f>+Customers!I45*'Customer Charge'!$E45</f>
        <v>0</v>
      </c>
      <c r="M45" s="214">
        <f>+Customers!J45*'Customer Charge'!$E45</f>
        <v>0</v>
      </c>
      <c r="N45" s="214">
        <f>+Customers!K45*'Customer Charge'!$E45</f>
        <v>0</v>
      </c>
      <c r="O45" s="214">
        <f>+Customers!L45*'Customer Charge'!$E45</f>
        <v>0</v>
      </c>
      <c r="P45" s="214">
        <f>+Customers!M45*'Customer Charge'!$E45</f>
        <v>0</v>
      </c>
      <c r="Q45" s="214">
        <f>+Customers!N45*'Customer Charge'!$E45</f>
        <v>0</v>
      </c>
      <c r="R45" s="214">
        <f>+Customers!O45*'Customer Charge'!$E45</f>
        <v>0</v>
      </c>
      <c r="S45" s="214">
        <f>+Customers!P45*'Customer Charge'!$E45</f>
        <v>0</v>
      </c>
      <c r="T45" s="214">
        <f>+Customers!Q45*'Customer Charge'!$E45</f>
        <v>0</v>
      </c>
      <c r="U45" s="214">
        <f t="shared" si="1"/>
        <v>0</v>
      </c>
    </row>
    <row r="46" spans="1:21" ht="12.75">
      <c r="A46" s="4">
        <f t="shared" si="2"/>
        <v>37</v>
      </c>
      <c r="B46" s="23"/>
      <c r="C46" s="24" t="s">
        <v>62</v>
      </c>
      <c r="D46" s="25">
        <v>20000</v>
      </c>
      <c r="E46" s="27"/>
      <c r="F46" s="28"/>
      <c r="G46" s="25"/>
      <c r="I46" s="214">
        <f>+Customers!F46*'Customer Charge'!$E46</f>
        <v>0</v>
      </c>
      <c r="J46" s="214">
        <f>+Customers!G46*'Customer Charge'!$E46</f>
        <v>0</v>
      </c>
      <c r="K46" s="214">
        <f>+Customers!H46*'Customer Charge'!$E46</f>
        <v>0</v>
      </c>
      <c r="L46" s="214">
        <f>+Customers!I46*'Customer Charge'!$E46</f>
        <v>0</v>
      </c>
      <c r="M46" s="214">
        <f>+Customers!J46*'Customer Charge'!$E46</f>
        <v>0</v>
      </c>
      <c r="N46" s="214">
        <f>+Customers!K46*'Customer Charge'!$E46</f>
        <v>0</v>
      </c>
      <c r="O46" s="214">
        <f>+Customers!L46*'Customer Charge'!$E46</f>
        <v>0</v>
      </c>
      <c r="P46" s="214">
        <f>+Customers!M46*'Customer Charge'!$E46</f>
        <v>0</v>
      </c>
      <c r="Q46" s="214">
        <f>+Customers!N46*'Customer Charge'!$E46</f>
        <v>0</v>
      </c>
      <c r="R46" s="214">
        <f>+Customers!O46*'Customer Charge'!$E46</f>
        <v>0</v>
      </c>
      <c r="S46" s="214">
        <f>+Customers!P46*'Customer Charge'!$E46</f>
        <v>0</v>
      </c>
      <c r="T46" s="214">
        <f>+Customers!Q46*'Customer Charge'!$E46</f>
        <v>0</v>
      </c>
      <c r="U46" s="214">
        <f t="shared" si="1"/>
        <v>0</v>
      </c>
    </row>
    <row r="47" spans="1:21" ht="12.75">
      <c r="A47" s="4">
        <f t="shared" si="2"/>
        <v>38</v>
      </c>
      <c r="B47" s="23"/>
      <c r="C47" s="24" t="s">
        <v>63</v>
      </c>
      <c r="D47" s="25">
        <v>100000</v>
      </c>
      <c r="E47" s="27"/>
      <c r="F47" s="28"/>
      <c r="G47" s="25"/>
      <c r="I47" s="214">
        <f>+Customers!F47*'Customer Charge'!$E47</f>
        <v>0</v>
      </c>
      <c r="J47" s="214">
        <f>+Customers!G47*'Customer Charge'!$E47</f>
        <v>0</v>
      </c>
      <c r="K47" s="214">
        <f>+Customers!H47*'Customer Charge'!$E47</f>
        <v>0</v>
      </c>
      <c r="L47" s="214">
        <f>+Customers!I47*'Customer Charge'!$E47</f>
        <v>0</v>
      </c>
      <c r="M47" s="214">
        <f>+Customers!J47*'Customer Charge'!$E47</f>
        <v>0</v>
      </c>
      <c r="N47" s="214">
        <f>+Customers!K47*'Customer Charge'!$E47</f>
        <v>0</v>
      </c>
      <c r="O47" s="214">
        <f>+Customers!L47*'Customer Charge'!$E47</f>
        <v>0</v>
      </c>
      <c r="P47" s="214">
        <f>+Customers!M47*'Customer Charge'!$E47</f>
        <v>0</v>
      </c>
      <c r="Q47" s="214">
        <f>+Customers!N47*'Customer Charge'!$E47</f>
        <v>0</v>
      </c>
      <c r="R47" s="214">
        <f>+Customers!O47*'Customer Charge'!$E47</f>
        <v>0</v>
      </c>
      <c r="S47" s="214">
        <f>+Customers!P47*'Customer Charge'!$E47</f>
        <v>0</v>
      </c>
      <c r="T47" s="214">
        <f>+Customers!Q47*'Customer Charge'!$E47</f>
        <v>0</v>
      </c>
      <c r="U47" s="214">
        <f t="shared" si="1"/>
        <v>0</v>
      </c>
    </row>
    <row r="48" spans="1:21" ht="12.75">
      <c r="A48" s="4">
        <f t="shared" si="2"/>
        <v>39</v>
      </c>
      <c r="B48" s="23"/>
      <c r="C48" s="24" t="s">
        <v>70</v>
      </c>
      <c r="D48" s="25">
        <v>600000</v>
      </c>
      <c r="E48" s="27"/>
      <c r="F48" s="28"/>
      <c r="G48" s="25"/>
      <c r="I48" s="214">
        <f>+Customers!F48*'Customer Charge'!$E48</f>
        <v>0</v>
      </c>
      <c r="J48" s="214">
        <f>+Customers!G48*'Customer Charge'!$E48</f>
        <v>0</v>
      </c>
      <c r="K48" s="214">
        <f>+Customers!H48*'Customer Charge'!$E48</f>
        <v>0</v>
      </c>
      <c r="L48" s="214">
        <f>+Customers!I48*'Customer Charge'!$E48</f>
        <v>0</v>
      </c>
      <c r="M48" s="214">
        <f>+Customers!J48*'Customer Charge'!$E48</f>
        <v>0</v>
      </c>
      <c r="N48" s="214">
        <f>+Customers!K48*'Customer Charge'!$E48</f>
        <v>0</v>
      </c>
      <c r="O48" s="214">
        <f>+Customers!L48*'Customer Charge'!$E48</f>
        <v>0</v>
      </c>
      <c r="P48" s="214">
        <f>+Customers!M48*'Customer Charge'!$E48</f>
        <v>0</v>
      </c>
      <c r="Q48" s="214">
        <f>+Customers!N48*'Customer Charge'!$E48</f>
        <v>0</v>
      </c>
      <c r="R48" s="214">
        <f>+Customers!O48*'Customer Charge'!$E48</f>
        <v>0</v>
      </c>
      <c r="S48" s="214">
        <f>+Customers!P48*'Customer Charge'!$E48</f>
        <v>0</v>
      </c>
      <c r="T48" s="214">
        <f>+Customers!Q48*'Customer Charge'!$E48</f>
        <v>0</v>
      </c>
      <c r="U48" s="214">
        <f aca="true" t="shared" si="3" ref="U48:U79">SUM(I48:T48)</f>
        <v>0</v>
      </c>
    </row>
    <row r="49" spans="1:21" ht="12.75">
      <c r="A49" s="4">
        <f t="shared" si="2"/>
        <v>40</v>
      </c>
      <c r="B49" s="23"/>
      <c r="C49" s="24" t="s">
        <v>71</v>
      </c>
      <c r="D49" s="26" t="s">
        <v>64</v>
      </c>
      <c r="E49" s="27"/>
      <c r="F49" s="28"/>
      <c r="G49" s="25"/>
      <c r="I49" s="214">
        <f>+Customers!F49*'Customer Charge'!$E49</f>
        <v>0</v>
      </c>
      <c r="J49" s="214">
        <f>+Customers!G49*'Customer Charge'!$E49</f>
        <v>0</v>
      </c>
      <c r="K49" s="214">
        <f>+Customers!H49*'Customer Charge'!$E49</f>
        <v>0</v>
      </c>
      <c r="L49" s="214">
        <f>+Customers!I49*'Customer Charge'!$E49</f>
        <v>0</v>
      </c>
      <c r="M49" s="214">
        <f>+Customers!J49*'Customer Charge'!$E49</f>
        <v>0</v>
      </c>
      <c r="N49" s="214">
        <f>+Customers!K49*'Customer Charge'!$E49</f>
        <v>0</v>
      </c>
      <c r="O49" s="214">
        <f>+Customers!L49*'Customer Charge'!$E49</f>
        <v>0</v>
      </c>
      <c r="P49" s="214">
        <f>+Customers!M49*'Customer Charge'!$E49</f>
        <v>0</v>
      </c>
      <c r="Q49" s="214">
        <f>+Customers!N49*'Customer Charge'!$E49</f>
        <v>0</v>
      </c>
      <c r="R49" s="214">
        <f>+Customers!O49*'Customer Charge'!$E49</f>
        <v>0</v>
      </c>
      <c r="S49" s="214">
        <f>+Customers!P49*'Customer Charge'!$E49</f>
        <v>0</v>
      </c>
      <c r="T49" s="214">
        <f>+Customers!Q49*'Customer Charge'!$E49</f>
        <v>0</v>
      </c>
      <c r="U49" s="214">
        <f t="shared" si="3"/>
        <v>0</v>
      </c>
    </row>
    <row r="50" spans="1:21" ht="12.75">
      <c r="A50" s="4">
        <f t="shared" si="2"/>
        <v>41</v>
      </c>
      <c r="B50" s="29"/>
      <c r="C50" s="30"/>
      <c r="D50" s="17"/>
      <c r="E50" s="195"/>
      <c r="F50" s="152"/>
      <c r="G50" s="25"/>
      <c r="I50" s="214">
        <f>+Customers!F50*'Customer Charge'!$E50</f>
        <v>0</v>
      </c>
      <c r="J50" s="214">
        <f>+Customers!G50*'Customer Charge'!$E50</f>
        <v>0</v>
      </c>
      <c r="K50" s="214">
        <f>+Customers!H50*'Customer Charge'!$E50</f>
        <v>0</v>
      </c>
      <c r="L50" s="214">
        <f>+Customers!I50*'Customer Charge'!$E50</f>
        <v>0</v>
      </c>
      <c r="M50" s="214">
        <f>+Customers!J50*'Customer Charge'!$E50</f>
        <v>0</v>
      </c>
      <c r="N50" s="214">
        <f>+Customers!K50*'Customer Charge'!$E50</f>
        <v>0</v>
      </c>
      <c r="O50" s="214">
        <f>+Customers!L50*'Customer Charge'!$E50</f>
        <v>0</v>
      </c>
      <c r="P50" s="214">
        <f>+Customers!M50*'Customer Charge'!$E50</f>
        <v>0</v>
      </c>
      <c r="Q50" s="214">
        <f>+Customers!N50*'Customer Charge'!$E50</f>
        <v>0</v>
      </c>
      <c r="R50" s="214">
        <f>+Customers!O50*'Customer Charge'!$E50</f>
        <v>0</v>
      </c>
      <c r="S50" s="214">
        <f>+Customers!P50*'Customer Charge'!$E50</f>
        <v>0</v>
      </c>
      <c r="T50" s="214">
        <f>+Customers!Q50*'Customer Charge'!$E50</f>
        <v>0</v>
      </c>
      <c r="U50" s="214">
        <f t="shared" si="3"/>
        <v>0</v>
      </c>
    </row>
    <row r="51" spans="1:21" ht="12.75">
      <c r="A51" s="4">
        <f t="shared" si="2"/>
        <v>42</v>
      </c>
      <c r="B51" s="23" t="s">
        <v>72</v>
      </c>
      <c r="C51" s="24" t="s">
        <v>60</v>
      </c>
      <c r="D51" s="25">
        <v>10000</v>
      </c>
      <c r="E51" s="27">
        <f>+'Normal Revs by RS'!E51</f>
        <v>1300</v>
      </c>
      <c r="F51" s="28"/>
      <c r="G51" s="25">
        <v>14</v>
      </c>
      <c r="I51" s="214">
        <f>+Customers!F51*'Customer Charge'!$E51</f>
        <v>18200</v>
      </c>
      <c r="J51" s="214">
        <f>+Customers!G51*'Customer Charge'!$E51</f>
        <v>18200</v>
      </c>
      <c r="K51" s="214">
        <f>+Customers!H51*'Customer Charge'!$E51</f>
        <v>18200</v>
      </c>
      <c r="L51" s="214">
        <f>+Customers!I51*'Customer Charge'!$E51</f>
        <v>18200</v>
      </c>
      <c r="M51" s="214">
        <f>+Customers!J51*'Customer Charge'!$E51</f>
        <v>18200</v>
      </c>
      <c r="N51" s="214">
        <f>+Customers!K51*'Customer Charge'!$E51</f>
        <v>18200</v>
      </c>
      <c r="O51" s="214">
        <f>+Customers!L51*'Customer Charge'!$E51</f>
        <v>18200</v>
      </c>
      <c r="P51" s="214">
        <f>+Customers!M51*'Customer Charge'!$E51</f>
        <v>16900</v>
      </c>
      <c r="Q51" s="214">
        <f>+Customers!N51*'Customer Charge'!$E51</f>
        <v>16900</v>
      </c>
      <c r="R51" s="214">
        <f>+Customers!O51*'Customer Charge'!$E51</f>
        <v>18200</v>
      </c>
      <c r="S51" s="214">
        <f>+Customers!P51*'Customer Charge'!$E51</f>
        <v>18200</v>
      </c>
      <c r="T51" s="214">
        <f>+Customers!Q51*'Customer Charge'!$E51</f>
        <v>18200</v>
      </c>
      <c r="U51" s="214">
        <f t="shared" si="3"/>
        <v>215800</v>
      </c>
    </row>
    <row r="52" spans="1:21" ht="12.75">
      <c r="A52" s="4">
        <f t="shared" si="2"/>
        <v>43</v>
      </c>
      <c r="B52" s="23"/>
      <c r="C52" s="24" t="s">
        <v>61</v>
      </c>
      <c r="D52" s="25">
        <v>20000</v>
      </c>
      <c r="E52" s="27"/>
      <c r="F52" s="28"/>
      <c r="G52" s="25"/>
      <c r="I52" s="214">
        <f>+Customers!F52*'Customer Charge'!$E52</f>
        <v>0</v>
      </c>
      <c r="J52" s="214">
        <f>+Customers!G52*'Customer Charge'!$E52</f>
        <v>0</v>
      </c>
      <c r="K52" s="214">
        <f>+Customers!H52*'Customer Charge'!$E52</f>
        <v>0</v>
      </c>
      <c r="L52" s="214">
        <f>+Customers!I52*'Customer Charge'!$E52</f>
        <v>0</v>
      </c>
      <c r="M52" s="214">
        <f>+Customers!J52*'Customer Charge'!$E52</f>
        <v>0</v>
      </c>
      <c r="N52" s="214">
        <f>+Customers!K52*'Customer Charge'!$E52</f>
        <v>0</v>
      </c>
      <c r="O52" s="214">
        <f>+Customers!L52*'Customer Charge'!$E52</f>
        <v>0</v>
      </c>
      <c r="P52" s="214">
        <f>+Customers!M52*'Customer Charge'!$E52</f>
        <v>0</v>
      </c>
      <c r="Q52" s="214">
        <f>+Customers!N52*'Customer Charge'!$E52</f>
        <v>0</v>
      </c>
      <c r="R52" s="214">
        <f>+Customers!O52*'Customer Charge'!$E52</f>
        <v>0</v>
      </c>
      <c r="S52" s="214">
        <f>+Customers!P52*'Customer Charge'!$E52</f>
        <v>0</v>
      </c>
      <c r="T52" s="214">
        <f>+Customers!Q52*'Customer Charge'!$E52</f>
        <v>0</v>
      </c>
      <c r="U52" s="214">
        <f t="shared" si="3"/>
        <v>0</v>
      </c>
    </row>
    <row r="53" spans="1:21" ht="12.75">
      <c r="A53" s="4">
        <f t="shared" si="2"/>
        <v>44</v>
      </c>
      <c r="B53" s="23"/>
      <c r="C53" s="24" t="s">
        <v>62</v>
      </c>
      <c r="D53" s="25">
        <v>20000</v>
      </c>
      <c r="E53" s="27"/>
      <c r="F53" s="28"/>
      <c r="G53" s="25"/>
      <c r="I53" s="214">
        <f>+Customers!F53*'Customer Charge'!$E53</f>
        <v>0</v>
      </c>
      <c r="J53" s="214">
        <f>+Customers!G53*'Customer Charge'!$E53</f>
        <v>0</v>
      </c>
      <c r="K53" s="214">
        <f>+Customers!H53*'Customer Charge'!$E53</f>
        <v>0</v>
      </c>
      <c r="L53" s="214">
        <f>+Customers!I53*'Customer Charge'!$E53</f>
        <v>0</v>
      </c>
      <c r="M53" s="214">
        <f>+Customers!J53*'Customer Charge'!$E53</f>
        <v>0</v>
      </c>
      <c r="N53" s="214">
        <f>+Customers!K53*'Customer Charge'!$E53</f>
        <v>0</v>
      </c>
      <c r="O53" s="214">
        <f>+Customers!L53*'Customer Charge'!$E53</f>
        <v>0</v>
      </c>
      <c r="P53" s="214">
        <f>+Customers!M53*'Customer Charge'!$E53</f>
        <v>0</v>
      </c>
      <c r="Q53" s="214">
        <f>+Customers!N53*'Customer Charge'!$E53</f>
        <v>0</v>
      </c>
      <c r="R53" s="214">
        <f>+Customers!O53*'Customer Charge'!$E53</f>
        <v>0</v>
      </c>
      <c r="S53" s="214">
        <f>+Customers!P53*'Customer Charge'!$E53</f>
        <v>0</v>
      </c>
      <c r="T53" s="214">
        <f>+Customers!Q53*'Customer Charge'!$E53</f>
        <v>0</v>
      </c>
      <c r="U53" s="214">
        <f t="shared" si="3"/>
        <v>0</v>
      </c>
    </row>
    <row r="54" spans="1:21" ht="12.75">
      <c r="A54" s="4">
        <f t="shared" si="2"/>
        <v>45</v>
      </c>
      <c r="B54" s="23"/>
      <c r="C54" s="24" t="s">
        <v>63</v>
      </c>
      <c r="D54" s="25">
        <v>100000</v>
      </c>
      <c r="E54" s="27"/>
      <c r="F54" s="28"/>
      <c r="G54" s="25"/>
      <c r="I54" s="214">
        <f>+Customers!F54*'Customer Charge'!$E54</f>
        <v>0</v>
      </c>
      <c r="J54" s="214">
        <f>+Customers!G54*'Customer Charge'!$E54</f>
        <v>0</v>
      </c>
      <c r="K54" s="214">
        <f>+Customers!H54*'Customer Charge'!$E54</f>
        <v>0</v>
      </c>
      <c r="L54" s="214">
        <f>+Customers!I54*'Customer Charge'!$E54</f>
        <v>0</v>
      </c>
      <c r="M54" s="214">
        <f>+Customers!J54*'Customer Charge'!$E54</f>
        <v>0</v>
      </c>
      <c r="N54" s="214">
        <f>+Customers!K54*'Customer Charge'!$E54</f>
        <v>0</v>
      </c>
      <c r="O54" s="214">
        <f>+Customers!L54*'Customer Charge'!$E54</f>
        <v>0</v>
      </c>
      <c r="P54" s="214">
        <f>+Customers!M54*'Customer Charge'!$E54</f>
        <v>0</v>
      </c>
      <c r="Q54" s="214">
        <f>+Customers!N54*'Customer Charge'!$E54</f>
        <v>0</v>
      </c>
      <c r="R54" s="214">
        <f>+Customers!O54*'Customer Charge'!$E54</f>
        <v>0</v>
      </c>
      <c r="S54" s="214">
        <f>+Customers!P54*'Customer Charge'!$E54</f>
        <v>0</v>
      </c>
      <c r="T54" s="214">
        <f>+Customers!Q54*'Customer Charge'!$E54</f>
        <v>0</v>
      </c>
      <c r="U54" s="214">
        <f t="shared" si="3"/>
        <v>0</v>
      </c>
    </row>
    <row r="55" spans="1:21" ht="12.75">
      <c r="A55" s="4">
        <f t="shared" si="2"/>
        <v>46</v>
      </c>
      <c r="B55" s="23"/>
      <c r="C55" s="24" t="s">
        <v>70</v>
      </c>
      <c r="D55" s="25">
        <v>600000</v>
      </c>
      <c r="E55" s="27"/>
      <c r="F55" s="28"/>
      <c r="G55" s="25"/>
      <c r="I55" s="214">
        <f>+Customers!F55*'Customer Charge'!$E55</f>
        <v>0</v>
      </c>
      <c r="J55" s="214">
        <f>+Customers!G55*'Customer Charge'!$E55</f>
        <v>0</v>
      </c>
      <c r="K55" s="214">
        <f>+Customers!H55*'Customer Charge'!$E55</f>
        <v>0</v>
      </c>
      <c r="L55" s="214">
        <f>+Customers!I55*'Customer Charge'!$E55</f>
        <v>0</v>
      </c>
      <c r="M55" s="214">
        <f>+Customers!J55*'Customer Charge'!$E55</f>
        <v>0</v>
      </c>
      <c r="N55" s="214">
        <f>+Customers!K55*'Customer Charge'!$E55</f>
        <v>0</v>
      </c>
      <c r="O55" s="214">
        <f>+Customers!L55*'Customer Charge'!$E55</f>
        <v>0</v>
      </c>
      <c r="P55" s="214">
        <f>+Customers!M55*'Customer Charge'!$E55</f>
        <v>0</v>
      </c>
      <c r="Q55" s="214">
        <f>+Customers!N55*'Customer Charge'!$E55</f>
        <v>0</v>
      </c>
      <c r="R55" s="214">
        <f>+Customers!O55*'Customer Charge'!$E55</f>
        <v>0</v>
      </c>
      <c r="S55" s="214">
        <f>+Customers!P55*'Customer Charge'!$E55</f>
        <v>0</v>
      </c>
      <c r="T55" s="214">
        <f>+Customers!Q55*'Customer Charge'!$E55</f>
        <v>0</v>
      </c>
      <c r="U55" s="214">
        <f t="shared" si="3"/>
        <v>0</v>
      </c>
    </row>
    <row r="56" spans="1:21" ht="12.75">
      <c r="A56" s="4">
        <f t="shared" si="2"/>
        <v>47</v>
      </c>
      <c r="B56" s="23"/>
      <c r="C56" s="24" t="s">
        <v>71</v>
      </c>
      <c r="D56" s="26" t="s">
        <v>64</v>
      </c>
      <c r="E56" s="27"/>
      <c r="F56" s="28"/>
      <c r="G56" s="25"/>
      <c r="I56" s="214">
        <f>+Customers!F56*'Customer Charge'!$E56</f>
        <v>0</v>
      </c>
      <c r="J56" s="214">
        <f>+Customers!G56*'Customer Charge'!$E56</f>
        <v>0</v>
      </c>
      <c r="K56" s="214">
        <f>+Customers!H56*'Customer Charge'!$E56</f>
        <v>0</v>
      </c>
      <c r="L56" s="214">
        <f>+Customers!I56*'Customer Charge'!$E56</f>
        <v>0</v>
      </c>
      <c r="M56" s="214">
        <f>+Customers!J56*'Customer Charge'!$E56</f>
        <v>0</v>
      </c>
      <c r="N56" s="214">
        <f>+Customers!K56*'Customer Charge'!$E56</f>
        <v>0</v>
      </c>
      <c r="O56" s="214">
        <f>+Customers!L56*'Customer Charge'!$E56</f>
        <v>0</v>
      </c>
      <c r="P56" s="214">
        <f>+Customers!M56*'Customer Charge'!$E56</f>
        <v>0</v>
      </c>
      <c r="Q56" s="214">
        <f>+Customers!N56*'Customer Charge'!$E56</f>
        <v>0</v>
      </c>
      <c r="R56" s="214">
        <f>+Customers!O56*'Customer Charge'!$E56</f>
        <v>0</v>
      </c>
      <c r="S56" s="214">
        <f>+Customers!P56*'Customer Charge'!$E56</f>
        <v>0</v>
      </c>
      <c r="T56" s="214">
        <f>+Customers!Q56*'Customer Charge'!$E56</f>
        <v>0</v>
      </c>
      <c r="U56" s="214">
        <f t="shared" si="3"/>
        <v>0</v>
      </c>
    </row>
    <row r="57" spans="1:21" ht="12.75">
      <c r="A57" s="4">
        <f t="shared" si="2"/>
        <v>48</v>
      </c>
      <c r="B57" s="29"/>
      <c r="C57" s="30"/>
      <c r="D57" s="17"/>
      <c r="E57" s="195"/>
      <c r="F57" s="152"/>
      <c r="G57" s="25"/>
      <c r="I57" s="214">
        <f>+Customers!F57*'Customer Charge'!$E57</f>
        <v>0</v>
      </c>
      <c r="J57" s="214">
        <f>+Customers!G57*'Customer Charge'!$E57</f>
        <v>0</v>
      </c>
      <c r="K57" s="214">
        <f>+Customers!H57*'Customer Charge'!$E57</f>
        <v>0</v>
      </c>
      <c r="L57" s="214">
        <f>+Customers!I57*'Customer Charge'!$E57</f>
        <v>0</v>
      </c>
      <c r="M57" s="214">
        <f>+Customers!J57*'Customer Charge'!$E57</f>
        <v>0</v>
      </c>
      <c r="N57" s="214">
        <f>+Customers!K57*'Customer Charge'!$E57</f>
        <v>0</v>
      </c>
      <c r="O57" s="214">
        <f>+Customers!L57*'Customer Charge'!$E57</f>
        <v>0</v>
      </c>
      <c r="P57" s="214">
        <f>+Customers!M57*'Customer Charge'!$E57</f>
        <v>0</v>
      </c>
      <c r="Q57" s="214">
        <f>+Customers!N57*'Customer Charge'!$E57</f>
        <v>0</v>
      </c>
      <c r="R57" s="214">
        <f>+Customers!O57*'Customer Charge'!$E57</f>
        <v>0</v>
      </c>
      <c r="S57" s="214">
        <f>+Customers!P57*'Customer Charge'!$E57</f>
        <v>0</v>
      </c>
      <c r="T57" s="214">
        <f>+Customers!Q57*'Customer Charge'!$E57</f>
        <v>0</v>
      </c>
      <c r="U57" s="214">
        <f t="shared" si="3"/>
        <v>0</v>
      </c>
    </row>
    <row r="58" spans="1:21" ht="12.75">
      <c r="A58" s="4">
        <f t="shared" si="2"/>
        <v>49</v>
      </c>
      <c r="B58" s="23" t="s">
        <v>73</v>
      </c>
      <c r="C58" s="24" t="s">
        <v>60</v>
      </c>
      <c r="D58" s="25">
        <v>10000</v>
      </c>
      <c r="E58" s="27">
        <f>+'Normal Revs by RS'!E58</f>
        <v>1550</v>
      </c>
      <c r="F58" s="28"/>
      <c r="G58" s="25">
        <v>1</v>
      </c>
      <c r="I58" s="214">
        <f>+Customers!F58*'Customer Charge'!$E58</f>
        <v>1550</v>
      </c>
      <c r="J58" s="214">
        <f>+Customers!G58*'Customer Charge'!$E58</f>
        <v>1550</v>
      </c>
      <c r="K58" s="214">
        <f>+Customers!H58*'Customer Charge'!$E58</f>
        <v>1550</v>
      </c>
      <c r="L58" s="214">
        <f>+Customers!I58*'Customer Charge'!$E58</f>
        <v>1550</v>
      </c>
      <c r="M58" s="214">
        <f>+Customers!J58*'Customer Charge'!$E58</f>
        <v>1550</v>
      </c>
      <c r="N58" s="214">
        <f>+Customers!K58*'Customer Charge'!$E58</f>
        <v>1550</v>
      </c>
      <c r="O58" s="214">
        <f>+Customers!L58*'Customer Charge'!$E58</f>
        <v>1550</v>
      </c>
      <c r="P58" s="214">
        <f>+Customers!M58*'Customer Charge'!$E58</f>
        <v>1550</v>
      </c>
      <c r="Q58" s="214">
        <f>+Customers!N58*'Customer Charge'!$E58</f>
        <v>1550</v>
      </c>
      <c r="R58" s="214">
        <f>+Customers!O58*'Customer Charge'!$E58</f>
        <v>1550</v>
      </c>
      <c r="S58" s="214">
        <f>+Customers!P58*'Customer Charge'!$E58</f>
        <v>1550</v>
      </c>
      <c r="T58" s="214">
        <f>+Customers!Q58*'Customer Charge'!$E58</f>
        <v>1550</v>
      </c>
      <c r="U58" s="214">
        <f t="shared" si="3"/>
        <v>18600</v>
      </c>
    </row>
    <row r="59" spans="1:21" ht="12.75">
      <c r="A59" s="4">
        <f t="shared" si="2"/>
        <v>50</v>
      </c>
      <c r="B59" s="23"/>
      <c r="C59" s="24" t="s">
        <v>61</v>
      </c>
      <c r="D59" s="25">
        <v>20000</v>
      </c>
      <c r="E59" s="27"/>
      <c r="F59" s="28"/>
      <c r="G59" s="25"/>
      <c r="I59" s="214">
        <f>+Customers!F59*'Customer Charge'!$E59</f>
        <v>0</v>
      </c>
      <c r="J59" s="214">
        <f>+Customers!G59*'Customer Charge'!$E59</f>
        <v>0</v>
      </c>
      <c r="K59" s="214">
        <f>+Customers!H59*'Customer Charge'!$E59</f>
        <v>0</v>
      </c>
      <c r="L59" s="214">
        <f>+Customers!I59*'Customer Charge'!$E59</f>
        <v>0</v>
      </c>
      <c r="M59" s="214">
        <f>+Customers!J59*'Customer Charge'!$E59</f>
        <v>0</v>
      </c>
      <c r="N59" s="214">
        <f>+Customers!K59*'Customer Charge'!$E59</f>
        <v>0</v>
      </c>
      <c r="O59" s="214">
        <f>+Customers!L59*'Customer Charge'!$E59</f>
        <v>0</v>
      </c>
      <c r="P59" s="214">
        <f>+Customers!M59*'Customer Charge'!$E59</f>
        <v>0</v>
      </c>
      <c r="Q59" s="214">
        <f>+Customers!N59*'Customer Charge'!$E59</f>
        <v>0</v>
      </c>
      <c r="R59" s="214">
        <f>+Customers!O59*'Customer Charge'!$E59</f>
        <v>0</v>
      </c>
      <c r="S59" s="214">
        <f>+Customers!P59*'Customer Charge'!$E59</f>
        <v>0</v>
      </c>
      <c r="T59" s="214">
        <f>+Customers!Q59*'Customer Charge'!$E59</f>
        <v>0</v>
      </c>
      <c r="U59" s="214">
        <f t="shared" si="3"/>
        <v>0</v>
      </c>
    </row>
    <row r="60" spans="1:21" ht="12.75">
      <c r="A60" s="4">
        <f t="shared" si="2"/>
        <v>51</v>
      </c>
      <c r="B60" s="23"/>
      <c r="C60" s="24" t="s">
        <v>62</v>
      </c>
      <c r="D60" s="25">
        <v>20000</v>
      </c>
      <c r="E60" s="27"/>
      <c r="F60" s="28"/>
      <c r="G60" s="25"/>
      <c r="I60" s="214">
        <f>+Customers!F60*'Customer Charge'!$E60</f>
        <v>0</v>
      </c>
      <c r="J60" s="214">
        <f>+Customers!G60*'Customer Charge'!$E60</f>
        <v>0</v>
      </c>
      <c r="K60" s="214">
        <f>+Customers!H60*'Customer Charge'!$E60</f>
        <v>0</v>
      </c>
      <c r="L60" s="214">
        <f>+Customers!I60*'Customer Charge'!$E60</f>
        <v>0</v>
      </c>
      <c r="M60" s="214">
        <f>+Customers!J60*'Customer Charge'!$E60</f>
        <v>0</v>
      </c>
      <c r="N60" s="214">
        <f>+Customers!K60*'Customer Charge'!$E60</f>
        <v>0</v>
      </c>
      <c r="O60" s="214">
        <f>+Customers!L60*'Customer Charge'!$E60</f>
        <v>0</v>
      </c>
      <c r="P60" s="214">
        <f>+Customers!M60*'Customer Charge'!$E60</f>
        <v>0</v>
      </c>
      <c r="Q60" s="214">
        <f>+Customers!N60*'Customer Charge'!$E60</f>
        <v>0</v>
      </c>
      <c r="R60" s="214">
        <f>+Customers!O60*'Customer Charge'!$E60</f>
        <v>0</v>
      </c>
      <c r="S60" s="214">
        <f>+Customers!P60*'Customer Charge'!$E60</f>
        <v>0</v>
      </c>
      <c r="T60" s="214">
        <f>+Customers!Q60*'Customer Charge'!$E60</f>
        <v>0</v>
      </c>
      <c r="U60" s="214">
        <f t="shared" si="3"/>
        <v>0</v>
      </c>
    </row>
    <row r="61" spans="1:21" ht="12.75">
      <c r="A61" s="4">
        <f t="shared" si="2"/>
        <v>52</v>
      </c>
      <c r="B61" s="23"/>
      <c r="C61" s="24" t="s">
        <v>63</v>
      </c>
      <c r="D61" s="25">
        <v>100000</v>
      </c>
      <c r="E61" s="27"/>
      <c r="F61" s="28"/>
      <c r="G61" s="25"/>
      <c r="I61" s="214">
        <f>+Customers!F61*'Customer Charge'!$E61</f>
        <v>0</v>
      </c>
      <c r="J61" s="214">
        <f>+Customers!G61*'Customer Charge'!$E61</f>
        <v>0</v>
      </c>
      <c r="K61" s="214">
        <f>+Customers!H61*'Customer Charge'!$E61</f>
        <v>0</v>
      </c>
      <c r="L61" s="214">
        <f>+Customers!I61*'Customer Charge'!$E61</f>
        <v>0</v>
      </c>
      <c r="M61" s="214">
        <f>+Customers!J61*'Customer Charge'!$E61</f>
        <v>0</v>
      </c>
      <c r="N61" s="214">
        <f>+Customers!K61*'Customer Charge'!$E61</f>
        <v>0</v>
      </c>
      <c r="O61" s="214">
        <f>+Customers!L61*'Customer Charge'!$E61</f>
        <v>0</v>
      </c>
      <c r="P61" s="214">
        <f>+Customers!M61*'Customer Charge'!$E61</f>
        <v>0</v>
      </c>
      <c r="Q61" s="214">
        <f>+Customers!N61*'Customer Charge'!$E61</f>
        <v>0</v>
      </c>
      <c r="R61" s="214">
        <f>+Customers!O61*'Customer Charge'!$E61</f>
        <v>0</v>
      </c>
      <c r="S61" s="214">
        <f>+Customers!P61*'Customer Charge'!$E61</f>
        <v>0</v>
      </c>
      <c r="T61" s="214">
        <f>+Customers!Q61*'Customer Charge'!$E61</f>
        <v>0</v>
      </c>
      <c r="U61" s="214">
        <f t="shared" si="3"/>
        <v>0</v>
      </c>
    </row>
    <row r="62" spans="1:21" ht="12.75">
      <c r="A62" s="4">
        <f t="shared" si="2"/>
        <v>53</v>
      </c>
      <c r="B62" s="23"/>
      <c r="C62" s="24" t="s">
        <v>70</v>
      </c>
      <c r="D62" s="25">
        <v>600000</v>
      </c>
      <c r="E62" s="27"/>
      <c r="F62" s="28"/>
      <c r="G62" s="25"/>
      <c r="I62" s="214">
        <f>+Customers!F62*'Customer Charge'!$E62</f>
        <v>0</v>
      </c>
      <c r="J62" s="214">
        <f>+Customers!G62*'Customer Charge'!$E62</f>
        <v>0</v>
      </c>
      <c r="K62" s="214">
        <f>+Customers!H62*'Customer Charge'!$E62</f>
        <v>0</v>
      </c>
      <c r="L62" s="214">
        <f>+Customers!I62*'Customer Charge'!$E62</f>
        <v>0</v>
      </c>
      <c r="M62" s="214">
        <f>+Customers!J62*'Customer Charge'!$E62</f>
        <v>0</v>
      </c>
      <c r="N62" s="214">
        <f>+Customers!K62*'Customer Charge'!$E62</f>
        <v>0</v>
      </c>
      <c r="O62" s="214">
        <f>+Customers!L62*'Customer Charge'!$E62</f>
        <v>0</v>
      </c>
      <c r="P62" s="214">
        <f>+Customers!M62*'Customer Charge'!$E62</f>
        <v>0</v>
      </c>
      <c r="Q62" s="214">
        <f>+Customers!N62*'Customer Charge'!$E62</f>
        <v>0</v>
      </c>
      <c r="R62" s="214">
        <f>+Customers!O62*'Customer Charge'!$E62</f>
        <v>0</v>
      </c>
      <c r="S62" s="214">
        <f>+Customers!P62*'Customer Charge'!$E62</f>
        <v>0</v>
      </c>
      <c r="T62" s="214">
        <f>+Customers!Q62*'Customer Charge'!$E62</f>
        <v>0</v>
      </c>
      <c r="U62" s="214">
        <f t="shared" si="3"/>
        <v>0</v>
      </c>
    </row>
    <row r="63" spans="1:21" ht="12.75">
      <c r="A63" s="4">
        <f t="shared" si="2"/>
        <v>54</v>
      </c>
      <c r="B63" s="23"/>
      <c r="C63" s="24" t="s">
        <v>71</v>
      </c>
      <c r="D63" s="26" t="s">
        <v>64</v>
      </c>
      <c r="E63" s="27"/>
      <c r="F63" s="28"/>
      <c r="G63" s="25"/>
      <c r="I63" s="214">
        <f>+Customers!F63*'Customer Charge'!$E63</f>
        <v>0</v>
      </c>
      <c r="J63" s="214">
        <f>+Customers!G63*'Customer Charge'!$E63</f>
        <v>0</v>
      </c>
      <c r="K63" s="214">
        <f>+Customers!H63*'Customer Charge'!$E63</f>
        <v>0</v>
      </c>
      <c r="L63" s="214">
        <f>+Customers!I63*'Customer Charge'!$E63</f>
        <v>0</v>
      </c>
      <c r="M63" s="214">
        <f>+Customers!J63*'Customer Charge'!$E63</f>
        <v>0</v>
      </c>
      <c r="N63" s="214">
        <f>+Customers!K63*'Customer Charge'!$E63</f>
        <v>0</v>
      </c>
      <c r="O63" s="214">
        <f>+Customers!L63*'Customer Charge'!$E63</f>
        <v>0</v>
      </c>
      <c r="P63" s="214">
        <f>+Customers!M63*'Customer Charge'!$E63</f>
        <v>0</v>
      </c>
      <c r="Q63" s="214">
        <f>+Customers!N63*'Customer Charge'!$E63</f>
        <v>0</v>
      </c>
      <c r="R63" s="214">
        <f>+Customers!O63*'Customer Charge'!$E63</f>
        <v>0</v>
      </c>
      <c r="S63" s="214">
        <f>+Customers!P63*'Customer Charge'!$E63</f>
        <v>0</v>
      </c>
      <c r="T63" s="214">
        <f>+Customers!Q63*'Customer Charge'!$E63</f>
        <v>0</v>
      </c>
      <c r="U63" s="214">
        <f t="shared" si="3"/>
        <v>0</v>
      </c>
    </row>
    <row r="64" spans="1:21" ht="12.75">
      <c r="A64" s="4">
        <f t="shared" si="2"/>
        <v>55</v>
      </c>
      <c r="B64" s="29"/>
      <c r="C64" s="30"/>
      <c r="D64" s="17"/>
      <c r="E64" s="195"/>
      <c r="F64" s="152"/>
      <c r="G64" s="25"/>
      <c r="I64" s="214">
        <f>+Customers!F64*'Customer Charge'!$E64</f>
        <v>0</v>
      </c>
      <c r="J64" s="214">
        <f>+Customers!G64*'Customer Charge'!$E64</f>
        <v>0</v>
      </c>
      <c r="K64" s="214">
        <f>+Customers!H64*'Customer Charge'!$E64</f>
        <v>0</v>
      </c>
      <c r="L64" s="214">
        <f>+Customers!I64*'Customer Charge'!$E64</f>
        <v>0</v>
      </c>
      <c r="M64" s="214">
        <f>+Customers!J64*'Customer Charge'!$E64</f>
        <v>0</v>
      </c>
      <c r="N64" s="214">
        <f>+Customers!K64*'Customer Charge'!$E64</f>
        <v>0</v>
      </c>
      <c r="O64" s="214">
        <f>+Customers!L64*'Customer Charge'!$E64</f>
        <v>0</v>
      </c>
      <c r="P64" s="214">
        <f>+Customers!M64*'Customer Charge'!$E64</f>
        <v>0</v>
      </c>
      <c r="Q64" s="214">
        <f>+Customers!N64*'Customer Charge'!$E64</f>
        <v>0</v>
      </c>
      <c r="R64" s="214">
        <f>+Customers!O64*'Customer Charge'!$E64</f>
        <v>0</v>
      </c>
      <c r="S64" s="214">
        <f>+Customers!P64*'Customer Charge'!$E64</f>
        <v>0</v>
      </c>
      <c r="T64" s="214">
        <f>+Customers!Q64*'Customer Charge'!$E64</f>
        <v>0</v>
      </c>
      <c r="U64" s="214">
        <f t="shared" si="3"/>
        <v>0</v>
      </c>
    </row>
    <row r="65" spans="1:21" ht="12.75">
      <c r="A65" s="4">
        <f t="shared" si="2"/>
        <v>56</v>
      </c>
      <c r="B65" s="23" t="s">
        <v>74</v>
      </c>
      <c r="C65" s="24" t="s">
        <v>60</v>
      </c>
      <c r="D65" s="25">
        <v>10000</v>
      </c>
      <c r="E65" s="27">
        <f>+'Normal Revs by RS'!E65</f>
        <v>1300</v>
      </c>
      <c r="F65" s="28"/>
      <c r="G65" s="25">
        <v>14</v>
      </c>
      <c r="I65" s="214">
        <f>+Customers!F65*'Customer Charge'!$E65</f>
        <v>16900</v>
      </c>
      <c r="J65" s="214">
        <f>+Customers!G65*'Customer Charge'!$E65</f>
        <v>18200</v>
      </c>
      <c r="K65" s="214">
        <f>+Customers!H65*'Customer Charge'!$E65</f>
        <v>18200</v>
      </c>
      <c r="L65" s="214">
        <f>+Customers!I65*'Customer Charge'!$E65</f>
        <v>18200</v>
      </c>
      <c r="M65" s="214">
        <f>+Customers!J65*'Customer Charge'!$E65</f>
        <v>15600</v>
      </c>
      <c r="N65" s="214">
        <f>+Customers!K65*'Customer Charge'!$E65</f>
        <v>18200</v>
      </c>
      <c r="O65" s="214">
        <f>+Customers!L65*'Customer Charge'!$E65</f>
        <v>18200</v>
      </c>
      <c r="P65" s="214">
        <f>+Customers!M65*'Customer Charge'!$E65</f>
        <v>18200</v>
      </c>
      <c r="Q65" s="214">
        <f>+Customers!N65*'Customer Charge'!$E65</f>
        <v>18200</v>
      </c>
      <c r="R65" s="214">
        <f>+Customers!O65*'Customer Charge'!$E65</f>
        <v>18200</v>
      </c>
      <c r="S65" s="214">
        <f>+Customers!P65*'Customer Charge'!$E65</f>
        <v>18200</v>
      </c>
      <c r="T65" s="214">
        <f>+Customers!Q65*'Customer Charge'!$E65</f>
        <v>18200</v>
      </c>
      <c r="U65" s="214">
        <f t="shared" si="3"/>
        <v>214500</v>
      </c>
    </row>
    <row r="66" spans="1:21" ht="12.75">
      <c r="A66" s="4">
        <f t="shared" si="2"/>
        <v>57</v>
      </c>
      <c r="B66" s="23"/>
      <c r="C66" s="24" t="s">
        <v>61</v>
      </c>
      <c r="D66" s="25">
        <v>20000</v>
      </c>
      <c r="E66" s="27"/>
      <c r="F66" s="28"/>
      <c r="G66" s="25"/>
      <c r="I66" s="214">
        <f>+Customers!F66*'Customer Charge'!$E66</f>
        <v>0</v>
      </c>
      <c r="J66" s="214">
        <f>+Customers!G66*'Customer Charge'!$E66</f>
        <v>0</v>
      </c>
      <c r="K66" s="214">
        <f>+Customers!H66*'Customer Charge'!$E66</f>
        <v>0</v>
      </c>
      <c r="L66" s="214">
        <f>+Customers!I66*'Customer Charge'!$E66</f>
        <v>0</v>
      </c>
      <c r="M66" s="214">
        <f>+Customers!J66*'Customer Charge'!$E66</f>
        <v>0</v>
      </c>
      <c r="N66" s="214">
        <f>+Customers!K66*'Customer Charge'!$E66</f>
        <v>0</v>
      </c>
      <c r="O66" s="214">
        <f>+Customers!L66*'Customer Charge'!$E66</f>
        <v>0</v>
      </c>
      <c r="P66" s="214">
        <f>+Customers!M66*'Customer Charge'!$E66</f>
        <v>0</v>
      </c>
      <c r="Q66" s="214">
        <f>+Customers!N66*'Customer Charge'!$E66</f>
        <v>0</v>
      </c>
      <c r="R66" s="214">
        <f>+Customers!O66*'Customer Charge'!$E66</f>
        <v>0</v>
      </c>
      <c r="S66" s="214">
        <f>+Customers!P66*'Customer Charge'!$E66</f>
        <v>0</v>
      </c>
      <c r="T66" s="214">
        <f>+Customers!Q66*'Customer Charge'!$E66</f>
        <v>0</v>
      </c>
      <c r="U66" s="214">
        <f t="shared" si="3"/>
        <v>0</v>
      </c>
    </row>
    <row r="67" spans="1:21" ht="12.75">
      <c r="A67" s="4">
        <f t="shared" si="2"/>
        <v>58</v>
      </c>
      <c r="B67" s="23"/>
      <c r="C67" s="24" t="s">
        <v>62</v>
      </c>
      <c r="D67" s="25">
        <v>20000</v>
      </c>
      <c r="E67" s="27"/>
      <c r="F67" s="28"/>
      <c r="G67" s="25"/>
      <c r="I67" s="214">
        <f>+Customers!F67*'Customer Charge'!$E67</f>
        <v>0</v>
      </c>
      <c r="J67" s="214">
        <f>+Customers!G67*'Customer Charge'!$E67</f>
        <v>0</v>
      </c>
      <c r="K67" s="214">
        <f>+Customers!H67*'Customer Charge'!$E67</f>
        <v>0</v>
      </c>
      <c r="L67" s="214">
        <f>+Customers!I67*'Customer Charge'!$E67</f>
        <v>0</v>
      </c>
      <c r="M67" s="214">
        <f>+Customers!J67*'Customer Charge'!$E67</f>
        <v>0</v>
      </c>
      <c r="N67" s="214">
        <f>+Customers!K67*'Customer Charge'!$E67</f>
        <v>0</v>
      </c>
      <c r="O67" s="214">
        <f>+Customers!L67*'Customer Charge'!$E67</f>
        <v>0</v>
      </c>
      <c r="P67" s="214">
        <f>+Customers!M67*'Customer Charge'!$E67</f>
        <v>0</v>
      </c>
      <c r="Q67" s="214">
        <f>+Customers!N67*'Customer Charge'!$E67</f>
        <v>0</v>
      </c>
      <c r="R67" s="214">
        <f>+Customers!O67*'Customer Charge'!$E67</f>
        <v>0</v>
      </c>
      <c r="S67" s="214">
        <f>+Customers!P67*'Customer Charge'!$E67</f>
        <v>0</v>
      </c>
      <c r="T67" s="214">
        <f>+Customers!Q67*'Customer Charge'!$E67</f>
        <v>0</v>
      </c>
      <c r="U67" s="214">
        <f t="shared" si="3"/>
        <v>0</v>
      </c>
    </row>
    <row r="68" spans="1:21" ht="12.75">
      <c r="A68" s="4">
        <f t="shared" si="2"/>
        <v>59</v>
      </c>
      <c r="B68" s="23"/>
      <c r="C68" s="24" t="s">
        <v>63</v>
      </c>
      <c r="D68" s="25">
        <v>100000</v>
      </c>
      <c r="E68" s="27"/>
      <c r="F68" s="28"/>
      <c r="G68" s="25"/>
      <c r="I68" s="214">
        <f>+Customers!F68*'Customer Charge'!$E68</f>
        <v>0</v>
      </c>
      <c r="J68" s="214">
        <f>+Customers!G68*'Customer Charge'!$E68</f>
        <v>0</v>
      </c>
      <c r="K68" s="214">
        <f>+Customers!H68*'Customer Charge'!$E68</f>
        <v>0</v>
      </c>
      <c r="L68" s="214">
        <f>+Customers!I68*'Customer Charge'!$E68</f>
        <v>0</v>
      </c>
      <c r="M68" s="214">
        <f>+Customers!J68*'Customer Charge'!$E68</f>
        <v>0</v>
      </c>
      <c r="N68" s="214">
        <f>+Customers!K68*'Customer Charge'!$E68</f>
        <v>0</v>
      </c>
      <c r="O68" s="214">
        <f>+Customers!L68*'Customer Charge'!$E68</f>
        <v>0</v>
      </c>
      <c r="P68" s="214">
        <f>+Customers!M68*'Customer Charge'!$E68</f>
        <v>0</v>
      </c>
      <c r="Q68" s="214">
        <f>+Customers!N68*'Customer Charge'!$E68</f>
        <v>0</v>
      </c>
      <c r="R68" s="214">
        <f>+Customers!O68*'Customer Charge'!$E68</f>
        <v>0</v>
      </c>
      <c r="S68" s="214">
        <f>+Customers!P68*'Customer Charge'!$E68</f>
        <v>0</v>
      </c>
      <c r="T68" s="214">
        <f>+Customers!Q68*'Customer Charge'!$E68</f>
        <v>0</v>
      </c>
      <c r="U68" s="214">
        <f t="shared" si="3"/>
        <v>0</v>
      </c>
    </row>
    <row r="69" spans="1:21" ht="12.75">
      <c r="A69" s="4">
        <f t="shared" si="2"/>
        <v>60</v>
      </c>
      <c r="B69" s="23"/>
      <c r="C69" s="24" t="s">
        <v>70</v>
      </c>
      <c r="D69" s="25">
        <v>600000</v>
      </c>
      <c r="E69" s="27"/>
      <c r="F69" s="28"/>
      <c r="G69" s="25"/>
      <c r="I69" s="214">
        <f>+Customers!F69*'Customer Charge'!$E69</f>
        <v>0</v>
      </c>
      <c r="J69" s="214">
        <f>+Customers!G69*'Customer Charge'!$E69</f>
        <v>0</v>
      </c>
      <c r="K69" s="214">
        <f>+Customers!H69*'Customer Charge'!$E69</f>
        <v>0</v>
      </c>
      <c r="L69" s="214">
        <f>+Customers!I69*'Customer Charge'!$E69</f>
        <v>0</v>
      </c>
      <c r="M69" s="214">
        <f>+Customers!J69*'Customer Charge'!$E69</f>
        <v>0</v>
      </c>
      <c r="N69" s="214">
        <f>+Customers!K69*'Customer Charge'!$E69</f>
        <v>0</v>
      </c>
      <c r="O69" s="214">
        <f>+Customers!L69*'Customer Charge'!$E69</f>
        <v>0</v>
      </c>
      <c r="P69" s="214">
        <f>+Customers!M69*'Customer Charge'!$E69</f>
        <v>0</v>
      </c>
      <c r="Q69" s="214">
        <f>+Customers!N69*'Customer Charge'!$E69</f>
        <v>0</v>
      </c>
      <c r="R69" s="214">
        <f>+Customers!O69*'Customer Charge'!$E69</f>
        <v>0</v>
      </c>
      <c r="S69" s="214">
        <f>+Customers!P69*'Customer Charge'!$E69</f>
        <v>0</v>
      </c>
      <c r="T69" s="214">
        <f>+Customers!Q69*'Customer Charge'!$E69</f>
        <v>0</v>
      </c>
      <c r="U69" s="214">
        <f t="shared" si="3"/>
        <v>0</v>
      </c>
    </row>
    <row r="70" spans="1:21" ht="12.75">
      <c r="A70" s="4">
        <f t="shared" si="2"/>
        <v>61</v>
      </c>
      <c r="B70" s="23"/>
      <c r="C70" s="24" t="s">
        <v>71</v>
      </c>
      <c r="D70" s="26" t="s">
        <v>64</v>
      </c>
      <c r="E70" s="27"/>
      <c r="F70" s="28"/>
      <c r="G70" s="25"/>
      <c r="I70" s="214">
        <f>+Customers!F70*'Customer Charge'!$E70</f>
        <v>0</v>
      </c>
      <c r="J70" s="214">
        <f>+Customers!G70*'Customer Charge'!$E70</f>
        <v>0</v>
      </c>
      <c r="K70" s="214">
        <f>+Customers!H70*'Customer Charge'!$E70</f>
        <v>0</v>
      </c>
      <c r="L70" s="214">
        <f>+Customers!I70*'Customer Charge'!$E70</f>
        <v>0</v>
      </c>
      <c r="M70" s="214">
        <f>+Customers!J70*'Customer Charge'!$E70</f>
        <v>0</v>
      </c>
      <c r="N70" s="214">
        <f>+Customers!K70*'Customer Charge'!$E70</f>
        <v>0</v>
      </c>
      <c r="O70" s="214">
        <f>+Customers!L70*'Customer Charge'!$E70</f>
        <v>0</v>
      </c>
      <c r="P70" s="214">
        <f>+Customers!M70*'Customer Charge'!$E70</f>
        <v>0</v>
      </c>
      <c r="Q70" s="214">
        <f>+Customers!N70*'Customer Charge'!$E70</f>
        <v>0</v>
      </c>
      <c r="R70" s="214">
        <f>+Customers!O70*'Customer Charge'!$E70</f>
        <v>0</v>
      </c>
      <c r="S70" s="214">
        <f>+Customers!P70*'Customer Charge'!$E70</f>
        <v>0</v>
      </c>
      <c r="T70" s="214">
        <f>+Customers!Q70*'Customer Charge'!$E70</f>
        <v>0</v>
      </c>
      <c r="U70" s="214">
        <f t="shared" si="3"/>
        <v>0</v>
      </c>
    </row>
    <row r="71" spans="1:21" ht="12.75">
      <c r="A71" s="4">
        <f t="shared" si="2"/>
        <v>62</v>
      </c>
      <c r="B71" s="29"/>
      <c r="C71" s="30"/>
      <c r="D71" s="17"/>
      <c r="E71" s="195"/>
      <c r="F71" s="152"/>
      <c r="G71" s="25"/>
      <c r="I71" s="214">
        <f>+Customers!F71*'Customer Charge'!$E71</f>
        <v>0</v>
      </c>
      <c r="J71" s="214">
        <f>+Customers!G71*'Customer Charge'!$E71</f>
        <v>0</v>
      </c>
      <c r="K71" s="214">
        <f>+Customers!H71*'Customer Charge'!$E71</f>
        <v>0</v>
      </c>
      <c r="L71" s="214">
        <f>+Customers!I71*'Customer Charge'!$E71</f>
        <v>0</v>
      </c>
      <c r="M71" s="214">
        <f>+Customers!J71*'Customer Charge'!$E71</f>
        <v>0</v>
      </c>
      <c r="N71" s="214">
        <f>+Customers!K71*'Customer Charge'!$E71</f>
        <v>0</v>
      </c>
      <c r="O71" s="214">
        <f>+Customers!L71*'Customer Charge'!$E71</f>
        <v>0</v>
      </c>
      <c r="P71" s="214">
        <f>+Customers!M71*'Customer Charge'!$E71</f>
        <v>0</v>
      </c>
      <c r="Q71" s="214">
        <f>+Customers!N71*'Customer Charge'!$E71</f>
        <v>0</v>
      </c>
      <c r="R71" s="214">
        <f>+Customers!O71*'Customer Charge'!$E71</f>
        <v>0</v>
      </c>
      <c r="S71" s="214">
        <f>+Customers!P71*'Customer Charge'!$E71</f>
        <v>0</v>
      </c>
      <c r="T71" s="214">
        <f>+Customers!Q71*'Customer Charge'!$E71</f>
        <v>0</v>
      </c>
      <c r="U71" s="214">
        <f t="shared" si="3"/>
        <v>0</v>
      </c>
    </row>
    <row r="72" spans="1:21" ht="12.75">
      <c r="A72" s="4">
        <f t="shared" si="2"/>
        <v>63</v>
      </c>
      <c r="B72" s="23" t="s">
        <v>75</v>
      </c>
      <c r="C72" s="24" t="s">
        <v>60</v>
      </c>
      <c r="D72" s="25">
        <v>10000</v>
      </c>
      <c r="E72" s="27">
        <f>+'Normal Revs by RS'!E72</f>
        <v>1300</v>
      </c>
      <c r="F72" s="32"/>
      <c r="G72" s="25">
        <v>3</v>
      </c>
      <c r="I72" s="214">
        <f>+Customers!F72*'Customer Charge'!$E72</f>
        <v>3900</v>
      </c>
      <c r="J72" s="214">
        <f>+Customers!G72*'Customer Charge'!$E72</f>
        <v>3900</v>
      </c>
      <c r="K72" s="214">
        <f>+Customers!H72*'Customer Charge'!$E72</f>
        <v>3900</v>
      </c>
      <c r="L72" s="214">
        <f>+Customers!I72*'Customer Charge'!$E72</f>
        <v>3900</v>
      </c>
      <c r="M72" s="214">
        <f>+Customers!J72*'Customer Charge'!$E72</f>
        <v>3900</v>
      </c>
      <c r="N72" s="214">
        <f>+Customers!K72*'Customer Charge'!$E72</f>
        <v>3900</v>
      </c>
      <c r="O72" s="214">
        <f>+Customers!L72*'Customer Charge'!$E72</f>
        <v>3900</v>
      </c>
      <c r="P72" s="214">
        <f>+Customers!M72*'Customer Charge'!$E72</f>
        <v>3900</v>
      </c>
      <c r="Q72" s="214">
        <f>+Customers!N72*'Customer Charge'!$E72</f>
        <v>3900</v>
      </c>
      <c r="R72" s="214">
        <f>+Customers!O72*'Customer Charge'!$E72</f>
        <v>3900</v>
      </c>
      <c r="S72" s="214">
        <f>+Customers!P72*'Customer Charge'!$E72</f>
        <v>3900</v>
      </c>
      <c r="T72" s="214">
        <f>+Customers!Q72*'Customer Charge'!$E72</f>
        <v>3900</v>
      </c>
      <c r="U72" s="214">
        <f t="shared" si="3"/>
        <v>46800</v>
      </c>
    </row>
    <row r="73" spans="1:21" ht="12.75">
      <c r="A73" s="4">
        <f t="shared" si="2"/>
        <v>64</v>
      </c>
      <c r="B73" s="23"/>
      <c r="C73" s="24" t="s">
        <v>61</v>
      </c>
      <c r="D73" s="25">
        <v>20000</v>
      </c>
      <c r="E73" s="196"/>
      <c r="F73" s="33"/>
      <c r="G73" s="25"/>
      <c r="I73" s="214">
        <f>+Customers!F73*'Customer Charge'!$E73</f>
        <v>0</v>
      </c>
      <c r="J73" s="214">
        <f>+Customers!G73*'Customer Charge'!$E73</f>
        <v>0</v>
      </c>
      <c r="K73" s="214">
        <f>+Customers!H73*'Customer Charge'!$E73</f>
        <v>0</v>
      </c>
      <c r="L73" s="214">
        <f>+Customers!I73*'Customer Charge'!$E73</f>
        <v>0</v>
      </c>
      <c r="M73" s="214">
        <f>+Customers!J73*'Customer Charge'!$E73</f>
        <v>0</v>
      </c>
      <c r="N73" s="214">
        <f>+Customers!K73*'Customer Charge'!$E73</f>
        <v>0</v>
      </c>
      <c r="O73" s="214">
        <f>+Customers!L73*'Customer Charge'!$E73</f>
        <v>0</v>
      </c>
      <c r="P73" s="214">
        <f>+Customers!M73*'Customer Charge'!$E73</f>
        <v>0</v>
      </c>
      <c r="Q73" s="214">
        <f>+Customers!N73*'Customer Charge'!$E73</f>
        <v>0</v>
      </c>
      <c r="R73" s="214">
        <f>+Customers!O73*'Customer Charge'!$E73</f>
        <v>0</v>
      </c>
      <c r="S73" s="214">
        <f>+Customers!P73*'Customer Charge'!$E73</f>
        <v>0</v>
      </c>
      <c r="T73" s="214">
        <f>+Customers!Q73*'Customer Charge'!$E73</f>
        <v>0</v>
      </c>
      <c r="U73" s="214">
        <f t="shared" si="3"/>
        <v>0</v>
      </c>
    </row>
    <row r="74" spans="1:21" ht="12.75">
      <c r="A74" s="4">
        <f t="shared" si="2"/>
        <v>65</v>
      </c>
      <c r="B74" s="23"/>
      <c r="C74" s="24" t="s">
        <v>62</v>
      </c>
      <c r="D74" s="25">
        <v>20000</v>
      </c>
      <c r="E74" s="196"/>
      <c r="F74" s="33"/>
      <c r="G74" s="25"/>
      <c r="I74" s="214">
        <f>+Customers!F74*'Customer Charge'!$E74</f>
        <v>0</v>
      </c>
      <c r="J74" s="214">
        <f>+Customers!G74*'Customer Charge'!$E74</f>
        <v>0</v>
      </c>
      <c r="K74" s="214">
        <f>+Customers!H74*'Customer Charge'!$E74</f>
        <v>0</v>
      </c>
      <c r="L74" s="214">
        <f>+Customers!I74*'Customer Charge'!$E74</f>
        <v>0</v>
      </c>
      <c r="M74" s="214">
        <f>+Customers!J74*'Customer Charge'!$E74</f>
        <v>0</v>
      </c>
      <c r="N74" s="214">
        <f>+Customers!K74*'Customer Charge'!$E74</f>
        <v>0</v>
      </c>
      <c r="O74" s="214">
        <f>+Customers!L74*'Customer Charge'!$E74</f>
        <v>0</v>
      </c>
      <c r="P74" s="214">
        <f>+Customers!M74*'Customer Charge'!$E74</f>
        <v>0</v>
      </c>
      <c r="Q74" s="214">
        <f>+Customers!N74*'Customer Charge'!$E74</f>
        <v>0</v>
      </c>
      <c r="R74" s="214">
        <f>+Customers!O74*'Customer Charge'!$E74</f>
        <v>0</v>
      </c>
      <c r="S74" s="214">
        <f>+Customers!P74*'Customer Charge'!$E74</f>
        <v>0</v>
      </c>
      <c r="T74" s="214">
        <f>+Customers!Q74*'Customer Charge'!$E74</f>
        <v>0</v>
      </c>
      <c r="U74" s="214">
        <f t="shared" si="3"/>
        <v>0</v>
      </c>
    </row>
    <row r="75" spans="1:21" ht="12.75">
      <c r="A75" s="4">
        <f aca="true" t="shared" si="4" ref="A75:A90">+A74+1</f>
        <v>66</v>
      </c>
      <c r="B75" s="23"/>
      <c r="C75" s="24" t="s">
        <v>63</v>
      </c>
      <c r="D75" s="25">
        <v>100000</v>
      </c>
      <c r="E75" s="196"/>
      <c r="F75" s="33"/>
      <c r="G75" s="25"/>
      <c r="I75" s="214">
        <f>+Customers!F75*'Customer Charge'!$E75</f>
        <v>0</v>
      </c>
      <c r="J75" s="214">
        <f>+Customers!G75*'Customer Charge'!$E75</f>
        <v>0</v>
      </c>
      <c r="K75" s="214">
        <f>+Customers!H75*'Customer Charge'!$E75</f>
        <v>0</v>
      </c>
      <c r="L75" s="214">
        <f>+Customers!I75*'Customer Charge'!$E75</f>
        <v>0</v>
      </c>
      <c r="M75" s="214">
        <f>+Customers!J75*'Customer Charge'!$E75</f>
        <v>0</v>
      </c>
      <c r="N75" s="214">
        <f>+Customers!K75*'Customer Charge'!$E75</f>
        <v>0</v>
      </c>
      <c r="O75" s="214">
        <f>+Customers!L75*'Customer Charge'!$E75</f>
        <v>0</v>
      </c>
      <c r="P75" s="214">
        <f>+Customers!M75*'Customer Charge'!$E75</f>
        <v>0</v>
      </c>
      <c r="Q75" s="214">
        <f>+Customers!N75*'Customer Charge'!$E75</f>
        <v>0</v>
      </c>
      <c r="R75" s="214">
        <f>+Customers!O75*'Customer Charge'!$E75</f>
        <v>0</v>
      </c>
      <c r="S75" s="214">
        <f>+Customers!P75*'Customer Charge'!$E75</f>
        <v>0</v>
      </c>
      <c r="T75" s="214">
        <f>+Customers!Q75*'Customer Charge'!$E75</f>
        <v>0</v>
      </c>
      <c r="U75" s="214">
        <f t="shared" si="3"/>
        <v>0</v>
      </c>
    </row>
    <row r="76" spans="1:21" ht="12.75">
      <c r="A76" s="4">
        <f t="shared" si="4"/>
        <v>67</v>
      </c>
      <c r="B76" s="23"/>
      <c r="C76" s="24" t="s">
        <v>70</v>
      </c>
      <c r="D76" s="25">
        <v>600000</v>
      </c>
      <c r="E76" s="196"/>
      <c r="F76" s="33"/>
      <c r="G76" s="25"/>
      <c r="I76" s="214">
        <f>+Customers!F76*'Customer Charge'!$E76</f>
        <v>0</v>
      </c>
      <c r="J76" s="214">
        <f>+Customers!G76*'Customer Charge'!$E76</f>
        <v>0</v>
      </c>
      <c r="K76" s="214">
        <f>+Customers!H76*'Customer Charge'!$E76</f>
        <v>0</v>
      </c>
      <c r="L76" s="214">
        <f>+Customers!I76*'Customer Charge'!$E76</f>
        <v>0</v>
      </c>
      <c r="M76" s="214">
        <f>+Customers!J76*'Customer Charge'!$E76</f>
        <v>0</v>
      </c>
      <c r="N76" s="214">
        <f>+Customers!K76*'Customer Charge'!$E76</f>
        <v>0</v>
      </c>
      <c r="O76" s="214">
        <f>+Customers!L76*'Customer Charge'!$E76</f>
        <v>0</v>
      </c>
      <c r="P76" s="214">
        <f>+Customers!M76*'Customer Charge'!$E76</f>
        <v>0</v>
      </c>
      <c r="Q76" s="214">
        <f>+Customers!N76*'Customer Charge'!$E76</f>
        <v>0</v>
      </c>
      <c r="R76" s="214">
        <f>+Customers!O76*'Customer Charge'!$E76</f>
        <v>0</v>
      </c>
      <c r="S76" s="214">
        <f>+Customers!P76*'Customer Charge'!$E76</f>
        <v>0</v>
      </c>
      <c r="T76" s="214">
        <f>+Customers!Q76*'Customer Charge'!$E76</f>
        <v>0</v>
      </c>
      <c r="U76" s="214">
        <f t="shared" si="3"/>
        <v>0</v>
      </c>
    </row>
    <row r="77" spans="1:21" ht="12.75">
      <c r="A77" s="4">
        <f t="shared" si="4"/>
        <v>68</v>
      </c>
      <c r="B77" s="23"/>
      <c r="C77" s="24" t="s">
        <v>71</v>
      </c>
      <c r="D77" s="26" t="s">
        <v>64</v>
      </c>
      <c r="E77" s="196"/>
      <c r="F77" s="33"/>
      <c r="G77" s="25"/>
      <c r="I77" s="214">
        <f>+Customers!F77*'Customer Charge'!$E77</f>
        <v>0</v>
      </c>
      <c r="J77" s="214">
        <f>+Customers!G77*'Customer Charge'!$E77</f>
        <v>0</v>
      </c>
      <c r="K77" s="214">
        <f>+Customers!H77*'Customer Charge'!$E77</f>
        <v>0</v>
      </c>
      <c r="L77" s="214">
        <f>+Customers!I77*'Customer Charge'!$E77</f>
        <v>0</v>
      </c>
      <c r="M77" s="214">
        <f>+Customers!J77*'Customer Charge'!$E77</f>
        <v>0</v>
      </c>
      <c r="N77" s="214">
        <f>+Customers!K77*'Customer Charge'!$E77</f>
        <v>0</v>
      </c>
      <c r="O77" s="214">
        <f>+Customers!L77*'Customer Charge'!$E77</f>
        <v>0</v>
      </c>
      <c r="P77" s="214">
        <f>+Customers!M77*'Customer Charge'!$E77</f>
        <v>0</v>
      </c>
      <c r="Q77" s="214">
        <f>+Customers!N77*'Customer Charge'!$E77</f>
        <v>0</v>
      </c>
      <c r="R77" s="214">
        <f>+Customers!O77*'Customer Charge'!$E77</f>
        <v>0</v>
      </c>
      <c r="S77" s="214">
        <f>+Customers!P77*'Customer Charge'!$E77</f>
        <v>0</v>
      </c>
      <c r="T77" s="214">
        <f>+Customers!Q77*'Customer Charge'!$E77</f>
        <v>0</v>
      </c>
      <c r="U77" s="214">
        <f t="shared" si="3"/>
        <v>0</v>
      </c>
    </row>
    <row r="78" spans="1:21" ht="12.75">
      <c r="A78" s="4">
        <f t="shared" si="4"/>
        <v>69</v>
      </c>
      <c r="B78" s="29"/>
      <c r="C78" s="30"/>
      <c r="D78" s="17"/>
      <c r="E78" s="195"/>
      <c r="F78" s="152"/>
      <c r="G78" s="25"/>
      <c r="I78" s="214">
        <f>+Customers!F78*'Customer Charge'!$E78</f>
        <v>0</v>
      </c>
      <c r="J78" s="214">
        <f>+Customers!G78*'Customer Charge'!$E78</f>
        <v>0</v>
      </c>
      <c r="K78" s="214">
        <f>+Customers!H78*'Customer Charge'!$E78</f>
        <v>0</v>
      </c>
      <c r="L78" s="214">
        <f>+Customers!I78*'Customer Charge'!$E78</f>
        <v>0</v>
      </c>
      <c r="M78" s="214">
        <f>+Customers!J78*'Customer Charge'!$E78</f>
        <v>0</v>
      </c>
      <c r="N78" s="214">
        <f>+Customers!K78*'Customer Charge'!$E78</f>
        <v>0</v>
      </c>
      <c r="O78" s="214">
        <f>+Customers!L78*'Customer Charge'!$E78</f>
        <v>0</v>
      </c>
      <c r="P78" s="214">
        <f>+Customers!M78*'Customer Charge'!$E78</f>
        <v>0</v>
      </c>
      <c r="Q78" s="214">
        <f>+Customers!N78*'Customer Charge'!$E78</f>
        <v>0</v>
      </c>
      <c r="R78" s="214">
        <f>+Customers!O78*'Customer Charge'!$E78</f>
        <v>0</v>
      </c>
      <c r="S78" s="214">
        <f>+Customers!P78*'Customer Charge'!$E78</f>
        <v>0</v>
      </c>
      <c r="T78" s="214">
        <f>+Customers!Q78*'Customer Charge'!$E78</f>
        <v>0</v>
      </c>
      <c r="U78" s="214">
        <f t="shared" si="3"/>
        <v>0</v>
      </c>
    </row>
    <row r="79" spans="1:21" ht="12.75">
      <c r="A79" s="4">
        <f t="shared" si="4"/>
        <v>70</v>
      </c>
      <c r="B79" s="29" t="s">
        <v>76</v>
      </c>
      <c r="C79" s="31"/>
      <c r="D79" s="34" t="s">
        <v>51</v>
      </c>
      <c r="E79" s="197">
        <f>+'Normal Revs by RS'!E79</f>
        <v>38000</v>
      </c>
      <c r="F79" s="33"/>
      <c r="G79" s="25"/>
      <c r="I79" s="214">
        <f>+Customers!F79*'Customer Charge'!$E79</f>
        <v>0</v>
      </c>
      <c r="J79" s="214">
        <f>+Customers!G79*'Customer Charge'!$E79</f>
        <v>0</v>
      </c>
      <c r="K79" s="214">
        <f>+Customers!H79*'Customer Charge'!$E79</f>
        <v>0</v>
      </c>
      <c r="L79" s="214">
        <f>+Customers!I79*'Customer Charge'!$E79</f>
        <v>0</v>
      </c>
      <c r="M79" s="214">
        <f>+Customers!J79*'Customer Charge'!$E79</f>
        <v>0</v>
      </c>
      <c r="N79" s="214">
        <f>+Customers!K79*'Customer Charge'!$E79</f>
        <v>0</v>
      </c>
      <c r="O79" s="214">
        <f>+Customers!L79*'Customer Charge'!$E79</f>
        <v>0</v>
      </c>
      <c r="P79" s="214">
        <f>+Customers!M79*'Customer Charge'!$E79</f>
        <v>0</v>
      </c>
      <c r="Q79" s="214">
        <f>+Customers!N79*'Customer Charge'!$E79</f>
        <v>0</v>
      </c>
      <c r="R79" s="214">
        <f>+Customers!O79*'Customer Charge'!$E79</f>
        <v>0</v>
      </c>
      <c r="S79" s="214">
        <f>+Customers!P79*'Customer Charge'!$E79</f>
        <v>0</v>
      </c>
      <c r="T79" s="214">
        <f>+Customers!Q79*'Customer Charge'!$E79</f>
        <v>0</v>
      </c>
      <c r="U79" s="214">
        <f t="shared" si="3"/>
        <v>0</v>
      </c>
    </row>
    <row r="80" spans="1:21" ht="12.75">
      <c r="A80" s="4">
        <f t="shared" si="4"/>
        <v>71</v>
      </c>
      <c r="B80" s="18" t="s">
        <v>77</v>
      </c>
      <c r="C80" s="19"/>
      <c r="D80" s="34" t="s">
        <v>51</v>
      </c>
      <c r="E80" s="197">
        <f>+'Normal Revs by RS'!E80</f>
        <v>38000</v>
      </c>
      <c r="F80" s="33"/>
      <c r="G80" s="25"/>
      <c r="I80" s="214">
        <f>+Customers!F80*'Customer Charge'!$E80</f>
        <v>0</v>
      </c>
      <c r="J80" s="214">
        <f>+Customers!G80*'Customer Charge'!$E80</f>
        <v>0</v>
      </c>
      <c r="K80" s="214">
        <f>+Customers!H80*'Customer Charge'!$E80</f>
        <v>0</v>
      </c>
      <c r="L80" s="214">
        <f>+Customers!I80*'Customer Charge'!$E80</f>
        <v>0</v>
      </c>
      <c r="M80" s="214">
        <f>+Customers!J80*'Customer Charge'!$E80</f>
        <v>0</v>
      </c>
      <c r="N80" s="214">
        <f>+Customers!K80*'Customer Charge'!$E80</f>
        <v>0</v>
      </c>
      <c r="O80" s="214">
        <f>+Customers!L80*'Customer Charge'!$E80</f>
        <v>0</v>
      </c>
      <c r="P80" s="214">
        <f>+Customers!M80*'Customer Charge'!$E80</f>
        <v>0</v>
      </c>
      <c r="Q80" s="214">
        <f>+Customers!N80*'Customer Charge'!$E80</f>
        <v>0</v>
      </c>
      <c r="R80" s="214">
        <f>+Customers!O80*'Customer Charge'!$E80</f>
        <v>0</v>
      </c>
      <c r="S80" s="214">
        <f>+Customers!P80*'Customer Charge'!$E80</f>
        <v>0</v>
      </c>
      <c r="T80" s="214">
        <f>+Customers!Q80*'Customer Charge'!$E80</f>
        <v>0</v>
      </c>
      <c r="U80" s="214">
        <f>SUM(I80:T80)</f>
        <v>0</v>
      </c>
    </row>
    <row r="81" spans="1:21" ht="12.75">
      <c r="A81" s="4">
        <f t="shared" si="4"/>
        <v>72</v>
      </c>
      <c r="B81" s="18">
        <v>54</v>
      </c>
      <c r="C81" s="19"/>
      <c r="D81" s="34" t="s">
        <v>51</v>
      </c>
      <c r="E81" s="198">
        <f>+'Normal Revs by RS'!E81</f>
        <v>0</v>
      </c>
      <c r="F81" s="32"/>
      <c r="G81" s="25"/>
      <c r="I81" s="214">
        <f>+Customers!F81*'Customer Charge'!$E81</f>
        <v>0</v>
      </c>
      <c r="J81" s="214">
        <f>+Customers!G81*'Customer Charge'!$E81</f>
        <v>0</v>
      </c>
      <c r="K81" s="214">
        <f>+Customers!H81*'Customer Charge'!$E81</f>
        <v>0</v>
      </c>
      <c r="L81" s="214">
        <f>+Customers!I81*'Customer Charge'!$E81</f>
        <v>0</v>
      </c>
      <c r="M81" s="214">
        <f>+Customers!J81*'Customer Charge'!$E81</f>
        <v>0</v>
      </c>
      <c r="N81" s="214">
        <f>+Customers!K81*'Customer Charge'!$E81</f>
        <v>0</v>
      </c>
      <c r="O81" s="214">
        <f>+Customers!L81*'Customer Charge'!$E81</f>
        <v>0</v>
      </c>
      <c r="P81" s="214">
        <f>+Customers!M81*'Customer Charge'!$E81</f>
        <v>0</v>
      </c>
      <c r="Q81" s="214">
        <f>+Customers!N81*'Customer Charge'!$E81</f>
        <v>0</v>
      </c>
      <c r="R81" s="214">
        <f>+Customers!O81*'Customer Charge'!$E81</f>
        <v>0</v>
      </c>
      <c r="S81" s="214">
        <f>+Customers!P81*'Customer Charge'!$E81</f>
        <v>0</v>
      </c>
      <c r="T81" s="214">
        <f>+Customers!Q81*'Customer Charge'!$E81</f>
        <v>0</v>
      </c>
      <c r="U81" s="214">
        <f>SUM(I81:T81)</f>
        <v>0</v>
      </c>
    </row>
    <row r="82" spans="1:21" ht="12.75">
      <c r="A82" s="4">
        <f t="shared" si="4"/>
        <v>73</v>
      </c>
      <c r="G82" s="25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</row>
    <row r="83" spans="1:21" ht="12.75">
      <c r="A83" s="4">
        <f t="shared" si="4"/>
        <v>74</v>
      </c>
      <c r="B83" s="35" t="s">
        <v>78</v>
      </c>
      <c r="G83" s="25">
        <f>SUM(G16:G81)</f>
        <v>64862</v>
      </c>
      <c r="I83" s="214">
        <f aca="true" t="shared" si="5" ref="I83:U83">SUM(I16:I81)</f>
        <v>424851.52</v>
      </c>
      <c r="J83" s="214">
        <f t="shared" si="5"/>
        <v>428127.9199999999</v>
      </c>
      <c r="K83" s="214">
        <f t="shared" si="5"/>
        <v>430807.88</v>
      </c>
      <c r="L83" s="214">
        <f t="shared" si="5"/>
        <v>432141.34</v>
      </c>
      <c r="M83" s="214">
        <f t="shared" si="5"/>
        <v>437033.30000000005</v>
      </c>
      <c r="N83" s="214">
        <f t="shared" si="5"/>
        <v>442039.30000000005</v>
      </c>
      <c r="O83" s="214">
        <f t="shared" si="5"/>
        <v>436164.98</v>
      </c>
      <c r="P83" s="214">
        <f t="shared" si="5"/>
        <v>435121.80000000005</v>
      </c>
      <c r="Q83" s="214">
        <f t="shared" si="5"/>
        <v>434401.7</v>
      </c>
      <c r="R83" s="214">
        <f t="shared" si="5"/>
        <v>434850.2</v>
      </c>
      <c r="S83" s="214">
        <f t="shared" si="5"/>
        <v>434584.64</v>
      </c>
      <c r="T83" s="214">
        <f t="shared" si="5"/>
        <v>435672.64</v>
      </c>
      <c r="U83" s="214">
        <f t="shared" si="5"/>
        <v>5205797.22</v>
      </c>
    </row>
    <row r="84" spans="1:21" ht="12.75">
      <c r="A84" s="4">
        <f t="shared" si="4"/>
        <v>75</v>
      </c>
      <c r="G84" s="25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</row>
    <row r="85" spans="1:21" ht="12.75">
      <c r="A85" s="4">
        <f t="shared" si="4"/>
        <v>76</v>
      </c>
      <c r="B85" s="7" t="s">
        <v>17</v>
      </c>
      <c r="D85" s="8"/>
      <c r="G85" s="155">
        <f>+G18+G16+G22+G34</f>
        <v>59763</v>
      </c>
      <c r="I85" s="215">
        <f aca="true" t="shared" si="6" ref="I85:U85">+I18+I16+I22+I34</f>
        <v>281504.64</v>
      </c>
      <c r="J85" s="215">
        <f t="shared" si="6"/>
        <v>283263.92</v>
      </c>
      <c r="K85" s="215">
        <f t="shared" si="6"/>
        <v>284983</v>
      </c>
      <c r="L85" s="215">
        <f t="shared" si="6"/>
        <v>286473</v>
      </c>
      <c r="M85" s="215">
        <f t="shared" si="6"/>
        <v>287611</v>
      </c>
      <c r="N85" s="215">
        <f t="shared" si="6"/>
        <v>288572</v>
      </c>
      <c r="O85" s="215">
        <f t="shared" si="6"/>
        <v>288812</v>
      </c>
      <c r="P85" s="215">
        <f t="shared" si="6"/>
        <v>289379</v>
      </c>
      <c r="Q85" s="215">
        <f t="shared" si="6"/>
        <v>289780</v>
      </c>
      <c r="R85" s="215">
        <f t="shared" si="6"/>
        <v>290195</v>
      </c>
      <c r="S85" s="215">
        <f t="shared" si="6"/>
        <v>290772</v>
      </c>
      <c r="T85" s="215">
        <f t="shared" si="6"/>
        <v>291917</v>
      </c>
      <c r="U85" s="215">
        <f t="shared" si="6"/>
        <v>3453262.56</v>
      </c>
    </row>
    <row r="86" spans="1:21" ht="12.75">
      <c r="A86" s="4">
        <f t="shared" si="4"/>
        <v>77</v>
      </c>
      <c r="B86" s="7" t="s">
        <v>18</v>
      </c>
      <c r="D86" s="8"/>
      <c r="G86" s="155">
        <f>+G17+G19+SUM(G24:G27)+SUM(G44:G49)</f>
        <v>5044</v>
      </c>
      <c r="I86" s="215">
        <f aca="true" t="shared" si="7" ref="I86:U86">+I17+I19+SUM(I24:I27)+SUM(I44:I49)</f>
        <v>100813.92</v>
      </c>
      <c r="J86" s="215">
        <f t="shared" si="7"/>
        <v>100626.36</v>
      </c>
      <c r="K86" s="215">
        <f t="shared" si="7"/>
        <v>101782.4</v>
      </c>
      <c r="L86" s="215">
        <f t="shared" si="7"/>
        <v>101835.38</v>
      </c>
      <c r="M86" s="215">
        <f t="shared" si="7"/>
        <v>108199.84</v>
      </c>
      <c r="N86" s="215">
        <f t="shared" si="7"/>
        <v>109634.34</v>
      </c>
      <c r="O86" s="215">
        <f t="shared" si="7"/>
        <v>103324.86</v>
      </c>
      <c r="P86" s="215">
        <f t="shared" si="7"/>
        <v>103209.84</v>
      </c>
      <c r="Q86" s="215">
        <f t="shared" si="7"/>
        <v>102067.74</v>
      </c>
      <c r="R86" s="215">
        <f t="shared" si="7"/>
        <v>100801.24</v>
      </c>
      <c r="S86" s="215">
        <f t="shared" si="7"/>
        <v>99958.68</v>
      </c>
      <c r="T86" s="215">
        <f t="shared" si="7"/>
        <v>99901.68</v>
      </c>
      <c r="U86" s="215">
        <f t="shared" si="7"/>
        <v>1232156.28</v>
      </c>
    </row>
    <row r="87" spans="1:21" ht="12.75">
      <c r="A87" s="4">
        <f t="shared" si="4"/>
        <v>78</v>
      </c>
      <c r="B87" s="7" t="s">
        <v>19</v>
      </c>
      <c r="D87" s="8"/>
      <c r="G87" s="155">
        <f>+G20+SUM(G29:G32)+SUM(G41:G42)+SUM(G51:G55)+SUM(G35:G36)</f>
        <v>37</v>
      </c>
      <c r="I87" s="215">
        <f aca="true" t="shared" si="8" ref="I87:U87">+I20+SUM(I29:I32)+SUM(I41:I42)+SUM(I51:I55)+SUM(I35:I36)</f>
        <v>20182.96</v>
      </c>
      <c r="J87" s="215">
        <f t="shared" si="8"/>
        <v>20587.64</v>
      </c>
      <c r="K87" s="215">
        <f t="shared" si="8"/>
        <v>20392.48</v>
      </c>
      <c r="L87" s="215">
        <f t="shared" si="8"/>
        <v>20182.96</v>
      </c>
      <c r="M87" s="215">
        <f t="shared" si="8"/>
        <v>20172.46</v>
      </c>
      <c r="N87" s="215">
        <f t="shared" si="8"/>
        <v>20182.96</v>
      </c>
      <c r="O87" s="215">
        <f t="shared" si="8"/>
        <v>20378.12</v>
      </c>
      <c r="P87" s="215">
        <f t="shared" si="8"/>
        <v>18882.96</v>
      </c>
      <c r="Q87" s="215">
        <f t="shared" si="8"/>
        <v>18903.96</v>
      </c>
      <c r="R87" s="215">
        <f t="shared" si="8"/>
        <v>20203.96</v>
      </c>
      <c r="S87" s="215">
        <f t="shared" si="8"/>
        <v>20203.96</v>
      </c>
      <c r="T87" s="215">
        <f t="shared" si="8"/>
        <v>20203.96</v>
      </c>
      <c r="U87" s="215">
        <f t="shared" si="8"/>
        <v>240478.38</v>
      </c>
    </row>
    <row r="88" spans="1:21" ht="12.75">
      <c r="A88" s="4">
        <f t="shared" si="4"/>
        <v>79</v>
      </c>
      <c r="B88" s="7" t="s">
        <v>20</v>
      </c>
      <c r="D88" s="8"/>
      <c r="G88" s="155">
        <f>+SUM(G65:G70)+SUM(G41:G42)</f>
        <v>14</v>
      </c>
      <c r="I88" s="215">
        <f aca="true" t="shared" si="9" ref="I88:U88">+SUM(I65:I70)+SUM(I41:I42)</f>
        <v>16900</v>
      </c>
      <c r="J88" s="215">
        <f t="shared" si="9"/>
        <v>18200</v>
      </c>
      <c r="K88" s="215">
        <f t="shared" si="9"/>
        <v>18200</v>
      </c>
      <c r="L88" s="215">
        <f t="shared" si="9"/>
        <v>18200</v>
      </c>
      <c r="M88" s="215">
        <f t="shared" si="9"/>
        <v>15600</v>
      </c>
      <c r="N88" s="215">
        <f t="shared" si="9"/>
        <v>18200</v>
      </c>
      <c r="O88" s="215">
        <f t="shared" si="9"/>
        <v>18200</v>
      </c>
      <c r="P88" s="215">
        <f t="shared" si="9"/>
        <v>18200</v>
      </c>
      <c r="Q88" s="215">
        <f t="shared" si="9"/>
        <v>18200</v>
      </c>
      <c r="R88" s="215">
        <f t="shared" si="9"/>
        <v>18200</v>
      </c>
      <c r="S88" s="215">
        <f t="shared" si="9"/>
        <v>18200</v>
      </c>
      <c r="T88" s="215">
        <f t="shared" si="9"/>
        <v>18200</v>
      </c>
      <c r="U88" s="215">
        <f t="shared" si="9"/>
        <v>214500</v>
      </c>
    </row>
    <row r="89" spans="1:21" ht="12.75">
      <c r="A89" s="4">
        <f t="shared" si="4"/>
        <v>80</v>
      </c>
      <c r="B89" s="7" t="s">
        <v>117</v>
      </c>
      <c r="D89" s="8"/>
      <c r="G89" s="155">
        <f>+SUM(G38:G39)+SUM(G58:G63)</f>
        <v>1</v>
      </c>
      <c r="I89" s="215">
        <f aca="true" t="shared" si="10" ref="I89:U89">+SUM(I38:I39)+SUM(I58:I63)</f>
        <v>1550</v>
      </c>
      <c r="J89" s="215">
        <f t="shared" si="10"/>
        <v>1550</v>
      </c>
      <c r="K89" s="215">
        <f t="shared" si="10"/>
        <v>1550</v>
      </c>
      <c r="L89" s="215">
        <f t="shared" si="10"/>
        <v>1550</v>
      </c>
      <c r="M89" s="215">
        <f t="shared" si="10"/>
        <v>1550</v>
      </c>
      <c r="N89" s="215">
        <f t="shared" si="10"/>
        <v>1550</v>
      </c>
      <c r="O89" s="215">
        <f t="shared" si="10"/>
        <v>1550</v>
      </c>
      <c r="P89" s="215">
        <f t="shared" si="10"/>
        <v>1550</v>
      </c>
      <c r="Q89" s="215">
        <f t="shared" si="10"/>
        <v>1550</v>
      </c>
      <c r="R89" s="215">
        <f t="shared" si="10"/>
        <v>1550</v>
      </c>
      <c r="S89" s="215">
        <f t="shared" si="10"/>
        <v>1550</v>
      </c>
      <c r="T89" s="215">
        <f t="shared" si="10"/>
        <v>1550</v>
      </c>
      <c r="U89" s="215">
        <f t="shared" si="10"/>
        <v>18600</v>
      </c>
    </row>
    <row r="90" spans="1:21" ht="12.75">
      <c r="A90" s="4">
        <f t="shared" si="4"/>
        <v>81</v>
      </c>
      <c r="B90" s="7" t="s">
        <v>118</v>
      </c>
      <c r="D90" s="8"/>
      <c r="G90" s="156">
        <f>SUM(G72:G77)</f>
        <v>3</v>
      </c>
      <c r="I90" s="216">
        <f aca="true" t="shared" si="11" ref="I90:U90">SUM(I72:I77)</f>
        <v>3900</v>
      </c>
      <c r="J90" s="216">
        <f t="shared" si="11"/>
        <v>3900</v>
      </c>
      <c r="K90" s="216">
        <f t="shared" si="11"/>
        <v>3900</v>
      </c>
      <c r="L90" s="216">
        <f t="shared" si="11"/>
        <v>3900</v>
      </c>
      <c r="M90" s="216">
        <f t="shared" si="11"/>
        <v>3900</v>
      </c>
      <c r="N90" s="216">
        <f t="shared" si="11"/>
        <v>3900</v>
      </c>
      <c r="O90" s="216">
        <f t="shared" si="11"/>
        <v>3900</v>
      </c>
      <c r="P90" s="216">
        <f t="shared" si="11"/>
        <v>3900</v>
      </c>
      <c r="Q90" s="216">
        <f t="shared" si="11"/>
        <v>3900</v>
      </c>
      <c r="R90" s="216">
        <f t="shared" si="11"/>
        <v>3900</v>
      </c>
      <c r="S90" s="216">
        <f t="shared" si="11"/>
        <v>3900</v>
      </c>
      <c r="T90" s="216">
        <f t="shared" si="11"/>
        <v>3900</v>
      </c>
      <c r="U90" s="216">
        <f t="shared" si="11"/>
        <v>46800</v>
      </c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</sheetData>
  <sheetProtection/>
  <printOptions horizontalCentered="1"/>
  <pageMargins left="0.5" right="0.5" top="0.5" bottom="0.5" header="0.25" footer="0.25"/>
  <pageSetup fitToHeight="1" fitToWidth="1" horizontalDpi="600" verticalDpi="600" orientation="landscape" scale="48" r:id="rId1"/>
  <headerFooter alignWithMargins="0">
    <oddFooter>&amp;C&amp;F &amp;D &amp;T
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8"/>
  <sheetViews>
    <sheetView zoomScalePageLayoutView="0" workbookViewId="0" topLeftCell="A1">
      <pane xSplit="3" ySplit="12" topLeftCell="D46" activePane="bottomRight" state="frozen"/>
      <selection pane="topLeft" activeCell="F86" sqref="F86"/>
      <selection pane="topRight" activeCell="F86" sqref="F86"/>
      <selection pane="bottomLeft" activeCell="F86" sqref="F86"/>
      <selection pane="bottomRight" activeCell="H50" sqref="H50"/>
    </sheetView>
  </sheetViews>
  <sheetFormatPr defaultColWidth="8.00390625" defaultRowHeight="12.75"/>
  <cols>
    <col min="1" max="1" width="5.8515625" style="1" customWidth="1"/>
    <col min="2" max="2" width="15.28125" style="7" customWidth="1"/>
    <col min="3" max="3" width="8.00390625" style="7" customWidth="1"/>
    <col min="4" max="5" width="11.7109375" style="7" customWidth="1"/>
    <col min="6" max="6" width="13.7109375" style="7" customWidth="1"/>
    <col min="7" max="19" width="11.7109375" style="1" customWidth="1"/>
    <col min="20" max="16384" width="8.00390625" style="1" customWidth="1"/>
  </cols>
  <sheetData>
    <row r="1" ht="14.25">
      <c r="A1" s="147" t="s">
        <v>79</v>
      </c>
    </row>
    <row r="2" ht="14.25">
      <c r="A2" s="147" t="s">
        <v>110</v>
      </c>
    </row>
    <row r="3" ht="14.25">
      <c r="A3" s="147" t="s">
        <v>120</v>
      </c>
    </row>
    <row r="4" ht="14.25">
      <c r="A4" s="147" t="s">
        <v>176</v>
      </c>
    </row>
    <row r="5" spans="2:6" ht="14.25">
      <c r="B5" s="1"/>
      <c r="C5" s="1"/>
      <c r="D5" s="1"/>
      <c r="E5" s="1"/>
      <c r="F5" s="9"/>
    </row>
    <row r="6" spans="2:6" s="2" customFormat="1" ht="14.25">
      <c r="B6" s="10"/>
      <c r="C6" s="10"/>
      <c r="D6" s="10"/>
      <c r="E6" s="10"/>
      <c r="F6" s="151"/>
    </row>
    <row r="7" spans="1:6" ht="12.75">
      <c r="A7" s="4">
        <v>1</v>
      </c>
      <c r="F7" s="11"/>
    </row>
    <row r="8" spans="1:7" ht="12.75">
      <c r="A8" s="4">
        <f aca="true" t="shared" si="0" ref="A8:A39">+A7+1</f>
        <v>2</v>
      </c>
      <c r="D8" s="12"/>
      <c r="E8" s="11"/>
      <c r="F8" s="12"/>
      <c r="G8" s="1" t="s">
        <v>185</v>
      </c>
    </row>
    <row r="9" spans="1:6" ht="12.75">
      <c r="A9" s="4">
        <f t="shared" si="0"/>
        <v>3</v>
      </c>
      <c r="D9" s="11" t="s">
        <v>44</v>
      </c>
      <c r="E9" s="11" t="s">
        <v>45</v>
      </c>
      <c r="F9" s="11"/>
    </row>
    <row r="10" spans="1:19" s="3" customFormat="1" ht="13.5" thickBot="1">
      <c r="A10" s="4">
        <f t="shared" si="0"/>
        <v>4</v>
      </c>
      <c r="B10" s="7"/>
      <c r="C10" s="7"/>
      <c r="D10" s="13" t="s">
        <v>47</v>
      </c>
      <c r="E10" s="13" t="s">
        <v>48</v>
      </c>
      <c r="F10" s="5"/>
      <c r="G10" s="171" t="s">
        <v>91</v>
      </c>
      <c r="H10" s="171" t="s">
        <v>92</v>
      </c>
      <c r="I10" s="171" t="s">
        <v>93</v>
      </c>
      <c r="J10" s="171" t="s">
        <v>94</v>
      </c>
      <c r="K10" s="171" t="s">
        <v>95</v>
      </c>
      <c r="L10" s="171" t="s">
        <v>96</v>
      </c>
      <c r="M10" s="171" t="s">
        <v>97</v>
      </c>
      <c r="N10" s="171" t="s">
        <v>86</v>
      </c>
      <c r="O10" s="171" t="s">
        <v>98</v>
      </c>
      <c r="P10" s="171" t="s">
        <v>99</v>
      </c>
      <c r="Q10" s="171" t="s">
        <v>100</v>
      </c>
      <c r="R10" s="171" t="s">
        <v>101</v>
      </c>
      <c r="S10" s="171" t="s">
        <v>135</v>
      </c>
    </row>
    <row r="11" spans="1:6" s="3" customFormat="1" ht="12.75">
      <c r="A11" s="4">
        <f t="shared" si="0"/>
        <v>5</v>
      </c>
      <c r="B11" s="7"/>
      <c r="C11" s="7"/>
      <c r="D11" s="243"/>
      <c r="E11" s="243"/>
      <c r="F11" s="244"/>
    </row>
    <row r="12" spans="1:6" s="3" customFormat="1" ht="12.75">
      <c r="A12" s="4">
        <f t="shared" si="0"/>
        <v>6</v>
      </c>
      <c r="B12" s="14" t="s">
        <v>49</v>
      </c>
      <c r="C12" s="15" t="s">
        <v>47</v>
      </c>
      <c r="D12" s="16"/>
      <c r="E12" s="16"/>
      <c r="F12" s="5"/>
    </row>
    <row r="13" spans="1:21" ht="12.75">
      <c r="A13" s="4">
        <f t="shared" si="0"/>
        <v>7</v>
      </c>
      <c r="B13" s="18" t="s">
        <v>50</v>
      </c>
      <c r="C13" s="19"/>
      <c r="D13" s="20" t="s">
        <v>51</v>
      </c>
      <c r="E13" s="245"/>
      <c r="F13" s="28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>
        <f aca="true" t="shared" si="1" ref="S13:S44">SUM(G13:R13)</f>
        <v>0</v>
      </c>
      <c r="U13" s="6"/>
    </row>
    <row r="14" spans="1:21" ht="12.75">
      <c r="A14" s="4">
        <f t="shared" si="0"/>
        <v>8</v>
      </c>
      <c r="B14" s="18" t="s">
        <v>52</v>
      </c>
      <c r="C14" s="19"/>
      <c r="D14" s="20" t="s">
        <v>51</v>
      </c>
      <c r="E14" s="245"/>
      <c r="F14" s="28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>
        <f t="shared" si="1"/>
        <v>0</v>
      </c>
      <c r="U14" s="6"/>
    </row>
    <row r="15" spans="1:21" ht="12.75">
      <c r="A15" s="4">
        <f t="shared" si="0"/>
        <v>9</v>
      </c>
      <c r="B15" s="18" t="s">
        <v>53</v>
      </c>
      <c r="C15" s="19"/>
      <c r="D15" s="20" t="s">
        <v>51</v>
      </c>
      <c r="E15" s="245"/>
      <c r="F15" s="28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>
        <f t="shared" si="1"/>
        <v>0</v>
      </c>
      <c r="U15" s="6"/>
    </row>
    <row r="16" spans="1:21" ht="12.75">
      <c r="A16" s="4">
        <f t="shared" si="0"/>
        <v>10</v>
      </c>
      <c r="B16" s="18" t="s">
        <v>54</v>
      </c>
      <c r="C16" s="19"/>
      <c r="D16" s="20" t="s">
        <v>51</v>
      </c>
      <c r="E16" s="245"/>
      <c r="F16" s="28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>
        <f t="shared" si="1"/>
        <v>0</v>
      </c>
      <c r="U16" s="6"/>
    </row>
    <row r="17" spans="1:21" ht="12.75">
      <c r="A17" s="4">
        <f t="shared" si="0"/>
        <v>11</v>
      </c>
      <c r="B17" s="18" t="s">
        <v>55</v>
      </c>
      <c r="C17" s="19"/>
      <c r="D17" s="20" t="s">
        <v>51</v>
      </c>
      <c r="E17" s="245"/>
      <c r="F17" s="28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>
        <f t="shared" si="1"/>
        <v>0</v>
      </c>
      <c r="U17" s="6"/>
    </row>
    <row r="18" spans="1:21" ht="12.75">
      <c r="A18" s="4">
        <f t="shared" si="0"/>
        <v>12</v>
      </c>
      <c r="B18" s="21" t="s">
        <v>56</v>
      </c>
      <c r="C18" s="19"/>
      <c r="D18" s="20"/>
      <c r="E18" s="245"/>
      <c r="F18" s="28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>
        <f t="shared" si="1"/>
        <v>0</v>
      </c>
      <c r="U18" s="6"/>
    </row>
    <row r="19" spans="1:21" ht="12.75">
      <c r="A19" s="4">
        <f t="shared" si="0"/>
        <v>13</v>
      </c>
      <c r="B19" s="18">
        <v>19</v>
      </c>
      <c r="C19" s="21" t="s">
        <v>57</v>
      </c>
      <c r="D19" s="20" t="s">
        <v>51</v>
      </c>
      <c r="E19" s="246"/>
      <c r="F19" s="163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>
        <f t="shared" si="1"/>
        <v>0</v>
      </c>
      <c r="U19" s="6"/>
    </row>
    <row r="20" spans="1:21" ht="12.75">
      <c r="A20" s="4">
        <f t="shared" si="0"/>
        <v>14</v>
      </c>
      <c r="B20" s="18">
        <v>19</v>
      </c>
      <c r="C20" s="21" t="s">
        <v>58</v>
      </c>
      <c r="D20" s="20" t="s">
        <v>51</v>
      </c>
      <c r="E20" s="246"/>
      <c r="F20" s="22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>
        <f t="shared" si="1"/>
        <v>0</v>
      </c>
      <c r="U20" s="6"/>
    </row>
    <row r="21" spans="1:21" s="253" customFormat="1" ht="12.75">
      <c r="A21" s="247">
        <f t="shared" si="0"/>
        <v>15</v>
      </c>
      <c r="B21" s="247" t="s">
        <v>59</v>
      </c>
      <c r="C21" s="248" t="s">
        <v>60</v>
      </c>
      <c r="D21" s="249">
        <v>500</v>
      </c>
      <c r="E21" s="250"/>
      <c r="F21" s="251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>
        <f t="shared" si="1"/>
        <v>0</v>
      </c>
      <c r="U21" s="6"/>
    </row>
    <row r="22" spans="1:21" ht="12.75">
      <c r="A22" s="4">
        <f t="shared" si="0"/>
        <v>16</v>
      </c>
      <c r="B22" s="23"/>
      <c r="C22" s="24" t="s">
        <v>61</v>
      </c>
      <c r="D22" s="26">
        <v>1500</v>
      </c>
      <c r="E22" s="254"/>
      <c r="F22" s="28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>
        <f t="shared" si="1"/>
        <v>0</v>
      </c>
      <c r="U22" s="6"/>
    </row>
    <row r="23" spans="1:21" ht="12.75">
      <c r="A23" s="4">
        <f t="shared" si="0"/>
        <v>17</v>
      </c>
      <c r="B23" s="23"/>
      <c r="C23" s="24" t="s">
        <v>62</v>
      </c>
      <c r="D23" s="26">
        <v>98000</v>
      </c>
      <c r="E23" s="254"/>
      <c r="F23" s="28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>
        <f t="shared" si="1"/>
        <v>0</v>
      </c>
      <c r="U23" s="6"/>
    </row>
    <row r="24" spans="1:21" ht="12.75">
      <c r="A24" s="4">
        <f t="shared" si="0"/>
        <v>18</v>
      </c>
      <c r="B24" s="23"/>
      <c r="C24" s="24" t="s">
        <v>63</v>
      </c>
      <c r="D24" s="26" t="s">
        <v>64</v>
      </c>
      <c r="E24" s="254"/>
      <c r="F24" s="28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>
        <f t="shared" si="1"/>
        <v>0</v>
      </c>
      <c r="U24" s="6"/>
    </row>
    <row r="25" spans="1:21" ht="12.75">
      <c r="A25" s="4">
        <f t="shared" si="0"/>
        <v>19</v>
      </c>
      <c r="B25" s="29"/>
      <c r="C25" s="30" t="s">
        <v>177</v>
      </c>
      <c r="D25" s="17"/>
      <c r="E25" s="255"/>
      <c r="F25" s="152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>
        <f t="shared" si="1"/>
        <v>0</v>
      </c>
      <c r="U25" s="6"/>
    </row>
    <row r="26" spans="1:21" s="253" customFormat="1" ht="12.75">
      <c r="A26" s="247">
        <f t="shared" si="0"/>
        <v>20</v>
      </c>
      <c r="B26" s="247" t="s">
        <v>65</v>
      </c>
      <c r="C26" s="248" t="s">
        <v>60</v>
      </c>
      <c r="D26" s="249">
        <v>500</v>
      </c>
      <c r="E26" s="250"/>
      <c r="F26" s="251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>
        <f t="shared" si="1"/>
        <v>0</v>
      </c>
      <c r="U26" s="6"/>
    </row>
    <row r="27" spans="1:21" ht="12.75">
      <c r="A27" s="4">
        <f t="shared" si="0"/>
        <v>21</v>
      </c>
      <c r="B27" s="23"/>
      <c r="C27" s="24" t="s">
        <v>61</v>
      </c>
      <c r="D27" s="26">
        <v>1500</v>
      </c>
      <c r="E27" s="254"/>
      <c r="F27" s="28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>
        <f t="shared" si="1"/>
        <v>0</v>
      </c>
      <c r="U27" s="6"/>
    </row>
    <row r="28" spans="1:21" ht="12.75">
      <c r="A28" s="4">
        <f t="shared" si="0"/>
        <v>22</v>
      </c>
      <c r="B28" s="23"/>
      <c r="C28" s="24" t="s">
        <v>62</v>
      </c>
      <c r="D28" s="26">
        <v>98000</v>
      </c>
      <c r="E28" s="254"/>
      <c r="F28" s="28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>
        <f t="shared" si="1"/>
        <v>0</v>
      </c>
      <c r="U28" s="6"/>
    </row>
    <row r="29" spans="1:21" ht="12.75">
      <c r="A29" s="4">
        <f t="shared" si="0"/>
        <v>23</v>
      </c>
      <c r="B29" s="23"/>
      <c r="C29" s="24" t="s">
        <v>63</v>
      </c>
      <c r="D29" s="26" t="s">
        <v>64</v>
      </c>
      <c r="E29" s="254"/>
      <c r="F29" s="28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>
        <f t="shared" si="1"/>
        <v>0</v>
      </c>
      <c r="U29" s="6"/>
    </row>
    <row r="30" spans="1:21" ht="12.75">
      <c r="A30" s="4">
        <f t="shared" si="0"/>
        <v>24</v>
      </c>
      <c r="B30" s="29"/>
      <c r="C30" s="30" t="s">
        <v>177</v>
      </c>
      <c r="D30" s="17"/>
      <c r="E30" s="255"/>
      <c r="F30" s="152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>
        <f t="shared" si="1"/>
        <v>0</v>
      </c>
      <c r="U30" s="6"/>
    </row>
    <row r="31" spans="1:21" ht="12.75">
      <c r="A31" s="4">
        <f t="shared" si="0"/>
        <v>25</v>
      </c>
      <c r="B31" s="29">
        <v>27</v>
      </c>
      <c r="C31" s="31"/>
      <c r="D31" s="20" t="s">
        <v>51</v>
      </c>
      <c r="E31" s="245"/>
      <c r="F31" s="28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>
        <f t="shared" si="1"/>
        <v>0</v>
      </c>
      <c r="U31" s="6"/>
    </row>
    <row r="32" spans="1:21" ht="12.75">
      <c r="A32" s="4">
        <f t="shared" si="0"/>
        <v>26</v>
      </c>
      <c r="B32" s="23" t="s">
        <v>66</v>
      </c>
      <c r="C32" s="24" t="s">
        <v>60</v>
      </c>
      <c r="D32" s="26">
        <v>2000</v>
      </c>
      <c r="E32" s="254"/>
      <c r="F32" s="28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>
        <f t="shared" si="1"/>
        <v>0</v>
      </c>
      <c r="U32" s="6"/>
    </row>
    <row r="33" spans="1:21" ht="12.75">
      <c r="A33" s="4">
        <f t="shared" si="0"/>
        <v>27</v>
      </c>
      <c r="B33" s="23"/>
      <c r="C33" s="24" t="s">
        <v>61</v>
      </c>
      <c r="D33" s="26" t="s">
        <v>64</v>
      </c>
      <c r="E33" s="254"/>
      <c r="F33" s="28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>
        <f t="shared" si="1"/>
        <v>0</v>
      </c>
      <c r="U33" s="6"/>
    </row>
    <row r="34" spans="1:21" ht="12.75">
      <c r="A34" s="4">
        <f t="shared" si="0"/>
        <v>28</v>
      </c>
      <c r="B34" s="29"/>
      <c r="C34" s="30" t="s">
        <v>177</v>
      </c>
      <c r="D34" s="17"/>
      <c r="E34" s="255"/>
      <c r="F34" s="15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>
        <f t="shared" si="1"/>
        <v>0</v>
      </c>
      <c r="U34" s="6"/>
    </row>
    <row r="35" spans="1:21" ht="12.75">
      <c r="A35" s="4">
        <f t="shared" si="0"/>
        <v>29</v>
      </c>
      <c r="B35" s="23" t="s">
        <v>67</v>
      </c>
      <c r="C35" s="24" t="s">
        <v>60</v>
      </c>
      <c r="D35" s="26">
        <v>2000</v>
      </c>
      <c r="E35" s="254"/>
      <c r="F35" s="28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>
        <f t="shared" si="1"/>
        <v>0</v>
      </c>
      <c r="U35" s="6"/>
    </row>
    <row r="36" spans="1:21" ht="12.75">
      <c r="A36" s="4">
        <f t="shared" si="0"/>
        <v>30</v>
      </c>
      <c r="B36" s="23"/>
      <c r="C36" s="24" t="s">
        <v>61</v>
      </c>
      <c r="D36" s="26" t="s">
        <v>64</v>
      </c>
      <c r="E36" s="254"/>
      <c r="F36" s="28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>
        <f t="shared" si="1"/>
        <v>0</v>
      </c>
      <c r="U36" s="6"/>
    </row>
    <row r="37" spans="1:21" ht="12.75">
      <c r="A37" s="4">
        <f t="shared" si="0"/>
        <v>31</v>
      </c>
      <c r="B37" s="29"/>
      <c r="C37" s="30" t="s">
        <v>177</v>
      </c>
      <c r="D37" s="17"/>
      <c r="E37" s="255"/>
      <c r="F37" s="15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>
        <f t="shared" si="1"/>
        <v>0</v>
      </c>
      <c r="U37" s="6"/>
    </row>
    <row r="38" spans="1:21" ht="12.75">
      <c r="A38" s="4">
        <f t="shared" si="0"/>
        <v>32</v>
      </c>
      <c r="B38" s="23" t="s">
        <v>68</v>
      </c>
      <c r="C38" s="24" t="s">
        <v>60</v>
      </c>
      <c r="D38" s="26">
        <v>2000</v>
      </c>
      <c r="E38" s="254"/>
      <c r="F38" s="28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>
        <f t="shared" si="1"/>
        <v>0</v>
      </c>
      <c r="U38" s="6"/>
    </row>
    <row r="39" spans="1:21" ht="12.75">
      <c r="A39" s="4">
        <f t="shared" si="0"/>
        <v>33</v>
      </c>
      <c r="B39" s="23"/>
      <c r="C39" s="24" t="s">
        <v>61</v>
      </c>
      <c r="D39" s="26" t="s">
        <v>64</v>
      </c>
      <c r="E39" s="254"/>
      <c r="F39" s="28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>
        <f t="shared" si="1"/>
        <v>0</v>
      </c>
      <c r="U39" s="6"/>
    </row>
    <row r="40" spans="1:21" ht="12.75">
      <c r="A40" s="4">
        <f aca="true" t="shared" si="2" ref="A40:A71">+A39+1</f>
        <v>34</v>
      </c>
      <c r="B40" s="29"/>
      <c r="C40" s="30" t="s">
        <v>177</v>
      </c>
      <c r="D40" s="17"/>
      <c r="E40" s="255"/>
      <c r="F40" s="152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>
        <f t="shared" si="1"/>
        <v>0</v>
      </c>
      <c r="U40" s="6"/>
    </row>
    <row r="41" spans="1:21" ht="12.75">
      <c r="A41" s="4">
        <f t="shared" si="2"/>
        <v>35</v>
      </c>
      <c r="B41" s="23" t="s">
        <v>69</v>
      </c>
      <c r="C41" s="24" t="s">
        <v>60</v>
      </c>
      <c r="D41" s="25">
        <v>10000</v>
      </c>
      <c r="E41" s="254"/>
      <c r="F41" s="28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>
        <f t="shared" si="1"/>
        <v>0</v>
      </c>
      <c r="U41" s="6"/>
    </row>
    <row r="42" spans="1:21" ht="12.75">
      <c r="A42" s="4">
        <f t="shared" si="2"/>
        <v>36</v>
      </c>
      <c r="B42" s="23"/>
      <c r="C42" s="24" t="s">
        <v>61</v>
      </c>
      <c r="D42" s="25">
        <v>20000</v>
      </c>
      <c r="E42" s="254"/>
      <c r="F42" s="28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>
        <f t="shared" si="1"/>
        <v>0</v>
      </c>
      <c r="U42" s="6"/>
    </row>
    <row r="43" spans="1:21" ht="12.75">
      <c r="A43" s="4">
        <f t="shared" si="2"/>
        <v>37</v>
      </c>
      <c r="B43" s="23"/>
      <c r="C43" s="24" t="s">
        <v>62</v>
      </c>
      <c r="D43" s="25">
        <v>20000</v>
      </c>
      <c r="E43" s="254"/>
      <c r="F43" s="28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>
        <f t="shared" si="1"/>
        <v>0</v>
      </c>
      <c r="U43" s="6"/>
    </row>
    <row r="44" spans="1:21" ht="12.75">
      <c r="A44" s="4">
        <f t="shared" si="2"/>
        <v>38</v>
      </c>
      <c r="B44" s="23"/>
      <c r="C44" s="24" t="s">
        <v>63</v>
      </c>
      <c r="D44" s="25">
        <v>100000</v>
      </c>
      <c r="E44" s="254"/>
      <c r="F44" s="28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>
        <f t="shared" si="1"/>
        <v>0</v>
      </c>
      <c r="U44" s="6"/>
    </row>
    <row r="45" spans="1:21" ht="12.75">
      <c r="A45" s="4">
        <f t="shared" si="2"/>
        <v>39</v>
      </c>
      <c r="B45" s="23"/>
      <c r="C45" s="24" t="s">
        <v>70</v>
      </c>
      <c r="D45" s="25">
        <v>600000</v>
      </c>
      <c r="E45" s="254"/>
      <c r="F45" s="28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>
        <f aca="true" t="shared" si="3" ref="S45:S76">SUM(G45:R45)</f>
        <v>0</v>
      </c>
      <c r="U45" s="6"/>
    </row>
    <row r="46" spans="1:21" ht="12.75">
      <c r="A46" s="4">
        <f t="shared" si="2"/>
        <v>40</v>
      </c>
      <c r="B46" s="23"/>
      <c r="C46" s="24" t="s">
        <v>71</v>
      </c>
      <c r="D46" s="26" t="s">
        <v>64</v>
      </c>
      <c r="E46" s="254"/>
      <c r="F46" s="28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>
        <f t="shared" si="3"/>
        <v>0</v>
      </c>
      <c r="U46" s="6"/>
    </row>
    <row r="47" spans="1:21" ht="12.75">
      <c r="A47" s="4">
        <f t="shared" si="2"/>
        <v>41</v>
      </c>
      <c r="B47" s="29"/>
      <c r="C47" s="30" t="s">
        <v>177</v>
      </c>
      <c r="D47" s="17"/>
      <c r="E47" s="255"/>
      <c r="F47" s="152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>
        <f t="shared" si="3"/>
        <v>0</v>
      </c>
      <c r="U47" s="6"/>
    </row>
    <row r="48" spans="1:21" ht="12.75">
      <c r="A48" s="4">
        <f t="shared" si="2"/>
        <v>42</v>
      </c>
      <c r="B48" s="23" t="s">
        <v>72</v>
      </c>
      <c r="C48" s="24" t="s">
        <v>60</v>
      </c>
      <c r="D48" s="25">
        <v>10000</v>
      </c>
      <c r="E48" s="254">
        <f>2204.55+2857.9</f>
        <v>5062.450000000001</v>
      </c>
      <c r="F48" s="28"/>
      <c r="G48" s="6">
        <f aca="true" t="shared" si="4" ref="G48:R48">+$E$48</f>
        <v>5062.450000000001</v>
      </c>
      <c r="H48" s="6">
        <f t="shared" si="4"/>
        <v>5062.450000000001</v>
      </c>
      <c r="I48" s="6">
        <f t="shared" si="4"/>
        <v>5062.450000000001</v>
      </c>
      <c r="J48" s="6">
        <f t="shared" si="4"/>
        <v>5062.450000000001</v>
      </c>
      <c r="K48" s="6">
        <f t="shared" si="4"/>
        <v>5062.450000000001</v>
      </c>
      <c r="L48" s="6">
        <f t="shared" si="4"/>
        <v>5062.450000000001</v>
      </c>
      <c r="M48" s="6">
        <f t="shared" si="4"/>
        <v>5062.450000000001</v>
      </c>
      <c r="N48" s="6">
        <f t="shared" si="4"/>
        <v>5062.450000000001</v>
      </c>
      <c r="O48" s="6">
        <f t="shared" si="4"/>
        <v>5062.450000000001</v>
      </c>
      <c r="P48" s="6">
        <f t="shared" si="4"/>
        <v>5062.450000000001</v>
      </c>
      <c r="Q48" s="6">
        <f t="shared" si="4"/>
        <v>5062.450000000001</v>
      </c>
      <c r="R48" s="6">
        <f t="shared" si="4"/>
        <v>5062.450000000001</v>
      </c>
      <c r="S48" s="6">
        <f t="shared" si="3"/>
        <v>60749.399999999994</v>
      </c>
      <c r="U48" s="6"/>
    </row>
    <row r="49" spans="1:21" ht="12.75">
      <c r="A49" s="4">
        <f t="shared" si="2"/>
        <v>43</v>
      </c>
      <c r="B49" s="23"/>
      <c r="C49" s="24" t="s">
        <v>61</v>
      </c>
      <c r="D49" s="25">
        <v>20000</v>
      </c>
      <c r="E49" s="254"/>
      <c r="F49" s="28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>
        <f t="shared" si="3"/>
        <v>0</v>
      </c>
      <c r="U49" s="6"/>
    </row>
    <row r="50" spans="1:21" ht="12.75">
      <c r="A50" s="4">
        <f t="shared" si="2"/>
        <v>44</v>
      </c>
      <c r="B50" s="23"/>
      <c r="C50" s="24" t="s">
        <v>62</v>
      </c>
      <c r="D50" s="25">
        <v>20000</v>
      </c>
      <c r="E50" s="254"/>
      <c r="F50" s="28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>
        <f t="shared" si="3"/>
        <v>0</v>
      </c>
      <c r="U50" s="6"/>
    </row>
    <row r="51" spans="1:21" ht="12.75">
      <c r="A51" s="4">
        <f t="shared" si="2"/>
        <v>45</v>
      </c>
      <c r="B51" s="23"/>
      <c r="C51" s="24" t="s">
        <v>63</v>
      </c>
      <c r="D51" s="25">
        <v>100000</v>
      </c>
      <c r="E51" s="254"/>
      <c r="F51" s="28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>
        <f t="shared" si="3"/>
        <v>0</v>
      </c>
      <c r="U51" s="6"/>
    </row>
    <row r="52" spans="1:21" ht="12.75">
      <c r="A52" s="4">
        <f t="shared" si="2"/>
        <v>46</v>
      </c>
      <c r="B52" s="23"/>
      <c r="C52" s="24" t="s">
        <v>70</v>
      </c>
      <c r="D52" s="25">
        <v>600000</v>
      </c>
      <c r="E52" s="254"/>
      <c r="F52" s="28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>
        <f t="shared" si="3"/>
        <v>0</v>
      </c>
      <c r="U52" s="6"/>
    </row>
    <row r="53" spans="1:21" ht="12.75">
      <c r="A53" s="4">
        <f t="shared" si="2"/>
        <v>47</v>
      </c>
      <c r="B53" s="23"/>
      <c r="C53" s="24" t="s">
        <v>71</v>
      </c>
      <c r="D53" s="26" t="s">
        <v>64</v>
      </c>
      <c r="E53" s="254"/>
      <c r="F53" s="28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>
        <f t="shared" si="3"/>
        <v>0</v>
      </c>
      <c r="U53" s="6"/>
    </row>
    <row r="54" spans="1:21" ht="12.75">
      <c r="A54" s="4">
        <f t="shared" si="2"/>
        <v>48</v>
      </c>
      <c r="B54" s="29"/>
      <c r="C54" s="30" t="s">
        <v>177</v>
      </c>
      <c r="D54" s="17"/>
      <c r="E54" s="255"/>
      <c r="F54" s="152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>
        <f t="shared" si="3"/>
        <v>0</v>
      </c>
      <c r="U54" s="6"/>
    </row>
    <row r="55" spans="1:21" ht="12.75">
      <c r="A55" s="4">
        <f t="shared" si="2"/>
        <v>49</v>
      </c>
      <c r="B55" s="23" t="s">
        <v>73</v>
      </c>
      <c r="C55" s="24" t="s">
        <v>60</v>
      </c>
      <c r="D55" s="25">
        <v>10000</v>
      </c>
      <c r="E55" s="254">
        <v>2579.53</v>
      </c>
      <c r="F55" s="28"/>
      <c r="G55" s="6">
        <f aca="true" t="shared" si="5" ref="G55:R55">+$E$55</f>
        <v>2579.53</v>
      </c>
      <c r="H55" s="6">
        <f t="shared" si="5"/>
        <v>2579.53</v>
      </c>
      <c r="I55" s="6">
        <f t="shared" si="5"/>
        <v>2579.53</v>
      </c>
      <c r="J55" s="6">
        <f t="shared" si="5"/>
        <v>2579.53</v>
      </c>
      <c r="K55" s="6">
        <f t="shared" si="5"/>
        <v>2579.53</v>
      </c>
      <c r="L55" s="6">
        <f t="shared" si="5"/>
        <v>2579.53</v>
      </c>
      <c r="M55" s="6">
        <f t="shared" si="5"/>
        <v>2579.53</v>
      </c>
      <c r="N55" s="6">
        <f t="shared" si="5"/>
        <v>2579.53</v>
      </c>
      <c r="O55" s="6">
        <f t="shared" si="5"/>
        <v>2579.53</v>
      </c>
      <c r="P55" s="6">
        <f t="shared" si="5"/>
        <v>2579.53</v>
      </c>
      <c r="Q55" s="6">
        <f t="shared" si="5"/>
        <v>2579.53</v>
      </c>
      <c r="R55" s="6">
        <f t="shared" si="5"/>
        <v>2579.53</v>
      </c>
      <c r="S55" s="6">
        <f t="shared" si="3"/>
        <v>30954.359999999997</v>
      </c>
      <c r="U55" s="6"/>
    </row>
    <row r="56" spans="1:21" ht="12.75">
      <c r="A56" s="4">
        <f t="shared" si="2"/>
        <v>50</v>
      </c>
      <c r="B56" s="23"/>
      <c r="C56" s="24" t="s">
        <v>61</v>
      </c>
      <c r="D56" s="25">
        <v>20000</v>
      </c>
      <c r="E56" s="254"/>
      <c r="F56" s="28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>
        <f t="shared" si="3"/>
        <v>0</v>
      </c>
      <c r="U56" s="6"/>
    </row>
    <row r="57" spans="1:21" ht="12.75">
      <c r="A57" s="4">
        <f t="shared" si="2"/>
        <v>51</v>
      </c>
      <c r="B57" s="23"/>
      <c r="C57" s="24" t="s">
        <v>62</v>
      </c>
      <c r="D57" s="25">
        <v>20000</v>
      </c>
      <c r="E57" s="254"/>
      <c r="F57" s="28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>
        <f t="shared" si="3"/>
        <v>0</v>
      </c>
      <c r="U57" s="6"/>
    </row>
    <row r="58" spans="1:21" ht="12.75">
      <c r="A58" s="4">
        <f t="shared" si="2"/>
        <v>52</v>
      </c>
      <c r="B58" s="23"/>
      <c r="C58" s="24" t="s">
        <v>63</v>
      </c>
      <c r="D58" s="25">
        <v>100000</v>
      </c>
      <c r="E58" s="254"/>
      <c r="F58" s="28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>
        <f t="shared" si="3"/>
        <v>0</v>
      </c>
      <c r="U58" s="6"/>
    </row>
    <row r="59" spans="1:21" ht="12.75">
      <c r="A59" s="4">
        <f t="shared" si="2"/>
        <v>53</v>
      </c>
      <c r="B59" s="23"/>
      <c r="C59" s="24" t="s">
        <v>70</v>
      </c>
      <c r="D59" s="25">
        <v>600000</v>
      </c>
      <c r="E59" s="254"/>
      <c r="F59" s="28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>
        <f t="shared" si="3"/>
        <v>0</v>
      </c>
      <c r="U59" s="6"/>
    </row>
    <row r="60" spans="1:21" ht="12.75">
      <c r="A60" s="4">
        <f t="shared" si="2"/>
        <v>54</v>
      </c>
      <c r="B60" s="23"/>
      <c r="C60" s="24" t="s">
        <v>71</v>
      </c>
      <c r="D60" s="26" t="s">
        <v>64</v>
      </c>
      <c r="E60" s="254"/>
      <c r="F60" s="28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>
        <f t="shared" si="3"/>
        <v>0</v>
      </c>
      <c r="U60" s="6"/>
    </row>
    <row r="61" spans="1:21" ht="12.75">
      <c r="A61" s="4">
        <f t="shared" si="2"/>
        <v>55</v>
      </c>
      <c r="B61" s="29"/>
      <c r="C61" s="30" t="s">
        <v>177</v>
      </c>
      <c r="D61" s="17"/>
      <c r="E61" s="255"/>
      <c r="F61" s="152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>
        <f t="shared" si="3"/>
        <v>0</v>
      </c>
      <c r="U61" s="6"/>
    </row>
    <row r="62" spans="1:21" ht="12.75">
      <c r="A62" s="4">
        <f t="shared" si="2"/>
        <v>56</v>
      </c>
      <c r="B62" s="23" t="s">
        <v>74</v>
      </c>
      <c r="C62" s="24" t="s">
        <v>60</v>
      </c>
      <c r="D62" s="25">
        <v>10000</v>
      </c>
      <c r="E62" s="254">
        <v>4091.77</v>
      </c>
      <c r="F62" s="28"/>
      <c r="G62" s="6">
        <f aca="true" t="shared" si="6" ref="G62:R62">+$E$62</f>
        <v>4091.77</v>
      </c>
      <c r="H62" s="6">
        <f t="shared" si="6"/>
        <v>4091.77</v>
      </c>
      <c r="I62" s="6">
        <f t="shared" si="6"/>
        <v>4091.77</v>
      </c>
      <c r="J62" s="6">
        <f t="shared" si="6"/>
        <v>4091.77</v>
      </c>
      <c r="K62" s="6">
        <f t="shared" si="6"/>
        <v>4091.77</v>
      </c>
      <c r="L62" s="6">
        <f t="shared" si="6"/>
        <v>4091.77</v>
      </c>
      <c r="M62" s="6">
        <f t="shared" si="6"/>
        <v>4091.77</v>
      </c>
      <c r="N62" s="6">
        <f t="shared" si="6"/>
        <v>4091.77</v>
      </c>
      <c r="O62" s="6">
        <f t="shared" si="6"/>
        <v>4091.77</v>
      </c>
      <c r="P62" s="6">
        <f t="shared" si="6"/>
        <v>4091.77</v>
      </c>
      <c r="Q62" s="6">
        <f t="shared" si="6"/>
        <v>4091.77</v>
      </c>
      <c r="R62" s="6">
        <f t="shared" si="6"/>
        <v>4091.77</v>
      </c>
      <c r="S62" s="6">
        <f t="shared" si="3"/>
        <v>49101.23999999999</v>
      </c>
      <c r="U62" s="6"/>
    </row>
    <row r="63" spans="1:21" ht="12.75">
      <c r="A63" s="4">
        <f t="shared" si="2"/>
        <v>57</v>
      </c>
      <c r="B63" s="23"/>
      <c r="C63" s="24" t="s">
        <v>61</v>
      </c>
      <c r="D63" s="25">
        <v>20000</v>
      </c>
      <c r="E63" s="254"/>
      <c r="F63" s="28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>
        <f t="shared" si="3"/>
        <v>0</v>
      </c>
      <c r="U63" s="6"/>
    </row>
    <row r="64" spans="1:21" ht="12.75">
      <c r="A64" s="4">
        <f t="shared" si="2"/>
        <v>58</v>
      </c>
      <c r="B64" s="23"/>
      <c r="C64" s="24" t="s">
        <v>62</v>
      </c>
      <c r="D64" s="25">
        <v>20000</v>
      </c>
      <c r="E64" s="254"/>
      <c r="F64" s="28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>
        <f t="shared" si="3"/>
        <v>0</v>
      </c>
      <c r="U64" s="6"/>
    </row>
    <row r="65" spans="1:21" ht="12.75">
      <c r="A65" s="4">
        <f t="shared" si="2"/>
        <v>59</v>
      </c>
      <c r="B65" s="23"/>
      <c r="C65" s="24" t="s">
        <v>63</v>
      </c>
      <c r="D65" s="25">
        <v>100000</v>
      </c>
      <c r="E65" s="254"/>
      <c r="F65" s="28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>
        <f t="shared" si="3"/>
        <v>0</v>
      </c>
      <c r="U65" s="6"/>
    </row>
    <row r="66" spans="1:21" ht="12.75">
      <c r="A66" s="4">
        <f t="shared" si="2"/>
        <v>60</v>
      </c>
      <c r="B66" s="23"/>
      <c r="C66" s="24" t="s">
        <v>70</v>
      </c>
      <c r="D66" s="25">
        <v>600000</v>
      </c>
      <c r="E66" s="254"/>
      <c r="F66" s="28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>
        <f t="shared" si="3"/>
        <v>0</v>
      </c>
      <c r="U66" s="6"/>
    </row>
    <row r="67" spans="1:21" ht="12.75">
      <c r="A67" s="4">
        <f t="shared" si="2"/>
        <v>61</v>
      </c>
      <c r="B67" s="23"/>
      <c r="C67" s="24" t="s">
        <v>71</v>
      </c>
      <c r="D67" s="26" t="s">
        <v>64</v>
      </c>
      <c r="E67" s="254"/>
      <c r="F67" s="28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>
        <f t="shared" si="3"/>
        <v>0</v>
      </c>
      <c r="U67" s="6"/>
    </row>
    <row r="68" spans="1:21" ht="12.75">
      <c r="A68" s="4">
        <f t="shared" si="2"/>
        <v>62</v>
      </c>
      <c r="B68" s="29"/>
      <c r="C68" s="30" t="s">
        <v>177</v>
      </c>
      <c r="D68" s="17"/>
      <c r="E68" s="255"/>
      <c r="F68" s="152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>
        <f t="shared" si="3"/>
        <v>0</v>
      </c>
      <c r="U68" s="6"/>
    </row>
    <row r="69" spans="1:21" ht="12.75">
      <c r="A69" s="4">
        <f t="shared" si="2"/>
        <v>63</v>
      </c>
      <c r="B69" s="23" t="s">
        <v>75</v>
      </c>
      <c r="C69" s="24" t="s">
        <v>60</v>
      </c>
      <c r="D69" s="25">
        <v>10000</v>
      </c>
      <c r="E69" s="254"/>
      <c r="F69" s="32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>
        <f t="shared" si="3"/>
        <v>0</v>
      </c>
      <c r="U69" s="6"/>
    </row>
    <row r="70" spans="1:21" ht="12.75">
      <c r="A70" s="4">
        <f t="shared" si="2"/>
        <v>64</v>
      </c>
      <c r="B70" s="23"/>
      <c r="C70" s="24" t="s">
        <v>61</v>
      </c>
      <c r="D70" s="25">
        <v>20000</v>
      </c>
      <c r="E70" s="256"/>
      <c r="F70" s="33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>
        <f t="shared" si="3"/>
        <v>0</v>
      </c>
      <c r="U70" s="6"/>
    </row>
    <row r="71" spans="1:21" ht="12.75">
      <c r="A71" s="4">
        <f t="shared" si="2"/>
        <v>65</v>
      </c>
      <c r="B71" s="23"/>
      <c r="C71" s="24" t="s">
        <v>62</v>
      </c>
      <c r="D71" s="25">
        <v>20000</v>
      </c>
      <c r="E71" s="256"/>
      <c r="F71" s="33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>
        <f t="shared" si="3"/>
        <v>0</v>
      </c>
      <c r="U71" s="6"/>
    </row>
    <row r="72" spans="1:21" ht="12.75">
      <c r="A72" s="4">
        <f aca="true" t="shared" si="7" ref="A72:A95">+A71+1</f>
        <v>66</v>
      </c>
      <c r="B72" s="23"/>
      <c r="C72" s="24" t="s">
        <v>63</v>
      </c>
      <c r="D72" s="25">
        <v>100000</v>
      </c>
      <c r="E72" s="256"/>
      <c r="F72" s="33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>
        <f t="shared" si="3"/>
        <v>0</v>
      </c>
      <c r="U72" s="6"/>
    </row>
    <row r="73" spans="1:21" ht="12.75">
      <c r="A73" s="4">
        <f t="shared" si="7"/>
        <v>67</v>
      </c>
      <c r="B73" s="23"/>
      <c r="C73" s="24" t="s">
        <v>70</v>
      </c>
      <c r="D73" s="25">
        <v>600000</v>
      </c>
      <c r="E73" s="256"/>
      <c r="F73" s="33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>
        <f t="shared" si="3"/>
        <v>0</v>
      </c>
      <c r="U73" s="6"/>
    </row>
    <row r="74" spans="1:21" ht="12.75">
      <c r="A74" s="4">
        <f t="shared" si="7"/>
        <v>68</v>
      </c>
      <c r="B74" s="23"/>
      <c r="C74" s="24" t="s">
        <v>71</v>
      </c>
      <c r="D74" s="26" t="s">
        <v>64</v>
      </c>
      <c r="E74" s="256"/>
      <c r="F74" s="33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>
        <f t="shared" si="3"/>
        <v>0</v>
      </c>
      <c r="U74" s="6"/>
    </row>
    <row r="75" spans="1:21" ht="12.75">
      <c r="A75" s="4">
        <f t="shared" si="7"/>
        <v>69</v>
      </c>
      <c r="B75" s="29"/>
      <c r="C75" s="30" t="s">
        <v>177</v>
      </c>
      <c r="D75" s="17"/>
      <c r="E75" s="255"/>
      <c r="F75" s="152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>
        <f t="shared" si="3"/>
        <v>0</v>
      </c>
      <c r="U75" s="6"/>
    </row>
    <row r="76" spans="1:21" ht="12.75">
      <c r="A76" s="4">
        <f t="shared" si="7"/>
        <v>70</v>
      </c>
      <c r="B76" s="29" t="s">
        <v>76</v>
      </c>
      <c r="C76" s="31"/>
      <c r="D76" s="34" t="s">
        <v>51</v>
      </c>
      <c r="E76" s="257"/>
      <c r="F76" s="33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>
        <f t="shared" si="3"/>
        <v>0</v>
      </c>
      <c r="U76" s="6"/>
    </row>
    <row r="77" spans="1:21" ht="12.75">
      <c r="A77" s="4">
        <f t="shared" si="7"/>
        <v>71</v>
      </c>
      <c r="B77" s="18" t="s">
        <v>77</v>
      </c>
      <c r="C77" s="19"/>
      <c r="D77" s="34" t="s">
        <v>51</v>
      </c>
      <c r="E77" s="257"/>
      <c r="F77" s="33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>
        <f>SUM(G77:R77)</f>
        <v>0</v>
      </c>
      <c r="U77" s="6"/>
    </row>
    <row r="78" spans="1:21" ht="12.75">
      <c r="A78" s="4">
        <f t="shared" si="7"/>
        <v>72</v>
      </c>
      <c r="B78" s="18">
        <v>54</v>
      </c>
      <c r="C78" s="19"/>
      <c r="D78" s="34" t="s">
        <v>51</v>
      </c>
      <c r="E78" s="258"/>
      <c r="F78" s="32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>
        <f>SUM(G78:R78)</f>
        <v>0</v>
      </c>
      <c r="U78" s="6"/>
    </row>
    <row r="79" ht="12.75">
      <c r="A79" s="4">
        <f t="shared" si="7"/>
        <v>73</v>
      </c>
    </row>
    <row r="80" spans="1:19" ht="12.75">
      <c r="A80" s="4">
        <f t="shared" si="7"/>
        <v>74</v>
      </c>
      <c r="B80" s="35" t="s">
        <v>178</v>
      </c>
      <c r="G80" s="6">
        <f aca="true" t="shared" si="8" ref="G80:S80">SUM(G13:G78)</f>
        <v>11733.750000000002</v>
      </c>
      <c r="H80" s="6">
        <f t="shared" si="8"/>
        <v>11733.750000000002</v>
      </c>
      <c r="I80" s="6">
        <f t="shared" si="8"/>
        <v>11733.750000000002</v>
      </c>
      <c r="J80" s="6">
        <f t="shared" si="8"/>
        <v>11733.750000000002</v>
      </c>
      <c r="K80" s="6">
        <f t="shared" si="8"/>
        <v>11733.750000000002</v>
      </c>
      <c r="L80" s="6">
        <f t="shared" si="8"/>
        <v>11733.750000000002</v>
      </c>
      <c r="M80" s="6">
        <f t="shared" si="8"/>
        <v>11733.750000000002</v>
      </c>
      <c r="N80" s="6">
        <f t="shared" si="8"/>
        <v>11733.750000000002</v>
      </c>
      <c r="O80" s="6">
        <f t="shared" si="8"/>
        <v>11733.750000000002</v>
      </c>
      <c r="P80" s="6">
        <f t="shared" si="8"/>
        <v>11733.750000000002</v>
      </c>
      <c r="Q80" s="6">
        <f t="shared" si="8"/>
        <v>11733.750000000002</v>
      </c>
      <c r="R80" s="6">
        <f t="shared" si="8"/>
        <v>11733.750000000002</v>
      </c>
      <c r="S80" s="6">
        <f t="shared" si="8"/>
        <v>140805</v>
      </c>
    </row>
    <row r="81" spans="1:19" ht="12.75">
      <c r="A81" s="4">
        <f t="shared" si="7"/>
        <v>75</v>
      </c>
      <c r="B81" s="35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2.75">
      <c r="A82" s="4">
        <f t="shared" si="7"/>
        <v>76</v>
      </c>
      <c r="B82" s="35" t="s">
        <v>179</v>
      </c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6">
        <f>SUM(G82:R82)</f>
        <v>0</v>
      </c>
    </row>
    <row r="83" spans="1:19" ht="12.75">
      <c r="A83" s="4">
        <f t="shared" si="7"/>
        <v>77</v>
      </c>
      <c r="B83" s="35"/>
      <c r="G83" s="259"/>
      <c r="H83" s="259"/>
      <c r="I83" s="259"/>
      <c r="J83" s="259"/>
      <c r="K83" s="259"/>
      <c r="L83" s="259"/>
      <c r="M83" s="259"/>
      <c r="N83" s="259"/>
      <c r="O83" s="259"/>
      <c r="P83" s="259"/>
      <c r="Q83" s="259"/>
      <c r="R83" s="259"/>
      <c r="S83" s="6"/>
    </row>
    <row r="84" spans="1:19" ht="12.75">
      <c r="A84" s="4">
        <f t="shared" si="7"/>
        <v>78</v>
      </c>
      <c r="B84" s="35" t="s">
        <v>180</v>
      </c>
      <c r="G84" s="259"/>
      <c r="H84" s="259"/>
      <c r="I84" s="259"/>
      <c r="J84" s="259"/>
      <c r="K84" s="259"/>
      <c r="L84" s="259"/>
      <c r="M84" s="259"/>
      <c r="N84" s="259"/>
      <c r="O84" s="259"/>
      <c r="P84" s="259"/>
      <c r="Q84" s="259"/>
      <c r="R84" s="259"/>
      <c r="S84" s="6">
        <f>SUM(G84:R84)</f>
        <v>0</v>
      </c>
    </row>
    <row r="85" spans="1:19" ht="12.75">
      <c r="A85" s="4">
        <f t="shared" si="7"/>
        <v>79</v>
      </c>
      <c r="B85" s="35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12.75">
      <c r="A86" s="4">
        <f t="shared" si="7"/>
        <v>80</v>
      </c>
      <c r="B86" s="35" t="s">
        <v>181</v>
      </c>
      <c r="G86" s="260">
        <f aca="true" t="shared" si="9" ref="G86:S86">+G80+G84+G82</f>
        <v>11733.750000000002</v>
      </c>
      <c r="H86" s="260">
        <f t="shared" si="9"/>
        <v>11733.750000000002</v>
      </c>
      <c r="I86" s="260">
        <f t="shared" si="9"/>
        <v>11733.750000000002</v>
      </c>
      <c r="J86" s="260">
        <f t="shared" si="9"/>
        <v>11733.750000000002</v>
      </c>
      <c r="K86" s="260">
        <f t="shared" si="9"/>
        <v>11733.750000000002</v>
      </c>
      <c r="L86" s="260">
        <f t="shared" si="9"/>
        <v>11733.750000000002</v>
      </c>
      <c r="M86" s="260">
        <f t="shared" si="9"/>
        <v>11733.750000000002</v>
      </c>
      <c r="N86" s="260">
        <f t="shared" si="9"/>
        <v>11733.750000000002</v>
      </c>
      <c r="O86" s="260">
        <f t="shared" si="9"/>
        <v>11733.750000000002</v>
      </c>
      <c r="P86" s="260">
        <f t="shared" si="9"/>
        <v>11733.750000000002</v>
      </c>
      <c r="Q86" s="260">
        <f t="shared" si="9"/>
        <v>11733.750000000002</v>
      </c>
      <c r="R86" s="260">
        <f t="shared" si="9"/>
        <v>11733.750000000002</v>
      </c>
      <c r="S86" s="260">
        <f t="shared" si="9"/>
        <v>140805</v>
      </c>
    </row>
    <row r="87" spans="1:19" ht="12.75">
      <c r="A87" s="4">
        <f t="shared" si="7"/>
        <v>81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21" ht="12.75">
      <c r="A88" s="4">
        <f t="shared" si="7"/>
        <v>82</v>
      </c>
      <c r="B88" s="7" t="s">
        <v>17</v>
      </c>
      <c r="D88" s="8"/>
      <c r="G88" s="157">
        <f aca="true" t="shared" si="10" ref="G88:R88">+G15+G13+G19+G31</f>
        <v>0</v>
      </c>
      <c r="H88" s="157">
        <f t="shared" si="10"/>
        <v>0</v>
      </c>
      <c r="I88" s="157">
        <f t="shared" si="10"/>
        <v>0</v>
      </c>
      <c r="J88" s="157">
        <f t="shared" si="10"/>
        <v>0</v>
      </c>
      <c r="K88" s="157">
        <f t="shared" si="10"/>
        <v>0</v>
      </c>
      <c r="L88" s="157">
        <f t="shared" si="10"/>
        <v>0</v>
      </c>
      <c r="M88" s="157">
        <f t="shared" si="10"/>
        <v>0</v>
      </c>
      <c r="N88" s="157">
        <f t="shared" si="10"/>
        <v>0</v>
      </c>
      <c r="O88" s="157">
        <f t="shared" si="10"/>
        <v>0</v>
      </c>
      <c r="P88" s="157">
        <f t="shared" si="10"/>
        <v>0</v>
      </c>
      <c r="Q88" s="157">
        <f t="shared" si="10"/>
        <v>0</v>
      </c>
      <c r="R88" s="157">
        <f t="shared" si="10"/>
        <v>0</v>
      </c>
      <c r="S88" s="6">
        <f aca="true" t="shared" si="11" ref="S88:S95">SUM(G88:R88)</f>
        <v>0</v>
      </c>
      <c r="U88" s="6"/>
    </row>
    <row r="89" spans="1:21" ht="12.75">
      <c r="A89" s="4">
        <f t="shared" si="7"/>
        <v>83</v>
      </c>
      <c r="B89" s="7" t="s">
        <v>18</v>
      </c>
      <c r="D89" s="8"/>
      <c r="G89" s="157">
        <f aca="true" t="shared" si="12" ref="G89:R89">+G14+G16+SUM(G21:G24)+SUM(G41:G46)+SUM(G32:G33)</f>
        <v>0</v>
      </c>
      <c r="H89" s="157">
        <f t="shared" si="12"/>
        <v>0</v>
      </c>
      <c r="I89" s="157">
        <f t="shared" si="12"/>
        <v>0</v>
      </c>
      <c r="J89" s="157">
        <f t="shared" si="12"/>
        <v>0</v>
      </c>
      <c r="K89" s="157">
        <f t="shared" si="12"/>
        <v>0</v>
      </c>
      <c r="L89" s="157">
        <f t="shared" si="12"/>
        <v>0</v>
      </c>
      <c r="M89" s="157">
        <f t="shared" si="12"/>
        <v>0</v>
      </c>
      <c r="N89" s="157">
        <f t="shared" si="12"/>
        <v>0</v>
      </c>
      <c r="O89" s="157">
        <f t="shared" si="12"/>
        <v>0</v>
      </c>
      <c r="P89" s="157">
        <f t="shared" si="12"/>
        <v>0</v>
      </c>
      <c r="Q89" s="157">
        <f t="shared" si="12"/>
        <v>0</v>
      </c>
      <c r="R89" s="157">
        <f t="shared" si="12"/>
        <v>0</v>
      </c>
      <c r="S89" s="6">
        <f t="shared" si="11"/>
        <v>0</v>
      </c>
      <c r="U89" s="6"/>
    </row>
    <row r="90" spans="1:21" ht="12.75">
      <c r="A90" s="4">
        <f t="shared" si="7"/>
        <v>84</v>
      </c>
      <c r="B90" s="7" t="s">
        <v>19</v>
      </c>
      <c r="D90" s="8"/>
      <c r="G90" s="157">
        <f aca="true" t="shared" si="13" ref="G90:R90">+G17+SUM(G26:G29)+SUM(G38:G39)+SUM(G48:G52)</f>
        <v>5062.450000000001</v>
      </c>
      <c r="H90" s="157">
        <f t="shared" si="13"/>
        <v>5062.450000000001</v>
      </c>
      <c r="I90" s="157">
        <f t="shared" si="13"/>
        <v>5062.450000000001</v>
      </c>
      <c r="J90" s="157">
        <f t="shared" si="13"/>
        <v>5062.450000000001</v>
      </c>
      <c r="K90" s="157">
        <f t="shared" si="13"/>
        <v>5062.450000000001</v>
      </c>
      <c r="L90" s="157">
        <f t="shared" si="13"/>
        <v>5062.450000000001</v>
      </c>
      <c r="M90" s="157">
        <f t="shared" si="13"/>
        <v>5062.450000000001</v>
      </c>
      <c r="N90" s="157">
        <f t="shared" si="13"/>
        <v>5062.450000000001</v>
      </c>
      <c r="O90" s="157">
        <f t="shared" si="13"/>
        <v>5062.450000000001</v>
      </c>
      <c r="P90" s="157">
        <f t="shared" si="13"/>
        <v>5062.450000000001</v>
      </c>
      <c r="Q90" s="157">
        <f t="shared" si="13"/>
        <v>5062.450000000001</v>
      </c>
      <c r="R90" s="157">
        <f t="shared" si="13"/>
        <v>5062.450000000001</v>
      </c>
      <c r="S90" s="6">
        <f t="shared" si="11"/>
        <v>60749.399999999994</v>
      </c>
      <c r="U90" s="6"/>
    </row>
    <row r="91" spans="1:21" ht="12.75">
      <c r="A91" s="4">
        <f t="shared" si="7"/>
        <v>85</v>
      </c>
      <c r="B91" s="7" t="s">
        <v>20</v>
      </c>
      <c r="D91" s="8"/>
      <c r="G91" s="157">
        <f aca="true" t="shared" si="14" ref="G91:R91">+SUM(G62:G67)+SUM(G38:G39)</f>
        <v>4091.77</v>
      </c>
      <c r="H91" s="157">
        <f t="shared" si="14"/>
        <v>4091.77</v>
      </c>
      <c r="I91" s="157">
        <f t="shared" si="14"/>
        <v>4091.77</v>
      </c>
      <c r="J91" s="157">
        <f t="shared" si="14"/>
        <v>4091.77</v>
      </c>
      <c r="K91" s="157">
        <f t="shared" si="14"/>
        <v>4091.77</v>
      </c>
      <c r="L91" s="157">
        <f t="shared" si="14"/>
        <v>4091.77</v>
      </c>
      <c r="M91" s="157">
        <f t="shared" si="14"/>
        <v>4091.77</v>
      </c>
      <c r="N91" s="157">
        <f t="shared" si="14"/>
        <v>4091.77</v>
      </c>
      <c r="O91" s="157">
        <f t="shared" si="14"/>
        <v>4091.77</v>
      </c>
      <c r="P91" s="157">
        <f t="shared" si="14"/>
        <v>4091.77</v>
      </c>
      <c r="Q91" s="157">
        <f t="shared" si="14"/>
        <v>4091.77</v>
      </c>
      <c r="R91" s="157">
        <f t="shared" si="14"/>
        <v>4091.77</v>
      </c>
      <c r="S91" s="6">
        <f t="shared" si="11"/>
        <v>49101.23999999999</v>
      </c>
      <c r="U91" s="6"/>
    </row>
    <row r="92" spans="1:19" ht="12.75">
      <c r="A92" s="4">
        <f t="shared" si="7"/>
        <v>86</v>
      </c>
      <c r="B92" s="7" t="s">
        <v>117</v>
      </c>
      <c r="D92" s="8"/>
      <c r="G92" s="157">
        <f aca="true" t="shared" si="15" ref="G92:R92">+SUM(G35:G36)+SUM(G55:G60)</f>
        <v>2579.53</v>
      </c>
      <c r="H92" s="157">
        <f t="shared" si="15"/>
        <v>2579.53</v>
      </c>
      <c r="I92" s="157">
        <f t="shared" si="15"/>
        <v>2579.53</v>
      </c>
      <c r="J92" s="157">
        <f t="shared" si="15"/>
        <v>2579.53</v>
      </c>
      <c r="K92" s="157">
        <f t="shared" si="15"/>
        <v>2579.53</v>
      </c>
      <c r="L92" s="157">
        <f t="shared" si="15"/>
        <v>2579.53</v>
      </c>
      <c r="M92" s="157">
        <f t="shared" si="15"/>
        <v>2579.53</v>
      </c>
      <c r="N92" s="157">
        <f t="shared" si="15"/>
        <v>2579.53</v>
      </c>
      <c r="O92" s="157">
        <f t="shared" si="15"/>
        <v>2579.53</v>
      </c>
      <c r="P92" s="157">
        <f t="shared" si="15"/>
        <v>2579.53</v>
      </c>
      <c r="Q92" s="157">
        <f t="shared" si="15"/>
        <v>2579.53</v>
      </c>
      <c r="R92" s="157">
        <f t="shared" si="15"/>
        <v>2579.53</v>
      </c>
      <c r="S92" s="6">
        <f t="shared" si="11"/>
        <v>30954.359999999997</v>
      </c>
    </row>
    <row r="93" spans="1:19" ht="12.75">
      <c r="A93" s="4">
        <f t="shared" si="7"/>
        <v>87</v>
      </c>
      <c r="B93" s="7" t="s">
        <v>118</v>
      </c>
      <c r="D93" s="8"/>
      <c r="G93" s="158">
        <f aca="true" t="shared" si="16" ref="G93:R93">SUM(G69:G74)</f>
        <v>0</v>
      </c>
      <c r="H93" s="158">
        <f t="shared" si="16"/>
        <v>0</v>
      </c>
      <c r="I93" s="158">
        <f t="shared" si="16"/>
        <v>0</v>
      </c>
      <c r="J93" s="158">
        <f t="shared" si="16"/>
        <v>0</v>
      </c>
      <c r="K93" s="158">
        <f t="shared" si="16"/>
        <v>0</v>
      </c>
      <c r="L93" s="158">
        <f t="shared" si="16"/>
        <v>0</v>
      </c>
      <c r="M93" s="158">
        <f t="shared" si="16"/>
        <v>0</v>
      </c>
      <c r="N93" s="158">
        <f t="shared" si="16"/>
        <v>0</v>
      </c>
      <c r="O93" s="158">
        <f t="shared" si="16"/>
        <v>0</v>
      </c>
      <c r="P93" s="158">
        <f t="shared" si="16"/>
        <v>0</v>
      </c>
      <c r="Q93" s="158">
        <f t="shared" si="16"/>
        <v>0</v>
      </c>
      <c r="R93" s="158">
        <f t="shared" si="16"/>
        <v>0</v>
      </c>
      <c r="S93" s="6">
        <f t="shared" si="11"/>
        <v>0</v>
      </c>
    </row>
    <row r="94" spans="1:19" ht="12.75">
      <c r="A94" s="4">
        <f t="shared" si="7"/>
        <v>88</v>
      </c>
      <c r="D94" s="8"/>
      <c r="G94" s="6">
        <f aca="true" t="shared" si="17" ref="G94:R94">SUM(G88:G93)-G80</f>
        <v>0</v>
      </c>
      <c r="H94" s="6">
        <f t="shared" si="17"/>
        <v>0</v>
      </c>
      <c r="I94" s="6">
        <f t="shared" si="17"/>
        <v>0</v>
      </c>
      <c r="J94" s="6">
        <f t="shared" si="17"/>
        <v>0</v>
      </c>
      <c r="K94" s="6">
        <f t="shared" si="17"/>
        <v>0</v>
      </c>
      <c r="L94" s="6">
        <f t="shared" si="17"/>
        <v>0</v>
      </c>
      <c r="M94" s="6">
        <f t="shared" si="17"/>
        <v>0</v>
      </c>
      <c r="N94" s="6">
        <f t="shared" si="17"/>
        <v>0</v>
      </c>
      <c r="O94" s="6">
        <f t="shared" si="17"/>
        <v>0</v>
      </c>
      <c r="P94" s="6">
        <f t="shared" si="17"/>
        <v>0</v>
      </c>
      <c r="Q94" s="6">
        <f t="shared" si="17"/>
        <v>0</v>
      </c>
      <c r="R94" s="6">
        <f t="shared" si="17"/>
        <v>0</v>
      </c>
      <c r="S94" s="6">
        <f t="shared" si="11"/>
        <v>0</v>
      </c>
    </row>
    <row r="95" spans="1:19" ht="12.75">
      <c r="A95" s="4">
        <f t="shared" si="7"/>
        <v>89</v>
      </c>
      <c r="B95" s="7" t="s">
        <v>175</v>
      </c>
      <c r="D95" s="8"/>
      <c r="G95" s="6">
        <f aca="true" t="shared" si="18" ref="G95:R95">+G84+G82</f>
        <v>0</v>
      </c>
      <c r="H95" s="6">
        <f t="shared" si="18"/>
        <v>0</v>
      </c>
      <c r="I95" s="6">
        <f t="shared" si="18"/>
        <v>0</v>
      </c>
      <c r="J95" s="6">
        <f t="shared" si="18"/>
        <v>0</v>
      </c>
      <c r="K95" s="6">
        <f t="shared" si="18"/>
        <v>0</v>
      </c>
      <c r="L95" s="6">
        <f t="shared" si="18"/>
        <v>0</v>
      </c>
      <c r="M95" s="6">
        <f t="shared" si="18"/>
        <v>0</v>
      </c>
      <c r="N95" s="6">
        <f t="shared" si="18"/>
        <v>0</v>
      </c>
      <c r="O95" s="6">
        <f t="shared" si="18"/>
        <v>0</v>
      </c>
      <c r="P95" s="6">
        <f t="shared" si="18"/>
        <v>0</v>
      </c>
      <c r="Q95" s="6">
        <f t="shared" si="18"/>
        <v>0</v>
      </c>
      <c r="R95" s="6">
        <f t="shared" si="18"/>
        <v>0</v>
      </c>
      <c r="S95" s="6">
        <f t="shared" si="11"/>
        <v>0</v>
      </c>
    </row>
    <row r="96" ht="12.75">
      <c r="D96" s="8"/>
    </row>
    <row r="97" ht="12.75">
      <c r="D97" s="8"/>
    </row>
    <row r="98" ht="12.75">
      <c r="D98" s="8"/>
    </row>
  </sheetData>
  <sheetProtection/>
  <printOptions horizontalCentered="1"/>
  <pageMargins left="0.5" right="0.5" top="0.5" bottom="0.5" header="0.25" footer="0.25"/>
  <pageSetup fitToHeight="1" fitToWidth="1" horizontalDpi="600" verticalDpi="600" orientation="landscape" scale="46" r:id="rId1"/>
  <headerFooter alignWithMargins="0">
    <oddFooter>&amp;C&amp;F &amp;D &amp;T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 Natural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NWN User</dc:creator>
  <cp:keywords/>
  <dc:description/>
  <cp:lastModifiedBy>jocarlson</cp:lastModifiedBy>
  <cp:lastPrinted>2008-03-21T22:23:28Z</cp:lastPrinted>
  <dcterms:created xsi:type="dcterms:W3CDTF">2002-04-26T16:56:00Z</dcterms:created>
  <dcterms:modified xsi:type="dcterms:W3CDTF">2008-05-12T17:14:27Z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080546</vt:lpwstr>
  </property>
  <property fmtid="{D5CDD505-2E9C-101B-9397-08002B2CF9AE}" pid="6" name="IsConfidenti">
    <vt:lpwstr>0</vt:lpwstr>
  </property>
  <property fmtid="{D5CDD505-2E9C-101B-9397-08002B2CF9AE}" pid="7" name="Dat">
    <vt:lpwstr>2008-05-12T00:00:00Z</vt:lpwstr>
  </property>
  <property fmtid="{D5CDD505-2E9C-101B-9397-08002B2CF9AE}" pid="8" name="CaseTy">
    <vt:lpwstr>Tariff Revision</vt:lpwstr>
  </property>
  <property fmtid="{D5CDD505-2E9C-101B-9397-08002B2CF9AE}" pid="9" name="OpenedDa">
    <vt:lpwstr>2008-03-28T00:00:00Z</vt:lpwstr>
  </property>
  <property fmtid="{D5CDD505-2E9C-101B-9397-08002B2CF9AE}" pid="10" name="Pref">
    <vt:lpwstr>UG</vt:lpwstr>
  </property>
  <property fmtid="{D5CDD505-2E9C-101B-9397-08002B2CF9AE}" pid="11" name="CaseCompanyNam">
    <vt:lpwstr>Northwest Natural Gas Company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