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calcOnSave="0"/>
</workbook>
</file>

<file path=xl/calcChain.xml><?xml version="1.0" encoding="utf-8"?>
<calcChain xmlns="http://schemas.openxmlformats.org/spreadsheetml/2006/main">
  <c r="G11" i="1" l="1"/>
  <c r="J11" i="1"/>
  <c r="P21" i="1" l="1"/>
  <c r="Q21" i="1"/>
  <c r="R21" i="1"/>
  <c r="S21" i="1"/>
  <c r="I18" i="1"/>
  <c r="H18" i="1"/>
  <c r="N23" i="1"/>
  <c r="L21" i="1"/>
  <c r="I19" i="1"/>
  <c r="J7" i="1"/>
  <c r="O23" i="1" l="1"/>
  <c r="O6" i="1"/>
  <c r="J8" i="1"/>
  <c r="N19" i="1" l="1"/>
  <c r="I10" i="1"/>
  <c r="I13" i="1"/>
  <c r="J12" i="1"/>
  <c r="N12" i="1" s="1"/>
  <c r="O12" i="1" s="1"/>
  <c r="K14" i="1"/>
  <c r="N11" i="1"/>
  <c r="O11" i="1" s="1"/>
  <c r="G9" i="1"/>
  <c r="N9" i="1" s="1"/>
  <c r="O9" i="1" s="1"/>
  <c r="J21" i="1"/>
  <c r="N10" i="1"/>
  <c r="O10" i="1" s="1"/>
  <c r="N13" i="1"/>
  <c r="O13" i="1" s="1"/>
  <c r="N14" i="1"/>
  <c r="O14" i="1" s="1"/>
  <c r="N15" i="1"/>
  <c r="O15" i="1" s="1"/>
  <c r="N17" i="1"/>
  <c r="O17" i="1" s="1"/>
  <c r="N18" i="1"/>
  <c r="N6" i="1"/>
  <c r="L23" i="1"/>
  <c r="H24" i="1"/>
  <c r="I24" i="1"/>
  <c r="J24" i="1"/>
  <c r="J20" i="1" s="1"/>
  <c r="K24" i="1"/>
  <c r="K20" i="1" s="1"/>
  <c r="K21" i="1" s="1"/>
  <c r="L24" i="1"/>
  <c r="M24" i="1"/>
  <c r="P24" i="1"/>
  <c r="R24" i="1"/>
  <c r="G24" i="1"/>
  <c r="G20" i="1" s="1"/>
  <c r="S25" i="1"/>
  <c r="Q25" i="1"/>
  <c r="O25" i="1"/>
  <c r="N25" i="1"/>
  <c r="M20" i="1" l="1"/>
  <c r="M21" i="1" s="1"/>
  <c r="I20" i="1"/>
  <c r="I21" i="1" s="1"/>
  <c r="H20" i="1"/>
  <c r="H21" i="1" s="1"/>
  <c r="G21" i="1"/>
  <c r="O19" i="1"/>
  <c r="O18" i="1"/>
  <c r="N8" i="1"/>
  <c r="O8" i="1" s="1"/>
  <c r="N7" i="1"/>
  <c r="O7" i="1" s="1"/>
  <c r="N20" i="1" l="1"/>
  <c r="G6" i="1"/>
  <c r="E28" i="1"/>
  <c r="E27" i="1"/>
  <c r="N3" i="1"/>
  <c r="D21" i="1"/>
  <c r="C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N24" i="1" l="1"/>
  <c r="O3" i="1"/>
  <c r="E21" i="1"/>
  <c r="E24" i="1" s="1"/>
  <c r="E29" i="1"/>
  <c r="O24" i="1" l="1"/>
  <c r="Q3" i="1"/>
  <c r="O5" i="1"/>
  <c r="N16" i="1"/>
  <c r="N21" i="1" s="1"/>
  <c r="Q24" i="1" l="1"/>
  <c r="S3" i="1"/>
  <c r="S24" i="1" s="1"/>
  <c r="O16" i="1"/>
  <c r="O20" i="1"/>
  <c r="O21" i="1" l="1"/>
</calcChain>
</file>

<file path=xl/comments1.xml><?xml version="1.0" encoding="utf-8"?>
<comments xmlns="http://schemas.openxmlformats.org/spreadsheetml/2006/main">
  <authors>
    <author>Author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in Actual Short Term Purchases - Mark to Market ($7,993,000)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in Actual Financial Gas Transactions - Mark to Market ($8,026,000), combined impact of 547 and 501 "Other" Difference ($7,639,000)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in Actual Financial Gas Transactions - Mark to Market ($8,026,000), combined impact of 547 and 501 "Other" Difference ($7,639,000)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in Actual Short Term Market Sales - Mark to Market $16,019,000</t>
        </r>
      </text>
    </comment>
  </commentList>
</comments>
</file>

<file path=xl/sharedStrings.xml><?xml version="1.0" encoding="utf-8"?>
<sst xmlns="http://schemas.openxmlformats.org/spreadsheetml/2006/main" count="48" uniqueCount="48">
  <si>
    <t>Row</t>
  </si>
  <si>
    <t>Item</t>
  </si>
  <si>
    <t>Kalich</t>
  </si>
  <si>
    <t>Johnson</t>
  </si>
  <si>
    <t>Authorized 2016 System Power Costs (prior to adjustments)</t>
  </si>
  <si>
    <t>Palouse Wind</t>
  </si>
  <si>
    <t>Energy America Reduction/COB Optimization</t>
  </si>
  <si>
    <t>PGE Exchange Expiration</t>
  </si>
  <si>
    <t>Lancaster Payments</t>
  </si>
  <si>
    <t xml:space="preserve">Natural Gas &amp; Power Hedges </t>
  </si>
  <si>
    <t>Other Long Term Wholesale Contracts</t>
  </si>
  <si>
    <t>Ancillary Services Sales</t>
  </si>
  <si>
    <t>Natural Gas Transport</t>
  </si>
  <si>
    <t xml:space="preserve">Electric Transmission </t>
  </si>
  <si>
    <t>Reduction in Load</t>
  </si>
  <si>
    <t>Coyote Springs 2 Upgrade</t>
  </si>
  <si>
    <t>Allow Noxon Rapids to Spill</t>
  </si>
  <si>
    <t>Changes to Natural Gas/Power Prices</t>
  </si>
  <si>
    <t>Other</t>
  </si>
  <si>
    <t>Total System Power Supply Cost Changes</t>
  </si>
  <si>
    <t>Proposed Washington Power Supply Costs (65.73% of 22)</t>
  </si>
  <si>
    <t>Proposed Washington Power Cost Adjustment (net expense)</t>
  </si>
  <si>
    <t>Proposed Washington Power Cost Adjustment (revenue requirement)</t>
  </si>
  <si>
    <t>Total System Power Supply Adjustments</t>
  </si>
  <si>
    <t xml:space="preserve"> 2018-19 Power Supply Cost Forecast (Row 1 + Row 21) - System</t>
  </si>
  <si>
    <t>Change in Transmission Revenues</t>
  </si>
  <si>
    <t>Authorized Washington Power Supply Costs (64.71% of Row 1 minus $1.5 million prior direct WA adjustment)</t>
  </si>
  <si>
    <t>Other Resource Changes</t>
  </si>
  <si>
    <t>Net Cost</t>
  </si>
  <si>
    <t>Table No. 1: Summary of Changes to Power Supply Cost</t>
  </si>
  <si>
    <t>Account 555 - Purchased Power</t>
  </si>
  <si>
    <t>Account 501 - Thermal Fuel</t>
  </si>
  <si>
    <t>Account 547 - Natural Gas Fuel</t>
  </si>
  <si>
    <t>Account 447 - Sales for Resale</t>
  </si>
  <si>
    <t>Account 565 - Transmission Expense</t>
  </si>
  <si>
    <t>Account 456100 - Transmission Revenue</t>
  </si>
  <si>
    <t>Account 557 - Broker Fees</t>
  </si>
  <si>
    <t>Direct WA - Settlement Adjustment</t>
  </si>
  <si>
    <t>Direct WA - Test Year Load Change Cost</t>
  </si>
  <si>
    <t>System Total</t>
  </si>
  <si>
    <t>WA Allocation of System Cost</t>
  </si>
  <si>
    <t>ERM Authorized Expense and Retail Sales</t>
  </si>
  <si>
    <t>WA Jurisdiction Authorized ERM Base</t>
  </si>
  <si>
    <t>2016 Test Year Power Supply Costs</t>
  </si>
  <si>
    <t>Production Transmission Allocation Ratio change from UE-150204 to 2016 test year on allowed system total of $139,149</t>
  </si>
  <si>
    <t>Adjustment 4.00 restates WA Authorized value of  $88,618  to proposed WA Authorized value  of $104,444 in revenue requirement model.</t>
  </si>
  <si>
    <t>Please see 2) Power Supply WA Adj Workbook.xlsx which was a document included in the Andrews' work papers that summarizes all power supply and related adjustments to the test year results of operations.</t>
  </si>
  <si>
    <t>Adjustment 2.18 restates 2016 ERM base power costs to WA Authorized value of  $88,618 in revenue requirement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</si>
</sst>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164" fontId="3" fillId="0" borderId="1" xfId="1" applyNumberFormat="1" applyFont="1" applyBorder="1" applyAlignment="1">
      <alignment horizontal="left" vertical="center" wrapText="1" indent="1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3" fontId="0" fillId="0" borderId="0" xfId="0" applyNumberFormat="1"/>
    <xf numFmtId="3" fontId="6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164" fontId="2" fillId="0" borderId="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164" fontId="2" fillId="0" borderId="8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center" vertical="center"/>
    </xf>
    <xf numFmtId="3" fontId="0" fillId="0" borderId="0" xfId="0" applyNumberFormat="1" applyFill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0" fillId="0" borderId="0" xfId="0" applyNumberFormat="1"/>
    <xf numFmtId="3" fontId="0" fillId="0" borderId="0" xfId="0" applyNumberFormat="1" applyBorder="1"/>
    <xf numFmtId="3" fontId="3" fillId="0" borderId="4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horizontal="right" vertical="center" wrapText="1"/>
    </xf>
    <xf numFmtId="164" fontId="2" fillId="0" borderId="11" xfId="1" applyNumberFormat="1" applyFont="1" applyBorder="1" applyAlignment="1">
      <alignment horizontal="center" vertical="center"/>
    </xf>
    <xf numFmtId="0" fontId="0" fillId="0" borderId="0" xfId="0" applyFill="1"/>
    <xf numFmtId="3" fontId="6" fillId="0" borderId="2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3" fontId="0" fillId="0" borderId="14" xfId="0" applyNumberFormat="1" applyBorder="1"/>
    <xf numFmtId="0" fontId="0" fillId="0" borderId="0" xfId="0" applyFill="1" applyBorder="1"/>
    <xf numFmtId="3" fontId="6" fillId="0" borderId="4" xfId="1" applyNumberFormat="1" applyFont="1" applyBorder="1" applyAlignment="1">
      <alignment horizontal="right" vertical="center" wrapText="1"/>
    </xf>
    <xf numFmtId="0" fontId="0" fillId="0" borderId="15" xfId="0" applyBorder="1"/>
    <xf numFmtId="3" fontId="6" fillId="0" borderId="9" xfId="1" applyNumberFormat="1" applyFont="1" applyBorder="1" applyAlignment="1">
      <alignment horizontal="right" vertical="center" wrapText="1"/>
    </xf>
    <xf numFmtId="164" fontId="2" fillId="0" borderId="12" xfId="1" applyNumberFormat="1" applyFont="1" applyFill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0" xfId="1" applyNumberFormat="1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2" fillId="0" borderId="10" xfId="1" applyNumberFormat="1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topLeftCell="H1" workbookViewId="0">
      <pane ySplit="2064" topLeftCell="A13" activePane="bottomLeft"/>
      <selection activeCell="O3" sqref="O3:O25"/>
      <selection pane="bottomLeft" activeCell="P4" sqref="P4:S4"/>
    </sheetView>
  </sheetViews>
  <sheetFormatPr defaultRowHeight="14.4" x14ac:dyDescent="0.3"/>
  <cols>
    <col min="1" max="1" width="8.88671875" style="11"/>
    <col min="2" max="2" width="44.88671875" customWidth="1"/>
    <col min="3" max="3" width="12.6640625" customWidth="1"/>
    <col min="4" max="4" width="13" customWidth="1"/>
    <col min="5" max="5" width="14.33203125" customWidth="1"/>
    <col min="6" max="6" width="2.44140625" customWidth="1"/>
    <col min="7" max="7" width="13.5546875" customWidth="1"/>
    <col min="8" max="8" width="11.77734375" customWidth="1"/>
    <col min="9" max="9" width="13.33203125" customWidth="1"/>
    <col min="10" max="10" width="13.44140625" customWidth="1"/>
    <col min="11" max="11" width="12.33203125" customWidth="1"/>
    <col min="12" max="12" width="14.33203125" customWidth="1"/>
    <col min="13" max="13" width="11.21875" customWidth="1"/>
    <col min="14" max="14" width="13.109375" customWidth="1"/>
    <col min="15" max="15" width="12.77734375" customWidth="1"/>
    <col min="16" max="16" width="11.88671875" customWidth="1"/>
    <col min="17" max="17" width="13.88671875" customWidth="1"/>
    <col min="18" max="18" width="13.33203125" customWidth="1"/>
    <col min="19" max="19" width="12.6640625" customWidth="1"/>
    <col min="20" max="20" width="13.44140625" customWidth="1"/>
  </cols>
  <sheetData>
    <row r="1" spans="1:20" x14ac:dyDescent="0.3">
      <c r="A1" s="58" t="s">
        <v>29</v>
      </c>
      <c r="B1" s="58"/>
      <c r="C1" s="58"/>
      <c r="D1" s="58"/>
      <c r="E1" s="58"/>
      <c r="G1" s="59" t="s">
        <v>41</v>
      </c>
      <c r="H1" s="59"/>
      <c r="I1" s="59"/>
      <c r="J1" s="59"/>
      <c r="K1" s="59"/>
      <c r="L1" s="59"/>
      <c r="M1" s="59"/>
    </row>
    <row r="2" spans="1:20" ht="54.6" customHeight="1" thickBot="1" x14ac:dyDescent="0.35">
      <c r="A2" s="15" t="s">
        <v>0</v>
      </c>
      <c r="B2" s="1" t="s">
        <v>1</v>
      </c>
      <c r="C2" s="2" t="s">
        <v>2</v>
      </c>
      <c r="D2" s="2" t="s">
        <v>3</v>
      </c>
      <c r="E2" s="3" t="s">
        <v>28</v>
      </c>
      <c r="G2" s="20" t="s">
        <v>30</v>
      </c>
      <c r="H2" s="20" t="s">
        <v>31</v>
      </c>
      <c r="I2" s="20" t="s">
        <v>32</v>
      </c>
      <c r="J2" s="20" t="s">
        <v>33</v>
      </c>
      <c r="K2" s="20" t="s">
        <v>34</v>
      </c>
      <c r="L2" s="20" t="s">
        <v>35</v>
      </c>
      <c r="M2" s="20" t="s">
        <v>36</v>
      </c>
      <c r="N2" s="20" t="s">
        <v>39</v>
      </c>
      <c r="O2" s="20" t="s">
        <v>40</v>
      </c>
      <c r="P2" s="20" t="s">
        <v>37</v>
      </c>
      <c r="Q2" s="20" t="s">
        <v>42</v>
      </c>
      <c r="R2" s="20" t="s">
        <v>38</v>
      </c>
      <c r="S2" s="20" t="s">
        <v>43</v>
      </c>
    </row>
    <row r="3" spans="1:20" ht="31.2" customHeight="1" thickBot="1" x14ac:dyDescent="0.35">
      <c r="A3" s="15">
        <v>1</v>
      </c>
      <c r="B3" s="55" t="s">
        <v>4</v>
      </c>
      <c r="C3" s="56"/>
      <c r="D3" s="57"/>
      <c r="E3" s="14">
        <v>139148765.65779692</v>
      </c>
      <c r="G3" s="22">
        <v>119195328.2</v>
      </c>
      <c r="H3" s="23">
        <v>29123409.199999999</v>
      </c>
      <c r="I3" s="23">
        <v>77293435.200000003</v>
      </c>
      <c r="J3" s="23">
        <v>-88588364</v>
      </c>
      <c r="K3" s="23">
        <v>17237232.100000001</v>
      </c>
      <c r="L3" s="23">
        <v>-15802275</v>
      </c>
      <c r="M3" s="23">
        <v>690000.2</v>
      </c>
      <c r="N3" s="33">
        <f>SUM(G3:M3)</f>
        <v>139148765.90000001</v>
      </c>
      <c r="O3" s="23">
        <f>N3*0.6471</f>
        <v>90043166.413890004</v>
      </c>
      <c r="P3" s="23">
        <v>-1500000</v>
      </c>
      <c r="Q3" s="24">
        <f>SUM(O3:P3)</f>
        <v>88543166.413890004</v>
      </c>
      <c r="R3" s="23">
        <v>74855</v>
      </c>
      <c r="S3" s="25">
        <f>Q3+R3</f>
        <v>88618021.413890004</v>
      </c>
      <c r="T3" s="21"/>
    </row>
    <row r="4" spans="1:20" ht="49.8" customHeight="1" thickBot="1" x14ac:dyDescent="0.35">
      <c r="A4" s="15"/>
      <c r="B4" s="35"/>
      <c r="C4" s="36"/>
      <c r="D4" s="36"/>
      <c r="E4" s="41"/>
      <c r="F4" s="28"/>
      <c r="G4" s="26"/>
      <c r="H4" s="26"/>
      <c r="I4" s="26"/>
      <c r="J4" s="26"/>
      <c r="K4" s="26"/>
      <c r="L4" s="26"/>
      <c r="M4" s="26"/>
      <c r="N4" s="42"/>
      <c r="O4" s="26"/>
      <c r="P4" s="74" t="s">
        <v>47</v>
      </c>
      <c r="Q4" s="74"/>
      <c r="R4" s="74"/>
      <c r="S4" s="74"/>
      <c r="T4" s="21"/>
    </row>
    <row r="5" spans="1:20" ht="33.6" customHeight="1" x14ac:dyDescent="0.3">
      <c r="A5" s="15">
        <v>2</v>
      </c>
      <c r="B5" s="5"/>
      <c r="C5" s="6"/>
      <c r="D5" s="6"/>
      <c r="E5" s="4"/>
      <c r="N5" s="29"/>
      <c r="O5" s="54">
        <f>N3*0.6573-O3</f>
        <v>1419317.4121800065</v>
      </c>
      <c r="P5" s="61" t="s">
        <v>44</v>
      </c>
      <c r="Q5" s="61"/>
      <c r="R5" s="61"/>
      <c r="S5" s="61"/>
    </row>
    <row r="6" spans="1:20" ht="15.6" x14ac:dyDescent="0.3">
      <c r="A6" s="15">
        <v>3</v>
      </c>
      <c r="B6" s="5" t="s">
        <v>5</v>
      </c>
      <c r="C6" s="7"/>
      <c r="D6" s="8">
        <v>870000</v>
      </c>
      <c r="E6" s="9">
        <f t="shared" ref="E6:E20" si="0">SUM(C6:D6)</f>
        <v>870000</v>
      </c>
      <c r="G6" s="34">
        <f>E6</f>
        <v>870000</v>
      </c>
      <c r="H6" s="34"/>
      <c r="I6" s="34"/>
      <c r="J6" s="34"/>
      <c r="K6" s="34"/>
      <c r="L6" s="34"/>
      <c r="M6" s="34"/>
      <c r="N6" s="30">
        <f>SUM(G6:M6)</f>
        <v>870000</v>
      </c>
      <c r="O6" s="30">
        <f>N6*0.6573</f>
        <v>571851</v>
      </c>
    </row>
    <row r="7" spans="1:20" ht="15.6" x14ac:dyDescent="0.3">
      <c r="A7" s="15">
        <v>4</v>
      </c>
      <c r="B7" s="5" t="s">
        <v>6</v>
      </c>
      <c r="C7" s="7">
        <v>-2119526.8500905149</v>
      </c>
      <c r="D7" s="7">
        <v>3314595.0950446222</v>
      </c>
      <c r="E7" s="9">
        <f t="shared" si="0"/>
        <v>1195068.2449541073</v>
      </c>
      <c r="G7" s="34">
        <v>-328703</v>
      </c>
      <c r="H7" s="34"/>
      <c r="I7" s="34"/>
      <c r="J7" s="34">
        <f>D7-1790824</f>
        <v>1523771.0950446222</v>
      </c>
      <c r="K7" s="34"/>
      <c r="L7" s="34"/>
      <c r="M7" s="34"/>
      <c r="N7" s="30">
        <f t="shared" ref="N7:N19" si="1">SUM(G7:M7)</f>
        <v>1195068.0950446222</v>
      </c>
      <c r="O7" s="30">
        <f t="shared" ref="O7:O20" si="2">N7*0.6573</f>
        <v>785518.25887283019</v>
      </c>
    </row>
    <row r="8" spans="1:20" ht="15.6" x14ac:dyDescent="0.3">
      <c r="A8" s="15">
        <v>5</v>
      </c>
      <c r="B8" s="5" t="s">
        <v>7</v>
      </c>
      <c r="C8" s="7">
        <v>-3209143.8812526395</v>
      </c>
      <c r="D8" s="7">
        <v>19278000</v>
      </c>
      <c r="E8" s="9">
        <f t="shared" si="0"/>
        <v>16068856.118747361</v>
      </c>
      <c r="G8" s="34">
        <v>-2826497</v>
      </c>
      <c r="H8" s="34"/>
      <c r="I8" s="34"/>
      <c r="J8" s="34">
        <f>D8-382647</f>
        <v>18895353</v>
      </c>
      <c r="K8" s="34"/>
      <c r="L8" s="34"/>
      <c r="M8" s="34"/>
      <c r="N8" s="30">
        <f t="shared" si="1"/>
        <v>16068856</v>
      </c>
      <c r="O8" s="30">
        <f t="shared" si="2"/>
        <v>10562059.048799999</v>
      </c>
    </row>
    <row r="9" spans="1:20" ht="15.6" x14ac:dyDescent="0.3">
      <c r="A9" s="15">
        <v>6</v>
      </c>
      <c r="B9" s="5" t="s">
        <v>8</v>
      </c>
      <c r="C9" s="7"/>
      <c r="D9" s="8">
        <v>490642</v>
      </c>
      <c r="E9" s="9">
        <f t="shared" si="0"/>
        <v>490642</v>
      </c>
      <c r="G9" s="34">
        <f>D9</f>
        <v>490642</v>
      </c>
      <c r="H9" s="34"/>
      <c r="I9" s="34"/>
      <c r="J9" s="34"/>
      <c r="K9" s="34"/>
      <c r="L9" s="34"/>
      <c r="M9" s="34"/>
      <c r="N9" s="30">
        <f t="shared" si="1"/>
        <v>490642</v>
      </c>
      <c r="O9" s="30">
        <f t="shared" si="2"/>
        <v>322498.9866</v>
      </c>
    </row>
    <row r="10" spans="1:20" ht="15.6" x14ac:dyDescent="0.3">
      <c r="A10" s="15">
        <v>7</v>
      </c>
      <c r="B10" s="5" t="s">
        <v>9</v>
      </c>
      <c r="C10" s="7"/>
      <c r="D10" s="8">
        <v>462000</v>
      </c>
      <c r="E10" s="9">
        <f t="shared" si="0"/>
        <v>462000</v>
      </c>
      <c r="G10" s="34"/>
      <c r="H10" s="34"/>
      <c r="I10" s="34">
        <f>D10</f>
        <v>462000</v>
      </c>
      <c r="J10" s="34"/>
      <c r="K10" s="34"/>
      <c r="L10" s="34"/>
      <c r="M10" s="34"/>
      <c r="N10" s="30">
        <f t="shared" si="1"/>
        <v>462000</v>
      </c>
      <c r="O10" s="30">
        <f t="shared" si="2"/>
        <v>303672.59999999998</v>
      </c>
    </row>
    <row r="11" spans="1:20" ht="15.6" x14ac:dyDescent="0.3">
      <c r="A11" s="15">
        <v>8</v>
      </c>
      <c r="B11" s="5" t="s">
        <v>10</v>
      </c>
      <c r="C11" s="7">
        <v>1638289.4011824611</v>
      </c>
      <c r="D11" s="7">
        <v>2193035.8115264899</v>
      </c>
      <c r="E11" s="9">
        <f t="shared" si="0"/>
        <v>3831325.212708951</v>
      </c>
      <c r="G11" s="34">
        <f>2193036-785047+526783</f>
        <v>1934772</v>
      </c>
      <c r="H11" s="34">
        <v>2083</v>
      </c>
      <c r="I11" s="34">
        <v>-50588</v>
      </c>
      <c r="J11" s="34">
        <f>785047+1160011</f>
        <v>1945058</v>
      </c>
      <c r="K11" s="34"/>
      <c r="L11" s="34"/>
      <c r="M11" s="34"/>
      <c r="N11" s="30">
        <f t="shared" si="1"/>
        <v>3831325</v>
      </c>
      <c r="O11" s="30">
        <f t="shared" si="2"/>
        <v>2518329.9224999999</v>
      </c>
    </row>
    <row r="12" spans="1:20" ht="15.6" x14ac:dyDescent="0.3">
      <c r="A12" s="15">
        <v>9</v>
      </c>
      <c r="B12" s="5" t="s">
        <v>11</v>
      </c>
      <c r="C12" s="7"/>
      <c r="D12" s="8">
        <v>-25000</v>
      </c>
      <c r="E12" s="9">
        <f t="shared" si="0"/>
        <v>-25000</v>
      </c>
      <c r="G12" s="34"/>
      <c r="H12" s="34"/>
      <c r="I12" s="34"/>
      <c r="J12" s="34">
        <f>D12</f>
        <v>-25000</v>
      </c>
      <c r="K12" s="34"/>
      <c r="L12" s="34"/>
      <c r="M12" s="34"/>
      <c r="N12" s="30">
        <f t="shared" si="1"/>
        <v>-25000</v>
      </c>
      <c r="O12" s="30">
        <f t="shared" si="2"/>
        <v>-16432.5</v>
      </c>
    </row>
    <row r="13" spans="1:20" ht="15.6" x14ac:dyDescent="0.3">
      <c r="A13" s="15">
        <v>10</v>
      </c>
      <c r="B13" s="5" t="s">
        <v>12</v>
      </c>
      <c r="C13" s="7"/>
      <c r="D13" s="8">
        <v>-1107000</v>
      </c>
      <c r="E13" s="9">
        <f t="shared" si="0"/>
        <v>-1107000</v>
      </c>
      <c r="G13" s="34"/>
      <c r="H13" s="34"/>
      <c r="I13" s="34">
        <f>D13</f>
        <v>-1107000</v>
      </c>
      <c r="J13" s="34"/>
      <c r="K13" s="34"/>
      <c r="L13" s="34"/>
      <c r="M13" s="34"/>
      <c r="N13" s="30">
        <f t="shared" si="1"/>
        <v>-1107000</v>
      </c>
      <c r="O13" s="30">
        <f t="shared" si="2"/>
        <v>-727631.1</v>
      </c>
    </row>
    <row r="14" spans="1:20" ht="15.6" x14ac:dyDescent="0.3">
      <c r="A14" s="15">
        <v>11</v>
      </c>
      <c r="B14" s="5" t="s">
        <v>13</v>
      </c>
      <c r="C14" s="7"/>
      <c r="D14" s="8">
        <v>167000</v>
      </c>
      <c r="E14" s="9">
        <f t="shared" si="0"/>
        <v>167000</v>
      </c>
      <c r="G14" s="34"/>
      <c r="H14" s="34"/>
      <c r="I14" s="34"/>
      <c r="J14" s="34"/>
      <c r="K14" s="34">
        <f>D14</f>
        <v>167000</v>
      </c>
      <c r="L14" s="34"/>
      <c r="M14" s="34"/>
      <c r="N14" s="30">
        <f t="shared" si="1"/>
        <v>167000</v>
      </c>
      <c r="O14" s="30">
        <f t="shared" si="2"/>
        <v>109769.1</v>
      </c>
    </row>
    <row r="15" spans="1:20" ht="15.6" x14ac:dyDescent="0.3">
      <c r="A15" s="15">
        <v>12</v>
      </c>
      <c r="B15" s="5" t="s">
        <v>14</v>
      </c>
      <c r="C15" s="8">
        <v>-1629043.3160889442</v>
      </c>
      <c r="D15" s="7"/>
      <c r="E15" s="9">
        <f t="shared" si="0"/>
        <v>-1629043.3160889442</v>
      </c>
      <c r="G15" s="34">
        <v>-144868</v>
      </c>
      <c r="H15" s="34"/>
      <c r="I15" s="34">
        <v>-299016</v>
      </c>
      <c r="J15" s="34">
        <v>-1185159</v>
      </c>
      <c r="K15" s="34"/>
      <c r="L15" s="34"/>
      <c r="M15" s="34"/>
      <c r="N15" s="30">
        <f t="shared" si="1"/>
        <v>-1629043</v>
      </c>
      <c r="O15" s="30">
        <f t="shared" si="2"/>
        <v>-1070769.9639000001</v>
      </c>
    </row>
    <row r="16" spans="1:20" ht="15.6" x14ac:dyDescent="0.3">
      <c r="A16" s="15">
        <v>13</v>
      </c>
      <c r="B16" s="5" t="s">
        <v>15</v>
      </c>
      <c r="C16" s="8">
        <v>-615342.3581588068</v>
      </c>
      <c r="D16" s="7"/>
      <c r="E16" s="9">
        <f t="shared" si="0"/>
        <v>-615342.3581588068</v>
      </c>
      <c r="G16" s="34">
        <v>-313440</v>
      </c>
      <c r="H16" s="34">
        <v>-7898</v>
      </c>
      <c r="I16" s="34">
        <v>1520781</v>
      </c>
      <c r="J16" s="34">
        <v>-1814785</v>
      </c>
      <c r="K16" s="34"/>
      <c r="L16" s="34"/>
      <c r="M16" s="34"/>
      <c r="N16" s="30">
        <f t="shared" si="1"/>
        <v>-615342</v>
      </c>
      <c r="O16" s="30">
        <f t="shared" si="2"/>
        <v>-404464.2966</v>
      </c>
      <c r="P16" s="34"/>
    </row>
    <row r="17" spans="1:19" ht="15.6" x14ac:dyDescent="0.3">
      <c r="A17" s="15">
        <v>14</v>
      </c>
      <c r="B17" s="5" t="s">
        <v>16</v>
      </c>
      <c r="C17" s="8">
        <v>-83930.149044063</v>
      </c>
      <c r="D17" s="7"/>
      <c r="E17" s="9">
        <f t="shared" si="0"/>
        <v>-83930.149044063</v>
      </c>
      <c r="G17" s="34">
        <v>53329</v>
      </c>
      <c r="H17" s="34">
        <v>-1320</v>
      </c>
      <c r="I17" s="34">
        <v>-95675</v>
      </c>
      <c r="J17" s="34">
        <v>-40264</v>
      </c>
      <c r="K17" s="34"/>
      <c r="L17" s="34"/>
      <c r="M17" s="34"/>
      <c r="N17" s="30">
        <f t="shared" si="1"/>
        <v>-83930</v>
      </c>
      <c r="O17" s="30">
        <f t="shared" si="2"/>
        <v>-55167.188999999998</v>
      </c>
      <c r="P17" s="34"/>
    </row>
    <row r="18" spans="1:19" ht="15.6" x14ac:dyDescent="0.3">
      <c r="A18" s="15">
        <v>15</v>
      </c>
      <c r="B18" s="5" t="s">
        <v>27</v>
      </c>
      <c r="C18" s="8">
        <v>2169561.849163787</v>
      </c>
      <c r="D18" s="7"/>
      <c r="E18" s="9">
        <f t="shared" si="0"/>
        <v>2169561.849163787</v>
      </c>
      <c r="G18" s="34">
        <v>1647900</v>
      </c>
      <c r="H18" s="34">
        <f>2048936-0</f>
        <v>2048936</v>
      </c>
      <c r="I18" s="34">
        <f>-1446133</f>
        <v>-1446133</v>
      </c>
      <c r="J18" s="34">
        <v>-81141</v>
      </c>
      <c r="K18" s="34"/>
      <c r="L18" s="34"/>
      <c r="M18" s="34"/>
      <c r="N18" s="30">
        <f t="shared" si="1"/>
        <v>2169562</v>
      </c>
      <c r="O18" s="30">
        <f t="shared" si="2"/>
        <v>1426053.1026000001</v>
      </c>
      <c r="P18" s="34"/>
    </row>
    <row r="19" spans="1:19" ht="15.6" x14ac:dyDescent="0.3">
      <c r="A19" s="15">
        <v>16</v>
      </c>
      <c r="B19" s="5" t="s">
        <v>17</v>
      </c>
      <c r="C19" s="8">
        <v>-3089847.514030138</v>
      </c>
      <c r="D19" s="7">
        <v>68565.719333121553</v>
      </c>
      <c r="E19" s="9">
        <f t="shared" si="0"/>
        <v>-3021281.7946970165</v>
      </c>
      <c r="G19" s="34">
        <v>-676326</v>
      </c>
      <c r="H19" s="34">
        <v>-248797</v>
      </c>
      <c r="I19" s="34">
        <f>-682603+D19</f>
        <v>-614037.28066687845</v>
      </c>
      <c r="J19" s="34">
        <v>-1482122</v>
      </c>
      <c r="K19" s="34"/>
      <c r="L19" s="34"/>
      <c r="M19" s="34">
        <v>0</v>
      </c>
      <c r="N19" s="30">
        <f t="shared" si="1"/>
        <v>-3021282.2806668784</v>
      </c>
      <c r="O19" s="30">
        <f t="shared" si="2"/>
        <v>-1985888.8430823393</v>
      </c>
      <c r="P19" s="12"/>
    </row>
    <row r="20" spans="1:19" ht="15.6" x14ac:dyDescent="0.3">
      <c r="A20" s="15">
        <v>17</v>
      </c>
      <c r="B20" s="5" t="s">
        <v>18</v>
      </c>
      <c r="C20" s="8">
        <v>-213287.19470300339</v>
      </c>
      <c r="D20" s="8">
        <v>537141.45308772102</v>
      </c>
      <c r="E20" s="9">
        <f t="shared" si="0"/>
        <v>323854.25838471763</v>
      </c>
      <c r="F20" s="37"/>
      <c r="G20" s="12">
        <f t="shared" ref="G20:J20" si="3">G24-SUM(G6:G19)</f>
        <v>-8507083.200000003</v>
      </c>
      <c r="H20" s="12">
        <f t="shared" si="3"/>
        <v>-2042480.1999999993</v>
      </c>
      <c r="I20" s="12">
        <f t="shared" si="3"/>
        <v>-5596475.9193331245</v>
      </c>
      <c r="J20" s="12">
        <f t="shared" si="3"/>
        <v>16748797.90495538</v>
      </c>
      <c r="K20" s="12">
        <f>K24-SUM(K6:K19)</f>
        <v>95.899999998509884</v>
      </c>
      <c r="L20" s="12">
        <v>0</v>
      </c>
      <c r="M20" s="12">
        <f>M24-SUM(M6:M19)</f>
        <v>-279000.19999999995</v>
      </c>
      <c r="N20" s="30">
        <f>SUM(G20:M20)</f>
        <v>323854.28562225145</v>
      </c>
      <c r="O20" s="30">
        <f t="shared" si="2"/>
        <v>212869.42193950588</v>
      </c>
      <c r="P20" s="38"/>
      <c r="Q20" s="28"/>
      <c r="R20" s="28"/>
      <c r="S20" s="28"/>
    </row>
    <row r="21" spans="1:19" ht="15.6" x14ac:dyDescent="0.3">
      <c r="A21" s="15">
        <v>18</v>
      </c>
      <c r="B21" s="10" t="s">
        <v>19</v>
      </c>
      <c r="C21" s="7">
        <f>SUM(C6:C20)</f>
        <v>-7152270.0130218603</v>
      </c>
      <c r="D21" s="7">
        <f>SUM(D6:D20)</f>
        <v>26248980.078991953</v>
      </c>
      <c r="E21" s="7">
        <f>SUM(E6:E20)</f>
        <v>19096710.065970093</v>
      </c>
      <c r="F21" s="37"/>
      <c r="G21" s="7">
        <f>ROUND(SUM(G6:G20),0)</f>
        <v>-7800274</v>
      </c>
      <c r="H21" s="7">
        <f t="shared" ref="H21:N21" si="4">ROUND(SUM(H6:H20),0)</f>
        <v>-249476</v>
      </c>
      <c r="I21" s="7">
        <f t="shared" si="4"/>
        <v>-7226144</v>
      </c>
      <c r="J21" s="7">
        <f t="shared" si="4"/>
        <v>34484509</v>
      </c>
      <c r="K21" s="7">
        <f t="shared" si="4"/>
        <v>167096</v>
      </c>
      <c r="L21" s="7">
        <f t="shared" si="4"/>
        <v>0</v>
      </c>
      <c r="M21" s="27">
        <f t="shared" si="4"/>
        <v>-279000</v>
      </c>
      <c r="N21" s="32">
        <f t="shared" si="4"/>
        <v>19096710</v>
      </c>
      <c r="O21" s="32">
        <f>SUM(O5:O20)</f>
        <v>13971584.960910002</v>
      </c>
      <c r="P21" s="39">
        <f t="shared" ref="P21:S21" si="5">SUM(P5:P20)</f>
        <v>0</v>
      </c>
      <c r="Q21" s="7">
        <f t="shared" si="5"/>
        <v>0</v>
      </c>
      <c r="R21" s="7">
        <f t="shared" si="5"/>
        <v>0</v>
      </c>
      <c r="S21" s="7">
        <f t="shared" si="5"/>
        <v>0</v>
      </c>
    </row>
    <row r="22" spans="1:19" ht="15.6" x14ac:dyDescent="0.3">
      <c r="A22" s="15">
        <v>19</v>
      </c>
      <c r="B22" s="5"/>
      <c r="C22" s="7"/>
      <c r="D22" s="7"/>
      <c r="E22" s="7"/>
      <c r="F22" s="37"/>
      <c r="G22" s="34"/>
      <c r="M22" s="28"/>
      <c r="N22" s="50"/>
      <c r="O22" s="50"/>
      <c r="P22" s="28"/>
      <c r="Q22" s="28"/>
      <c r="R22" s="28"/>
      <c r="S22" s="28"/>
    </row>
    <row r="23" spans="1:19" ht="15.6" x14ac:dyDescent="0.3">
      <c r="A23" s="15">
        <v>20</v>
      </c>
      <c r="B23" s="65" t="s">
        <v>25</v>
      </c>
      <c r="C23" s="66"/>
      <c r="D23" s="67"/>
      <c r="E23" s="7">
        <v>652789.89306000201</v>
      </c>
      <c r="G23" s="43"/>
      <c r="H23" s="43"/>
      <c r="I23" s="43"/>
      <c r="J23" s="43"/>
      <c r="K23" s="43"/>
      <c r="L23" s="34">
        <f>E23</f>
        <v>652789.89306000201</v>
      </c>
      <c r="M23" s="48"/>
      <c r="N23" s="47">
        <f>ROUND(SUM(G23:M23),0)</f>
        <v>652790</v>
      </c>
      <c r="O23" s="47">
        <f t="shared" ref="O23" si="6">N23*0.6573</f>
        <v>429078.86699999997</v>
      </c>
      <c r="P23" s="28"/>
    </row>
    <row r="24" spans="1:19" ht="46.8" customHeight="1" x14ac:dyDescent="0.3">
      <c r="A24" s="15">
        <v>21</v>
      </c>
      <c r="B24" s="55" t="s">
        <v>23</v>
      </c>
      <c r="C24" s="56"/>
      <c r="D24" s="57"/>
      <c r="E24" s="13">
        <f>E21+E23</f>
        <v>19749499.959030095</v>
      </c>
      <c r="G24" s="13">
        <f t="shared" ref="G24:S24" si="7">G25-G3</f>
        <v>-7800274.200000003</v>
      </c>
      <c r="H24" s="13">
        <f t="shared" si="7"/>
        <v>-249476.19999999925</v>
      </c>
      <c r="I24" s="13">
        <f t="shared" si="7"/>
        <v>-7226144.200000003</v>
      </c>
      <c r="J24" s="13">
        <f t="shared" si="7"/>
        <v>34484509</v>
      </c>
      <c r="K24" s="13">
        <f t="shared" si="7"/>
        <v>167095.89999999851</v>
      </c>
      <c r="L24" s="13">
        <f t="shared" si="7"/>
        <v>652790</v>
      </c>
      <c r="M24" s="44">
        <f t="shared" si="7"/>
        <v>-279000.19999999995</v>
      </c>
      <c r="N24" s="51">
        <f t="shared" si="7"/>
        <v>19749500.099999994</v>
      </c>
      <c r="O24" s="51">
        <f t="shared" si="7"/>
        <v>14400663.827909991</v>
      </c>
      <c r="P24" s="49">
        <f t="shared" si="7"/>
        <v>1500000</v>
      </c>
      <c r="Q24" s="13">
        <f t="shared" si="7"/>
        <v>15900663.827909991</v>
      </c>
      <c r="R24" s="13">
        <f t="shared" si="7"/>
        <v>-74855</v>
      </c>
      <c r="S24" s="13">
        <f t="shared" si="7"/>
        <v>15825808.827909991</v>
      </c>
    </row>
    <row r="25" spans="1:19" ht="46.8" customHeight="1" thickBot="1" x14ac:dyDescent="0.35">
      <c r="A25" s="15">
        <v>22</v>
      </c>
      <c r="B25" s="55" t="s">
        <v>24</v>
      </c>
      <c r="C25" s="56"/>
      <c r="D25" s="57"/>
      <c r="E25" s="14">
        <v>158898265.61682701</v>
      </c>
      <c r="G25" s="23">
        <v>111395054</v>
      </c>
      <c r="H25" s="23">
        <v>28873933</v>
      </c>
      <c r="I25" s="23">
        <v>70067291</v>
      </c>
      <c r="J25" s="23">
        <v>-54103855</v>
      </c>
      <c r="K25" s="23">
        <v>17404328</v>
      </c>
      <c r="L25" s="23">
        <v>-15149485</v>
      </c>
      <c r="M25" s="53">
        <v>411000</v>
      </c>
      <c r="N25" s="31">
        <f>SUM(G25:M25)</f>
        <v>158898266</v>
      </c>
      <c r="O25" s="40">
        <f>N25*0.6573</f>
        <v>104443830.2418</v>
      </c>
      <c r="P25" s="52">
        <v>0</v>
      </c>
      <c r="Q25" s="45">
        <f>SUM(O25:P25)</f>
        <v>104443830.2418</v>
      </c>
      <c r="R25" s="45">
        <v>0</v>
      </c>
      <c r="S25" s="46">
        <f>Q25+R25</f>
        <v>104443830.2418</v>
      </c>
    </row>
    <row r="26" spans="1:19" ht="16.2" customHeight="1" x14ac:dyDescent="0.3">
      <c r="A26" s="15">
        <v>23</v>
      </c>
      <c r="B26" s="68"/>
      <c r="C26" s="69"/>
      <c r="D26" s="70"/>
      <c r="E26" s="7"/>
      <c r="P26" s="62" t="s">
        <v>45</v>
      </c>
      <c r="Q26" s="62"/>
      <c r="R26" s="62"/>
      <c r="S26" s="62"/>
    </row>
    <row r="27" spans="1:19" ht="31.8" customHeight="1" x14ac:dyDescent="0.3">
      <c r="A27" s="16">
        <v>24</v>
      </c>
      <c r="B27" s="60" t="s">
        <v>26</v>
      </c>
      <c r="C27" s="60"/>
      <c r="D27" s="60"/>
      <c r="E27" s="17">
        <f>E3*0.6471-1500000</f>
        <v>88543166.25716038</v>
      </c>
      <c r="P27" s="63"/>
      <c r="Q27" s="63"/>
      <c r="R27" s="63"/>
      <c r="S27" s="63"/>
    </row>
    <row r="28" spans="1:19" ht="22.2" customHeight="1" x14ac:dyDescent="0.3">
      <c r="A28" s="15">
        <v>25</v>
      </c>
      <c r="B28" s="60" t="s">
        <v>20</v>
      </c>
      <c r="C28" s="60"/>
      <c r="D28" s="60"/>
      <c r="E28" s="17">
        <f>E25*0.6573</f>
        <v>104443829.98994039</v>
      </c>
      <c r="P28" s="63"/>
      <c r="Q28" s="63"/>
      <c r="R28" s="63"/>
      <c r="S28" s="63"/>
    </row>
    <row r="29" spans="1:19" ht="23.4" customHeight="1" x14ac:dyDescent="0.3">
      <c r="A29" s="15">
        <v>26</v>
      </c>
      <c r="B29" s="55" t="s">
        <v>21</v>
      </c>
      <c r="C29" s="56"/>
      <c r="D29" s="57"/>
      <c r="E29" s="18">
        <f>E28-E27</f>
        <v>15900663.73278001</v>
      </c>
      <c r="P29" s="64" t="s">
        <v>46</v>
      </c>
      <c r="Q29" s="64"/>
      <c r="R29" s="64"/>
      <c r="S29" s="64"/>
    </row>
    <row r="30" spans="1:19" ht="23.4" customHeight="1" x14ac:dyDescent="0.3">
      <c r="A30" s="15">
        <v>27</v>
      </c>
      <c r="B30" s="71" t="s">
        <v>22</v>
      </c>
      <c r="C30" s="72"/>
      <c r="D30" s="73"/>
      <c r="E30" s="19">
        <v>16609000</v>
      </c>
      <c r="P30" s="64"/>
      <c r="Q30" s="64"/>
      <c r="R30" s="64"/>
      <c r="S30" s="64"/>
    </row>
    <row r="31" spans="1:19" ht="31.2" customHeight="1" x14ac:dyDescent="0.3">
      <c r="P31" s="64"/>
      <c r="Q31" s="64"/>
      <c r="R31" s="64"/>
      <c r="S31" s="64"/>
    </row>
  </sheetData>
  <mergeCells count="15">
    <mergeCell ref="P4:S4"/>
    <mergeCell ref="P5:S5"/>
    <mergeCell ref="P26:S28"/>
    <mergeCell ref="P29:S31"/>
    <mergeCell ref="B23:D23"/>
    <mergeCell ref="B26:D26"/>
    <mergeCell ref="B28:D28"/>
    <mergeCell ref="B29:D29"/>
    <mergeCell ref="B30:D30"/>
    <mergeCell ref="B3:D3"/>
    <mergeCell ref="A1:E1"/>
    <mergeCell ref="G1:M1"/>
    <mergeCell ref="B24:D24"/>
    <mergeCell ref="B27:D27"/>
    <mergeCell ref="B25:D25"/>
  </mergeCells>
  <pageMargins left="0.45" right="0.45" top="0.75" bottom="0.75" header="0.3" footer="0.3"/>
  <pageSetup paperSize="5" scale="6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2018-03-21T07:00:00+00:00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EFD4975-4C9C-4F87-9E5F-35704CAB874A}"/>
</file>

<file path=customXml/itemProps2.xml><?xml version="1.0" encoding="utf-8"?>
<ds:datastoreItem xmlns:ds="http://schemas.openxmlformats.org/officeDocument/2006/customXml" ds:itemID="{C781C60A-3954-47CC-9545-1D0F23A33B6D}"/>
</file>

<file path=customXml/itemProps3.xml><?xml version="1.0" encoding="utf-8"?>
<ds:datastoreItem xmlns:ds="http://schemas.openxmlformats.org/officeDocument/2006/customXml" ds:itemID="{581B7A15-F1BB-45D6-AB6A-F5AB2AFF4C64}"/>
</file>

<file path=customXml/itemProps4.xml><?xml version="1.0" encoding="utf-8"?>
<ds:datastoreItem xmlns:ds="http://schemas.openxmlformats.org/officeDocument/2006/customXml" ds:itemID="{F81DBC7C-B571-490D-89C2-B43FCF3CD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2018-03-21T19:43:28Z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