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3_ncr:1_{A8FE6670-31F5-4215-9A62-ECA7FEAB718F}" xr6:coauthVersionLast="47" xr6:coauthVersionMax="47" xr10:uidLastSave="{00000000-0000-0000-0000-000000000000}"/>
  <bookViews>
    <workbookView xWindow="28680" yWindow="-120" windowWidth="29040" windowHeight="15840" xr2:uid="{45A3B4B2-750C-44E7-BFCE-AD6AD259B8A5}"/>
  </bookViews>
  <sheets>
    <sheet name="Exhibit JP-2 PCAM Calculation" sheetId="1" r:id="rId1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FuelCost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Burn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Cost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CDQF_Exp">#REF!</definedName>
    <definedName name="ECDQF_MWh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ill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>#REF!</definedName>
    <definedName name="MSPAverageInput">#REF!</definedName>
    <definedName name="MSPYearEndInput">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ak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 localSheetId="0">'Exhibit JP-2 PCAM Calculation'!$A$1:$P$38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rtMWh">#REF!</definedName>
    <definedName name="StartTheMill">#REF!</definedName>
    <definedName name="StartTheRack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N34" i="1"/>
  <c r="L34" i="1"/>
  <c r="K34" i="1"/>
  <c r="I34" i="1"/>
  <c r="H34" i="1"/>
  <c r="F34" i="1"/>
  <c r="E34" i="1"/>
  <c r="C18" i="1"/>
  <c r="A18" i="1"/>
  <c r="P16" i="1"/>
  <c r="A16" i="1"/>
  <c r="C12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C9" i="1"/>
  <c r="G8" i="1"/>
  <c r="H9" i="1"/>
  <c r="H12" i="1" s="1"/>
  <c r="G7" i="1"/>
  <c r="L12" i="1" l="1"/>
  <c r="L14" i="1" s="1"/>
  <c r="L18" i="1" s="1"/>
  <c r="H14" i="1"/>
  <c r="H18" i="1" s="1"/>
  <c r="K12" i="1"/>
  <c r="K14" i="1" s="1"/>
  <c r="K18" i="1" s="1"/>
  <c r="J12" i="1"/>
  <c r="J14" i="1" s="1"/>
  <c r="J18" i="1" s="1"/>
  <c r="I12" i="1"/>
  <c r="I14" i="1" s="1"/>
  <c r="I18" i="1"/>
  <c r="D9" i="1"/>
  <c r="A22" i="1"/>
  <c r="A19" i="1"/>
  <c r="A23" i="1"/>
  <c r="A27" i="1" l="1"/>
  <c r="A24" i="1"/>
  <c r="C19" i="1"/>
  <c r="D12" i="1"/>
  <c r="D14" i="1" s="1"/>
  <c r="G9" i="1"/>
  <c r="G12" i="1" s="1"/>
  <c r="G14" i="1" s="1"/>
  <c r="G18" i="1" s="1"/>
  <c r="F12" i="1"/>
  <c r="F14" i="1" s="1"/>
  <c r="F18" i="1" s="1"/>
  <c r="E12" i="1"/>
  <c r="E14" i="1" s="1"/>
  <c r="E18" i="1" s="1"/>
  <c r="A28" i="1" l="1"/>
  <c r="P14" i="1"/>
  <c r="D18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J24" i="1" l="1"/>
  <c r="I24" i="1"/>
  <c r="H24" i="1"/>
  <c r="O24" i="1"/>
  <c r="G24" i="1"/>
  <c r="N24" i="1"/>
  <c r="F24" i="1"/>
  <c r="M24" i="1"/>
  <c r="E24" i="1"/>
  <c r="L24" i="1"/>
  <c r="D24" i="1"/>
  <c r="K24" i="1"/>
  <c r="A29" i="1"/>
  <c r="L30" i="1" l="1"/>
  <c r="L23" i="1"/>
  <c r="L29" i="1"/>
  <c r="E30" i="1"/>
  <c r="E23" i="1"/>
  <c r="E29" i="1"/>
  <c r="M30" i="1"/>
  <c r="M23" i="1"/>
  <c r="M29" i="1"/>
  <c r="A30" i="1"/>
  <c r="A31" i="1" s="1"/>
  <c r="F23" i="1"/>
  <c r="F29" i="1"/>
  <c r="F30" i="1"/>
  <c r="N23" i="1"/>
  <c r="N29" i="1"/>
  <c r="N30" i="1"/>
  <c r="G23" i="1"/>
  <c r="G29" i="1"/>
  <c r="G30" i="1"/>
  <c r="O23" i="1"/>
  <c r="P24" i="1"/>
  <c r="O29" i="1"/>
  <c r="O30" i="1"/>
  <c r="K30" i="1"/>
  <c r="K23" i="1"/>
  <c r="K29" i="1"/>
  <c r="D27" i="1"/>
  <c r="D30" i="1"/>
  <c r="D23" i="1"/>
  <c r="D28" i="1" s="1"/>
  <c r="D29" i="1"/>
  <c r="H29" i="1"/>
  <c r="H30" i="1"/>
  <c r="H23" i="1"/>
  <c r="I29" i="1"/>
  <c r="I30" i="1"/>
  <c r="I23" i="1"/>
  <c r="J29" i="1"/>
  <c r="J30" i="1"/>
  <c r="J23" i="1"/>
  <c r="D31" i="1" l="1"/>
  <c r="A34" i="1"/>
  <c r="A35" i="1" s="1"/>
  <c r="E27" i="1"/>
  <c r="F27" i="1" s="1"/>
  <c r="F31" i="1" l="1"/>
  <c r="F36" i="1" s="1"/>
  <c r="F28" i="1"/>
  <c r="C36" i="1"/>
  <c r="C37" i="1"/>
  <c r="A36" i="1"/>
  <c r="H27" i="1"/>
  <c r="A37" i="1"/>
  <c r="A38" i="1" s="1"/>
  <c r="G27" i="1"/>
  <c r="I27" i="1"/>
  <c r="J27" i="1" s="1"/>
  <c r="E28" i="1"/>
  <c r="E31" i="1" s="1"/>
  <c r="D36" i="1"/>
  <c r="J31" i="1" l="1"/>
  <c r="J36" i="1" s="1"/>
  <c r="J28" i="1"/>
  <c r="K27" i="1"/>
  <c r="L27" i="1" s="1"/>
  <c r="E36" i="1"/>
  <c r="E37" i="1" s="1"/>
  <c r="H28" i="1"/>
  <c r="H31" i="1" s="1"/>
  <c r="H36" i="1" s="1"/>
  <c r="D37" i="1"/>
  <c r="D38" i="1"/>
  <c r="E35" i="1" s="1"/>
  <c r="C38" i="1"/>
  <c r="I28" i="1"/>
  <c r="I31" i="1" s="1"/>
  <c r="I36" i="1" s="1"/>
  <c r="G28" i="1"/>
  <c r="G31" i="1" s="1"/>
  <c r="L28" i="1" l="1"/>
  <c r="L31" i="1" s="1"/>
  <c r="L36" i="1" s="1"/>
  <c r="G36" i="1"/>
  <c r="M27" i="1"/>
  <c r="K28" i="1"/>
  <c r="K31" i="1" s="1"/>
  <c r="E38" i="1"/>
  <c r="F35" i="1" s="1"/>
  <c r="K36" i="1" l="1"/>
  <c r="F37" i="1"/>
  <c r="F38" i="1" s="1"/>
  <c r="G35" i="1" s="1"/>
  <c r="M28" i="1"/>
  <c r="M31" i="1" s="1"/>
  <c r="N27" i="1"/>
  <c r="M36" i="1" l="1"/>
  <c r="G37" i="1"/>
  <c r="G38" i="1" s="1"/>
  <c r="H35" i="1" s="1"/>
  <c r="N28" i="1"/>
  <c r="N31" i="1" s="1"/>
  <c r="N36" i="1" s="1"/>
  <c r="O27" i="1"/>
  <c r="H37" i="1" l="1"/>
  <c r="H38" i="1" s="1"/>
  <c r="I35" i="1" s="1"/>
  <c r="O28" i="1"/>
  <c r="O31" i="1" s="1"/>
  <c r="O36" i="1" l="1"/>
  <c r="P31" i="1"/>
  <c r="I38" i="1"/>
  <c r="J35" i="1" s="1"/>
  <c r="I37" i="1"/>
  <c r="J37" i="1" l="1"/>
  <c r="J38" i="1" s="1"/>
  <c r="K35" i="1" s="1"/>
  <c r="K37" i="1" l="1"/>
  <c r="K38" i="1" s="1"/>
  <c r="L35" i="1" s="1"/>
  <c r="L37" i="1" l="1"/>
  <c r="L38" i="1" s="1"/>
  <c r="M35" i="1" s="1"/>
  <c r="M37" i="1" l="1"/>
  <c r="M38" i="1" s="1"/>
  <c r="N35" i="1" s="1"/>
  <c r="N37" i="1" l="1"/>
  <c r="N38" i="1" s="1"/>
  <c r="O35" i="1" s="1"/>
  <c r="O37" i="1" l="1"/>
  <c r="O38" i="1" s="1"/>
  <c r="P38" i="1" s="1"/>
</calcChain>
</file>

<file path=xl/sharedStrings.xml><?xml version="1.0" encoding="utf-8"?>
<sst xmlns="http://schemas.openxmlformats.org/spreadsheetml/2006/main" count="46" uniqueCount="45">
  <si>
    <t>Line No.</t>
  </si>
  <si>
    <t>Base NPC in Rates:</t>
  </si>
  <si>
    <t>UE-210402</t>
  </si>
  <si>
    <t>UE-210402  /  UE-230172</t>
  </si>
  <si>
    <t>UE-230172</t>
  </si>
  <si>
    <t>Total Annual NPC in Rates</t>
  </si>
  <si>
    <t>Retail Sales @ Meter in Rates</t>
  </si>
  <si>
    <t>NPC $/MWh - Final NPC October Update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</si>
  <si>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</si>
  <si>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</si>
  <si>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</si>
  <si>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</si>
  <si>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</si>
  <si>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</si>
  <si>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WIJAM Allocated Adjusted Actual NPC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</si>
  <si>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</si>
  <si>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</si>
  <si>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</si>
  <si>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</si>
  <si>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</si>
  <si>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</si>
  <si>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</si>
  <si>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</si>
  <si>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</si>
  <si>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</si>
  <si>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</si>
  <si>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</si>
  <si>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</si>
  <si>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</si>
  <si>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</si>
  <si>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</si>
  <si>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</si>
  <si>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</si>
  <si>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</si>
  <si>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</si>
  <si>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</si>
  <si>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</si>
  <si>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Carrying Charge</t>
  </si>
  <si>
    <t>Ending PCAM Balance</t>
  </si>
  <si>
    <t>Washington Power Cost Adjustment Mechanism</t>
  </si>
  <si>
    <t>Deferral Period: January 1, 2024 - December 31, 2024</t>
  </si>
  <si>
    <t>Exhibit No. JP-2: Power Cost Adjustment Mechanism Calculation</t>
  </si>
  <si>
    <t>(4.1)</t>
  </si>
  <si>
    <t>(7.1)</t>
  </si>
  <si>
    <t>(3.1)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</si>
</sst>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65" fontId="0" fillId="0" borderId="0" xfId="2" applyNumberFormat="1" applyFont="1"/>
    <xf numFmtId="0" fontId="4" fillId="0" borderId="0" xfId="0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0" fillId="0" borderId="0" xfId="2" applyFont="1"/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0" xfId="4" applyFont="1" applyFill="1" applyAlignment="1">
      <alignment horizontal="center" vertical="center"/>
    </xf>
    <xf numFmtId="41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1" fontId="4" fillId="0" borderId="0" xfId="4" applyNumberFormat="1" applyFont="1" applyFill="1" applyAlignment="1">
      <alignment horizontal="right" vertical="center"/>
    </xf>
    <xf numFmtId="41" fontId="0" fillId="0" borderId="2" xfId="0" applyNumberForma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1" fillId="0" borderId="2" xfId="4" applyNumberFormat="1" applyFont="1" applyFill="1" applyBorder="1" applyAlignment="1">
      <alignment horizontal="center" vertical="center"/>
    </xf>
    <xf numFmtId="41" fontId="1" fillId="0" borderId="0" xfId="4" applyNumberFormat="1" applyFont="1" applyFill="1" applyBorder="1" applyAlignment="1">
      <alignment horizontal="center" vertical="center"/>
    </xf>
    <xf numFmtId="41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165" fontId="4" fillId="0" borderId="2" xfId="4" applyNumberFormat="1" applyFont="1" applyFill="1" applyBorder="1" applyAlignment="1">
      <alignment horizontal="right" vertical="center"/>
    </xf>
    <xf numFmtId="165" fontId="0" fillId="0" borderId="2" xfId="0" applyNumberFormat="1" applyBorder="1" applyAlignment="1">
      <alignment vertical="center"/>
    </xf>
    <xf numFmtId="165" fontId="4" fillId="0" borderId="0" xfId="4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6" fontId="0" fillId="0" borderId="0" xfId="1" applyNumberFormat="1" applyFont="1"/>
    <xf numFmtId="41" fontId="4" fillId="0" borderId="0" xfId="4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9" fontId="0" fillId="0" borderId="0" xfId="3" applyFont="1"/>
    <xf numFmtId="166" fontId="4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2" fillId="0" borderId="0" xfId="0" applyFont="1" applyAlignment="1">
      <alignment wrapText="1"/>
    </xf>
    <xf numFmtId="165" fontId="4" fillId="0" borderId="0" xfId="4" applyNumberFormat="1" applyFont="1" applyFill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0" fontId="0" fillId="0" borderId="0" xfId="3" applyNumberFormat="1" applyFont="1" applyFill="1"/>
    <xf numFmtId="165" fontId="0" fillId="0" borderId="0" xfId="2" applyNumberFormat="1" applyFont="1" applyFill="1" applyAlignment="1">
      <alignment horizontal="center"/>
    </xf>
    <xf numFmtId="43" fontId="0" fillId="0" borderId="0" xfId="0" applyNumberFormat="1"/>
    <xf numFmtId="166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66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Currency 2 2" xfId="4" xr:uid="{9B8EAE5C-1594-4A54-A848-27FCBCE02523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CC6A-1248-4523-A306-EECCA2BD6483}">
  <sheetPr>
    <pageSetUpPr fitToPage="1"/>
  </sheetPr>
  <dimension ref="A1:X39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5.5703125" customWidth="1"/>
    <col min="2" max="2" width="49" customWidth="1"/>
    <col min="3" max="3" width="35.5703125" style="2" customWidth="1"/>
    <col min="4" max="16" width="14.710937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 x14ac:dyDescent="0.2">
      <c r="A1" s="1" t="s">
        <v>39</v>
      </c>
    </row>
    <row r="2" spans="1:16" x14ac:dyDescent="0.2">
      <c r="A2" s="1" t="s">
        <v>40</v>
      </c>
    </row>
    <row r="3" spans="1:16" x14ac:dyDescent="0.2">
      <c r="A3" s="1" t="s">
        <v>41</v>
      </c>
    </row>
    <row r="5" spans="1:16" ht="25.5" x14ac:dyDescent="0.2">
      <c r="A5" s="3" t="s">
        <v>0</v>
      </c>
      <c r="B5" s="4"/>
      <c r="E5" s="5"/>
      <c r="F5" s="5"/>
      <c r="G5" s="5"/>
      <c r="H5" s="5"/>
    </row>
    <row r="6" spans="1:16" ht="25.5" x14ac:dyDescent="0.2">
      <c r="A6" s="6" t="s">
        <v>1</v>
      </c>
      <c r="B6" s="4"/>
      <c r="C6" s="7"/>
      <c r="D6" s="5" t="s">
        <v>2</v>
      </c>
      <c r="E6" s="8"/>
      <c r="F6" s="8"/>
      <c r="G6" s="9" t="s">
        <v>3</v>
      </c>
      <c r="H6" s="5" t="s">
        <v>4</v>
      </c>
    </row>
    <row r="7" spans="1:16" x14ac:dyDescent="0.2">
      <c r="A7" s="10">
        <v>1</v>
      </c>
      <c r="B7" s="11" t="s">
        <v>5</v>
      </c>
      <c r="C7" s="2" t="s">
        <v>42</v>
      </c>
      <c r="D7" s="12">
        <v>145191095.09510398</v>
      </c>
      <c r="E7" s="12"/>
      <c r="F7" s="11"/>
      <c r="G7" s="12">
        <f>(D7*2/30)+(H7*28/30)</f>
        <v>187661844.37295699</v>
      </c>
      <c r="H7" s="12">
        <v>190695469.32137507</v>
      </c>
    </row>
    <row r="8" spans="1:16" x14ac:dyDescent="0.2">
      <c r="A8" s="13">
        <v>2</v>
      </c>
      <c r="B8" t="s">
        <v>6</v>
      </c>
      <c r="C8" s="2" t="s">
        <v>43</v>
      </c>
      <c r="D8" s="14">
        <v>4081606.818594561</v>
      </c>
      <c r="E8" s="14"/>
      <c r="G8" s="15">
        <f>(D8*2/30)+(H8*28/30)</f>
        <v>4186672.6749149412</v>
      </c>
      <c r="H8" s="14">
        <v>4194177.3789378256</v>
      </c>
    </row>
    <row r="9" spans="1:16" x14ac:dyDescent="0.2">
      <c r="A9" s="13">
        <v>3</v>
      </c>
      <c r="B9" t="s">
        <v>7</v>
      </c>
      <c r="C9" s="2" t="str">
        <f>"Line "&amp;A7&amp;" / Line "&amp;A8</f>
        <v>Line 1 / Line 2</v>
      </c>
      <c r="D9" s="16">
        <f>+D7/D8</f>
        <v>35.572043449569286</v>
      </c>
      <c r="E9" s="17"/>
      <c r="G9" s="18">
        <f>(D9*2/30)+(H9*28/30)</f>
        <v>44.807070624687825</v>
      </c>
      <c r="H9" s="16">
        <f>+H7/H8</f>
        <v>45.466715422910575</v>
      </c>
      <c r="I9" s="19"/>
    </row>
    <row r="10" spans="1:16" x14ac:dyDescent="0.2">
      <c r="A10" s="20"/>
      <c r="B10" s="4"/>
      <c r="D10" s="8"/>
      <c r="E10" s="8"/>
      <c r="F10" s="8"/>
      <c r="G10" s="8"/>
    </row>
    <row r="11" spans="1:16" x14ac:dyDescent="0.2">
      <c r="A11" s="21" t="s">
        <v>8</v>
      </c>
      <c r="B11" s="22"/>
      <c r="D11" s="23">
        <v>45292</v>
      </c>
      <c r="E11" s="23">
        <f>EDATE(D11,1)</f>
        <v>45323</v>
      </c>
      <c r="F11" s="23">
        <f t="shared" ref="F11:O11" si="0">EDATE(E11,1)</f>
        <v>45352</v>
      </c>
      <c r="G11" s="23">
        <f t="shared" si="0"/>
        <v>45383</v>
      </c>
      <c r="H11" s="23">
        <f t="shared" si="0"/>
        <v>45413</v>
      </c>
      <c r="I11" s="23">
        <f t="shared" si="0"/>
        <v>45444</v>
      </c>
      <c r="J11" s="23">
        <f t="shared" si="0"/>
        <v>45474</v>
      </c>
      <c r="K11" s="23">
        <f t="shared" si="0"/>
        <v>45505</v>
      </c>
      <c r="L11" s="23">
        <f t="shared" si="0"/>
        <v>45536</v>
      </c>
      <c r="M11" s="23">
        <f t="shared" si="0"/>
        <v>45566</v>
      </c>
      <c r="N11" s="23">
        <f t="shared" si="0"/>
        <v>45597</v>
      </c>
      <c r="O11" s="23">
        <f t="shared" si="0"/>
        <v>45627</v>
      </c>
      <c r="P11" s="24" t="s">
        <v>9</v>
      </c>
    </row>
    <row r="12" spans="1:16" x14ac:dyDescent="0.2">
      <c r="A12" s="10">
        <v>4</v>
      </c>
      <c r="B12" s="22" t="s">
        <v>10</v>
      </c>
      <c r="C12" s="2" t="str">
        <f>"Line "&amp;A9</f>
        <v>Line 3</v>
      </c>
      <c r="D12" s="25">
        <f>$D$9</f>
        <v>35.572043449569286</v>
      </c>
      <c r="E12" s="25">
        <f t="shared" ref="E12:F12" si="1">$D$9</f>
        <v>35.572043449569286</v>
      </c>
      <c r="F12" s="25">
        <f t="shared" si="1"/>
        <v>35.572043449569286</v>
      </c>
      <c r="G12" s="25">
        <f>G9</f>
        <v>44.807070624687825</v>
      </c>
      <c r="H12" s="25">
        <f>H9</f>
        <v>45.466715422910575</v>
      </c>
      <c r="I12" s="25">
        <f>$H$12</f>
        <v>45.466715422910575</v>
      </c>
      <c r="J12" s="25">
        <f t="shared" ref="J12:L12" si="2">$H$12</f>
        <v>45.466715422910575</v>
      </c>
      <c r="K12" s="25">
        <f t="shared" si="2"/>
        <v>45.466715422910575</v>
      </c>
      <c r="L12" s="25">
        <f t="shared" si="2"/>
        <v>45.466715422910575</v>
      </c>
      <c r="M12" s="25"/>
      <c r="N12" s="25"/>
      <c r="O12" s="25"/>
    </row>
    <row r="13" spans="1:16" x14ac:dyDescent="0.2">
      <c r="A13" s="10">
        <v>5</v>
      </c>
      <c r="B13" s="22" t="s">
        <v>11</v>
      </c>
      <c r="C13" s="2" t="s">
        <v>43</v>
      </c>
      <c r="D13" s="26">
        <v>433202.54799999995</v>
      </c>
      <c r="E13" s="26">
        <v>332763.36300000001</v>
      </c>
      <c r="F13" s="26">
        <v>319181.94299999997</v>
      </c>
      <c r="G13" s="26">
        <v>270241.23599999998</v>
      </c>
      <c r="H13" s="26">
        <v>287252.70199999999</v>
      </c>
      <c r="I13" s="26">
        <v>306559.90600000002</v>
      </c>
      <c r="J13" s="26">
        <v>390566.96100000001</v>
      </c>
      <c r="K13" s="26">
        <v>362480.45400000003</v>
      </c>
      <c r="L13" s="26">
        <v>318244.02</v>
      </c>
      <c r="M13" s="26"/>
      <c r="N13" s="26"/>
      <c r="O13" s="26"/>
    </row>
    <row r="14" spans="1:16" x14ac:dyDescent="0.2">
      <c r="A14" s="10">
        <v>6</v>
      </c>
      <c r="B14" s="27" t="s">
        <v>12</v>
      </c>
      <c r="C14" s="28" t="s">
        <v>13</v>
      </c>
      <c r="D14" s="29">
        <f>D12*D13</f>
        <v>15409899.859920122</v>
      </c>
      <c r="E14" s="29">
        <f t="shared" ref="E14:L14" si="3">E12*E13</f>
        <v>11837072.807060797</v>
      </c>
      <c r="F14" s="29">
        <f t="shared" si="3"/>
        <v>11353953.944713946</v>
      </c>
      <c r="G14" s="29">
        <f t="shared" si="3"/>
        <v>12108718.147154929</v>
      </c>
      <c r="H14" s="29">
        <f t="shared" si="3"/>
        <v>13060436.856296135</v>
      </c>
      <c r="I14" s="29">
        <f t="shared" si="3"/>
        <v>13938272.006176217</v>
      </c>
      <c r="J14" s="29">
        <f t="shared" si="3"/>
        <v>17757796.869378012</v>
      </c>
      <c r="K14" s="29">
        <f t="shared" si="3"/>
        <v>16480795.648385428</v>
      </c>
      <c r="L14" s="29">
        <f t="shared" si="3"/>
        <v>14469510.292383062</v>
      </c>
      <c r="M14" s="29"/>
      <c r="N14" s="29"/>
      <c r="O14" s="29"/>
      <c r="P14" s="30">
        <f>SUM(D14:O14)</f>
        <v>126416456.43146865</v>
      </c>
    </row>
    <row r="15" spans="1:16" x14ac:dyDescent="0.2">
      <c r="A15" s="10"/>
      <c r="B15" s="31"/>
      <c r="C15" s="32"/>
      <c r="D15" s="33"/>
      <c r="E15" s="33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10">
        <f>MAX($A$11:A15)+1</f>
        <v>7</v>
      </c>
      <c r="B16" s="35" t="s">
        <v>14</v>
      </c>
      <c r="C16" s="2" t="s">
        <v>44</v>
      </c>
      <c r="D16" s="36">
        <v>47574851.725393251</v>
      </c>
      <c r="E16" s="36">
        <v>16624485.541755218</v>
      </c>
      <c r="F16" s="36">
        <v>12600829.165839452</v>
      </c>
      <c r="G16" s="36">
        <v>11988418.939600561</v>
      </c>
      <c r="H16" s="36">
        <v>13635766.52343799</v>
      </c>
      <c r="I16" s="36">
        <v>14577208.984834936</v>
      </c>
      <c r="J16" s="36">
        <v>26214444.18054742</v>
      </c>
      <c r="K16" s="36">
        <v>20929191.076099038</v>
      </c>
      <c r="L16" s="36">
        <v>22519905.631202225</v>
      </c>
      <c r="M16" s="36"/>
      <c r="N16" s="36"/>
      <c r="O16" s="36"/>
      <c r="P16" s="30">
        <f>SUM(D16:O16)</f>
        <v>186665101.76871008</v>
      </c>
    </row>
    <row r="17" spans="1:24" x14ac:dyDescent="0.2">
      <c r="A17" s="10"/>
      <c r="B17" s="35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24" x14ac:dyDescent="0.2">
      <c r="A18" s="10">
        <f>MAX($A$11:A17)+1</f>
        <v>8</v>
      </c>
      <c r="B18" s="27" t="s">
        <v>15</v>
      </c>
      <c r="C18" s="2" t="str">
        <f>"Line "&amp;A16&amp;" - Line "&amp;A14</f>
        <v>Line 7 - Line 6</v>
      </c>
      <c r="D18" s="29">
        <f t="shared" ref="D18:L18" si="4">+D16-D14</f>
        <v>32164951.865473129</v>
      </c>
      <c r="E18" s="29">
        <f t="shared" si="4"/>
        <v>4787412.7346944213</v>
      </c>
      <c r="F18" s="29">
        <f t="shared" si="4"/>
        <v>1246875.2211255059</v>
      </c>
      <c r="G18" s="29">
        <f t="shared" si="4"/>
        <v>-120299.2075543683</v>
      </c>
      <c r="H18" s="29">
        <f t="shared" si="4"/>
        <v>575329.66714185476</v>
      </c>
      <c r="I18" s="29">
        <f t="shared" si="4"/>
        <v>638936.97865871899</v>
      </c>
      <c r="J18" s="29">
        <f t="shared" si="4"/>
        <v>8456647.3111694083</v>
      </c>
      <c r="K18" s="29">
        <f t="shared" si="4"/>
        <v>4448395.4277136102</v>
      </c>
      <c r="L18" s="29">
        <f t="shared" si="4"/>
        <v>8050395.3388191629</v>
      </c>
      <c r="M18" s="29"/>
      <c r="N18" s="29"/>
      <c r="O18" s="29"/>
      <c r="P18" s="38"/>
    </row>
    <row r="19" spans="1:24" x14ac:dyDescent="0.2">
      <c r="A19" s="10">
        <f>MAX($A$11:A18)+1</f>
        <v>9</v>
      </c>
      <c r="B19" s="27" t="s">
        <v>16</v>
      </c>
      <c r="C19" s="39" t="str">
        <f>"Line "&amp;A18&amp;" + Prior Month Line "&amp;A19</f>
        <v>Line 8 + Prior Month Line 9</v>
      </c>
      <c r="D19" s="40">
        <f>+D18</f>
        <v>32164951.865473129</v>
      </c>
      <c r="E19" s="40">
        <f t="shared" ref="E19:J19" si="5">+E18+D19</f>
        <v>36952364.60016755</v>
      </c>
      <c r="F19" s="40">
        <f t="shared" si="5"/>
        <v>38199239.821293056</v>
      </c>
      <c r="G19" s="40">
        <f t="shared" si="5"/>
        <v>38078940.613738686</v>
      </c>
      <c r="H19" s="40">
        <f t="shared" si="5"/>
        <v>38654270.280880541</v>
      </c>
      <c r="I19" s="40">
        <f t="shared" si="5"/>
        <v>39293207.259539261</v>
      </c>
      <c r="J19" s="40">
        <f t="shared" si="5"/>
        <v>47749854.57070867</v>
      </c>
      <c r="K19" s="40">
        <f>+K18+J19</f>
        <v>52198249.99842228</v>
      </c>
      <c r="L19" s="40">
        <f>+L18+K19</f>
        <v>60248645.337241441</v>
      </c>
      <c r="M19" s="40">
        <f>+M18+L19</f>
        <v>60248645.337241441</v>
      </c>
      <c r="N19" s="40">
        <f>+N18+M19</f>
        <v>60248645.337241441</v>
      </c>
      <c r="O19" s="40">
        <f>+O18+N19</f>
        <v>60248645.337241441</v>
      </c>
      <c r="P19" s="41">
        <f>+O19</f>
        <v>60248645.337241441</v>
      </c>
    </row>
    <row r="20" spans="1:24" x14ac:dyDescent="0.2">
      <c r="A20" s="10"/>
      <c r="B20" s="27"/>
      <c r="C20" s="39"/>
      <c r="D20" s="42"/>
      <c r="E20" s="42"/>
      <c r="F20" s="42"/>
      <c r="G20" s="42"/>
      <c r="H20" s="43"/>
      <c r="I20" s="43"/>
      <c r="J20" s="43"/>
      <c r="K20" s="43"/>
      <c r="L20" s="43"/>
      <c r="M20" s="43"/>
      <c r="N20" s="43"/>
      <c r="O20" s="43"/>
      <c r="P20" s="44"/>
    </row>
    <row r="21" spans="1:24" x14ac:dyDescent="0.2">
      <c r="A21" s="45" t="s">
        <v>17</v>
      </c>
      <c r="B21" s="27"/>
      <c r="C21" s="46"/>
      <c r="D21" s="42"/>
      <c r="E21" s="42"/>
      <c r="F21" s="42"/>
      <c r="G21" s="42"/>
      <c r="H21" s="44"/>
      <c r="I21" s="44"/>
      <c r="J21" s="44"/>
      <c r="K21" s="44"/>
      <c r="L21" s="44"/>
      <c r="M21" s="44"/>
      <c r="N21" s="44"/>
      <c r="O21" s="44"/>
    </row>
    <row r="22" spans="1:24" x14ac:dyDescent="0.2">
      <c r="A22" s="10">
        <f>MAX($A$11:A21)+1</f>
        <v>10</v>
      </c>
      <c r="B22" s="35" t="s">
        <v>18</v>
      </c>
      <c r="C22" s="46"/>
      <c r="D22" s="42"/>
      <c r="E22" s="42"/>
      <c r="F22" s="42"/>
      <c r="G22" s="42"/>
      <c r="H22" s="44"/>
      <c r="I22" s="44"/>
      <c r="J22" s="44"/>
      <c r="K22" s="44"/>
      <c r="L22" s="44"/>
      <c r="M22" s="44"/>
      <c r="N22" s="44"/>
      <c r="O22" s="44"/>
      <c r="P22" s="34">
        <v>4000000</v>
      </c>
      <c r="Q22" s="44"/>
      <c r="R22" s="47"/>
      <c r="S22" s="47"/>
      <c r="T22" s="47"/>
    </row>
    <row r="23" spans="1:24" x14ac:dyDescent="0.2">
      <c r="A23" s="10">
        <f>MAX($A$11:A22)+1</f>
        <v>11</v>
      </c>
      <c r="B23" s="35" t="s">
        <v>19</v>
      </c>
      <c r="C23" s="46"/>
      <c r="D23" s="48">
        <f>D24</f>
        <v>28164951.865473129</v>
      </c>
      <c r="E23" s="48">
        <f>E24-D24</f>
        <v>4787412.7346944213</v>
      </c>
      <c r="F23" s="48">
        <f>F24-E24</f>
        <v>1246875.2211255059</v>
      </c>
      <c r="G23" s="48">
        <f>G24-F24</f>
        <v>-120299.20755437016</v>
      </c>
      <c r="H23" s="48">
        <f>H24-G24</f>
        <v>575329.66714185476</v>
      </c>
      <c r="I23" s="48">
        <f t="shared" ref="I23:O23" si="6">I24-H24</f>
        <v>638936.97865872085</v>
      </c>
      <c r="J23" s="48">
        <f t="shared" si="6"/>
        <v>8456647.3111694083</v>
      </c>
      <c r="K23" s="48">
        <f t="shared" si="6"/>
        <v>4448395.4277136102</v>
      </c>
      <c r="L23" s="48">
        <f t="shared" si="6"/>
        <v>8050395.3388191611</v>
      </c>
      <c r="M23" s="48">
        <f t="shared" si="6"/>
        <v>0</v>
      </c>
      <c r="N23" s="48">
        <f t="shared" si="6"/>
        <v>0</v>
      </c>
      <c r="O23" s="48">
        <f t="shared" si="6"/>
        <v>0</v>
      </c>
      <c r="P23" s="44"/>
      <c r="R23" s="47"/>
      <c r="S23" s="47"/>
      <c r="T23" s="47"/>
    </row>
    <row r="24" spans="1:24" ht="12.75" customHeight="1" x14ac:dyDescent="0.2">
      <c r="A24" s="10">
        <f>MAX($A$11:A23)+1</f>
        <v>12</v>
      </c>
      <c r="B24" s="35" t="s">
        <v>20</v>
      </c>
      <c r="C24" s="46"/>
      <c r="D24" s="40">
        <f t="shared" ref="D24:O24" si="7">IF(OR($P$19&gt;$P$22,$P$19&lt;-$P$22),IF(AND($P$19&gt;$P$22,D19&gt;$P$22),D19-$P$22,IF(AND($P$19&lt;-$P$22,D19&lt;-$P$22),D19+$P$22,0)),0)</f>
        <v>28164951.865473129</v>
      </c>
      <c r="E24" s="40">
        <f t="shared" si="7"/>
        <v>32952364.60016755</v>
      </c>
      <c r="F24" s="40">
        <f t="shared" si="7"/>
        <v>34199239.821293056</v>
      </c>
      <c r="G24" s="40">
        <f t="shared" si="7"/>
        <v>34078940.613738686</v>
      </c>
      <c r="H24" s="40">
        <f t="shared" si="7"/>
        <v>34654270.280880541</v>
      </c>
      <c r="I24" s="40">
        <f t="shared" si="7"/>
        <v>35293207.259539261</v>
      </c>
      <c r="J24" s="40">
        <f t="shared" si="7"/>
        <v>43749854.57070867</v>
      </c>
      <c r="K24" s="40">
        <f t="shared" si="7"/>
        <v>48198249.99842228</v>
      </c>
      <c r="L24" s="40">
        <f t="shared" si="7"/>
        <v>56248645.337241441</v>
      </c>
      <c r="M24" s="40">
        <f t="shared" si="7"/>
        <v>56248645.337241441</v>
      </c>
      <c r="N24" s="40">
        <f t="shared" si="7"/>
        <v>56248645.337241441</v>
      </c>
      <c r="O24" s="40">
        <f t="shared" si="7"/>
        <v>56248645.337241441</v>
      </c>
      <c r="P24" s="40">
        <f>+O24</f>
        <v>56248645.337241441</v>
      </c>
      <c r="R24" s="47"/>
      <c r="S24" s="47"/>
      <c r="T24" s="47"/>
    </row>
    <row r="25" spans="1:24" x14ac:dyDescent="0.2">
      <c r="A25" s="10"/>
      <c r="B25" s="35"/>
      <c r="C25" s="46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4"/>
      <c r="R25" s="49" t="s">
        <v>21</v>
      </c>
      <c r="S25" s="49"/>
      <c r="T25" s="49"/>
      <c r="U25" s="49"/>
    </row>
    <row r="26" spans="1:24" x14ac:dyDescent="0.2">
      <c r="A26" s="31" t="s">
        <v>22</v>
      </c>
      <c r="B26" s="35"/>
      <c r="C26" s="46"/>
      <c r="D26" s="42"/>
      <c r="E26" s="42"/>
      <c r="F26" s="42"/>
      <c r="G26" s="42"/>
      <c r="H26" s="44"/>
      <c r="I26" s="44"/>
      <c r="J26" s="44"/>
      <c r="K26" s="44"/>
      <c r="L26" s="44"/>
      <c r="M26" s="44"/>
      <c r="N26" s="44"/>
      <c r="O26" s="44"/>
      <c r="R26" t="s">
        <v>23</v>
      </c>
      <c r="S26" s="50" t="s">
        <v>24</v>
      </c>
      <c r="T26" t="s">
        <v>25</v>
      </c>
      <c r="U26" t="s">
        <v>26</v>
      </c>
    </row>
    <row r="27" spans="1:24" ht="25.5" x14ac:dyDescent="0.2">
      <c r="A27" s="10">
        <f>MAX($A$11:A26)+1</f>
        <v>13</v>
      </c>
      <c r="B27" s="51" t="s">
        <v>27</v>
      </c>
      <c r="C27" s="46"/>
      <c r="D27" s="42">
        <f>IF(D24=0,0,IF(AND($P$19&gt;$P$22,$P$19&lt;$S$27),D23*$T$27,IF(AND($P$19&gt;$S$27,D24&lt;($S$27-$R$27)),D23*$T$27,IF(AND($P$19&gt;$S$27,D24&gt;($S$27-$R$27)),($S$27-$R$27)*$T$27,0))))</f>
        <v>3000000</v>
      </c>
      <c r="E27" s="42">
        <f>IF(E24=0,SUM($D$27:D27),IF(AND($P$19&gt;$P$22,$P$19&lt;$S$27),E23*$T$27,IF(AND($P$19&gt;$S$27,E24&lt;($S$27-$R$27)),E23*$T$27,IF(AND($P$19&gt;$S$27,E24&gt;($S$27-$R$27)),(($S$27-$R$27)*$T$27)-SUM($D$27:D27),0))))</f>
        <v>0</v>
      </c>
      <c r="F27" s="42">
        <f>IF(F24=0,SUM($D$27:E27),IF(AND($P$19&gt;$P$22,$P$19&lt;$S$27),F23*$T$27,IF(AND($P$19&gt;$S$27,F24&lt;($S$27-$R$27)),F23*$T$27,IF(AND($P$19&gt;$S$27,F24&gt;($S$27-$R$27)),(($S$27-$R$27)*$T$27)-SUM($D$27:E27),0))))</f>
        <v>0</v>
      </c>
      <c r="G27" s="42">
        <f>IF(G24=0,SUM($D$27:F27),IF(AND($P$19&gt;$P$22,$P$19&lt;$S$27),G23*$T$27,IF(AND($P$19&gt;$S$27,G24&lt;($S$27-$R$27)),G23*$T$27,IF(AND($P$19&gt;$S$27,G24&gt;($S$27-$R$27)),(($S$27-$R$27)*$T$27)-SUM($D$27:F27),0))))</f>
        <v>0</v>
      </c>
      <c r="H27" s="42">
        <f>IF(H24=0,SUM($D$27:G27),IF(AND($P$19&gt;$P$22,$P$19&lt;$S$27),H23*$T$27,IF(AND($P$19&gt;$S$27,H24&lt;($S$27-$R$27)),H23*$T$27,IF(AND($P$19&gt;$S$27,H24&gt;($S$27-$R$27)),(($S$27-$R$27)*$T$27)-SUM($D$27:G27),0))))</f>
        <v>0</v>
      </c>
      <c r="I27" s="42">
        <f>IF(I24=0,SUM($D$27:H27),IF(AND($P$19&gt;$P$22,$P$19&lt;$S$27),I23*$T$27,IF(AND($P$19&gt;$S$27,I24&lt;($S$27-$R$27)),I23*$T$27,IF(AND($P$19&gt;$S$27,I24&gt;($S$27-$R$27)),(($S$27-$R$27)*$T$27)-SUM($D$27:H27),0))))</f>
        <v>0</v>
      </c>
      <c r="J27" s="42">
        <f>IF(J24=0,SUM($D$27:I27),IF(AND($P$19&gt;$P$22,$P$19&lt;$S$27),J23*$T$27,IF(AND($P$19&gt;$S$27,J24&lt;($S$27-$R$27)),J23*$T$27,IF(AND($P$19&gt;$S$27,J24&gt;($S$27-$R$27)),(($S$27-$R$27)*$T$27)-SUM($D$27:I27),0))))</f>
        <v>0</v>
      </c>
      <c r="K27" s="42">
        <f>IF(K24=0,SUM($D$27:J27),IF(AND($P$19&gt;$P$22,$P$19&lt;$S$27),K23*$T$27,IF(AND($P$19&gt;$S$27,K24&lt;($S$27-$R$27)),K23*$T$27,IF(AND($P$19&gt;$S$27,K24&gt;($S$27-$R$27)),(($S$27-$R$27)*$T$27)-SUM($D$27:J27),0))))</f>
        <v>0</v>
      </c>
      <c r="L27" s="42">
        <f>IF(L24=0,SUM($D$27:K27),IF(AND($P$19&gt;$P$22,$P$19&lt;$S$27),L23*$T$27,IF(AND($P$19&gt;$S$27,L24&lt;($S$27-$R$27)),L23*$T$27,IF(AND($P$19&gt;$S$27,L24&gt;($S$27-$R$27)),(($S$27-$R$27)*$T$27)-SUM($D$27:K27),0))))</f>
        <v>0</v>
      </c>
      <c r="M27" s="42">
        <f>IF(M24=0,SUM($D$27:L27),IF(AND($P$19&gt;$P$22,$P$19&lt;$S$27),M23*$T$27,IF(AND($P$19&gt;$S$27,M24&lt;($S$27-$R$27)),M23*$T$27,IF(AND($P$19&gt;$S$27,M24&gt;($S$27-$R$27)),(($S$27-$R$27)*$T$27)-SUM($D$27:L27),0))))</f>
        <v>0</v>
      </c>
      <c r="N27" s="42">
        <f>IF(N24=0,SUM($D$27:M27),IF(AND($P$19&gt;$P$22,$P$19&lt;$S$27),N23*$T$27,IF(AND($P$19&gt;$S$27,N24&lt;($S$27-$R$27)),N23*$T$27,IF(AND($P$19&gt;$S$27,N24&gt;($S$27-$R$27)),(($S$27-$R$27)*$T$27)-SUM($D$27:M27),0))))</f>
        <v>0</v>
      </c>
      <c r="O27" s="42">
        <f>IF(O24=0,SUM($D$27:N27),IF(AND($P$19&gt;$P$22,$P$19&lt;$S$27),O23*$T$27,IF(AND($P$19&gt;$S$27,O24&lt;($S$27-$R$27)),O23*$T$27,IF(AND($P$19&gt;$S$27,O24&gt;($S$27-$R$27)),(($S$27-$R$27)*$T$27)-SUM($D$27:N27),0))))</f>
        <v>0</v>
      </c>
      <c r="P27" s="52"/>
      <c r="R27" s="12">
        <v>4000000</v>
      </c>
      <c r="S27" s="12">
        <v>10000000</v>
      </c>
      <c r="T27" s="53">
        <v>0.5</v>
      </c>
      <c r="U27" s="53">
        <v>0.5</v>
      </c>
    </row>
    <row r="28" spans="1:24" ht="25.5" x14ac:dyDescent="0.2">
      <c r="A28" s="10">
        <f>MAX($A$11:A27)+1</f>
        <v>14</v>
      </c>
      <c r="B28" s="51" t="s">
        <v>28</v>
      </c>
      <c r="C28" s="46"/>
      <c r="D28" s="54">
        <f>IF(D24=0,0,IF(AND($P$19&gt;$R$28,D24&gt;($S$27-$R$27)),(D23-(D27/$T$27))*$T$28,0))</f>
        <v>19948456.678925816</v>
      </c>
      <c r="E28" s="54">
        <f>IF(E24=0,SUM($D$28:D28),IF(AND($P$19&gt;$R$28,E24&gt;($S$27-$R$27)),(E23-(E27/$T$27))*$T$28,0))</f>
        <v>4308671.4612249797</v>
      </c>
      <c r="F28" s="54">
        <f>IF(F24=0,SUM($D$28:E28),IF(AND($P$19&gt;$R$28,F24&gt;($S$27-$R$27)),(F23-(F27/$T$27))*$T$28,0))</f>
        <v>1122187.6990129554</v>
      </c>
      <c r="G28" s="54">
        <f>IF(G24=0,SUM($D$28:F28),IF(AND($P$19&gt;$R$28,G24&gt;($S$27-$R$27)),(G23-(G27/$T$27))*$T$28,0))</f>
        <v>-108269.28679893316</v>
      </c>
      <c r="H28" s="54">
        <f>IF(H24=0,SUM($D$28:G28),IF(AND($P$19&gt;$R$28,H24&gt;($S$27-$R$27)),(H23-(H27/$T$27))*$T$28,0))</f>
        <v>517796.70042766928</v>
      </c>
      <c r="I28" s="54">
        <f>IF(I24=0,SUM($D$28:H28),IF(AND($P$19&gt;$R$28,I24&gt;($S$27-$R$27)),(I23-(I27/$T$27))*$T$28,0))</f>
        <v>575043.28079284879</v>
      </c>
      <c r="J28" s="54">
        <f>IF(J24=0,SUM($D$28:I28),IF(AND($P$19&gt;$R$28,J24&gt;($S$27-$R$27)),(J23-(J27/$T$27))*$T$28,0))</f>
        <v>7610982.580052468</v>
      </c>
      <c r="K28" s="54">
        <f>IF(K24=0,SUM($D$28:J28),IF(AND($P$19&gt;$R$28,K24&gt;($S$27-$R$27)),(K23-(K27/$T$27))*$T$28,0))</f>
        <v>4003555.8849422494</v>
      </c>
      <c r="L28" s="54">
        <f>IF(L24=0,SUM($D$28:K28),IF(AND($P$19&gt;$R$28,L24&gt;($S$27-$R$27)),(L23-(L27/$T$27))*$T$28,0))</f>
        <v>7245355.8049372453</v>
      </c>
      <c r="M28" s="54">
        <f>IF(M24=0,SUM($D$28:L28),IF(AND($P$19&gt;$R$28,M24&gt;($S$27-$R$27)),(M23-(M27/$T$27))*$T$28,0))</f>
        <v>0</v>
      </c>
      <c r="N28" s="54">
        <f>IF(N24=0,SUM($D$28:M28),IF(AND($P$19&gt;$R$28,N24&gt;($S$27-$R$27)),(N23-(N27/$T$27))*$T$28,0))</f>
        <v>0</v>
      </c>
      <c r="O28" s="54">
        <f>IF(O24=0,SUM($D$28:N28),IF(AND($P$19&gt;$R$28,O24&gt;($S$27-$R$27)),(O23-(O27/$T$27))*$T$28,0))</f>
        <v>0</v>
      </c>
      <c r="P28" s="52"/>
      <c r="R28" s="55">
        <v>10000000</v>
      </c>
      <c r="S28" s="34"/>
      <c r="T28" s="53">
        <v>0.9</v>
      </c>
      <c r="U28" s="53">
        <v>0.1</v>
      </c>
    </row>
    <row r="29" spans="1:24" ht="25.5" x14ac:dyDescent="0.2">
      <c r="A29" s="10">
        <f>MAX($A$11:A28)+1</f>
        <v>15</v>
      </c>
      <c r="B29" s="51" t="s">
        <v>29</v>
      </c>
      <c r="C29" s="46"/>
      <c r="D29" s="54">
        <f>IF(D24=0,0,IF(AND($P$19&lt;$R$29,$P$19&gt;$S$29),D23*$T$29,IF(AND($P$19&lt;$S$29,D24&gt;($S$29-$R$29)),D23*$T$29,IF(AND($P$19&lt;$S$29,D24&lt;($S$29-$R$29)),($S$29-$R$29),0))))</f>
        <v>0</v>
      </c>
      <c r="E29" s="54">
        <f>IF(E24=0,-SUM($D$29:D29),IF(AND($P$19&lt;$R$29,$P$19&gt;$S$29),E23*$T$29,IF(AND($P$19&lt;$S$29,E24&gt;($S$29-$R$29)),E23*$T$29,IF(AND($P$19&lt;$S$29,E24&lt;($S$29-$R$29)),(($S$29-$R$29)*$T$29)-SUM($D$29:D29),0))))</f>
        <v>0</v>
      </c>
      <c r="F29" s="54">
        <f>IF(F24=0,-SUM($D$29:E29),IF(AND($P$19&lt;$R$29,$P$19&gt;$S$29),F23*$T$29,IF(AND($P$19&lt;$S$29,F24&gt;($S$29-$R$29)),F23*$T$29,IF(AND($P$19&lt;$S$29,F24&lt;($S$29-$R$29)),(($S$29-$R$29)*$T$29)-SUM($D$29:E29),0))))</f>
        <v>0</v>
      </c>
      <c r="G29" s="54">
        <f>IF(G24=0,-SUM($D$29:F29),IF(AND($P$19&lt;$R$29,$P$19&gt;$S$29),G23*$T$29,IF(AND($P$19&lt;$S$29,G24&gt;($S$29-$R$29)),G23*$T$29,IF(AND($P$19&lt;$S$29,G24&lt;($S$29-$R$29)),(($S$29-$R$29)*$T$29)-SUM($D$29:F29),0))))</f>
        <v>0</v>
      </c>
      <c r="H29" s="54">
        <f>IF(H24=0,-SUM($D$29:G29),IF(AND($P$19&lt;$R$29,$P$19&gt;$S$29),H23*$T$29,IF(AND($P$19&lt;$S$29,H24&gt;($S$29-$R$29)),H23*$T$29,IF(AND($P$19&lt;$S$29,H24&lt;($S$29-$R$29)),(($S$29-$R$29)*$T$29)-SUM($D$29:G29),0))))</f>
        <v>0</v>
      </c>
      <c r="I29" s="54">
        <f>IF(I24=0,-SUM($D$29:H29),IF(AND($P$19&lt;$R$29,$P$19&gt;$S$29),I23*$T$29,IF(AND($P$19&lt;$S$29,I24&gt;($S$29-$R$29)),I23*$T$29,IF(AND($P$19&lt;$S$29,I24&lt;($S$29-$R$29)),(($S$29-$R$29)*$T$29)-SUM($D$29:H29),0))))</f>
        <v>0</v>
      </c>
      <c r="J29" s="54">
        <f>IF(J24=0,-SUM($D$29:I29),IF(AND($P$19&lt;$R$29,$P$19&gt;$S$29),J23*$T$29,IF(AND($P$19&lt;$S$29,J24&gt;($S$29-$R$29)),J23*$T$29,IF(AND($P$19&lt;$S$29,J24&lt;($S$29-$R$29)),(($S$29-$R$29)*$T$29)-SUM($D$29:I29),0))))</f>
        <v>0</v>
      </c>
      <c r="K29" s="54">
        <f>IF(K24=0,-SUM($D$29:J29),IF(AND($P$19&lt;$R$29,$P$19&gt;$S$29),K23*$T$29,IF(AND($P$19&lt;$S$29,K24&gt;($S$29-$R$29)),K23*$T$29,IF(AND($P$19&lt;$S$29,K24&lt;($S$29-$R$29)),(($S$29-$R$29)*$T$29)-SUM($D$29:J29),0))))</f>
        <v>0</v>
      </c>
      <c r="L29" s="54">
        <f>IF(L24=0,-SUM($D$29:K29),IF(AND($P$19&lt;$R$29,$P$19&gt;$S$29),L23*$T$29,IF(AND($P$19&lt;$S$29,L24&gt;($S$29-$R$29)),L23*$T$29,IF(AND($P$19&lt;$S$29,L24&lt;($S$29-$R$29)),(($S$29-$R$29)*$T$29)-SUM($D$29:K29),0))))</f>
        <v>0</v>
      </c>
      <c r="M29" s="54">
        <f>IF(M24=0,-SUM($D$29:L29),IF(AND($P$19&lt;$R$29,$P$19&gt;$S$29),M23*$T$29,IF(AND($P$19&lt;$S$29,M24&gt;($S$29-$R$29)),M23*$T$29,IF(AND($P$19&lt;$S$29,M24&lt;($S$29-$R$29)),(($S$29-$R$29)*$T$29)-SUM($D$29:L29),0))))</f>
        <v>0</v>
      </c>
      <c r="N29" s="54">
        <f>IF(N24=0,-SUM($D$29:M29),IF(AND($P$19&lt;$R$29,$P$19&gt;$S$29),N23*$T$29,IF(AND($P$19&lt;$S$29,N24&gt;($S$29-$R$29)),N23*$T$29,IF(AND($P$19&lt;$S$29,N24&lt;($S$29-$R$29)),(($S$29-$R$29)*$T$29)-SUM($D$29:M29),0))))</f>
        <v>0</v>
      </c>
      <c r="O29" s="54">
        <f>IF(O24=0,-SUM($D$29:N29),IF(AND($P$19&lt;$R$29,$P$19&gt;$S$29),O23*$T$29,IF(AND($P$19&lt;$S$29,O24&gt;($S$29-$R$29)),O23*$T$29,IF(AND($P$19&lt;$S$29,O24&lt;($S$29-$R$29)),(($S$29-$R$29)*$T$29)-SUM($D$29:N29),0))))</f>
        <v>0</v>
      </c>
      <c r="P29" s="52"/>
      <c r="R29" s="55">
        <v>-4000000</v>
      </c>
      <c r="S29" s="55">
        <v>-10000000</v>
      </c>
      <c r="T29" s="53">
        <v>0.75</v>
      </c>
      <c r="U29" s="53">
        <v>0.25</v>
      </c>
      <c r="X29" s="44"/>
    </row>
    <row r="30" spans="1:24" x14ac:dyDescent="0.2">
      <c r="A30" s="10">
        <f>MAX($A$11:A29)+1</f>
        <v>16</v>
      </c>
      <c r="B30" s="51" t="s">
        <v>30</v>
      </c>
      <c r="C30" s="46"/>
      <c r="D30" s="54">
        <f>IF(D24=0,0,IF(AND($P$19&lt;$R$30,D24&lt;($S$29-$R$29)),(D23-(D29/$T$29))*$T$30,0))</f>
        <v>0</v>
      </c>
      <c r="E30" s="54">
        <f>IF(E24=0,-SUM($D$30:D30),IF(AND($P$19&lt;$R$30,E24&lt;($S$29-$R$29)),(E23-(E29/$T$29))*$T$30,0))</f>
        <v>0</v>
      </c>
      <c r="F30" s="54">
        <f>IF(F24=0,-SUM($D$30:E30),IF(AND($P$19&lt;$R$30,F24&lt;($S$29-$R$29)),(F23-(F29/$T$29))*$T$30,0))</f>
        <v>0</v>
      </c>
      <c r="G30" s="54">
        <f>IF(G24=0,-SUM($D$30:F30),IF(AND($P$19&lt;$R$30,G24&lt;($S$29-$R$29)),(G23-(G29/$T$29))*$T$30,0))</f>
        <v>0</v>
      </c>
      <c r="H30" s="54">
        <f>IF(H24=0,-SUM($D$30:G30),IF(AND($P$19&lt;$R$30,H24&lt;($S$29-$R$29)),(H23-(H29/$T$29))*$T$30,0))</f>
        <v>0</v>
      </c>
      <c r="I30" s="54">
        <f>IF(I24=0,-SUM($D$30:H30),IF(AND($P$19&lt;$R$30,I24&lt;($S$29-$R$29)),(I23-(I29/$T$29))*$T$30,0))</f>
        <v>0</v>
      </c>
      <c r="J30" s="54">
        <f>IF(J24=0,-SUM($D$30:I30),IF(AND($P$19&lt;$R$30,J24&lt;($S$29-$R$29)),(J23-(J29/$T$29))*$T$30,0))</f>
        <v>0</v>
      </c>
      <c r="K30" s="54">
        <f>IF(K24=0,-SUM($D$30:J30),IF(AND($P$19&lt;$R$30,K24&lt;($S$29-$R$29)),(K23-(K29/$T$29))*$T$30,0))</f>
        <v>0</v>
      </c>
      <c r="L30" s="54">
        <f>IF(L24=0,-SUM($D$30:K30),IF(AND($P$19&lt;$R$30,L24&lt;($S$29-$R$29)),(L23-(L29/$T$29))*$T$30,0))</f>
        <v>0</v>
      </c>
      <c r="M30" s="54">
        <f>IF(M24=0,-SUM($D$30:L30),IF(AND($P$19&lt;$R$30,M24&lt;($S$29-$R$29)),(M23-(M29/$T$29))*$T$30,0))</f>
        <v>0</v>
      </c>
      <c r="N30" s="54">
        <f>IF(N24=0,-SUM($D$30:M30),IF(AND($P$19&lt;$R$30,N24&lt;($S$29-$R$29)),(N23-(N29/$T$29))*$T$30,0))</f>
        <v>0</v>
      </c>
      <c r="O30" s="54">
        <f>IF(O24=0,-SUM($D$30:N30),IF(AND($P$19&lt;$R$30,O24&lt;($S$29-$R$29)),(O23-(O29/$T$29))*$T$30,0))</f>
        <v>0</v>
      </c>
      <c r="P30" s="52"/>
      <c r="R30" s="55">
        <v>-10000000</v>
      </c>
      <c r="S30" s="34"/>
      <c r="T30" s="53">
        <v>0.9</v>
      </c>
      <c r="U30" s="53">
        <v>0.1</v>
      </c>
    </row>
    <row r="31" spans="1:24" x14ac:dyDescent="0.2">
      <c r="A31" s="10">
        <f>MAX($A$11:A30)+1</f>
        <v>17</v>
      </c>
      <c r="B31" s="51" t="s">
        <v>31</v>
      </c>
      <c r="C31" s="46"/>
      <c r="D31" s="40">
        <f t="shared" ref="D31:O31" si="8">SUM(D27:D30)</f>
        <v>22948456.678925816</v>
      </c>
      <c r="E31" s="40">
        <f t="shared" si="8"/>
        <v>4308671.4612249797</v>
      </c>
      <c r="F31" s="40">
        <f t="shared" si="8"/>
        <v>1122187.6990129554</v>
      </c>
      <c r="G31" s="40">
        <f t="shared" si="8"/>
        <v>-108269.28679893316</v>
      </c>
      <c r="H31" s="40">
        <f t="shared" si="8"/>
        <v>517796.70042766928</v>
      </c>
      <c r="I31" s="40">
        <f t="shared" si="8"/>
        <v>575043.28079284879</v>
      </c>
      <c r="J31" s="40">
        <f t="shared" si="8"/>
        <v>7610982.580052468</v>
      </c>
      <c r="K31" s="40">
        <f t="shared" si="8"/>
        <v>4003555.8849422494</v>
      </c>
      <c r="L31" s="40">
        <f t="shared" si="8"/>
        <v>7245355.8049372453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SUM(D31:O31)</f>
        <v>48223780.803517297</v>
      </c>
    </row>
    <row r="32" spans="1:24" x14ac:dyDescent="0.2">
      <c r="A32" s="10"/>
      <c r="B32" s="56"/>
      <c r="C32" s="4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7" x14ac:dyDescent="0.2">
      <c r="A33" s="31" t="s">
        <v>32</v>
      </c>
      <c r="B33" s="51"/>
      <c r="C33" s="46"/>
      <c r="D33" s="58"/>
      <c r="E33" s="58"/>
      <c r="F33" s="58"/>
      <c r="G33" s="58"/>
      <c r="N33" s="44"/>
      <c r="O33" s="47"/>
    </row>
    <row r="34" spans="1:17" x14ac:dyDescent="0.2">
      <c r="A34" s="10">
        <f>MAX($A$11:A33)+1</f>
        <v>18</v>
      </c>
      <c r="B34" s="51" t="s">
        <v>33</v>
      </c>
      <c r="C34" s="2" t="s">
        <v>34</v>
      </c>
      <c r="D34" s="59">
        <v>8.5000000000000006E-2</v>
      </c>
      <c r="E34" s="59">
        <f>$D$34</f>
        <v>8.5000000000000006E-2</v>
      </c>
      <c r="F34" s="59">
        <f t="shared" ref="F34" si="9">$D$34</f>
        <v>8.5000000000000006E-2</v>
      </c>
      <c r="G34" s="59">
        <v>8.5000000000000006E-2</v>
      </c>
      <c r="H34" s="59">
        <f>$G$34</f>
        <v>8.5000000000000006E-2</v>
      </c>
      <c r="I34" s="59">
        <f>$G$34</f>
        <v>8.5000000000000006E-2</v>
      </c>
      <c r="J34" s="59">
        <v>8.5000000000000006E-2</v>
      </c>
      <c r="K34" s="59">
        <f>$J$34</f>
        <v>8.5000000000000006E-2</v>
      </c>
      <c r="L34" s="59">
        <f>$J$34</f>
        <v>8.5000000000000006E-2</v>
      </c>
      <c r="M34" s="59">
        <v>8.5000000000000006E-2</v>
      </c>
      <c r="N34" s="59">
        <f>$M$34</f>
        <v>8.5000000000000006E-2</v>
      </c>
      <c r="O34" s="59">
        <f>$M$34</f>
        <v>8.5000000000000006E-2</v>
      </c>
    </row>
    <row r="35" spans="1:17" x14ac:dyDescent="0.2">
      <c r="A35" s="10">
        <f>MAX($A$11:A34)+1</f>
        <v>19</v>
      </c>
      <c r="B35" s="27" t="s">
        <v>35</v>
      </c>
      <c r="D35" s="60">
        <v>0</v>
      </c>
      <c r="E35" s="12">
        <f t="shared" ref="E35:O35" si="10">+D38</f>
        <v>23029732.462997012</v>
      </c>
      <c r="F35" s="12">
        <f t="shared" si="10"/>
        <v>27516791.073926728</v>
      </c>
      <c r="G35" s="12">
        <f t="shared" si="10"/>
        <v>28837863.791147333</v>
      </c>
      <c r="H35" s="12">
        <f t="shared" si="10"/>
        <v>28933479.252478283</v>
      </c>
      <c r="I35" s="12">
        <f t="shared" si="10"/>
        <v>29658055.294258356</v>
      </c>
      <c r="J35" s="12">
        <f t="shared" si="10"/>
        <v>30445213.07833834</v>
      </c>
      <c r="K35" s="12">
        <f t="shared" si="10"/>
        <v>38298804.814333387</v>
      </c>
      <c r="L35" s="12">
        <f t="shared" si="10"/>
        <v>42587823.160469666</v>
      </c>
      <c r="M35" s="12">
        <f t="shared" si="10"/>
        <v>50160503.347936057</v>
      </c>
      <c r="N35" s="12">
        <f t="shared" si="10"/>
        <v>50515806.913317271</v>
      </c>
      <c r="O35" s="12">
        <f t="shared" si="10"/>
        <v>50873627.212286599</v>
      </c>
      <c r="Q35" s="61"/>
    </row>
    <row r="36" spans="1:17" x14ac:dyDescent="0.2">
      <c r="A36" s="10">
        <f>MAX($A$11:A35)+1</f>
        <v>20</v>
      </c>
      <c r="B36" s="27" t="s">
        <v>36</v>
      </c>
      <c r="C36" s="2" t="str">
        <f>"Line "&amp;$A$35&amp;""</f>
        <v>Line 19</v>
      </c>
      <c r="D36" s="62">
        <f t="shared" ref="D36:O36" si="11">+D31</f>
        <v>22948456.678925816</v>
      </c>
      <c r="E36" s="62">
        <f t="shared" si="11"/>
        <v>4308671.4612249797</v>
      </c>
      <c r="F36" s="62">
        <f t="shared" si="11"/>
        <v>1122187.6990129554</v>
      </c>
      <c r="G36" s="62">
        <f t="shared" si="11"/>
        <v>-108269.28679893316</v>
      </c>
      <c r="H36" s="62">
        <f t="shared" si="11"/>
        <v>517796.70042766928</v>
      </c>
      <c r="I36" s="62">
        <f t="shared" si="11"/>
        <v>575043.28079284879</v>
      </c>
      <c r="J36" s="62">
        <f t="shared" si="11"/>
        <v>7610982.580052468</v>
      </c>
      <c r="K36" s="62">
        <f t="shared" si="11"/>
        <v>4003555.8849422494</v>
      </c>
      <c r="L36" s="62">
        <f t="shared" si="11"/>
        <v>7245355.8049372453</v>
      </c>
      <c r="M36" s="62">
        <f t="shared" si="11"/>
        <v>0</v>
      </c>
      <c r="N36" s="62">
        <f t="shared" si="11"/>
        <v>0</v>
      </c>
      <c r="O36" s="62">
        <f t="shared" si="11"/>
        <v>0</v>
      </c>
      <c r="Q36" s="62"/>
    </row>
    <row r="37" spans="1:17" x14ac:dyDescent="0.2">
      <c r="A37" s="10">
        <f>MAX($A$11:A36)+1</f>
        <v>21</v>
      </c>
      <c r="B37" s="22" t="s">
        <v>37</v>
      </c>
      <c r="C37" s="63" t="str">
        <f>"Line "&amp;$A$35&amp;" + ( Line "&amp;A36&amp;" x 50%) x Line "&amp;$A$34&amp;"/12"</f>
        <v>Line 19 + ( Line 20 x 50%) x Line 18/12</v>
      </c>
      <c r="D37" s="64">
        <f>+((D36*0.5)+D35)*D34/12</f>
        <v>81275.784071195609</v>
      </c>
      <c r="E37" s="64">
        <f t="shared" ref="E37:O37" si="12">+((E36*0.5)+E35)*E34/12</f>
        <v>178387.14970473398</v>
      </c>
      <c r="F37" s="64">
        <f t="shared" si="12"/>
        <v>198885.01820765191</v>
      </c>
      <c r="G37" s="64">
        <f t="shared" si="12"/>
        <v>203884.74812988075</v>
      </c>
      <c r="H37" s="64">
        <f t="shared" si="12"/>
        <v>206779.34135240249</v>
      </c>
      <c r="I37" s="64">
        <f t="shared" si="12"/>
        <v>212114.50328713804</v>
      </c>
      <c r="J37" s="64">
        <f t="shared" si="12"/>
        <v>242609.15594258241</v>
      </c>
      <c r="K37" s="64">
        <f t="shared" si="12"/>
        <v>285462.46119403199</v>
      </c>
      <c r="L37" s="64">
        <f t="shared" si="12"/>
        <v>327324.38252914621</v>
      </c>
      <c r="M37" s="64">
        <f t="shared" si="12"/>
        <v>355303.56538121379</v>
      </c>
      <c r="N37" s="64">
        <f t="shared" si="12"/>
        <v>357820.29896933067</v>
      </c>
      <c r="O37" s="64">
        <f t="shared" si="12"/>
        <v>360354.85942036338</v>
      </c>
    </row>
    <row r="38" spans="1:17" ht="13.5" thickBot="1" x14ac:dyDescent="0.25">
      <c r="A38" s="10">
        <f>MAX($A$11:A37)+1</f>
        <v>22</v>
      </c>
      <c r="B38" s="65" t="s">
        <v>38</v>
      </c>
      <c r="C38" s="63" t="str">
        <f>"∑ Lines "&amp;$A$35&amp;":"&amp;A37&amp;""</f>
        <v>∑ Lines 19:21</v>
      </c>
      <c r="D38" s="66">
        <f>SUM(D35:D37)</f>
        <v>23029732.462997012</v>
      </c>
      <c r="E38" s="66">
        <f t="shared" ref="E38:O38" si="13">SUM(E35:E37)</f>
        <v>27516791.073926728</v>
      </c>
      <c r="F38" s="66">
        <f t="shared" si="13"/>
        <v>28837863.791147333</v>
      </c>
      <c r="G38" s="66">
        <f t="shared" si="13"/>
        <v>28933479.252478283</v>
      </c>
      <c r="H38" s="66">
        <f t="shared" si="13"/>
        <v>29658055.294258356</v>
      </c>
      <c r="I38" s="66">
        <f t="shared" si="13"/>
        <v>30445213.07833834</v>
      </c>
      <c r="J38" s="66">
        <f t="shared" si="13"/>
        <v>38298804.814333387</v>
      </c>
      <c r="K38" s="66">
        <f t="shared" si="13"/>
        <v>42587823.160469666</v>
      </c>
      <c r="L38" s="66">
        <f t="shared" si="13"/>
        <v>50160503.347936057</v>
      </c>
      <c r="M38" s="66">
        <f t="shared" si="13"/>
        <v>50515806.913317271</v>
      </c>
      <c r="N38" s="66">
        <f t="shared" si="13"/>
        <v>50873627.212286599</v>
      </c>
      <c r="O38" s="66">
        <f t="shared" si="13"/>
        <v>51233982.071706966</v>
      </c>
      <c r="P38" s="66">
        <f>O38</f>
        <v>51233982.071706966</v>
      </c>
    </row>
    <row r="39" spans="1:17" ht="13.5" thickTop="1" x14ac:dyDescent="0.2">
      <c r="A39" s="10"/>
    </row>
  </sheetData>
  <mergeCells count="1">
    <mergeCell ref="R25:U25"/>
  </mergeCells>
  <pageMargins left="0.7" right="0.7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5275119F95E0345AAA4592BEB58C51B" ma:contentTypeVersion="44" ma:contentTypeDescription="" ma:contentTypeScope="" ma:versionID="18a834ae9b7ad73e987a326440f47d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2021-06-15T07:00:00+00:00</OpenedDate>
    <SignificantOrder xmlns="dc463f71-b30c-4ab2-9473-d307f9d35888">false</SignificantOrder>
    <Date1 xmlns="dc463f71-b30c-4ab2-9473-d307f9d35888">2024-12-11T08:00:00+00:00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210447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D010A0-AFCB-43BF-80C2-6B4BA011A79E}"/>
</file>

<file path=customXml/itemProps2.xml><?xml version="1.0" encoding="utf-8"?>
<ds:datastoreItem xmlns:ds="http://schemas.openxmlformats.org/officeDocument/2006/customXml" ds:itemID="{29938FAE-DC2F-4CE4-9061-6C34DDB2D504}"/>
</file>

<file path=customXml/itemProps3.xml><?xml version="1.0" encoding="utf-8"?>
<ds:datastoreItem xmlns:ds="http://schemas.openxmlformats.org/officeDocument/2006/customXml" ds:itemID="{99B5C105-0777-4664-A5C3-F19AF9C351CE}"/>
</file>

<file path=customXml/itemProps4.xml><?xml version="1.0" encoding="utf-8"?>
<ds:datastoreItem xmlns:ds="http://schemas.openxmlformats.org/officeDocument/2006/customXml" ds:itemID="{1714FF2C-50E5-4986-9A6E-AF9FCC359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JP-2 PCAM Calculation</vt:lpstr>
      <vt:lpstr>'Exhibit JP-2 PCAM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2024-12-05T21:24:15Z</dcterms:created>
  <dcterms:modified xsi:type="dcterms:W3CDTF">2024-12-05T21:24:20Z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0x0101006E56B4D1795A2E4DB2F0B01679ED314A0045275119F95E0345AAA4592BEB58C51B</vt:lpwstr>
  </property>
  <property fmtid="{D5CDD505-2E9C-101B-9397-08002B2CF9AE}" pid="3" name="_docset_NoMedatataSyncRequired">
    <vt:lpwstr>False</vt:lpwstr>
  </property>
</Properties>
</file>