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OE\WA\2016 WA GRC\Data Requests\"/>
    </mc:Choice>
  </mc:AlternateContent>
  <bookViews>
    <workbookView xWindow="120" yWindow="30" windowWidth="24915" windowHeight="12840"/>
  </bookViews>
  <sheets>
    <sheet name="Summary" sheetId="7" r:id="rId1"/>
    <sheet name="Sch 001" sheetId="4" r:id="rId2"/>
    <sheet name="Sch 011-012" sheetId="5" r:id="rId3"/>
    <sheet name="Sch 021-022" sheetId="6" r:id="rId4"/>
    <sheet name="Sch 25" sheetId="1" r:id="rId5"/>
    <sheet name="Sch 031-032" sheetId="2" r:id="rId6"/>
    <sheet name="Sch 41-48" sheetId="3" r:id="rId7"/>
  </sheets>
  <definedNames>
    <definedName name="_xlnm.Print_Area" localSheetId="4">'Sch 25'!$B$3:$R$11</definedName>
    <definedName name="_xlnm.Print_Area" localSheetId="0">Summary!$A$1:$G$21</definedName>
  </definedNames>
  <calcPr calcId="152511"/>
</workbook>
</file>

<file path=xl/calcChain.xml><?xml version="1.0" encoding="utf-8"?>
<calcChain xmlns="http://schemas.openxmlformats.org/spreadsheetml/2006/main">
  <c r="D11" i="2" l="1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D11" i="3"/>
  <c r="I9" i="3"/>
  <c r="H9" i="3"/>
  <c r="J9" i="3"/>
  <c r="K9" i="3"/>
  <c r="N9" i="3"/>
  <c r="M9" i="3"/>
  <c r="P9" i="3" l="1"/>
  <c r="O9" i="3"/>
  <c r="R9" i="3"/>
  <c r="S9" i="3"/>
  <c r="L5" i="3" l="1"/>
  <c r="L7" i="3" s="1"/>
  <c r="D27" i="3" s="1"/>
  <c r="G13" i="7" s="1"/>
  <c r="K7" i="3"/>
  <c r="M7" i="3"/>
  <c r="D19" i="3"/>
  <c r="S7" i="3"/>
  <c r="P7" i="3"/>
  <c r="N7" i="3"/>
  <c r="I7" i="3"/>
  <c r="H7" i="3"/>
  <c r="G7" i="3"/>
  <c r="D24" i="3" s="1"/>
  <c r="G10" i="7" s="1"/>
  <c r="D7" i="3"/>
  <c r="D21" i="3" s="1"/>
  <c r="G7" i="7" s="1"/>
  <c r="R5" i="3"/>
  <c r="R7" i="3" s="1"/>
  <c r="Q5" i="3"/>
  <c r="Q7" i="3" s="1"/>
  <c r="D30" i="3" s="1"/>
  <c r="G16" i="7" s="1"/>
  <c r="O7" i="3"/>
  <c r="J7" i="3"/>
  <c r="D26" i="3" s="1"/>
  <c r="G12" i="7" s="1"/>
  <c r="F5" i="3"/>
  <c r="F7" i="3" s="1"/>
  <c r="D23" i="3" s="1"/>
  <c r="G9" i="7" s="1"/>
  <c r="E5" i="3"/>
  <c r="E7" i="3" s="1"/>
  <c r="D22" i="3" s="1"/>
  <c r="G8" i="7" s="1"/>
  <c r="R20" i="2"/>
  <c r="O20" i="2"/>
  <c r="M20" i="2"/>
  <c r="I20" i="2"/>
  <c r="D19" i="2"/>
  <c r="O11" i="2"/>
  <c r="G11" i="2"/>
  <c r="D24" i="2" s="1"/>
  <c r="F10" i="7" s="1"/>
  <c r="R7" i="2"/>
  <c r="R11" i="2" s="1"/>
  <c r="O7" i="2"/>
  <c r="M7" i="2"/>
  <c r="M11" i="2" s="1"/>
  <c r="I7" i="2"/>
  <c r="I11" i="2" s="1"/>
  <c r="H7" i="2"/>
  <c r="H11" i="2" s="1"/>
  <c r="G7" i="2"/>
  <c r="D7" i="2"/>
  <c r="D21" i="2" s="1"/>
  <c r="F7" i="7" s="1"/>
  <c r="Q5" i="2"/>
  <c r="Q7" i="2" s="1"/>
  <c r="Q11" i="2" s="1"/>
  <c r="P5" i="2"/>
  <c r="P7" i="2" s="1"/>
  <c r="P11" i="2" s="1"/>
  <c r="D30" i="2" s="1"/>
  <c r="F16" i="7" s="1"/>
  <c r="N5" i="2"/>
  <c r="N7" i="2" s="1"/>
  <c r="N11" i="2" s="1"/>
  <c r="L5" i="2"/>
  <c r="L7" i="2" s="1"/>
  <c r="L11" i="2" s="1"/>
  <c r="K5" i="2"/>
  <c r="K7" i="2" s="1"/>
  <c r="K11" i="2" s="1"/>
  <c r="D27" i="2" s="1"/>
  <c r="F13" i="7" s="1"/>
  <c r="J5" i="2"/>
  <c r="J7" i="2" s="1"/>
  <c r="J11" i="2" s="1"/>
  <c r="D26" i="2" s="1"/>
  <c r="F12" i="7" s="1"/>
  <c r="F5" i="2"/>
  <c r="F7" i="2" s="1"/>
  <c r="F11" i="2" s="1"/>
  <c r="D23" i="2" s="1"/>
  <c r="F9" i="7" s="1"/>
  <c r="E5" i="2"/>
  <c r="E7" i="2" s="1"/>
  <c r="E11" i="2" s="1"/>
  <c r="D22" i="2" s="1"/>
  <c r="F8" i="7" s="1"/>
  <c r="D14" i="7"/>
  <c r="R20" i="6"/>
  <c r="O20" i="6"/>
  <c r="M20" i="6"/>
  <c r="I20" i="6"/>
  <c r="D19" i="6"/>
  <c r="G11" i="6"/>
  <c r="D24" i="6" s="1"/>
  <c r="D10" i="7" s="1"/>
  <c r="R7" i="6"/>
  <c r="R11" i="6" s="1"/>
  <c r="O7" i="6"/>
  <c r="O11" i="6" s="1"/>
  <c r="M7" i="6"/>
  <c r="M11" i="6" s="1"/>
  <c r="I7" i="6"/>
  <c r="I11" i="6" s="1"/>
  <c r="H7" i="6"/>
  <c r="H11" i="6" s="1"/>
  <c r="G7" i="6"/>
  <c r="D7" i="6"/>
  <c r="D11" i="6" s="1"/>
  <c r="D21" i="6" s="1"/>
  <c r="D7" i="7" s="1"/>
  <c r="Q5" i="6"/>
  <c r="Q7" i="6" s="1"/>
  <c r="Q11" i="6" s="1"/>
  <c r="P5" i="6"/>
  <c r="P7" i="6" s="1"/>
  <c r="P11" i="6" s="1"/>
  <c r="D30" i="6" s="1"/>
  <c r="D16" i="7" s="1"/>
  <c r="N5" i="6"/>
  <c r="N7" i="6" s="1"/>
  <c r="N11" i="6" s="1"/>
  <c r="L5" i="6"/>
  <c r="L7" i="6" s="1"/>
  <c r="L11" i="6" s="1"/>
  <c r="M12" i="6" s="1"/>
  <c r="D28" i="6" s="1"/>
  <c r="K5" i="6"/>
  <c r="K7" i="6" s="1"/>
  <c r="K11" i="6" s="1"/>
  <c r="D27" i="6" s="1"/>
  <c r="D13" i="7" s="1"/>
  <c r="J5" i="6"/>
  <c r="J7" i="6" s="1"/>
  <c r="J11" i="6" s="1"/>
  <c r="D26" i="6" s="1"/>
  <c r="D12" i="7" s="1"/>
  <c r="F5" i="6"/>
  <c r="F7" i="6" s="1"/>
  <c r="F11" i="6" s="1"/>
  <c r="D23" i="6" s="1"/>
  <c r="D9" i="7" s="1"/>
  <c r="E5" i="6"/>
  <c r="E7" i="6" s="1"/>
  <c r="E11" i="6" s="1"/>
  <c r="D22" i="6" s="1"/>
  <c r="D8" i="7" s="1"/>
  <c r="Q5" i="5"/>
  <c r="Q7" i="5" s="1"/>
  <c r="Q11" i="5" s="1"/>
  <c r="P5" i="5"/>
  <c r="N5" i="5"/>
  <c r="N7" i="5" s="1"/>
  <c r="N11" i="5" s="1"/>
  <c r="L5" i="5"/>
  <c r="L7" i="5" s="1"/>
  <c r="L11" i="5" s="1"/>
  <c r="K5" i="5"/>
  <c r="K7" i="5" s="1"/>
  <c r="K11" i="5" s="1"/>
  <c r="D27" i="5" s="1"/>
  <c r="C13" i="7" s="1"/>
  <c r="J5" i="5"/>
  <c r="J7" i="5" s="1"/>
  <c r="J11" i="5" s="1"/>
  <c r="D26" i="5" s="1"/>
  <c r="C12" i="7" s="1"/>
  <c r="H7" i="5"/>
  <c r="H11" i="5" s="1"/>
  <c r="F5" i="5"/>
  <c r="E5" i="5"/>
  <c r="D19" i="5"/>
  <c r="R20" i="5"/>
  <c r="O20" i="5"/>
  <c r="M20" i="5"/>
  <c r="I20" i="5"/>
  <c r="O11" i="5"/>
  <c r="R7" i="5"/>
  <c r="R11" i="5" s="1"/>
  <c r="P7" i="5"/>
  <c r="P11" i="5" s="1"/>
  <c r="D30" i="5" s="1"/>
  <c r="C16" i="7" s="1"/>
  <c r="O7" i="5"/>
  <c r="M7" i="5"/>
  <c r="M11" i="5" s="1"/>
  <c r="I7" i="5"/>
  <c r="I11" i="5" s="1"/>
  <c r="F7" i="5"/>
  <c r="F11" i="5" s="1"/>
  <c r="D23" i="5" s="1"/>
  <c r="C9" i="7" s="1"/>
  <c r="E7" i="5"/>
  <c r="E11" i="5" s="1"/>
  <c r="D22" i="5" s="1"/>
  <c r="C8" i="7" s="1"/>
  <c r="D7" i="5"/>
  <c r="D11" i="5" s="1"/>
  <c r="D21" i="5" s="1"/>
  <c r="C7" i="7" s="1"/>
  <c r="G7" i="5"/>
  <c r="G11" i="5" s="1"/>
  <c r="D24" i="5" s="1"/>
  <c r="C10" i="7" s="1"/>
  <c r="G5" i="4"/>
  <c r="P12" i="3" l="1"/>
  <c r="D29" i="3" s="1"/>
  <c r="G15" i="7" s="1"/>
  <c r="K12" i="3"/>
  <c r="M12" i="5"/>
  <c r="D28" i="5" s="1"/>
  <c r="C14" i="7" s="1"/>
  <c r="I12" i="5"/>
  <c r="D25" i="5" s="1"/>
  <c r="C11" i="7" s="1"/>
  <c r="S12" i="3"/>
  <c r="D31" i="3" s="1"/>
  <c r="G17" i="7" s="1"/>
  <c r="N12" i="3"/>
  <c r="D28" i="3" s="1"/>
  <c r="G14" i="7" s="1"/>
  <c r="I12" i="3"/>
  <c r="D25" i="3" s="1"/>
  <c r="G11" i="7" s="1"/>
  <c r="O12" i="2"/>
  <c r="D29" i="2" s="1"/>
  <c r="F15" i="7" s="1"/>
  <c r="I12" i="2"/>
  <c r="D25" i="2" s="1"/>
  <c r="F11" i="7" s="1"/>
  <c r="R12" i="2"/>
  <c r="D31" i="2" s="1"/>
  <c r="F17" i="7" s="1"/>
  <c r="M12" i="2"/>
  <c r="D28" i="2" s="1"/>
  <c r="F14" i="7" s="1"/>
  <c r="R12" i="6"/>
  <c r="D31" i="6" s="1"/>
  <c r="D17" i="7" s="1"/>
  <c r="O12" i="6"/>
  <c r="D29" i="6" s="1"/>
  <c r="D15" i="7" s="1"/>
  <c r="I12" i="6"/>
  <c r="D25" i="6" s="1"/>
  <c r="D11" i="7" s="1"/>
  <c r="R12" i="5"/>
  <c r="D31" i="5" s="1"/>
  <c r="C17" i="7" s="1"/>
  <c r="O12" i="5"/>
  <c r="D29" i="5" s="1"/>
  <c r="C15" i="7" s="1"/>
  <c r="E8" i="7"/>
  <c r="E9" i="7"/>
  <c r="E10" i="7"/>
  <c r="E11" i="7"/>
  <c r="E12" i="7"/>
  <c r="E13" i="7"/>
  <c r="E14" i="7"/>
  <c r="E15" i="7"/>
  <c r="E16" i="7"/>
  <c r="E17" i="7"/>
  <c r="E7" i="7"/>
  <c r="R20" i="4" l="1"/>
  <c r="O20" i="4"/>
  <c r="M20" i="4"/>
  <c r="I20" i="4"/>
  <c r="N11" i="4"/>
  <c r="R7" i="4"/>
  <c r="R11" i="4" s="1"/>
  <c r="Q7" i="4"/>
  <c r="Q11" i="4" s="1"/>
  <c r="P7" i="4"/>
  <c r="P11" i="4" s="1"/>
  <c r="D30" i="4" s="1"/>
  <c r="B16" i="7" s="1"/>
  <c r="O7" i="4"/>
  <c r="O11" i="4" s="1"/>
  <c r="O12" i="4" s="1"/>
  <c r="D29" i="4" s="1"/>
  <c r="B15" i="7" s="1"/>
  <c r="N7" i="4"/>
  <c r="M7" i="4"/>
  <c r="M11" i="4" s="1"/>
  <c r="L7" i="4"/>
  <c r="L11" i="4" s="1"/>
  <c r="K7" i="4"/>
  <c r="K11" i="4" s="1"/>
  <c r="D27" i="4" s="1"/>
  <c r="B13" i="7" s="1"/>
  <c r="J7" i="4"/>
  <c r="J11" i="4" s="1"/>
  <c r="D26" i="4" s="1"/>
  <c r="B12" i="7" s="1"/>
  <c r="I7" i="4"/>
  <c r="I11" i="4" s="1"/>
  <c r="H7" i="4"/>
  <c r="H11" i="4" s="1"/>
  <c r="G7" i="4"/>
  <c r="G11" i="4" s="1"/>
  <c r="D24" i="4" s="1"/>
  <c r="B10" i="7" s="1"/>
  <c r="F7" i="4"/>
  <c r="F11" i="4" s="1"/>
  <c r="D23" i="4" s="1"/>
  <c r="B9" i="7" s="1"/>
  <c r="E7" i="4"/>
  <c r="E11" i="4" s="1"/>
  <c r="D22" i="4" s="1"/>
  <c r="B8" i="7" s="1"/>
  <c r="D7" i="4"/>
  <c r="D11" i="4" s="1"/>
  <c r="D21" i="4" s="1"/>
  <c r="B7" i="7" s="1"/>
  <c r="D7" i="1"/>
  <c r="R12" i="4" l="1"/>
  <c r="D31" i="4" s="1"/>
  <c r="B17" i="7" s="1"/>
  <c r="M12" i="4"/>
  <c r="D28" i="4" s="1"/>
  <c r="B14" i="7" s="1"/>
  <c r="I12" i="4"/>
  <c r="D25" i="4" s="1"/>
  <c r="B11" i="7" s="1"/>
  <c r="R11" i="1"/>
  <c r="Q11" i="1"/>
  <c r="R20" i="1"/>
  <c r="R9" i="1"/>
  <c r="Q9" i="1"/>
  <c r="O20" i="1"/>
  <c r="I20" i="1"/>
  <c r="Q7" i="1"/>
  <c r="R7" i="1" l="1"/>
  <c r="R12" i="1" s="1"/>
  <c r="D31" i="1" s="1"/>
  <c r="M20" i="1"/>
  <c r="O9" i="1"/>
  <c r="M9" i="1"/>
  <c r="I9" i="1"/>
  <c r="P9" i="1"/>
  <c r="N9" i="1"/>
  <c r="L9" i="1"/>
  <c r="K9" i="1"/>
  <c r="J9" i="1"/>
  <c r="H9" i="1"/>
  <c r="G9" i="1"/>
  <c r="F9" i="1"/>
  <c r="E9" i="1"/>
  <c r="D9" i="1"/>
  <c r="I11" i="1" l="1"/>
  <c r="I12" i="1" s="1"/>
  <c r="D25" i="1" s="1"/>
  <c r="I7" i="1"/>
  <c r="O7" i="1"/>
  <c r="O11" i="1" s="1"/>
  <c r="O12" i="1" s="1"/>
  <c r="D29" i="1" s="1"/>
  <c r="M7" i="1"/>
  <c r="M11" i="1" s="1"/>
  <c r="G7" i="1"/>
  <c r="G11" i="1" s="1"/>
  <c r="D24" i="1" s="1"/>
  <c r="H7" i="1"/>
  <c r="H11" i="1" s="1"/>
  <c r="J7" i="1"/>
  <c r="J11" i="1" s="1"/>
  <c r="D26" i="1" s="1"/>
  <c r="K7" i="1"/>
  <c r="L7" i="1"/>
  <c r="L11" i="1" s="1"/>
  <c r="N7" i="1"/>
  <c r="N11" i="1" s="1"/>
  <c r="P7" i="1"/>
  <c r="P11" i="1" s="1"/>
  <c r="D30" i="1" s="1"/>
  <c r="F11" i="1"/>
  <c r="D23" i="1" s="1"/>
  <c r="K11" i="1"/>
  <c r="D27" i="1" s="1"/>
  <c r="E7" i="1"/>
  <c r="E11" i="1" s="1"/>
  <c r="D22" i="1" s="1"/>
  <c r="F7" i="1"/>
  <c r="D11" i="1"/>
  <c r="D21" i="1" s="1"/>
  <c r="M12" i="1" l="1"/>
  <c r="D28" i="1" s="1"/>
</calcChain>
</file>

<file path=xl/comments1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</commentList>
</comments>
</file>

<file path=xl/comments3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</commentList>
</comments>
</file>

<file path=xl/comments4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</commentList>
</comments>
</file>

<file path=xl/comments5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</commentList>
</comments>
</file>

<file path=xl/comments6.xml><?xml version="1.0" encoding="utf-8"?>
<comments xmlns="http://schemas.openxmlformats.org/spreadsheetml/2006/main">
  <authors>
    <author>Joe Miller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Prior to 2008 DSM &amp; LIRAP were combined into a single rate.  Resource accounting used a % split to allocate between the programs.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2005 GRC (2004 test year base revenue)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2005 GRC (2004 Test Year)
effective 1/1/2006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2007 GRC (2006 test year base revenue)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2007 GRC (2006 test year)
effective 1/1/2008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2008 GRC (2007 test year)
effective 1/1/2009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2009 GRC (12ME Sept 08 test year)
effective 1/1/10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2010 GRC (2009 test year)
effective 12/1/2010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2011 GRC (2010 test year base revenue)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2011 GRC (2010 test year)
effective 1/1/12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2012 GRC (2011 test year) phase 1 effective January 1, 2013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2012 GRC (2011 test year) phase 1 effective January 1, 2014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2014 GRC (Forecasted 2015 test period) effective January 1, 2015</t>
        </r>
      </text>
    </comment>
  </commentList>
</comments>
</file>

<file path=xl/sharedStrings.xml><?xml version="1.0" encoding="utf-8"?>
<sst xmlns="http://schemas.openxmlformats.org/spreadsheetml/2006/main" count="129" uniqueCount="33">
  <si>
    <t>Schedule 91 Rate</t>
  </si>
  <si>
    <t>DSM %</t>
  </si>
  <si>
    <t>DSM Rate</t>
  </si>
  <si>
    <t>Schedule 25 kWh's</t>
  </si>
  <si>
    <t>DSM Revenue</t>
  </si>
  <si>
    <t>Jan</t>
  </si>
  <si>
    <t>Feb-Dec</t>
  </si>
  <si>
    <t>Jan-Jul</t>
  </si>
  <si>
    <t>Aug-Dec</t>
  </si>
  <si>
    <t>Washington</t>
  </si>
  <si>
    <t>Schedule 25</t>
  </si>
  <si>
    <t>Year</t>
  </si>
  <si>
    <t xml:space="preserve">Schedule 25 </t>
  </si>
  <si>
    <t>Calendar</t>
  </si>
  <si>
    <t>Check</t>
  </si>
  <si>
    <t>Schedule 001 kWh's</t>
  </si>
  <si>
    <t>Schedule 001</t>
  </si>
  <si>
    <t>Schedule 011/012</t>
  </si>
  <si>
    <t>Schedule 021/022</t>
  </si>
  <si>
    <t>Schedule 025</t>
  </si>
  <si>
    <t>Schedule 031/032</t>
  </si>
  <si>
    <t>Schedule 011/012 kWh's</t>
  </si>
  <si>
    <t>Schedule 021/022 kWh's</t>
  </si>
  <si>
    <t>Schedule 031/032 kWh's</t>
  </si>
  <si>
    <t>Jan-Nov</t>
  </si>
  <si>
    <t>Dec</t>
  </si>
  <si>
    <t>Schedule 041/048 Base Revenue</t>
  </si>
  <si>
    <t>Schedule 041-48</t>
  </si>
  <si>
    <t>Avista</t>
  </si>
  <si>
    <t>ICNU-036</t>
  </si>
  <si>
    <t>***  For purposes of estimating base revenue in order to calculate DSM revenue, the Company used Street &amp; Area Light base revenue from past GRC's that most closely aligned with the corresponding year.</t>
  </si>
  <si>
    <t>Schedule 41-48 *</t>
  </si>
  <si>
    <t>* The Company used Street &amp; Area Light base revenue from past GRC's that most closely aligned with the corresponding year in order to estimate the amount of DSM revenue collected for Schedules 41-48.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</si>
</sst>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* #,##0_);_(* \(#,##0\);_(* &quot;-&quot;??_);_(@_)"/>
    <numFmt numFmtId="166" formatCode="_(&quot;$&quot;* #,##0_);_(&quot;$&quot;* \(#,##0\);_(&quot;$&quot;* &quot;-&quot;?????_);_(@_)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2" applyNumberFormat="1" applyFont="1"/>
    <xf numFmtId="10" fontId="0" fillId="0" borderId="0" xfId="3" applyNumberFormat="1" applyFont="1"/>
    <xf numFmtId="165" fontId="0" fillId="0" borderId="0" xfId="1" applyNumberFormat="1" applyFont="1"/>
    <xf numFmtId="166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3" fillId="0" borderId="0" xfId="0" applyNumberFormat="1" applyFont="1"/>
    <xf numFmtId="0" fontId="4" fillId="0" borderId="0" xfId="0" applyFont="1" applyBorder="1" applyAlignment="1">
      <alignment horizontal="right"/>
    </xf>
    <xf numFmtId="165" fontId="0" fillId="0" borderId="0" xfId="0" applyNumberFormat="1"/>
    <xf numFmtId="164" fontId="0" fillId="0" borderId="0" xfId="2" applyNumberFormat="1" applyFont="1" applyFill="1"/>
    <xf numFmtId="165" fontId="0" fillId="0" borderId="0" xfId="1" applyNumberFormat="1" applyFont="1" applyFill="1"/>
    <xf numFmtId="10" fontId="0" fillId="0" borderId="0" xfId="3" applyNumberFormat="1" applyFont="1" applyFill="1"/>
    <xf numFmtId="0" fontId="0" fillId="0" borderId="0" xfId="0" applyFill="1"/>
    <xf numFmtId="167" fontId="0" fillId="0" borderId="0" xfId="2" applyNumberFormat="1" applyFont="1"/>
    <xf numFmtId="0" fontId="0" fillId="0" borderId="0" xfId="0" applyAlignment="1">
      <alignment horizontal="center"/>
    </xf>
    <xf numFmtId="165" fontId="0" fillId="0" borderId="0" xfId="0" applyNumberFormat="1" applyFill="1"/>
    <xf numFmtId="167" fontId="0" fillId="0" borderId="0" xfId="2" applyNumberFormat="1" applyFont="1" applyFill="1"/>
    <xf numFmtId="0" fontId="1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N12" sqref="N12:N13"/>
    </sheetView>
  </sheetViews>
  <sheetFormatPr defaultRowHeight="15" x14ac:dyDescent="0.25"/>
  <cols>
    <col min="2" max="2" width="12.5703125" bestFit="1" customWidth="1"/>
    <col min="3" max="4" width="16.5703125" bestFit="1" customWidth="1"/>
    <col min="5" max="5" width="12.5703125" bestFit="1" customWidth="1"/>
    <col min="6" max="6" width="16.5703125" bestFit="1" customWidth="1"/>
    <col min="7" max="7" width="15.85546875" bestFit="1" customWidth="1"/>
  </cols>
  <sheetData>
    <row r="1" spans="1:7" x14ac:dyDescent="0.25">
      <c r="A1" t="s">
        <v>28</v>
      </c>
    </row>
    <row r="2" spans="1:7" x14ac:dyDescent="0.25">
      <c r="A2" t="s">
        <v>29</v>
      </c>
    </row>
    <row r="6" spans="1:7" x14ac:dyDescent="0.25">
      <c r="A6" s="22" t="s">
        <v>11</v>
      </c>
      <c r="B6" s="22" t="s">
        <v>16</v>
      </c>
      <c r="C6" s="22" t="s">
        <v>17</v>
      </c>
      <c r="D6" s="22" t="s">
        <v>18</v>
      </c>
      <c r="E6" s="22" t="s">
        <v>19</v>
      </c>
      <c r="F6" s="22" t="s">
        <v>20</v>
      </c>
      <c r="G6" s="22" t="s">
        <v>31</v>
      </c>
    </row>
    <row r="7" spans="1:7" x14ac:dyDescent="0.25">
      <c r="A7" s="18">
        <v>2005</v>
      </c>
      <c r="B7" s="17">
        <f>'Sch 001'!D21</f>
        <v>2012817.1866257999</v>
      </c>
      <c r="C7" s="17">
        <f>'Sch 011-012'!D21</f>
        <v>485609.08006799995</v>
      </c>
      <c r="D7" s="17">
        <f>'Sch 021-022'!D21</f>
        <v>1462584.8161742999</v>
      </c>
      <c r="E7" s="17">
        <f>'Sch 25'!D21</f>
        <v>570783.59099699999</v>
      </c>
      <c r="F7" s="17">
        <f>'Sch 031-032'!D21</f>
        <v>100024.4615643</v>
      </c>
      <c r="G7" s="17">
        <f>'Sch 41-48'!D21</f>
        <v>69770.81590799999</v>
      </c>
    </row>
    <row r="8" spans="1:7" x14ac:dyDescent="0.25">
      <c r="A8" s="18">
        <v>2006</v>
      </c>
      <c r="B8" s="17">
        <f>'Sch 001'!D22</f>
        <v>2118953.5876520402</v>
      </c>
      <c r="C8" s="17">
        <f>'Sch 011-012'!D22</f>
        <v>523948.23485820001</v>
      </c>
      <c r="D8" s="17">
        <f>'Sch 021-022'!D22</f>
        <v>1484223.699093695</v>
      </c>
      <c r="E8" s="17">
        <f>'Sch 25'!D22</f>
        <v>582847.02255669003</v>
      </c>
      <c r="F8" s="17">
        <f>'Sch 031-032'!D22</f>
        <v>103706.47221421501</v>
      </c>
      <c r="G8" s="17">
        <f>'Sch 41-48'!D22</f>
        <v>75144.082945800008</v>
      </c>
    </row>
    <row r="9" spans="1:7" x14ac:dyDescent="0.25">
      <c r="A9" s="18">
        <v>2007</v>
      </c>
      <c r="B9" s="17">
        <f>'Sch 001'!D23</f>
        <v>2156257.2601546552</v>
      </c>
      <c r="C9" s="17">
        <f>'Sch 011-012'!D23</f>
        <v>536146.95742830005</v>
      </c>
      <c r="D9" s="17">
        <f>'Sch 021-022'!D23</f>
        <v>1486625.303066785</v>
      </c>
      <c r="E9" s="17">
        <f>'Sch 25'!D23</f>
        <v>583346.21047287004</v>
      </c>
      <c r="F9" s="17">
        <f>'Sch 031-032'!D23</f>
        <v>111562.489901655</v>
      </c>
      <c r="G9" s="17">
        <f>'Sch 41-48'!D23</f>
        <v>76888.318650000001</v>
      </c>
    </row>
    <row r="10" spans="1:7" x14ac:dyDescent="0.25">
      <c r="A10" s="18">
        <v>2008</v>
      </c>
      <c r="B10" s="17">
        <f>'Sch 001'!D24</f>
        <v>4371726.74926</v>
      </c>
      <c r="C10" s="17">
        <f>'Sch 011-012'!D24</f>
        <v>1081099.99104</v>
      </c>
      <c r="D10" s="17">
        <f>'Sch 021-022'!D24</f>
        <v>3014395.44147</v>
      </c>
      <c r="E10" s="17">
        <f>'Sch 25'!D24</f>
        <v>1155315.35568</v>
      </c>
      <c r="F10" s="17">
        <f>'Sch 031-032'!D24</f>
        <v>224791.93650000001</v>
      </c>
      <c r="G10" s="17">
        <f>'Sch 41-48'!D24</f>
        <v>153797.79999999999</v>
      </c>
    </row>
    <row r="11" spans="1:7" x14ac:dyDescent="0.25">
      <c r="A11" s="18">
        <v>2009</v>
      </c>
      <c r="B11" s="17">
        <f>'Sch 001'!D25</f>
        <v>7453675.1296900008</v>
      </c>
      <c r="C11" s="17">
        <f>'Sch 011-012'!D25</f>
        <v>1806270.07546</v>
      </c>
      <c r="D11" s="17">
        <f>'Sch 021-022'!D25</f>
        <v>5017049.5397899998</v>
      </c>
      <c r="E11" s="17">
        <f>'Sch 25'!D25</f>
        <v>1855705.5875700002</v>
      </c>
      <c r="F11" s="17">
        <f>'Sch 031-032'!D25</f>
        <v>398054.13941999996</v>
      </c>
      <c r="G11" s="17">
        <f>'Sch 41-48'!D25</f>
        <v>262052.49999999997</v>
      </c>
    </row>
    <row r="12" spans="1:7" x14ac:dyDescent="0.25">
      <c r="A12" s="18">
        <v>2010</v>
      </c>
      <c r="B12" s="17">
        <f>'Sch 001'!D26</f>
        <v>7428837.6990800006</v>
      </c>
      <c r="C12" s="17">
        <f>'Sch 011-012'!D26</f>
        <v>1830230.21095</v>
      </c>
      <c r="D12" s="17">
        <f>'Sch 021-022'!D26</f>
        <v>5076086.3340600003</v>
      </c>
      <c r="E12" s="17">
        <f>'Sch 25'!D26</f>
        <v>2242314.1606600001</v>
      </c>
      <c r="F12" s="17">
        <f>'Sch 031-032'!D26</f>
        <v>358075.34535000002</v>
      </c>
      <c r="G12" s="17">
        <f>'Sch 41-48'!D26</f>
        <v>249356.25</v>
      </c>
    </row>
    <row r="13" spans="1:7" x14ac:dyDescent="0.25">
      <c r="A13" s="18">
        <v>2011</v>
      </c>
      <c r="B13" s="17">
        <f>'Sch 001'!D27</f>
        <v>7660238.4268300002</v>
      </c>
      <c r="C13" s="17">
        <f>'Sch 011-012'!D27</f>
        <v>2002608.9574200001</v>
      </c>
      <c r="D13" s="17">
        <f>'Sch 021-022'!D27</f>
        <v>5052974.2027900005</v>
      </c>
      <c r="E13" s="17">
        <f>'Sch 25'!D27</f>
        <v>2306451.4271400003</v>
      </c>
      <c r="F13" s="17">
        <f>'Sch 031-032'!D27</f>
        <v>366385.21509999997</v>
      </c>
      <c r="G13" s="17">
        <f>'Sch 41-48'!D27</f>
        <v>274262.2</v>
      </c>
    </row>
    <row r="14" spans="1:7" x14ac:dyDescent="0.25">
      <c r="A14" s="18">
        <v>2012</v>
      </c>
      <c r="B14" s="17">
        <f>'Sch 001'!D28</f>
        <v>5986584.0468300004</v>
      </c>
      <c r="C14" s="17">
        <f>'Sch 011-012'!D28</f>
        <v>1846874.7669500001</v>
      </c>
      <c r="D14" s="17">
        <f>'Sch 021-022'!D28</f>
        <v>3903797.5818800004</v>
      </c>
      <c r="E14" s="17">
        <f>'Sch 25'!D28</f>
        <v>1773427.0014900002</v>
      </c>
      <c r="F14" s="17">
        <f>'Sch 031-032'!D28</f>
        <v>286366.75864999997</v>
      </c>
      <c r="G14" s="17">
        <f>'Sch 41-48'!D28</f>
        <v>216095.42500000002</v>
      </c>
    </row>
    <row r="15" spans="1:7" x14ac:dyDescent="0.25">
      <c r="A15" s="18">
        <v>2013</v>
      </c>
      <c r="B15" s="17">
        <f>'Sch 001'!D29</f>
        <v>5122255.1264000004</v>
      </c>
      <c r="C15" s="17">
        <f>'Sch 011-012'!D29</f>
        <v>1691283.4208</v>
      </c>
      <c r="D15" s="17">
        <f>'Sch 021-022'!D29</f>
        <v>3104259.8563200003</v>
      </c>
      <c r="E15" s="17">
        <f>'Sch 25'!D29</f>
        <v>1495036.9961600001</v>
      </c>
      <c r="F15" s="17">
        <f>'Sch 031-032'!D29</f>
        <v>250072.83895</v>
      </c>
      <c r="G15" s="17">
        <f>'Sch 41-48'!D29</f>
        <v>166311.46666666667</v>
      </c>
    </row>
    <row r="16" spans="1:7" x14ac:dyDescent="0.25">
      <c r="A16" s="18">
        <v>2014</v>
      </c>
      <c r="B16" s="17">
        <f>'Sch 001'!D30</f>
        <v>6431751.8561200006</v>
      </c>
      <c r="C16" s="17">
        <f>'Sch 011-012'!D30</f>
        <v>2169348.7598999999</v>
      </c>
      <c r="D16" s="17">
        <f>'Sch 021-022'!D30</f>
        <v>3952823.8876799997</v>
      </c>
      <c r="E16" s="17">
        <f>'Sch 25'!D30</f>
        <v>1956751.21312</v>
      </c>
      <c r="F16" s="17">
        <f>'Sch 031-032'!D30</f>
        <v>346244.92945</v>
      </c>
      <c r="G16" s="17">
        <f>'Sch 41-48'!D30</f>
        <v>218567.90000000002</v>
      </c>
    </row>
    <row r="17" spans="1:7" x14ac:dyDescent="0.25">
      <c r="A17" s="18">
        <v>2015</v>
      </c>
      <c r="B17" s="17">
        <f>'Sch 001'!D31</f>
        <v>5720522.45591</v>
      </c>
      <c r="C17" s="17">
        <f>'Sch 011-012'!D31</f>
        <v>1989896.05926</v>
      </c>
      <c r="D17" s="17">
        <f>'Sch 021-022'!D31</f>
        <v>3609895.9341200003</v>
      </c>
      <c r="E17" s="17">
        <f>'Sch 25'!D31</f>
        <v>1752710.0052399999</v>
      </c>
      <c r="F17" s="17">
        <f>'Sch 031-032'!D31</f>
        <v>341764.40599999996</v>
      </c>
      <c r="G17" s="17">
        <f>'Sch 41-48'!D31</f>
        <v>199023.44166666668</v>
      </c>
    </row>
    <row r="18" spans="1:7" x14ac:dyDescent="0.25">
      <c r="C18" s="17"/>
    </row>
    <row r="20" spans="1:7" x14ac:dyDescent="0.25">
      <c r="A20" s="23" t="s">
        <v>32</v>
      </c>
      <c r="B20" s="23"/>
      <c r="C20" s="23"/>
      <c r="D20" s="23"/>
      <c r="E20" s="23"/>
      <c r="F20" s="23"/>
      <c r="G20" s="23"/>
    </row>
    <row r="21" spans="1:7" x14ac:dyDescent="0.25">
      <c r="A21" s="23"/>
      <c r="B21" s="23"/>
      <c r="C21" s="23"/>
      <c r="D21" s="23"/>
      <c r="E21" s="23"/>
      <c r="F21" s="23"/>
      <c r="G21" s="23"/>
    </row>
  </sheetData>
  <mergeCells count="1">
    <mergeCell ref="A20:G21"/>
  </mergeCells>
  <pageMargins left="0.7" right="0.7" top="0.75" bottom="0.75" header="0.3" footer="0.3"/>
  <pageSetup scale="90" orientation="portrait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31"/>
  <sheetViews>
    <sheetView workbookViewId="0">
      <selection activeCell="F31" sqref="F31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7" width="14.28515625" bestFit="1" customWidth="1"/>
    <col min="8" max="8" width="12.5703125" bestFit="1" customWidth="1"/>
    <col min="9" max="9" width="15.28515625" bestFit="1" customWidth="1"/>
    <col min="10" max="12" width="14.28515625" bestFit="1" customWidth="1"/>
    <col min="13" max="13" width="16.85546875" bestFit="1" customWidth="1"/>
    <col min="14" max="14" width="14.28515625" bestFit="1" customWidth="1"/>
    <col min="15" max="15" width="16.85546875" bestFit="1" customWidth="1"/>
    <col min="16" max="16" width="14.28515625" bestFit="1" customWidth="1"/>
    <col min="17" max="17" width="14.28515625" customWidth="1"/>
    <col min="18" max="18" width="15.28515625" bestFit="1" customWidth="1"/>
    <col min="19" max="19" width="14.28515625" bestFit="1" customWidth="1"/>
  </cols>
  <sheetData>
    <row r="3" spans="2:19" x14ac:dyDescent="0.25">
      <c r="H3" t="s">
        <v>5</v>
      </c>
      <c r="I3" t="s">
        <v>6</v>
      </c>
      <c r="L3" t="s">
        <v>7</v>
      </c>
      <c r="M3" t="s">
        <v>8</v>
      </c>
      <c r="N3" t="s">
        <v>7</v>
      </c>
      <c r="O3" t="s">
        <v>8</v>
      </c>
      <c r="Q3" t="s">
        <v>7</v>
      </c>
      <c r="R3" t="s">
        <v>8</v>
      </c>
    </row>
    <row r="4" spans="2:19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2011</v>
      </c>
      <c r="L4" s="1">
        <v>2012</v>
      </c>
      <c r="M4" s="1">
        <v>2012</v>
      </c>
      <c r="N4" s="1">
        <v>2013</v>
      </c>
      <c r="O4" s="1">
        <v>2013</v>
      </c>
      <c r="P4" s="1">
        <v>2014</v>
      </c>
      <c r="Q4" s="1">
        <v>2015</v>
      </c>
      <c r="R4" s="1">
        <v>2015</v>
      </c>
    </row>
    <row r="5" spans="2:19" x14ac:dyDescent="0.25">
      <c r="B5" t="s">
        <v>0</v>
      </c>
      <c r="D5" s="13">
        <v>1.2700000000000001E-3</v>
      </c>
      <c r="E5" s="13">
        <v>1.2700000000000001E-3</v>
      </c>
      <c r="F5" s="13">
        <v>1.2700000000000001E-3</v>
      </c>
      <c r="G5" s="13">
        <f>0.00181</f>
        <v>1.81E-3</v>
      </c>
      <c r="H5" s="13">
        <v>1.8600000000000001E-3</v>
      </c>
      <c r="I5" s="13">
        <v>3.1700000000000001E-3</v>
      </c>
      <c r="J5" s="2">
        <v>3.1700000000000001E-3</v>
      </c>
      <c r="K5" s="2">
        <v>3.1700000000000001E-3</v>
      </c>
      <c r="L5" s="2">
        <v>3.1700000000000001E-3</v>
      </c>
      <c r="M5" s="2">
        <v>1.6800000000000001E-3</v>
      </c>
      <c r="N5" s="2">
        <v>1.6800000000000001E-3</v>
      </c>
      <c r="O5" s="2">
        <v>2.6800000000000001E-3</v>
      </c>
      <c r="P5" s="2">
        <v>2.6800000000000001E-3</v>
      </c>
      <c r="Q5" s="2">
        <v>2.6800000000000001E-3</v>
      </c>
      <c r="R5" s="13">
        <v>2.15E-3</v>
      </c>
    </row>
    <row r="6" spans="2:19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2:19" x14ac:dyDescent="0.25">
      <c r="B7" t="s">
        <v>2</v>
      </c>
      <c r="D7" s="13">
        <f>D5*D6</f>
        <v>9.0169999999999996E-4</v>
      </c>
      <c r="E7" s="13">
        <f t="shared" ref="E7:R7" si="0">E5*E6</f>
        <v>9.0360500000000003E-4</v>
      </c>
      <c r="F7" s="13">
        <f t="shared" si="0"/>
        <v>9.0360500000000003E-4</v>
      </c>
      <c r="G7" s="13">
        <f t="shared" si="0"/>
        <v>1.81E-3</v>
      </c>
      <c r="H7" s="13">
        <f t="shared" si="0"/>
        <v>1.8600000000000001E-3</v>
      </c>
      <c r="I7" s="13">
        <f t="shared" si="0"/>
        <v>3.1700000000000001E-3</v>
      </c>
      <c r="J7" s="2">
        <f t="shared" si="0"/>
        <v>3.1700000000000001E-3</v>
      </c>
      <c r="K7" s="2">
        <f t="shared" si="0"/>
        <v>3.1700000000000001E-3</v>
      </c>
      <c r="L7" s="2">
        <f t="shared" si="0"/>
        <v>3.1700000000000001E-3</v>
      </c>
      <c r="M7" s="2">
        <f t="shared" si="0"/>
        <v>1.6800000000000001E-3</v>
      </c>
      <c r="N7" s="2">
        <f t="shared" si="0"/>
        <v>1.6800000000000001E-3</v>
      </c>
      <c r="O7" s="2">
        <f t="shared" si="0"/>
        <v>2.6800000000000001E-3</v>
      </c>
      <c r="P7" s="2">
        <f t="shared" si="0"/>
        <v>2.6800000000000001E-3</v>
      </c>
      <c r="Q7" s="2">
        <f t="shared" si="0"/>
        <v>2.6800000000000001E-3</v>
      </c>
      <c r="R7" s="2">
        <f t="shared" si="0"/>
        <v>2.15E-3</v>
      </c>
    </row>
    <row r="8" spans="2:19" x14ac:dyDescent="0.25">
      <c r="D8" s="16"/>
      <c r="E8" s="16"/>
      <c r="F8" s="16"/>
      <c r="G8" s="16"/>
      <c r="H8" s="16"/>
      <c r="I8" s="16"/>
    </row>
    <row r="9" spans="2:19" x14ac:dyDescent="0.25">
      <c r="B9" t="s">
        <v>15</v>
      </c>
      <c r="D9" s="14">
        <v>2232247074</v>
      </c>
      <c r="E9" s="14">
        <v>2344999848</v>
      </c>
      <c r="F9" s="14">
        <v>2386283011</v>
      </c>
      <c r="G9" s="14">
        <v>2415318646</v>
      </c>
      <c r="H9" s="14">
        <v>283447436</v>
      </c>
      <c r="I9" s="14">
        <v>2185004069</v>
      </c>
      <c r="J9" s="14">
        <v>2343481924</v>
      </c>
      <c r="K9" s="14">
        <v>2416478999</v>
      </c>
      <c r="L9" s="14">
        <v>1377051471</v>
      </c>
      <c r="M9" s="14">
        <v>965077907</v>
      </c>
      <c r="N9" s="14">
        <v>1404817016</v>
      </c>
      <c r="O9" s="14">
        <v>1030657664</v>
      </c>
      <c r="P9" s="14">
        <v>2399907409</v>
      </c>
      <c r="Q9" s="14">
        <v>1368732777</v>
      </c>
      <c r="R9" s="14">
        <v>954566797</v>
      </c>
    </row>
    <row r="11" spans="2:19" x14ac:dyDescent="0.25">
      <c r="B11" t="s">
        <v>4</v>
      </c>
      <c r="D11" s="5">
        <f>D7*D9</f>
        <v>2012817.1866257999</v>
      </c>
      <c r="E11" s="5">
        <f t="shared" ref="E11:P11" si="1">E7*E9</f>
        <v>2118953.5876520402</v>
      </c>
      <c r="F11" s="5">
        <f t="shared" si="1"/>
        <v>2156257.2601546552</v>
      </c>
      <c r="G11" s="5">
        <f t="shared" si="1"/>
        <v>4371726.74926</v>
      </c>
      <c r="H11" s="5">
        <f t="shared" si="1"/>
        <v>527212.23096000007</v>
      </c>
      <c r="I11" s="5">
        <f t="shared" si="1"/>
        <v>6926462.8987300005</v>
      </c>
      <c r="J11" s="5">
        <f t="shared" si="1"/>
        <v>7428837.6990800006</v>
      </c>
      <c r="K11" s="5">
        <f t="shared" si="1"/>
        <v>7660238.4268300002</v>
      </c>
      <c r="L11" s="5">
        <f t="shared" si="1"/>
        <v>4365253.1630699998</v>
      </c>
      <c r="M11" s="5">
        <f t="shared" si="1"/>
        <v>1621330.8837600001</v>
      </c>
      <c r="N11" s="5">
        <f t="shared" si="1"/>
        <v>2360092.5868800003</v>
      </c>
      <c r="O11" s="5">
        <f t="shared" si="1"/>
        <v>2762162.5395200001</v>
      </c>
      <c r="P11" s="5">
        <f t="shared" si="1"/>
        <v>6431751.8561200006</v>
      </c>
      <c r="Q11" s="5">
        <f>Q7*Q9</f>
        <v>3668203.8423600001</v>
      </c>
      <c r="R11" s="5">
        <f>R7*R9</f>
        <v>2052318.6135499999</v>
      </c>
    </row>
    <row r="12" spans="2:19" x14ac:dyDescent="0.25">
      <c r="I12" s="5">
        <f>H11+I11</f>
        <v>7453675.1296900008</v>
      </c>
      <c r="M12" s="5">
        <f>L11+M11</f>
        <v>5986584.0468300004</v>
      </c>
      <c r="O12" s="5">
        <f>N11+O11</f>
        <v>5122255.1264000004</v>
      </c>
      <c r="R12" s="5">
        <f>Q11+R11</f>
        <v>5720522.45591</v>
      </c>
    </row>
    <row r="15" spans="2:19" x14ac:dyDescent="0.25">
      <c r="B15" t="s">
        <v>9</v>
      </c>
    </row>
    <row r="16" spans="2:19" x14ac:dyDescent="0.25">
      <c r="I16" s="14"/>
      <c r="J16" s="4"/>
      <c r="K16" s="4"/>
      <c r="L16" s="4"/>
      <c r="M16" s="14"/>
      <c r="N16" s="4"/>
      <c r="O16" s="14"/>
      <c r="Q16" s="4"/>
      <c r="R16" s="14"/>
      <c r="S16" s="12"/>
    </row>
    <row r="17" spans="2:19" x14ac:dyDescent="0.25">
      <c r="I17" s="14"/>
      <c r="J17" s="4"/>
      <c r="K17" s="4"/>
      <c r="L17" s="4"/>
      <c r="M17" s="14"/>
      <c r="N17" s="4"/>
      <c r="O17" s="14"/>
      <c r="Q17" s="4"/>
      <c r="R17" s="14"/>
      <c r="S17" s="12"/>
    </row>
    <row r="18" spans="2:19" x14ac:dyDescent="0.25">
      <c r="I18" s="14"/>
      <c r="J18" s="4"/>
      <c r="K18" s="4"/>
      <c r="L18" s="4"/>
      <c r="M18" s="14"/>
      <c r="N18" s="4"/>
      <c r="O18" s="14"/>
      <c r="Q18" s="4"/>
      <c r="R18" s="14"/>
      <c r="S18" s="12"/>
    </row>
    <row r="19" spans="2:19" ht="15.75" x14ac:dyDescent="0.25">
      <c r="B19" s="6"/>
      <c r="C19" s="6"/>
      <c r="D19" s="7" t="s">
        <v>16</v>
      </c>
      <c r="H19" t="s">
        <v>13</v>
      </c>
      <c r="I19" s="4">
        <v>2468451505</v>
      </c>
      <c r="J19" s="4"/>
      <c r="K19" s="4"/>
      <c r="L19" s="4"/>
      <c r="M19" s="4">
        <v>2342129378</v>
      </c>
      <c r="N19" s="4"/>
      <c r="O19" s="4">
        <v>2435474680</v>
      </c>
      <c r="Q19" s="12"/>
      <c r="R19" s="12">
        <v>2323299574</v>
      </c>
      <c r="S19" s="12"/>
    </row>
    <row r="20" spans="2:19" ht="15.75" x14ac:dyDescent="0.25">
      <c r="B20" s="11" t="s">
        <v>11</v>
      </c>
      <c r="C20" s="8"/>
      <c r="D20" s="9" t="s">
        <v>4</v>
      </c>
      <c r="H20" t="s">
        <v>14</v>
      </c>
      <c r="I20" s="4">
        <f>I19-I9-H9</f>
        <v>0</v>
      </c>
      <c r="J20" s="4"/>
      <c r="K20" s="4"/>
      <c r="L20" s="4"/>
      <c r="M20" s="4">
        <f>M19-M9-L9</f>
        <v>0</v>
      </c>
      <c r="N20" s="4"/>
      <c r="O20" s="4">
        <f>O19-O9-N9</f>
        <v>0</v>
      </c>
      <c r="R20" s="4">
        <f>R19-R9-Q9</f>
        <v>0</v>
      </c>
    </row>
    <row r="21" spans="2:19" ht="15.75" x14ac:dyDescent="0.25">
      <c r="B21" s="6">
        <v>2005</v>
      </c>
      <c r="C21" s="6"/>
      <c r="D21" s="10">
        <f>D11</f>
        <v>2012817.1866257999</v>
      </c>
    </row>
    <row r="22" spans="2:19" ht="15.75" x14ac:dyDescent="0.25">
      <c r="B22" s="6">
        <v>2006</v>
      </c>
      <c r="C22" s="6"/>
      <c r="D22" s="10">
        <f>E11</f>
        <v>2118953.5876520402</v>
      </c>
    </row>
    <row r="23" spans="2:19" ht="15.75" x14ac:dyDescent="0.25">
      <c r="B23" s="6">
        <v>2007</v>
      </c>
      <c r="C23" s="6"/>
      <c r="D23" s="10">
        <f>F11</f>
        <v>2156257.2601546552</v>
      </c>
    </row>
    <row r="24" spans="2:19" ht="15.75" x14ac:dyDescent="0.25">
      <c r="B24" s="6">
        <v>2008</v>
      </c>
      <c r="C24" s="6"/>
      <c r="D24" s="10">
        <f>G11</f>
        <v>4371726.74926</v>
      </c>
    </row>
    <row r="25" spans="2:19" ht="15.75" x14ac:dyDescent="0.25">
      <c r="B25" s="6">
        <v>2009</v>
      </c>
      <c r="C25" s="6"/>
      <c r="D25" s="10">
        <f>I12</f>
        <v>7453675.1296900008</v>
      </c>
    </row>
    <row r="26" spans="2:19" ht="15.75" x14ac:dyDescent="0.25">
      <c r="B26" s="6">
        <v>2010</v>
      </c>
      <c r="C26" s="6"/>
      <c r="D26" s="10">
        <f>J11</f>
        <v>7428837.6990800006</v>
      </c>
    </row>
    <row r="27" spans="2:19" ht="15.75" x14ac:dyDescent="0.25">
      <c r="B27" s="6">
        <v>2011</v>
      </c>
      <c r="C27" s="6"/>
      <c r="D27" s="10">
        <f>K11</f>
        <v>7660238.4268300002</v>
      </c>
    </row>
    <row r="28" spans="2:19" ht="15.75" x14ac:dyDescent="0.25">
      <c r="B28" s="6">
        <v>2012</v>
      </c>
      <c r="C28" s="6"/>
      <c r="D28" s="10">
        <f>M12</f>
        <v>5986584.0468300004</v>
      </c>
    </row>
    <row r="29" spans="2:19" ht="15.75" x14ac:dyDescent="0.25">
      <c r="B29" s="6">
        <v>2013</v>
      </c>
      <c r="C29" s="6"/>
      <c r="D29" s="10">
        <f>O12</f>
        <v>5122255.1264000004</v>
      </c>
    </row>
    <row r="30" spans="2:19" ht="15.75" x14ac:dyDescent="0.25">
      <c r="B30" s="6">
        <v>2014</v>
      </c>
      <c r="C30" s="6"/>
      <c r="D30" s="10">
        <f>P11</f>
        <v>6431751.8561200006</v>
      </c>
    </row>
    <row r="31" spans="2:19" ht="15.75" x14ac:dyDescent="0.25">
      <c r="B31" s="6">
        <v>2015</v>
      </c>
      <c r="C31" s="6"/>
      <c r="D31" s="10">
        <f>R12</f>
        <v>5720522.45591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31"/>
  <sheetViews>
    <sheetView workbookViewId="0">
      <selection activeCell="H30" sqref="H30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7" width="12.5703125" bestFit="1" customWidth="1"/>
    <col min="8" max="8" width="11.5703125" bestFit="1" customWidth="1"/>
    <col min="9" max="9" width="15.28515625" bestFit="1" customWidth="1"/>
    <col min="10" max="11" width="14.28515625" bestFit="1" customWidth="1"/>
    <col min="12" max="12" width="12.5703125" bestFit="1" customWidth="1"/>
    <col min="13" max="13" width="16.85546875" bestFit="1" customWidth="1"/>
    <col min="14" max="14" width="12.5703125" bestFit="1" customWidth="1"/>
    <col min="15" max="15" width="16.85546875" bestFit="1" customWidth="1"/>
    <col min="16" max="16" width="14.28515625" bestFit="1" customWidth="1"/>
    <col min="17" max="17" width="14.28515625" customWidth="1"/>
    <col min="18" max="18" width="15.28515625" bestFit="1" customWidth="1"/>
    <col min="19" max="19" width="14.28515625" bestFit="1" customWidth="1"/>
  </cols>
  <sheetData>
    <row r="3" spans="2:19" x14ac:dyDescent="0.25">
      <c r="H3" t="s">
        <v>5</v>
      </c>
      <c r="I3" t="s">
        <v>6</v>
      </c>
      <c r="L3" t="s">
        <v>7</v>
      </c>
      <c r="M3" t="s">
        <v>8</v>
      </c>
      <c r="N3" t="s">
        <v>7</v>
      </c>
      <c r="O3" t="s">
        <v>8</v>
      </c>
      <c r="Q3" t="s">
        <v>7</v>
      </c>
      <c r="R3" t="s">
        <v>8</v>
      </c>
    </row>
    <row r="4" spans="2:19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2011</v>
      </c>
      <c r="L4" s="1">
        <v>2012</v>
      </c>
      <c r="M4" s="1">
        <v>2012</v>
      </c>
      <c r="N4" s="1">
        <v>2013</v>
      </c>
      <c r="O4" s="1">
        <v>2013</v>
      </c>
      <c r="P4" s="1">
        <v>2014</v>
      </c>
      <c r="Q4" s="1">
        <v>2015</v>
      </c>
      <c r="R4" s="1">
        <v>2015</v>
      </c>
    </row>
    <row r="5" spans="2:19" x14ac:dyDescent="0.25">
      <c r="B5" t="s">
        <v>0</v>
      </c>
      <c r="D5" s="13">
        <v>1.8E-3</v>
      </c>
      <c r="E5" s="13">
        <f>D5</f>
        <v>1.8E-3</v>
      </c>
      <c r="F5" s="13">
        <f>D5</f>
        <v>1.8E-3</v>
      </c>
      <c r="G5" s="13">
        <v>2.5600000000000002E-3</v>
      </c>
      <c r="H5" s="13">
        <v>2.63E-3</v>
      </c>
      <c r="I5" s="13">
        <v>4.4900000000000001E-3</v>
      </c>
      <c r="J5" s="2">
        <f>I5</f>
        <v>4.4900000000000001E-3</v>
      </c>
      <c r="K5" s="2">
        <f>I5</f>
        <v>4.4900000000000001E-3</v>
      </c>
      <c r="L5" s="2">
        <f>I5</f>
        <v>4.4900000000000001E-3</v>
      </c>
      <c r="M5" s="2">
        <v>2.3500000000000001E-3</v>
      </c>
      <c r="N5" s="2">
        <f>M5</f>
        <v>2.3500000000000001E-3</v>
      </c>
      <c r="O5" s="2">
        <v>3.65E-3</v>
      </c>
      <c r="P5" s="2">
        <f>O5</f>
        <v>3.65E-3</v>
      </c>
      <c r="Q5" s="2">
        <f>O5</f>
        <v>3.65E-3</v>
      </c>
      <c r="R5" s="13">
        <v>2.8900000000000002E-3</v>
      </c>
    </row>
    <row r="6" spans="2:19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2:19" x14ac:dyDescent="0.25">
      <c r="B7" t="s">
        <v>2</v>
      </c>
      <c r="D7" s="13">
        <f>D5*D6</f>
        <v>1.2779999999999998E-3</v>
      </c>
      <c r="E7" s="13">
        <f t="shared" ref="E7:R7" si="0">E5*E6</f>
        <v>1.2807000000000001E-3</v>
      </c>
      <c r="F7" s="13">
        <f t="shared" si="0"/>
        <v>1.2807000000000001E-3</v>
      </c>
      <c r="G7" s="13">
        <f t="shared" si="0"/>
        <v>2.5600000000000002E-3</v>
      </c>
      <c r="H7" s="13">
        <f t="shared" si="0"/>
        <v>2.63E-3</v>
      </c>
      <c r="I7" s="13">
        <f t="shared" si="0"/>
        <v>4.4900000000000001E-3</v>
      </c>
      <c r="J7" s="2">
        <f t="shared" si="0"/>
        <v>4.4900000000000001E-3</v>
      </c>
      <c r="K7" s="2">
        <f t="shared" si="0"/>
        <v>4.4900000000000001E-3</v>
      </c>
      <c r="L7" s="2">
        <f t="shared" si="0"/>
        <v>4.4900000000000001E-3</v>
      </c>
      <c r="M7" s="2">
        <f t="shared" si="0"/>
        <v>2.3500000000000001E-3</v>
      </c>
      <c r="N7" s="2">
        <f t="shared" si="0"/>
        <v>2.3500000000000001E-3</v>
      </c>
      <c r="O7" s="2">
        <f t="shared" si="0"/>
        <v>3.65E-3</v>
      </c>
      <c r="P7" s="2">
        <f t="shared" si="0"/>
        <v>3.65E-3</v>
      </c>
      <c r="Q7" s="2">
        <f t="shared" si="0"/>
        <v>3.65E-3</v>
      </c>
      <c r="R7" s="2">
        <f t="shared" si="0"/>
        <v>2.8900000000000002E-3</v>
      </c>
    </row>
    <row r="8" spans="2:19" x14ac:dyDescent="0.25">
      <c r="D8" s="16"/>
      <c r="E8" s="16"/>
      <c r="F8" s="16"/>
      <c r="G8" s="16"/>
      <c r="H8" s="16"/>
      <c r="I8" s="16"/>
    </row>
    <row r="9" spans="2:19" x14ac:dyDescent="0.25">
      <c r="B9" t="s">
        <v>21</v>
      </c>
      <c r="D9" s="14">
        <v>379975806</v>
      </c>
      <c r="E9" s="14">
        <v>409110826</v>
      </c>
      <c r="F9" s="14">
        <v>418635869</v>
      </c>
      <c r="G9" s="14">
        <v>422304684</v>
      </c>
      <c r="H9" s="14">
        <v>41602100</v>
      </c>
      <c r="I9" s="14">
        <v>377919054</v>
      </c>
      <c r="J9" s="14">
        <v>407623655</v>
      </c>
      <c r="K9" s="14">
        <v>446015358</v>
      </c>
      <c r="L9" s="14">
        <v>294308280</v>
      </c>
      <c r="M9" s="14">
        <v>223587485</v>
      </c>
      <c r="N9" s="14">
        <v>329746164</v>
      </c>
      <c r="O9" s="14">
        <v>251062996</v>
      </c>
      <c r="P9" s="14">
        <v>594342126</v>
      </c>
      <c r="Q9" s="14">
        <v>345119964</v>
      </c>
      <c r="R9" s="14">
        <v>252667194</v>
      </c>
    </row>
    <row r="11" spans="2:19" x14ac:dyDescent="0.25">
      <c r="B11" t="s">
        <v>4</v>
      </c>
      <c r="D11" s="5">
        <f>D7*D9</f>
        <v>485609.08006799995</v>
      </c>
      <c r="E11" s="5">
        <f t="shared" ref="E11:P11" si="1">E7*E9</f>
        <v>523948.23485820001</v>
      </c>
      <c r="F11" s="5">
        <f t="shared" si="1"/>
        <v>536146.95742830005</v>
      </c>
      <c r="G11" s="5">
        <f t="shared" si="1"/>
        <v>1081099.99104</v>
      </c>
      <c r="H11" s="5">
        <f t="shared" si="1"/>
        <v>109413.523</v>
      </c>
      <c r="I11" s="5">
        <f t="shared" si="1"/>
        <v>1696856.5524599999</v>
      </c>
      <c r="J11" s="5">
        <f t="shared" si="1"/>
        <v>1830230.21095</v>
      </c>
      <c r="K11" s="5">
        <f t="shared" si="1"/>
        <v>2002608.9574200001</v>
      </c>
      <c r="L11" s="5">
        <f t="shared" si="1"/>
        <v>1321444.1772</v>
      </c>
      <c r="M11" s="5">
        <f t="shared" si="1"/>
        <v>525430.58975000004</v>
      </c>
      <c r="N11" s="5">
        <f t="shared" si="1"/>
        <v>774903.48540000001</v>
      </c>
      <c r="O11" s="5">
        <f t="shared" si="1"/>
        <v>916379.93539999996</v>
      </c>
      <c r="P11" s="5">
        <f t="shared" si="1"/>
        <v>2169348.7598999999</v>
      </c>
      <c r="Q11" s="5">
        <f>Q7*Q9</f>
        <v>1259687.8685999999</v>
      </c>
      <c r="R11" s="5">
        <f>R7*R9</f>
        <v>730208.19066000008</v>
      </c>
    </row>
    <row r="12" spans="2:19" x14ac:dyDescent="0.25">
      <c r="I12" s="5">
        <f>H11+I11</f>
        <v>1806270.07546</v>
      </c>
      <c r="M12" s="5">
        <f>L11+M11</f>
        <v>1846874.7669500001</v>
      </c>
      <c r="O12" s="5">
        <f>N11+O11</f>
        <v>1691283.4208</v>
      </c>
      <c r="R12" s="5">
        <f>Q11+R11</f>
        <v>1989896.05926</v>
      </c>
    </row>
    <row r="15" spans="2:19" x14ac:dyDescent="0.25">
      <c r="B15" t="s">
        <v>9</v>
      </c>
      <c r="I15" s="16"/>
    </row>
    <row r="16" spans="2:19" x14ac:dyDescent="0.25">
      <c r="I16" s="14"/>
      <c r="J16" s="4"/>
      <c r="K16" s="4"/>
      <c r="L16" s="4"/>
      <c r="M16" s="14"/>
      <c r="N16" s="4"/>
      <c r="O16" s="14"/>
      <c r="Q16" s="4"/>
      <c r="R16" s="14"/>
      <c r="S16" s="12"/>
    </row>
    <row r="17" spans="2:19" x14ac:dyDescent="0.25">
      <c r="I17" s="14"/>
      <c r="J17" s="4"/>
      <c r="K17" s="4"/>
      <c r="L17" s="4"/>
      <c r="M17" s="14"/>
      <c r="N17" s="4"/>
      <c r="O17" s="14"/>
      <c r="Q17" s="4"/>
      <c r="R17" s="14"/>
      <c r="S17" s="12"/>
    </row>
    <row r="18" spans="2:19" x14ac:dyDescent="0.25">
      <c r="I18" s="14"/>
      <c r="J18" s="4"/>
      <c r="K18" s="4"/>
      <c r="L18" s="4"/>
      <c r="M18" s="14"/>
      <c r="N18" s="4"/>
      <c r="O18" s="14"/>
      <c r="Q18" s="4"/>
      <c r="R18" s="14"/>
      <c r="S18" s="12"/>
    </row>
    <row r="19" spans="2:19" ht="15.75" x14ac:dyDescent="0.25">
      <c r="B19" s="6"/>
      <c r="C19" s="6"/>
      <c r="D19" s="7">
        <f>B16</f>
        <v>0</v>
      </c>
      <c r="H19" t="s">
        <v>13</v>
      </c>
      <c r="I19" s="14">
        <v>419521154</v>
      </c>
      <c r="J19" s="4"/>
      <c r="K19" s="4"/>
      <c r="L19" s="4"/>
      <c r="M19" s="4">
        <v>517895765</v>
      </c>
      <c r="N19" s="4"/>
      <c r="O19" s="4">
        <v>580809160</v>
      </c>
      <c r="Q19" s="12"/>
      <c r="R19" s="12">
        <v>597787158</v>
      </c>
      <c r="S19" s="12"/>
    </row>
    <row r="20" spans="2:19" ht="15.75" x14ac:dyDescent="0.25">
      <c r="B20" s="11" t="s">
        <v>11</v>
      </c>
      <c r="C20" s="8"/>
      <c r="D20" s="9" t="s">
        <v>4</v>
      </c>
      <c r="H20" t="s">
        <v>14</v>
      </c>
      <c r="I20" s="4">
        <f>I19-I9-H9</f>
        <v>0</v>
      </c>
      <c r="J20" s="4"/>
      <c r="K20" s="4"/>
      <c r="L20" s="4"/>
      <c r="M20" s="4">
        <f>M19-M9-L9</f>
        <v>0</v>
      </c>
      <c r="N20" s="4"/>
      <c r="O20" s="4">
        <f>O19-O9-N9</f>
        <v>0</v>
      </c>
      <c r="R20" s="4">
        <f>R19-R9-Q9</f>
        <v>0</v>
      </c>
    </row>
    <row r="21" spans="2:19" ht="15.75" x14ac:dyDescent="0.25">
      <c r="B21" s="6">
        <v>2005</v>
      </c>
      <c r="C21" s="6"/>
      <c r="D21" s="10">
        <f>D11</f>
        <v>485609.08006799995</v>
      </c>
    </row>
    <row r="22" spans="2:19" ht="15.75" x14ac:dyDescent="0.25">
      <c r="B22" s="6">
        <v>2006</v>
      </c>
      <c r="C22" s="6"/>
      <c r="D22" s="10">
        <f>E11</f>
        <v>523948.23485820001</v>
      </c>
    </row>
    <row r="23" spans="2:19" ht="15.75" x14ac:dyDescent="0.25">
      <c r="B23" s="6">
        <v>2007</v>
      </c>
      <c r="C23" s="6"/>
      <c r="D23" s="10">
        <f>F11</f>
        <v>536146.95742830005</v>
      </c>
    </row>
    <row r="24" spans="2:19" ht="15.75" x14ac:dyDescent="0.25">
      <c r="B24" s="6">
        <v>2008</v>
      </c>
      <c r="C24" s="6"/>
      <c r="D24" s="10">
        <f>G11</f>
        <v>1081099.99104</v>
      </c>
    </row>
    <row r="25" spans="2:19" ht="15.75" x14ac:dyDescent="0.25">
      <c r="B25" s="6">
        <v>2009</v>
      </c>
      <c r="C25" s="6"/>
      <c r="D25" s="10">
        <f>I12</f>
        <v>1806270.07546</v>
      </c>
    </row>
    <row r="26" spans="2:19" ht="15.75" x14ac:dyDescent="0.25">
      <c r="B26" s="6">
        <v>2010</v>
      </c>
      <c r="C26" s="6"/>
      <c r="D26" s="10">
        <f>J11</f>
        <v>1830230.21095</v>
      </c>
    </row>
    <row r="27" spans="2:19" ht="15.75" x14ac:dyDescent="0.25">
      <c r="B27" s="6">
        <v>2011</v>
      </c>
      <c r="C27" s="6"/>
      <c r="D27" s="10">
        <f>K11</f>
        <v>2002608.9574200001</v>
      </c>
    </row>
    <row r="28" spans="2:19" ht="15.75" x14ac:dyDescent="0.25">
      <c r="B28" s="6">
        <v>2012</v>
      </c>
      <c r="C28" s="6"/>
      <c r="D28" s="10">
        <f>M12</f>
        <v>1846874.7669500001</v>
      </c>
    </row>
    <row r="29" spans="2:19" ht="15.75" x14ac:dyDescent="0.25">
      <c r="B29" s="6">
        <v>2013</v>
      </c>
      <c r="C29" s="6"/>
      <c r="D29" s="10">
        <f>O12</f>
        <v>1691283.4208</v>
      </c>
    </row>
    <row r="30" spans="2:19" ht="15.75" x14ac:dyDescent="0.25">
      <c r="B30" s="6">
        <v>2014</v>
      </c>
      <c r="C30" s="6"/>
      <c r="D30" s="10">
        <f>P11</f>
        <v>2169348.7598999999</v>
      </c>
    </row>
    <row r="31" spans="2:19" ht="15.75" x14ac:dyDescent="0.25">
      <c r="B31" s="6">
        <v>2015</v>
      </c>
      <c r="C31" s="6"/>
      <c r="D31" s="10">
        <f>R12</f>
        <v>1989896.05926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31"/>
  <sheetViews>
    <sheetView workbookViewId="0">
      <selection activeCell="F23" sqref="F23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7" width="14.28515625" bestFit="1" customWidth="1"/>
    <col min="8" max="8" width="12.5703125" bestFit="1" customWidth="1"/>
    <col min="9" max="9" width="15.28515625" bestFit="1" customWidth="1"/>
    <col min="10" max="11" width="14.28515625" bestFit="1" customWidth="1"/>
    <col min="12" max="12" width="12.5703125" bestFit="1" customWidth="1"/>
    <col min="13" max="13" width="16.85546875" bestFit="1" customWidth="1"/>
    <col min="14" max="14" width="12.5703125" bestFit="1" customWidth="1"/>
    <col min="15" max="15" width="16.85546875" bestFit="1" customWidth="1"/>
    <col min="16" max="16" width="14.28515625" bestFit="1" customWidth="1"/>
    <col min="17" max="17" width="14.28515625" customWidth="1"/>
    <col min="18" max="18" width="15.28515625" bestFit="1" customWidth="1"/>
    <col min="19" max="19" width="14.28515625" bestFit="1" customWidth="1"/>
  </cols>
  <sheetData>
    <row r="3" spans="2:19" x14ac:dyDescent="0.25">
      <c r="H3" t="s">
        <v>5</v>
      </c>
      <c r="I3" t="s">
        <v>6</v>
      </c>
      <c r="L3" t="s">
        <v>7</v>
      </c>
      <c r="M3" t="s">
        <v>8</v>
      </c>
      <c r="N3" t="s">
        <v>7</v>
      </c>
      <c r="O3" t="s">
        <v>8</v>
      </c>
      <c r="Q3" t="s">
        <v>7</v>
      </c>
      <c r="R3" t="s">
        <v>8</v>
      </c>
    </row>
    <row r="4" spans="2:19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2011</v>
      </c>
      <c r="L4" s="1">
        <v>2012</v>
      </c>
      <c r="M4" s="1">
        <v>2012</v>
      </c>
      <c r="N4" s="1">
        <v>2013</v>
      </c>
      <c r="O4" s="1">
        <v>2013</v>
      </c>
      <c r="P4" s="1">
        <v>2014</v>
      </c>
      <c r="Q4" s="1">
        <v>2015</v>
      </c>
      <c r="R4" s="1">
        <v>2015</v>
      </c>
    </row>
    <row r="5" spans="2:19" x14ac:dyDescent="0.25">
      <c r="B5" t="s">
        <v>0</v>
      </c>
      <c r="D5" s="13">
        <v>1.33E-3</v>
      </c>
      <c r="E5" s="13">
        <f>D5</f>
        <v>1.33E-3</v>
      </c>
      <c r="F5" s="13">
        <f>D5</f>
        <v>1.33E-3</v>
      </c>
      <c r="G5" s="13">
        <v>1.89E-3</v>
      </c>
      <c r="H5" s="13">
        <v>1.9400000000000001E-3</v>
      </c>
      <c r="I5" s="13">
        <v>3.31E-3</v>
      </c>
      <c r="J5" s="2">
        <f>I5</f>
        <v>3.31E-3</v>
      </c>
      <c r="K5" s="2">
        <f>I5</f>
        <v>3.31E-3</v>
      </c>
      <c r="L5" s="2">
        <f>I5</f>
        <v>3.31E-3</v>
      </c>
      <c r="M5" s="2">
        <v>1.7600000000000001E-3</v>
      </c>
      <c r="N5" s="2">
        <f>M5</f>
        <v>1.7600000000000001E-3</v>
      </c>
      <c r="O5" s="2">
        <v>2.7599999999999999E-3</v>
      </c>
      <c r="P5" s="2">
        <f>O5</f>
        <v>2.7599999999999999E-3</v>
      </c>
      <c r="Q5" s="2">
        <f>O5</f>
        <v>2.7599999999999999E-3</v>
      </c>
      <c r="R5" s="13">
        <v>2.2000000000000001E-3</v>
      </c>
    </row>
    <row r="6" spans="2:19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2:19" x14ac:dyDescent="0.25">
      <c r="B7" t="s">
        <v>2</v>
      </c>
      <c r="D7" s="13">
        <f>D5*D6</f>
        <v>9.4429999999999991E-4</v>
      </c>
      <c r="E7" s="13">
        <f t="shared" ref="E7:R7" si="0">E5*E6</f>
        <v>9.4629499999999999E-4</v>
      </c>
      <c r="F7" s="13">
        <f t="shared" si="0"/>
        <v>9.4629499999999999E-4</v>
      </c>
      <c r="G7" s="13">
        <f t="shared" si="0"/>
        <v>1.89E-3</v>
      </c>
      <c r="H7" s="13">
        <f t="shared" si="0"/>
        <v>1.9400000000000001E-3</v>
      </c>
      <c r="I7" s="13">
        <f t="shared" si="0"/>
        <v>3.31E-3</v>
      </c>
      <c r="J7" s="2">
        <f t="shared" si="0"/>
        <v>3.31E-3</v>
      </c>
      <c r="K7" s="2">
        <f t="shared" si="0"/>
        <v>3.31E-3</v>
      </c>
      <c r="L7" s="2">
        <f t="shared" si="0"/>
        <v>3.31E-3</v>
      </c>
      <c r="M7" s="2">
        <f t="shared" si="0"/>
        <v>1.7600000000000001E-3</v>
      </c>
      <c r="N7" s="2">
        <f t="shared" si="0"/>
        <v>1.7600000000000001E-3</v>
      </c>
      <c r="O7" s="2">
        <f t="shared" si="0"/>
        <v>2.7599999999999999E-3</v>
      </c>
      <c r="P7" s="2">
        <f t="shared" si="0"/>
        <v>2.7599999999999999E-3</v>
      </c>
      <c r="Q7" s="2">
        <f t="shared" si="0"/>
        <v>2.7599999999999999E-3</v>
      </c>
      <c r="R7" s="2">
        <f t="shared" si="0"/>
        <v>2.2000000000000001E-3</v>
      </c>
    </row>
    <row r="8" spans="2:19" x14ac:dyDescent="0.25">
      <c r="D8" s="16"/>
      <c r="E8" s="16"/>
      <c r="F8" s="16"/>
      <c r="G8" s="16"/>
      <c r="H8" s="16"/>
      <c r="I8" s="16"/>
    </row>
    <row r="9" spans="2:19" x14ac:dyDescent="0.25">
      <c r="B9" t="s">
        <v>22</v>
      </c>
      <c r="D9" s="14">
        <v>1548856101</v>
      </c>
      <c r="E9" s="14">
        <v>1568457721</v>
      </c>
      <c r="F9" s="14">
        <v>1570995623</v>
      </c>
      <c r="G9" s="14">
        <v>1594918223</v>
      </c>
      <c r="H9" s="14">
        <v>134473622</v>
      </c>
      <c r="I9" s="14">
        <v>1436909581</v>
      </c>
      <c r="J9" s="14">
        <v>1533560826</v>
      </c>
      <c r="K9" s="14">
        <v>1526578309</v>
      </c>
      <c r="L9" s="14">
        <v>851446884</v>
      </c>
      <c r="M9" s="14">
        <v>616766134</v>
      </c>
      <c r="N9" s="14">
        <v>820066794</v>
      </c>
      <c r="O9" s="14">
        <v>601790688</v>
      </c>
      <c r="P9" s="14">
        <v>1432182568</v>
      </c>
      <c r="Q9" s="14">
        <v>827227607</v>
      </c>
      <c r="R9" s="14">
        <v>603067154</v>
      </c>
    </row>
    <row r="11" spans="2:19" x14ac:dyDescent="0.25">
      <c r="B11" t="s">
        <v>4</v>
      </c>
      <c r="D11" s="5">
        <f>D7*D9</f>
        <v>1462584.8161742999</v>
      </c>
      <c r="E11" s="5">
        <f t="shared" ref="E11:P11" si="1">E7*E9</f>
        <v>1484223.699093695</v>
      </c>
      <c r="F11" s="5">
        <f t="shared" si="1"/>
        <v>1486625.303066785</v>
      </c>
      <c r="G11" s="5">
        <f t="shared" si="1"/>
        <v>3014395.44147</v>
      </c>
      <c r="H11" s="5">
        <f t="shared" si="1"/>
        <v>260878.82668000003</v>
      </c>
      <c r="I11" s="5">
        <f t="shared" si="1"/>
        <v>4756170.7131099999</v>
      </c>
      <c r="J11" s="5">
        <f t="shared" si="1"/>
        <v>5076086.3340600003</v>
      </c>
      <c r="K11" s="5">
        <f t="shared" si="1"/>
        <v>5052974.2027900005</v>
      </c>
      <c r="L11" s="5">
        <f t="shared" si="1"/>
        <v>2818289.1860400001</v>
      </c>
      <c r="M11" s="5">
        <f t="shared" si="1"/>
        <v>1085508.3958400001</v>
      </c>
      <c r="N11" s="5">
        <f t="shared" si="1"/>
        <v>1443317.5574400001</v>
      </c>
      <c r="O11" s="5">
        <f t="shared" si="1"/>
        <v>1660942.2988799999</v>
      </c>
      <c r="P11" s="5">
        <f t="shared" si="1"/>
        <v>3952823.8876799997</v>
      </c>
      <c r="Q11" s="5">
        <f>Q7*Q9</f>
        <v>2283148.1953199999</v>
      </c>
      <c r="R11" s="5">
        <f>R7*R9</f>
        <v>1326747.7388000002</v>
      </c>
    </row>
    <row r="12" spans="2:19" x14ac:dyDescent="0.25">
      <c r="I12" s="5">
        <f>H11+I11</f>
        <v>5017049.5397899998</v>
      </c>
      <c r="M12" s="5">
        <f>L11+M11</f>
        <v>3903797.5818800004</v>
      </c>
      <c r="O12" s="5">
        <f>N11+O11</f>
        <v>3104259.8563200003</v>
      </c>
      <c r="R12" s="5">
        <f>Q11+R11</f>
        <v>3609895.9341200003</v>
      </c>
    </row>
    <row r="15" spans="2:19" x14ac:dyDescent="0.25">
      <c r="B15" t="s">
        <v>9</v>
      </c>
    </row>
    <row r="16" spans="2:19" x14ac:dyDescent="0.25">
      <c r="B16" t="s">
        <v>18</v>
      </c>
      <c r="I16" s="14"/>
      <c r="J16" s="4"/>
      <c r="K16" s="4"/>
      <c r="L16" s="4"/>
      <c r="M16" s="14"/>
      <c r="N16" s="4"/>
      <c r="O16" s="14"/>
      <c r="Q16" s="4"/>
      <c r="R16" s="14"/>
      <c r="S16" s="12"/>
    </row>
    <row r="17" spans="2:19" x14ac:dyDescent="0.25">
      <c r="B17" t="s">
        <v>4</v>
      </c>
      <c r="I17" s="14"/>
      <c r="J17" s="4"/>
      <c r="K17" s="4"/>
      <c r="L17" s="4"/>
      <c r="M17" s="14"/>
      <c r="N17" s="4"/>
      <c r="O17" s="14"/>
      <c r="Q17" s="4"/>
      <c r="R17" s="14"/>
      <c r="S17" s="12"/>
    </row>
    <row r="18" spans="2:19" x14ac:dyDescent="0.25">
      <c r="I18" s="14"/>
      <c r="J18" s="4"/>
      <c r="K18" s="4"/>
      <c r="L18" s="4"/>
      <c r="M18" s="14"/>
      <c r="N18" s="4"/>
      <c r="O18" s="14"/>
      <c r="Q18" s="4"/>
      <c r="R18" s="14"/>
      <c r="S18" s="12"/>
    </row>
    <row r="19" spans="2:19" ht="15.75" x14ac:dyDescent="0.25">
      <c r="B19" s="6"/>
      <c r="C19" s="6"/>
      <c r="D19" s="7" t="str">
        <f>B16</f>
        <v>Schedule 021/022</v>
      </c>
      <c r="H19" t="s">
        <v>13</v>
      </c>
      <c r="I19" s="4">
        <v>1571383203</v>
      </c>
      <c r="J19" s="4"/>
      <c r="K19" s="4"/>
      <c r="L19" s="4"/>
      <c r="M19" s="4">
        <v>1468213018</v>
      </c>
      <c r="N19" s="4"/>
      <c r="O19" s="4">
        <v>1421857482</v>
      </c>
      <c r="Q19" s="12"/>
      <c r="R19" s="12">
        <v>1430294761</v>
      </c>
      <c r="S19" s="12"/>
    </row>
    <row r="20" spans="2:19" ht="15.75" x14ac:dyDescent="0.25">
      <c r="B20" s="11" t="s">
        <v>11</v>
      </c>
      <c r="C20" s="8"/>
      <c r="D20" s="9" t="s">
        <v>4</v>
      </c>
      <c r="H20" t="s">
        <v>14</v>
      </c>
      <c r="I20" s="4">
        <f>I19-I9-H9</f>
        <v>0</v>
      </c>
      <c r="J20" s="4"/>
      <c r="K20" s="4"/>
      <c r="L20" s="4"/>
      <c r="M20" s="4">
        <f>M19-M9-L9</f>
        <v>0</v>
      </c>
      <c r="N20" s="4"/>
      <c r="O20" s="4">
        <f>O19-O9-N9</f>
        <v>0</v>
      </c>
      <c r="R20" s="4">
        <f>R19-R9-Q9</f>
        <v>0</v>
      </c>
    </row>
    <row r="21" spans="2:19" ht="15.75" x14ac:dyDescent="0.25">
      <c r="B21" s="6">
        <v>2005</v>
      </c>
      <c r="C21" s="6"/>
      <c r="D21" s="10">
        <f>D11</f>
        <v>1462584.8161742999</v>
      </c>
    </row>
    <row r="22" spans="2:19" ht="15.75" x14ac:dyDescent="0.25">
      <c r="B22" s="6">
        <v>2006</v>
      </c>
      <c r="C22" s="6"/>
      <c r="D22" s="10">
        <f>E11</f>
        <v>1484223.699093695</v>
      </c>
    </row>
    <row r="23" spans="2:19" ht="15.75" x14ac:dyDescent="0.25">
      <c r="B23" s="6">
        <v>2007</v>
      </c>
      <c r="C23" s="6"/>
      <c r="D23" s="10">
        <f>F11</f>
        <v>1486625.303066785</v>
      </c>
    </row>
    <row r="24" spans="2:19" ht="15.75" x14ac:dyDescent="0.25">
      <c r="B24" s="6">
        <v>2008</v>
      </c>
      <c r="C24" s="6"/>
      <c r="D24" s="10">
        <f>G11</f>
        <v>3014395.44147</v>
      </c>
    </row>
    <row r="25" spans="2:19" ht="15.75" x14ac:dyDescent="0.25">
      <c r="B25" s="6">
        <v>2009</v>
      </c>
      <c r="C25" s="6"/>
      <c r="D25" s="10">
        <f>I12</f>
        <v>5017049.5397899998</v>
      </c>
    </row>
    <row r="26" spans="2:19" ht="15.75" x14ac:dyDescent="0.25">
      <c r="B26" s="6">
        <v>2010</v>
      </c>
      <c r="C26" s="6"/>
      <c r="D26" s="10">
        <f>J11</f>
        <v>5076086.3340600003</v>
      </c>
    </row>
    <row r="27" spans="2:19" ht="15.75" x14ac:dyDescent="0.25">
      <c r="B27" s="6">
        <v>2011</v>
      </c>
      <c r="C27" s="6"/>
      <c r="D27" s="10">
        <f>K11</f>
        <v>5052974.2027900005</v>
      </c>
    </row>
    <row r="28" spans="2:19" ht="15.75" x14ac:dyDescent="0.25">
      <c r="B28" s="6">
        <v>2012</v>
      </c>
      <c r="C28" s="6"/>
      <c r="D28" s="10">
        <f>M12</f>
        <v>3903797.5818800004</v>
      </c>
    </row>
    <row r="29" spans="2:19" ht="15.75" x14ac:dyDescent="0.25">
      <c r="B29" s="6">
        <v>2013</v>
      </c>
      <c r="C29" s="6"/>
      <c r="D29" s="10">
        <f>O12</f>
        <v>3104259.8563200003</v>
      </c>
    </row>
    <row r="30" spans="2:19" ht="15.75" x14ac:dyDescent="0.25">
      <c r="B30" s="6">
        <v>2014</v>
      </c>
      <c r="C30" s="6"/>
      <c r="D30" s="10">
        <f>P11</f>
        <v>3952823.8876799997</v>
      </c>
    </row>
    <row r="31" spans="2:19" ht="15.75" x14ac:dyDescent="0.25">
      <c r="B31" s="6">
        <v>2015</v>
      </c>
      <c r="C31" s="6"/>
      <c r="D31" s="10">
        <f>R12</f>
        <v>3609895.9341200003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S31"/>
  <sheetViews>
    <sheetView showGridLines="0" workbookViewId="0">
      <selection activeCell="H29" sqref="H29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7" width="12.5703125" bestFit="1" customWidth="1"/>
    <col min="8" max="8" width="11.5703125" bestFit="1" customWidth="1"/>
    <col min="9" max="9" width="15.28515625" bestFit="1" customWidth="1"/>
    <col min="10" max="11" width="14.28515625" bestFit="1" customWidth="1"/>
    <col min="12" max="12" width="12.5703125" bestFit="1" customWidth="1"/>
    <col min="13" max="13" width="16.85546875" bestFit="1" customWidth="1"/>
    <col min="14" max="14" width="12.5703125" bestFit="1" customWidth="1"/>
    <col min="15" max="15" width="16.85546875" bestFit="1" customWidth="1"/>
    <col min="16" max="16" width="14.28515625" bestFit="1" customWidth="1"/>
    <col min="17" max="17" width="14.28515625" customWidth="1"/>
    <col min="18" max="18" width="15.28515625" bestFit="1" customWidth="1"/>
    <col min="19" max="19" width="14.28515625" bestFit="1" customWidth="1"/>
  </cols>
  <sheetData>
    <row r="3" spans="2:19" x14ac:dyDescent="0.25">
      <c r="H3" t="s">
        <v>5</v>
      </c>
      <c r="I3" t="s">
        <v>6</v>
      </c>
      <c r="L3" t="s">
        <v>7</v>
      </c>
      <c r="M3" t="s">
        <v>8</v>
      </c>
      <c r="N3" t="s">
        <v>7</v>
      </c>
      <c r="O3" t="s">
        <v>8</v>
      </c>
      <c r="Q3" t="s">
        <v>7</v>
      </c>
      <c r="R3" t="s">
        <v>8</v>
      </c>
    </row>
    <row r="4" spans="2:19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2011</v>
      </c>
      <c r="L4" s="1">
        <v>2012</v>
      </c>
      <c r="M4" s="1">
        <v>2012</v>
      </c>
      <c r="N4" s="1">
        <v>2013</v>
      </c>
      <c r="O4" s="1">
        <v>2013</v>
      </c>
      <c r="P4" s="1">
        <v>2014</v>
      </c>
      <c r="Q4" s="1">
        <v>2015</v>
      </c>
      <c r="R4" s="1">
        <v>2015</v>
      </c>
    </row>
    <row r="5" spans="2:19" x14ac:dyDescent="0.25">
      <c r="B5" t="s">
        <v>0</v>
      </c>
      <c r="D5" s="13">
        <v>8.7000000000000001E-4</v>
      </c>
      <c r="E5" s="13">
        <v>8.7000000000000001E-4</v>
      </c>
      <c r="F5" s="13">
        <v>8.7000000000000001E-4</v>
      </c>
      <c r="G5" s="13">
        <v>1.24E-3</v>
      </c>
      <c r="H5" s="13">
        <v>1.2700000000000001E-3</v>
      </c>
      <c r="I5" s="13">
        <v>2.1700000000000001E-3</v>
      </c>
      <c r="J5" s="2">
        <v>2.1700000000000001E-3</v>
      </c>
      <c r="K5" s="2">
        <v>2.1700000000000001E-3</v>
      </c>
      <c r="L5" s="2">
        <v>2.1700000000000001E-3</v>
      </c>
      <c r="M5" s="2">
        <v>1.1100000000000001E-3</v>
      </c>
      <c r="N5" s="2">
        <v>1.1100000000000001E-3</v>
      </c>
      <c r="O5" s="2">
        <v>1.7600000000000001E-3</v>
      </c>
      <c r="P5" s="2">
        <v>1.7600000000000001E-3</v>
      </c>
      <c r="Q5" s="2">
        <v>1.7600000000000001E-3</v>
      </c>
      <c r="R5" s="13">
        <v>1.3699999999999999E-3</v>
      </c>
    </row>
    <row r="6" spans="2:19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2:19" x14ac:dyDescent="0.25">
      <c r="B7" t="s">
        <v>2</v>
      </c>
      <c r="D7" s="13">
        <f>D5*D6</f>
        <v>6.177E-4</v>
      </c>
      <c r="E7" s="13">
        <f t="shared" ref="E7:F7" si="0">E5*E6</f>
        <v>6.1900500000000005E-4</v>
      </c>
      <c r="F7" s="13">
        <f t="shared" si="0"/>
        <v>6.1900500000000005E-4</v>
      </c>
      <c r="G7" s="13">
        <f t="shared" ref="G7" si="1">G5*G6</f>
        <v>1.24E-3</v>
      </c>
      <c r="H7" s="13">
        <f t="shared" ref="H7:I7" si="2">H5*H6</f>
        <v>1.2700000000000001E-3</v>
      </c>
      <c r="I7" s="13">
        <f t="shared" si="2"/>
        <v>2.1700000000000001E-3</v>
      </c>
      <c r="J7" s="2">
        <f t="shared" ref="J7" si="3">J5*J6</f>
        <v>2.1700000000000001E-3</v>
      </c>
      <c r="K7" s="2">
        <f t="shared" ref="K7" si="4">K5*K6</f>
        <v>2.1700000000000001E-3</v>
      </c>
      <c r="L7" s="2">
        <f t="shared" ref="L7:M7" si="5">L5*L6</f>
        <v>2.1700000000000001E-3</v>
      </c>
      <c r="M7" s="2">
        <f t="shared" si="5"/>
        <v>1.1100000000000001E-3</v>
      </c>
      <c r="N7" s="2">
        <f t="shared" ref="N7:O7" si="6">N5*N6</f>
        <v>1.1100000000000001E-3</v>
      </c>
      <c r="O7" s="2">
        <f t="shared" si="6"/>
        <v>1.7600000000000001E-3</v>
      </c>
      <c r="P7" s="2">
        <f t="shared" ref="P7:R7" si="7">P5*P6</f>
        <v>1.7600000000000001E-3</v>
      </c>
      <c r="Q7" s="2">
        <f t="shared" ref="Q7" si="8">Q5*Q6</f>
        <v>1.7600000000000001E-3</v>
      </c>
      <c r="R7" s="2">
        <f t="shared" si="7"/>
        <v>1.3699999999999999E-3</v>
      </c>
    </row>
    <row r="8" spans="2:19" x14ac:dyDescent="0.25">
      <c r="D8" s="16"/>
      <c r="E8" s="16"/>
      <c r="F8" s="16"/>
      <c r="G8" s="16"/>
      <c r="H8" s="16"/>
      <c r="I8" s="16"/>
    </row>
    <row r="9" spans="2:19" x14ac:dyDescent="0.25">
      <c r="B9" t="s">
        <v>3</v>
      </c>
      <c r="D9" s="14">
        <f>919546825+921017790-916518005</f>
        <v>924046610</v>
      </c>
      <c r="E9" s="14">
        <f>944441577+918121080-920975719</f>
        <v>941586938</v>
      </c>
      <c r="F9" s="14">
        <f>941498341+937066162-936171129</f>
        <v>942393374</v>
      </c>
      <c r="G9" s="14">
        <f>930332149+930229002-928855219</f>
        <v>931705932</v>
      </c>
      <c r="H9" s="14">
        <f>76249461+77701377-76138506</f>
        <v>77812332</v>
      </c>
      <c r="I9" s="14">
        <f>879232638-76249461+84342129-77701377</f>
        <v>809623929</v>
      </c>
      <c r="J9" s="4">
        <f>1028354044+1031804897-1026834443</f>
        <v>1033324498</v>
      </c>
      <c r="K9" s="4">
        <f>1064920825+1063172226-1065212209</f>
        <v>1062880842</v>
      </c>
      <c r="L9" s="4">
        <f>589712895-87272600+87739172</f>
        <v>590179467</v>
      </c>
      <c r="M9" s="4">
        <f>1032556409-589712895-87739172+88803368</f>
        <v>443907710</v>
      </c>
      <c r="N9" s="4">
        <f>623694673-88803368+88285927</f>
        <v>623177232</v>
      </c>
      <c r="O9" s="4">
        <f>1076146655-623694673-88285927+92260234</f>
        <v>456426289</v>
      </c>
      <c r="P9" s="4">
        <f>1112646747+1112512605-1113368890</f>
        <v>1111790462</v>
      </c>
      <c r="Q9" s="4">
        <f>694484071+40690342-91403949</f>
        <v>643770464</v>
      </c>
      <c r="R9" s="14">
        <f>490352528+2654594-40690342</f>
        <v>452316780</v>
      </c>
    </row>
    <row r="11" spans="2:19" x14ac:dyDescent="0.25">
      <c r="B11" t="s">
        <v>4</v>
      </c>
      <c r="D11" s="5">
        <f>D7*D9</f>
        <v>570783.59099699999</v>
      </c>
      <c r="E11" s="5">
        <f t="shared" ref="E11:P11" si="9">E7*E9</f>
        <v>582847.02255669003</v>
      </c>
      <c r="F11" s="5">
        <f t="shared" si="9"/>
        <v>583346.21047287004</v>
      </c>
      <c r="G11" s="5">
        <f t="shared" si="9"/>
        <v>1155315.35568</v>
      </c>
      <c r="H11" s="5">
        <f t="shared" si="9"/>
        <v>98821.661640000006</v>
      </c>
      <c r="I11" s="5">
        <f t="shared" si="9"/>
        <v>1756883.9259300001</v>
      </c>
      <c r="J11" s="5">
        <f t="shared" si="9"/>
        <v>2242314.1606600001</v>
      </c>
      <c r="K11" s="5">
        <f t="shared" si="9"/>
        <v>2306451.4271400003</v>
      </c>
      <c r="L11" s="5">
        <f t="shared" si="9"/>
        <v>1280689.4433900001</v>
      </c>
      <c r="M11" s="5">
        <f t="shared" ref="M11" si="10">M7*M9</f>
        <v>492737.55810000002</v>
      </c>
      <c r="N11" s="5">
        <f t="shared" si="9"/>
        <v>691726.72752000007</v>
      </c>
      <c r="O11" s="5">
        <f t="shared" ref="O11" si="11">O7*O9</f>
        <v>803310.26864000002</v>
      </c>
      <c r="P11" s="5">
        <f t="shared" si="9"/>
        <v>1956751.21312</v>
      </c>
      <c r="Q11" s="5">
        <f>Q7*Q9</f>
        <v>1133036.01664</v>
      </c>
      <c r="R11" s="5">
        <f>R7*R9</f>
        <v>619673.98859999992</v>
      </c>
    </row>
    <row r="12" spans="2:19" x14ac:dyDescent="0.25">
      <c r="I12" s="5">
        <f>H11+I11</f>
        <v>1855705.5875700002</v>
      </c>
      <c r="M12" s="5">
        <f>L11+M11</f>
        <v>1773427.0014900002</v>
      </c>
      <c r="O12" s="5">
        <f>N11+O11</f>
        <v>1495036.9961600001</v>
      </c>
      <c r="R12" s="5">
        <f>Q11+R11</f>
        <v>1752710.0052399999</v>
      </c>
    </row>
    <row r="15" spans="2:19" x14ac:dyDescent="0.25">
      <c r="B15" t="s">
        <v>9</v>
      </c>
    </row>
    <row r="16" spans="2:19" x14ac:dyDescent="0.25">
      <c r="B16" t="s">
        <v>10</v>
      </c>
      <c r="I16" s="4"/>
      <c r="J16" s="4"/>
      <c r="K16" s="4"/>
      <c r="L16" s="4"/>
      <c r="M16" s="4"/>
      <c r="N16" s="4"/>
      <c r="O16" s="4"/>
      <c r="Q16" s="4"/>
      <c r="R16" s="4"/>
      <c r="S16" s="12"/>
    </row>
    <row r="17" spans="2:19" x14ac:dyDescent="0.25">
      <c r="B17" t="s">
        <v>4</v>
      </c>
      <c r="I17" s="4"/>
      <c r="J17" s="4"/>
      <c r="K17" s="4"/>
      <c r="L17" s="4"/>
      <c r="M17" s="4"/>
      <c r="N17" s="4"/>
      <c r="O17" s="4"/>
      <c r="Q17" s="4"/>
      <c r="R17" s="4"/>
      <c r="S17" s="12"/>
    </row>
    <row r="18" spans="2:19" x14ac:dyDescent="0.25">
      <c r="I18" s="4"/>
      <c r="J18" s="4"/>
      <c r="K18" s="4"/>
      <c r="L18" s="4"/>
      <c r="M18" s="4"/>
      <c r="N18" s="4"/>
      <c r="O18" s="4"/>
      <c r="Q18" s="4"/>
      <c r="R18" s="4"/>
      <c r="S18" s="12"/>
    </row>
    <row r="19" spans="2:19" ht="15.75" x14ac:dyDescent="0.25">
      <c r="B19" s="6"/>
      <c r="C19" s="6"/>
      <c r="D19" s="7" t="s">
        <v>12</v>
      </c>
      <c r="H19" t="s">
        <v>13</v>
      </c>
      <c r="I19" s="4">
        <v>887436261</v>
      </c>
      <c r="J19" s="4"/>
      <c r="K19" s="4"/>
      <c r="L19" s="4"/>
      <c r="M19" s="4">
        <v>1034087177</v>
      </c>
      <c r="N19" s="4"/>
      <c r="O19" s="4">
        <v>1079603521</v>
      </c>
      <c r="Q19" s="12"/>
      <c r="R19" s="12">
        <v>1096087244</v>
      </c>
      <c r="S19" s="12"/>
    </row>
    <row r="20" spans="2:19" ht="15.75" x14ac:dyDescent="0.25">
      <c r="B20" s="11" t="s">
        <v>11</v>
      </c>
      <c r="C20" s="8"/>
      <c r="D20" s="9" t="s">
        <v>4</v>
      </c>
      <c r="H20" t="s">
        <v>14</v>
      </c>
      <c r="I20" s="4">
        <f>I19-I9-H9</f>
        <v>0</v>
      </c>
      <c r="J20" s="4"/>
      <c r="K20" s="4"/>
      <c r="L20" s="4"/>
      <c r="M20" s="4">
        <f>M19-M9-L9</f>
        <v>0</v>
      </c>
      <c r="N20" s="4"/>
      <c r="O20" s="4">
        <f>O19-O9-N9</f>
        <v>0</v>
      </c>
      <c r="R20" s="4">
        <f>R19-R9-Q9</f>
        <v>0</v>
      </c>
    </row>
    <row r="21" spans="2:19" ht="15.75" x14ac:dyDescent="0.25">
      <c r="B21" s="6">
        <v>2005</v>
      </c>
      <c r="C21" s="6"/>
      <c r="D21" s="10">
        <f>D11</f>
        <v>570783.59099699999</v>
      </c>
    </row>
    <row r="22" spans="2:19" ht="15.75" x14ac:dyDescent="0.25">
      <c r="B22" s="6">
        <v>2006</v>
      </c>
      <c r="C22" s="6"/>
      <c r="D22" s="10">
        <f>E11</f>
        <v>582847.02255669003</v>
      </c>
    </row>
    <row r="23" spans="2:19" ht="15.75" x14ac:dyDescent="0.25">
      <c r="B23" s="6">
        <v>2007</v>
      </c>
      <c r="C23" s="6"/>
      <c r="D23" s="10">
        <f>F11</f>
        <v>583346.21047287004</v>
      </c>
    </row>
    <row r="24" spans="2:19" ht="15.75" x14ac:dyDescent="0.25">
      <c r="B24" s="6">
        <v>2008</v>
      </c>
      <c r="C24" s="6"/>
      <c r="D24" s="10">
        <f>G11</f>
        <v>1155315.35568</v>
      </c>
    </row>
    <row r="25" spans="2:19" ht="15.75" x14ac:dyDescent="0.25">
      <c r="B25" s="6">
        <v>2009</v>
      </c>
      <c r="C25" s="6"/>
      <c r="D25" s="10">
        <f>I12</f>
        <v>1855705.5875700002</v>
      </c>
    </row>
    <row r="26" spans="2:19" ht="15.75" x14ac:dyDescent="0.25">
      <c r="B26" s="6">
        <v>2010</v>
      </c>
      <c r="C26" s="6"/>
      <c r="D26" s="10">
        <f>J11</f>
        <v>2242314.1606600001</v>
      </c>
    </row>
    <row r="27" spans="2:19" ht="15.75" x14ac:dyDescent="0.25">
      <c r="B27" s="6">
        <v>2011</v>
      </c>
      <c r="C27" s="6"/>
      <c r="D27" s="10">
        <f>K11</f>
        <v>2306451.4271400003</v>
      </c>
    </row>
    <row r="28" spans="2:19" ht="15.75" x14ac:dyDescent="0.25">
      <c r="B28" s="6">
        <v>2012</v>
      </c>
      <c r="C28" s="6"/>
      <c r="D28" s="10">
        <f>M12</f>
        <v>1773427.0014900002</v>
      </c>
    </row>
    <row r="29" spans="2:19" ht="15.75" x14ac:dyDescent="0.25">
      <c r="B29" s="6">
        <v>2013</v>
      </c>
      <c r="C29" s="6"/>
      <c r="D29" s="10">
        <f>O12</f>
        <v>1495036.9961600001</v>
      </c>
    </row>
    <row r="30" spans="2:19" ht="15.75" x14ac:dyDescent="0.25">
      <c r="B30" s="6">
        <v>2014</v>
      </c>
      <c r="C30" s="6"/>
      <c r="D30" s="10">
        <f>P11</f>
        <v>1956751.21312</v>
      </c>
    </row>
    <row r="31" spans="2:19" ht="15.75" x14ac:dyDescent="0.25">
      <c r="B31" s="6">
        <v>2015</v>
      </c>
      <c r="C31" s="6"/>
      <c r="D31" s="10">
        <f>R12</f>
        <v>1752710.0052399999</v>
      </c>
    </row>
  </sheetData>
  <pageMargins left="0.7" right="0.7" top="1.1299999999999999" bottom="0.75" header="0.3" footer="0.3"/>
  <pageSetup scale="52" orientation="landscape" r:id="rId1"/>
  <headerFooter>
    <oddHeader>&amp;LAvista
UE-160228</oddHeader>
    <oddFooter>&amp;L&amp;F&amp;RPage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31"/>
  <sheetViews>
    <sheetView workbookViewId="0">
      <selection activeCell="F26" sqref="F26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7" width="12.5703125" bestFit="1" customWidth="1"/>
    <col min="8" max="8" width="11.5703125" bestFit="1" customWidth="1"/>
    <col min="9" max="9" width="15.28515625" bestFit="1" customWidth="1"/>
    <col min="10" max="11" width="14.28515625" bestFit="1" customWidth="1"/>
    <col min="12" max="12" width="12.5703125" bestFit="1" customWidth="1"/>
    <col min="13" max="13" width="16.85546875" bestFit="1" customWidth="1"/>
    <col min="14" max="14" width="12.5703125" bestFit="1" customWidth="1"/>
    <col min="15" max="15" width="16.85546875" bestFit="1" customWidth="1"/>
    <col min="16" max="16" width="14.28515625" bestFit="1" customWidth="1"/>
    <col min="17" max="17" width="14.28515625" customWidth="1"/>
    <col min="18" max="18" width="15.28515625" bestFit="1" customWidth="1"/>
    <col min="19" max="19" width="14.28515625" bestFit="1" customWidth="1"/>
  </cols>
  <sheetData>
    <row r="3" spans="2:19" x14ac:dyDescent="0.25">
      <c r="H3" t="s">
        <v>5</v>
      </c>
      <c r="I3" t="s">
        <v>6</v>
      </c>
      <c r="L3" t="s">
        <v>7</v>
      </c>
      <c r="M3" t="s">
        <v>8</v>
      </c>
      <c r="N3" t="s">
        <v>7</v>
      </c>
      <c r="O3" t="s">
        <v>8</v>
      </c>
      <c r="Q3" t="s">
        <v>7</v>
      </c>
      <c r="R3" t="s">
        <v>8</v>
      </c>
    </row>
    <row r="4" spans="2:19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2011</v>
      </c>
      <c r="L4" s="1">
        <v>2012</v>
      </c>
      <c r="M4" s="1">
        <v>2012</v>
      </c>
      <c r="N4" s="1">
        <v>2013</v>
      </c>
      <c r="O4" s="1">
        <v>2013</v>
      </c>
      <c r="P4" s="1">
        <v>2014</v>
      </c>
      <c r="Q4" s="1">
        <v>2015</v>
      </c>
      <c r="R4" s="1">
        <v>2015</v>
      </c>
    </row>
    <row r="5" spans="2:19" x14ac:dyDescent="0.25">
      <c r="B5" t="s">
        <v>0</v>
      </c>
      <c r="D5" s="13">
        <v>1.17E-3</v>
      </c>
      <c r="E5" s="13">
        <f>D5</f>
        <v>1.17E-3</v>
      </c>
      <c r="F5" s="13">
        <f>D5</f>
        <v>1.17E-3</v>
      </c>
      <c r="G5" s="13">
        <v>1.67E-3</v>
      </c>
      <c r="H5" s="13">
        <v>1.73E-3</v>
      </c>
      <c r="I5" s="13">
        <v>2.9499999999999999E-3</v>
      </c>
      <c r="J5" s="2">
        <f>I5</f>
        <v>2.9499999999999999E-3</v>
      </c>
      <c r="K5" s="2">
        <f>I5</f>
        <v>2.9499999999999999E-3</v>
      </c>
      <c r="L5" s="2">
        <f>I5</f>
        <v>2.9499999999999999E-3</v>
      </c>
      <c r="M5" s="2">
        <v>1.5499999999999999E-3</v>
      </c>
      <c r="N5" s="2">
        <f>M5</f>
        <v>1.5499999999999999E-3</v>
      </c>
      <c r="O5" s="2">
        <v>2.4499999999999999E-3</v>
      </c>
      <c r="P5" s="2">
        <f>O5</f>
        <v>2.4499999999999999E-3</v>
      </c>
      <c r="Q5" s="2">
        <f>O5</f>
        <v>2.4499999999999999E-3</v>
      </c>
      <c r="R5" s="13">
        <v>1.98E-3</v>
      </c>
    </row>
    <row r="6" spans="2:19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2:19" x14ac:dyDescent="0.25">
      <c r="B7" t="s">
        <v>2</v>
      </c>
      <c r="D7" s="13">
        <f>D5*D6</f>
        <v>8.3069999999999997E-4</v>
      </c>
      <c r="E7" s="13">
        <f t="shared" ref="E7:R7" si="0">E5*E6</f>
        <v>8.3245500000000007E-4</v>
      </c>
      <c r="F7" s="13">
        <f t="shared" si="0"/>
        <v>8.3245500000000007E-4</v>
      </c>
      <c r="G7" s="13">
        <f t="shared" si="0"/>
        <v>1.67E-3</v>
      </c>
      <c r="H7" s="13">
        <f t="shared" si="0"/>
        <v>1.73E-3</v>
      </c>
      <c r="I7" s="13">
        <f t="shared" si="0"/>
        <v>2.9499999999999999E-3</v>
      </c>
      <c r="J7" s="2">
        <f t="shared" si="0"/>
        <v>2.9499999999999999E-3</v>
      </c>
      <c r="K7" s="2">
        <f t="shared" si="0"/>
        <v>2.9499999999999999E-3</v>
      </c>
      <c r="L7" s="2">
        <f t="shared" si="0"/>
        <v>2.9499999999999999E-3</v>
      </c>
      <c r="M7" s="2">
        <f t="shared" si="0"/>
        <v>1.5499999999999999E-3</v>
      </c>
      <c r="N7" s="2">
        <f t="shared" si="0"/>
        <v>1.5499999999999999E-3</v>
      </c>
      <c r="O7" s="2">
        <f t="shared" si="0"/>
        <v>2.4499999999999999E-3</v>
      </c>
      <c r="P7" s="2">
        <f t="shared" si="0"/>
        <v>2.4499999999999999E-3</v>
      </c>
      <c r="Q7" s="2">
        <f t="shared" si="0"/>
        <v>2.4499999999999999E-3</v>
      </c>
      <c r="R7" s="2">
        <f t="shared" si="0"/>
        <v>1.98E-3</v>
      </c>
    </row>
    <row r="8" spans="2:19" x14ac:dyDescent="0.25">
      <c r="D8" s="16"/>
      <c r="E8" s="16"/>
      <c r="F8" s="16"/>
      <c r="G8" s="16"/>
      <c r="H8" s="16"/>
      <c r="I8" s="16"/>
    </row>
    <row r="9" spans="2:19" x14ac:dyDescent="0.25">
      <c r="B9" t="s">
        <v>23</v>
      </c>
      <c r="D9" s="14">
        <v>120409849</v>
      </c>
      <c r="E9" s="14">
        <v>124579073</v>
      </c>
      <c r="F9" s="14">
        <v>134016241</v>
      </c>
      <c r="G9" s="14">
        <v>134605950</v>
      </c>
      <c r="H9" s="14">
        <v>3439539</v>
      </c>
      <c r="I9" s="14">
        <v>132916521</v>
      </c>
      <c r="J9" s="14">
        <v>121381473</v>
      </c>
      <c r="K9" s="14">
        <v>124198378</v>
      </c>
      <c r="L9" s="14">
        <v>64906875</v>
      </c>
      <c r="M9" s="14">
        <v>61220308</v>
      </c>
      <c r="N9" s="14">
        <v>72844512</v>
      </c>
      <c r="O9" s="14">
        <v>55985243</v>
      </c>
      <c r="P9" s="14">
        <v>141324461</v>
      </c>
      <c r="Q9" s="14">
        <v>88227742</v>
      </c>
      <c r="R9" s="14">
        <v>63437595</v>
      </c>
    </row>
    <row r="11" spans="2:19" x14ac:dyDescent="0.25">
      <c r="B11" t="s">
        <v>4</v>
      </c>
      <c r="D11" s="5">
        <f>D7*D9</f>
        <v>100024.4615643</v>
      </c>
      <c r="E11" s="5">
        <f t="shared" ref="E11:P11" si="1">E7*E9</f>
        <v>103706.47221421501</v>
      </c>
      <c r="F11" s="5">
        <f t="shared" si="1"/>
        <v>111562.489901655</v>
      </c>
      <c r="G11" s="5">
        <f t="shared" si="1"/>
        <v>224791.93650000001</v>
      </c>
      <c r="H11" s="5">
        <f t="shared" si="1"/>
        <v>5950.40247</v>
      </c>
      <c r="I11" s="5">
        <f t="shared" si="1"/>
        <v>392103.73694999999</v>
      </c>
      <c r="J11" s="5">
        <f t="shared" si="1"/>
        <v>358075.34535000002</v>
      </c>
      <c r="K11" s="5">
        <f t="shared" si="1"/>
        <v>366385.21509999997</v>
      </c>
      <c r="L11" s="5">
        <f t="shared" si="1"/>
        <v>191475.28125</v>
      </c>
      <c r="M11" s="5">
        <f t="shared" si="1"/>
        <v>94891.477400000003</v>
      </c>
      <c r="N11" s="5">
        <f t="shared" si="1"/>
        <v>112908.9936</v>
      </c>
      <c r="O11" s="5">
        <f t="shared" si="1"/>
        <v>137163.84534999999</v>
      </c>
      <c r="P11" s="5">
        <f t="shared" si="1"/>
        <v>346244.92945</v>
      </c>
      <c r="Q11" s="5">
        <f>Q7*Q9</f>
        <v>216157.96789999999</v>
      </c>
      <c r="R11" s="5">
        <f>R7*R9</f>
        <v>125606.4381</v>
      </c>
    </row>
    <row r="12" spans="2:19" x14ac:dyDescent="0.25">
      <c r="I12" s="5">
        <f>H11+I11</f>
        <v>398054.13941999996</v>
      </c>
      <c r="M12" s="5">
        <f>L11+M11</f>
        <v>286366.75864999997</v>
      </c>
      <c r="O12" s="5">
        <f>N11+O11</f>
        <v>250072.83895</v>
      </c>
      <c r="R12" s="5">
        <f>Q11+R11</f>
        <v>341764.40599999996</v>
      </c>
    </row>
    <row r="15" spans="2:19" x14ac:dyDescent="0.25">
      <c r="B15" t="s">
        <v>9</v>
      </c>
    </row>
    <row r="16" spans="2:19" x14ac:dyDescent="0.25">
      <c r="B16" t="s">
        <v>20</v>
      </c>
      <c r="I16" s="14"/>
      <c r="J16" s="4"/>
      <c r="K16" s="4"/>
      <c r="L16" s="4"/>
      <c r="M16" s="14"/>
      <c r="N16" s="4"/>
      <c r="O16" s="14"/>
      <c r="Q16" s="4"/>
      <c r="R16" s="14"/>
      <c r="S16" s="12"/>
    </row>
    <row r="17" spans="2:19" x14ac:dyDescent="0.25">
      <c r="B17" t="s">
        <v>4</v>
      </c>
      <c r="I17" s="14"/>
      <c r="J17" s="4"/>
      <c r="K17" s="4"/>
      <c r="L17" s="4"/>
      <c r="M17" s="14"/>
      <c r="N17" s="4"/>
      <c r="O17" s="14"/>
      <c r="Q17" s="4"/>
      <c r="R17" s="14"/>
      <c r="S17" s="12"/>
    </row>
    <row r="18" spans="2:19" x14ac:dyDescent="0.25">
      <c r="I18" s="14"/>
      <c r="J18" s="4"/>
      <c r="K18" s="4"/>
      <c r="L18" s="4"/>
      <c r="M18" s="14"/>
      <c r="N18" s="4"/>
      <c r="O18" s="14"/>
      <c r="Q18" s="4"/>
      <c r="R18" s="14"/>
      <c r="S18" s="12"/>
    </row>
    <row r="19" spans="2:19" ht="15.75" x14ac:dyDescent="0.25">
      <c r="B19" s="6"/>
      <c r="C19" s="6"/>
      <c r="D19" s="7" t="str">
        <f>B16</f>
        <v>Schedule 031/032</v>
      </c>
      <c r="H19" t="s">
        <v>13</v>
      </c>
      <c r="I19" s="4">
        <v>136356060</v>
      </c>
      <c r="J19" s="4"/>
      <c r="K19" s="4"/>
      <c r="L19" s="4"/>
      <c r="M19" s="4">
        <v>126127183</v>
      </c>
      <c r="N19" s="4"/>
      <c r="O19" s="4">
        <v>128829755</v>
      </c>
      <c r="Q19" s="12"/>
      <c r="R19" s="12">
        <v>151665337</v>
      </c>
      <c r="S19" s="12"/>
    </row>
    <row r="20" spans="2:19" ht="15.75" x14ac:dyDescent="0.25">
      <c r="B20" s="11" t="s">
        <v>11</v>
      </c>
      <c r="C20" s="8"/>
      <c r="D20" s="9" t="s">
        <v>4</v>
      </c>
      <c r="H20" t="s">
        <v>14</v>
      </c>
      <c r="I20" s="4">
        <f>I19-I9-H9</f>
        <v>0</v>
      </c>
      <c r="J20" s="4"/>
      <c r="K20" s="4"/>
      <c r="L20" s="4"/>
      <c r="M20" s="4">
        <f>M19-M9-L9</f>
        <v>0</v>
      </c>
      <c r="N20" s="4"/>
      <c r="O20" s="4">
        <f>O19-O9-N9</f>
        <v>0</v>
      </c>
      <c r="R20" s="4">
        <f>R19-R9-Q9</f>
        <v>0</v>
      </c>
    </row>
    <row r="21" spans="2:19" ht="15.75" x14ac:dyDescent="0.25">
      <c r="B21" s="6">
        <v>2005</v>
      </c>
      <c r="C21" s="6"/>
      <c r="D21" s="10">
        <f>D11</f>
        <v>100024.4615643</v>
      </c>
    </row>
    <row r="22" spans="2:19" ht="15.75" x14ac:dyDescent="0.25">
      <c r="B22" s="6">
        <v>2006</v>
      </c>
      <c r="C22" s="6"/>
      <c r="D22" s="10">
        <f>E11</f>
        <v>103706.47221421501</v>
      </c>
    </row>
    <row r="23" spans="2:19" ht="15.75" x14ac:dyDescent="0.25">
      <c r="B23" s="6">
        <v>2007</v>
      </c>
      <c r="C23" s="6"/>
      <c r="D23" s="10">
        <f>F11</f>
        <v>111562.489901655</v>
      </c>
    </row>
    <row r="24" spans="2:19" ht="15.75" x14ac:dyDescent="0.25">
      <c r="B24" s="6">
        <v>2008</v>
      </c>
      <c r="C24" s="6"/>
      <c r="D24" s="10">
        <f>G11</f>
        <v>224791.93650000001</v>
      </c>
    </row>
    <row r="25" spans="2:19" ht="15.75" x14ac:dyDescent="0.25">
      <c r="B25" s="6">
        <v>2009</v>
      </c>
      <c r="C25" s="6"/>
      <c r="D25" s="10">
        <f>I12</f>
        <v>398054.13941999996</v>
      </c>
    </row>
    <row r="26" spans="2:19" ht="15.75" x14ac:dyDescent="0.25">
      <c r="B26" s="6">
        <v>2010</v>
      </c>
      <c r="C26" s="6"/>
      <c r="D26" s="10">
        <f>J11</f>
        <v>358075.34535000002</v>
      </c>
    </row>
    <row r="27" spans="2:19" ht="15.75" x14ac:dyDescent="0.25">
      <c r="B27" s="6">
        <v>2011</v>
      </c>
      <c r="C27" s="6"/>
      <c r="D27" s="10">
        <f>K11</f>
        <v>366385.21509999997</v>
      </c>
    </row>
    <row r="28" spans="2:19" ht="15.75" x14ac:dyDescent="0.25">
      <c r="B28" s="6">
        <v>2012</v>
      </c>
      <c r="C28" s="6"/>
      <c r="D28" s="10">
        <f>M12</f>
        <v>286366.75864999997</v>
      </c>
    </row>
    <row r="29" spans="2:19" ht="15.75" x14ac:dyDescent="0.25">
      <c r="B29" s="6">
        <v>2013</v>
      </c>
      <c r="C29" s="6"/>
      <c r="D29" s="10">
        <f>O12</f>
        <v>250072.83895</v>
      </c>
    </row>
    <row r="30" spans="2:19" ht="15.75" x14ac:dyDescent="0.25">
      <c r="B30" s="6">
        <v>2014</v>
      </c>
      <c r="C30" s="6"/>
      <c r="D30" s="10">
        <f>P11</f>
        <v>346244.92945</v>
      </c>
    </row>
    <row r="31" spans="2:19" ht="15.75" x14ac:dyDescent="0.25">
      <c r="B31" s="6">
        <v>2015</v>
      </c>
      <c r="C31" s="6"/>
      <c r="D31" s="10">
        <f>R12</f>
        <v>341764.40599999996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T31"/>
  <sheetViews>
    <sheetView workbookViewId="0">
      <selection activeCell="D14" sqref="D14"/>
    </sheetView>
  </sheetViews>
  <sheetFormatPr defaultRowHeight="15" x14ac:dyDescent="0.25"/>
  <cols>
    <col min="2" max="2" width="17.5703125" bestFit="1" customWidth="1"/>
    <col min="3" max="3" width="2.42578125" customWidth="1"/>
    <col min="4" max="4" width="16.140625" customWidth="1"/>
    <col min="5" max="5" width="14.28515625" bestFit="1" customWidth="1"/>
    <col min="6" max="6" width="12.5703125" bestFit="1" customWidth="1"/>
    <col min="7" max="7" width="14.28515625" bestFit="1" customWidth="1"/>
    <col min="8" max="8" width="12.5703125" bestFit="1" customWidth="1"/>
    <col min="9" max="9" width="15.42578125" bestFit="1" customWidth="1"/>
    <col min="10" max="10" width="14.42578125" bestFit="1" customWidth="1"/>
    <col min="11" max="11" width="14.28515625" customWidth="1"/>
    <col min="12" max="12" width="14.42578125" bestFit="1" customWidth="1"/>
    <col min="13" max="13" width="14.28515625" bestFit="1" customWidth="1"/>
    <col min="14" max="14" width="17" bestFit="1" customWidth="1"/>
    <col min="15" max="15" width="14.28515625" bestFit="1" customWidth="1"/>
    <col min="16" max="16" width="17" bestFit="1" customWidth="1"/>
    <col min="17" max="17" width="14.42578125" bestFit="1" customWidth="1"/>
    <col min="18" max="18" width="14.28515625" customWidth="1"/>
    <col min="19" max="19" width="15.42578125" bestFit="1" customWidth="1"/>
    <col min="20" max="20" width="14.28515625" bestFit="1" customWidth="1"/>
  </cols>
  <sheetData>
    <row r="3" spans="2:20" x14ac:dyDescent="0.25">
      <c r="H3" t="s">
        <v>5</v>
      </c>
      <c r="I3" t="s">
        <v>6</v>
      </c>
      <c r="J3" t="s">
        <v>24</v>
      </c>
      <c r="K3" t="s">
        <v>25</v>
      </c>
      <c r="M3" t="s">
        <v>7</v>
      </c>
      <c r="N3" t="s">
        <v>8</v>
      </c>
      <c r="O3" t="s">
        <v>7</v>
      </c>
      <c r="P3" t="s">
        <v>8</v>
      </c>
      <c r="R3" t="s">
        <v>7</v>
      </c>
      <c r="S3" t="s">
        <v>8</v>
      </c>
    </row>
    <row r="4" spans="2:20" x14ac:dyDescent="0.25">
      <c r="D4" s="1">
        <v>2005</v>
      </c>
      <c r="E4" s="1">
        <v>2006</v>
      </c>
      <c r="F4" s="1">
        <v>2007</v>
      </c>
      <c r="G4" s="1">
        <v>2008</v>
      </c>
      <c r="H4" s="1">
        <v>2009</v>
      </c>
      <c r="I4" s="1">
        <v>2009</v>
      </c>
      <c r="J4" s="1">
        <v>2010</v>
      </c>
      <c r="K4" s="1">
        <v>2010</v>
      </c>
      <c r="L4" s="1">
        <v>2011</v>
      </c>
      <c r="M4" s="1">
        <v>2012</v>
      </c>
      <c r="N4" s="1">
        <v>2012</v>
      </c>
      <c r="O4" s="1">
        <v>2013</v>
      </c>
      <c r="P4" s="1">
        <v>2013</v>
      </c>
      <c r="Q4" s="1">
        <v>2014</v>
      </c>
      <c r="R4" s="1">
        <v>2015</v>
      </c>
      <c r="S4" s="1">
        <v>2015</v>
      </c>
    </row>
    <row r="5" spans="2:20" x14ac:dyDescent="0.25">
      <c r="B5" t="s">
        <v>0</v>
      </c>
      <c r="D5" s="15">
        <v>2.29E-2</v>
      </c>
      <c r="E5" s="15">
        <f>D5</f>
        <v>2.29E-2</v>
      </c>
      <c r="F5" s="15">
        <f>D5</f>
        <v>2.29E-2</v>
      </c>
      <c r="G5" s="15">
        <v>2.98E-2</v>
      </c>
      <c r="H5" s="15">
        <v>2.81E-2</v>
      </c>
      <c r="I5" s="15">
        <v>4.7899999999999998E-2</v>
      </c>
      <c r="J5" s="3">
        <v>4.65E-2</v>
      </c>
      <c r="K5" s="3">
        <v>4.3299999999999998E-2</v>
      </c>
      <c r="L5" s="3">
        <f>K5</f>
        <v>4.3299999999999998E-2</v>
      </c>
      <c r="M5" s="3">
        <v>4.1399999999999999E-2</v>
      </c>
      <c r="N5" s="3">
        <v>2.0299999999999999E-2</v>
      </c>
      <c r="O5" s="3">
        <v>1.9699999999999999E-2</v>
      </c>
      <c r="P5" s="3">
        <v>3.1300000000000001E-2</v>
      </c>
      <c r="Q5" s="3">
        <f>P5</f>
        <v>3.1300000000000001E-2</v>
      </c>
      <c r="R5" s="3">
        <f>P5</f>
        <v>3.1300000000000001E-2</v>
      </c>
      <c r="S5" s="15">
        <v>2.4E-2</v>
      </c>
    </row>
    <row r="6" spans="2:20" x14ac:dyDescent="0.25">
      <c r="B6" t="s">
        <v>1</v>
      </c>
      <c r="D6" s="15">
        <v>0.71</v>
      </c>
      <c r="E6" s="15">
        <v>0.71150000000000002</v>
      </c>
      <c r="F6" s="15">
        <v>0.71150000000000002</v>
      </c>
      <c r="G6" s="15">
        <v>1</v>
      </c>
      <c r="H6" s="15">
        <v>1</v>
      </c>
      <c r="I6" s="15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</row>
    <row r="7" spans="2:20" x14ac:dyDescent="0.25">
      <c r="B7" t="s">
        <v>2</v>
      </c>
      <c r="D7" s="15">
        <f>D5*D6</f>
        <v>1.6258999999999999E-2</v>
      </c>
      <c r="E7" s="15">
        <f t="shared" ref="E7:S7" si="0">E5*E6</f>
        <v>1.6293350000000002E-2</v>
      </c>
      <c r="F7" s="15">
        <f t="shared" si="0"/>
        <v>1.6293350000000002E-2</v>
      </c>
      <c r="G7" s="15">
        <f t="shared" si="0"/>
        <v>2.98E-2</v>
      </c>
      <c r="H7" s="15">
        <f t="shared" si="0"/>
        <v>2.81E-2</v>
      </c>
      <c r="I7" s="15">
        <f t="shared" si="0"/>
        <v>4.7899999999999998E-2</v>
      </c>
      <c r="J7" s="3">
        <f t="shared" si="0"/>
        <v>4.65E-2</v>
      </c>
      <c r="K7" s="3">
        <f t="shared" ref="K7" si="1">K5*K6</f>
        <v>4.3299999999999998E-2</v>
      </c>
      <c r="L7" s="3">
        <f t="shared" si="0"/>
        <v>4.3299999999999998E-2</v>
      </c>
      <c r="M7" s="3">
        <f t="shared" si="0"/>
        <v>4.1399999999999999E-2</v>
      </c>
      <c r="N7" s="3">
        <f t="shared" si="0"/>
        <v>2.0299999999999999E-2</v>
      </c>
      <c r="O7" s="3">
        <f t="shared" si="0"/>
        <v>1.9699999999999999E-2</v>
      </c>
      <c r="P7" s="3">
        <f t="shared" si="0"/>
        <v>3.1300000000000001E-2</v>
      </c>
      <c r="Q7" s="3">
        <f t="shared" si="0"/>
        <v>3.1300000000000001E-2</v>
      </c>
      <c r="R7" s="3">
        <f t="shared" si="0"/>
        <v>3.1300000000000001E-2</v>
      </c>
      <c r="S7" s="3">
        <f t="shared" si="0"/>
        <v>2.4E-2</v>
      </c>
    </row>
    <row r="8" spans="2:20" x14ac:dyDescent="0.25">
      <c r="D8" s="16"/>
      <c r="E8" s="16"/>
      <c r="F8" s="16"/>
      <c r="G8" s="16"/>
      <c r="H8" s="16"/>
      <c r="I8" s="16"/>
    </row>
    <row r="9" spans="2:20" x14ac:dyDescent="0.25">
      <c r="B9" t="s">
        <v>26</v>
      </c>
      <c r="D9" s="20">
        <v>4291212</v>
      </c>
      <c r="E9" s="20">
        <v>4611948</v>
      </c>
      <c r="F9" s="17">
        <v>4719000</v>
      </c>
      <c r="G9" s="20">
        <v>5161000</v>
      </c>
      <c r="H9" s="20">
        <f>5666000*(1/12)</f>
        <v>472166.66666666663</v>
      </c>
      <c r="I9" s="20">
        <f>5666000*(11/12)</f>
        <v>5193833.333333333</v>
      </c>
      <c r="J9" s="20">
        <f>5850000*(11/12)</f>
        <v>5362500</v>
      </c>
      <c r="K9" s="20">
        <f>6300000*(1/12)</f>
        <v>525000</v>
      </c>
      <c r="L9" s="20">
        <v>6334000</v>
      </c>
      <c r="M9" s="20">
        <f>6627000*(7/12)</f>
        <v>3865750.0000000005</v>
      </c>
      <c r="N9" s="20">
        <f>6627000*(5/12)</f>
        <v>2761250</v>
      </c>
      <c r="O9" s="20">
        <f>6779000*(7/12)</f>
        <v>3954416.666666667</v>
      </c>
      <c r="P9" s="20">
        <f>6779000*(5/12)</f>
        <v>2824583.3333333335</v>
      </c>
      <c r="Q9" s="20">
        <v>6983000</v>
      </c>
      <c r="R9" s="20">
        <f>7043000*(7/12)</f>
        <v>4108416.666666667</v>
      </c>
      <c r="S9" s="20">
        <f>7043000*(5/12)</f>
        <v>2934583.3333333335</v>
      </c>
    </row>
    <row r="11" spans="2:20" x14ac:dyDescent="0.25">
      <c r="B11" t="s">
        <v>4</v>
      </c>
      <c r="D11" s="5">
        <f>D7*D9</f>
        <v>69770.81590799999</v>
      </c>
      <c r="E11" s="5">
        <f t="shared" ref="E11:S11" si="2">E7*E9</f>
        <v>75144.082945800008</v>
      </c>
      <c r="F11" s="5">
        <f t="shared" si="2"/>
        <v>76888.318650000001</v>
      </c>
      <c r="G11" s="5">
        <f t="shared" si="2"/>
        <v>153797.79999999999</v>
      </c>
      <c r="H11" s="5">
        <f t="shared" si="2"/>
        <v>13267.883333333331</v>
      </c>
      <c r="I11" s="5">
        <f t="shared" si="2"/>
        <v>248784.61666666664</v>
      </c>
      <c r="J11" s="5">
        <f t="shared" si="2"/>
        <v>249356.25</v>
      </c>
      <c r="K11" s="5">
        <f t="shared" si="2"/>
        <v>22732.5</v>
      </c>
      <c r="L11" s="5">
        <f t="shared" si="2"/>
        <v>274262.2</v>
      </c>
      <c r="M11" s="5">
        <f t="shared" si="2"/>
        <v>160042.05000000002</v>
      </c>
      <c r="N11" s="5">
        <f t="shared" si="2"/>
        <v>56053.374999999993</v>
      </c>
      <c r="O11" s="5">
        <f t="shared" si="2"/>
        <v>77902.008333333331</v>
      </c>
      <c r="P11" s="5">
        <f t="shared" si="2"/>
        <v>88409.458333333343</v>
      </c>
      <c r="Q11" s="5">
        <f t="shared" si="2"/>
        <v>218567.90000000002</v>
      </c>
      <c r="R11" s="5">
        <f t="shared" si="2"/>
        <v>128593.44166666668</v>
      </c>
      <c r="S11" s="5">
        <f t="shared" si="2"/>
        <v>70430</v>
      </c>
    </row>
    <row r="12" spans="2:20" x14ac:dyDescent="0.25">
      <c r="I12" s="5">
        <f>H11+I11</f>
        <v>262052.49999999997</v>
      </c>
      <c r="K12" s="5">
        <f>J11+K11</f>
        <v>272088.75</v>
      </c>
      <c r="N12" s="5">
        <f>M11+N11</f>
        <v>216095.42500000002</v>
      </c>
      <c r="P12" s="5">
        <f>O11+P11</f>
        <v>166311.46666666667</v>
      </c>
      <c r="S12" s="5">
        <f>R11+S11</f>
        <v>199023.44166666668</v>
      </c>
    </row>
    <row r="14" spans="2:20" x14ac:dyDescent="0.25">
      <c r="D14" s="21" t="s">
        <v>30</v>
      </c>
    </row>
    <row r="15" spans="2:20" x14ac:dyDescent="0.25">
      <c r="B15" t="s">
        <v>9</v>
      </c>
    </row>
    <row r="16" spans="2:20" x14ac:dyDescent="0.25">
      <c r="B16" t="s">
        <v>27</v>
      </c>
      <c r="H16" s="16"/>
      <c r="I16" s="14"/>
      <c r="J16" s="14"/>
      <c r="K16" s="14"/>
      <c r="L16" s="14"/>
      <c r="M16" s="14"/>
      <c r="N16" s="14"/>
      <c r="O16" s="14"/>
      <c r="P16" s="14"/>
      <c r="Q16" s="16"/>
      <c r="R16" s="14"/>
      <c r="S16" s="14"/>
      <c r="T16" s="12"/>
    </row>
    <row r="17" spans="2:20" x14ac:dyDescent="0.25">
      <c r="B17" t="s">
        <v>4</v>
      </c>
      <c r="H17" s="16"/>
      <c r="I17" s="14"/>
      <c r="J17" s="14"/>
      <c r="K17" s="14"/>
      <c r="L17" s="14"/>
      <c r="M17" s="14"/>
      <c r="N17" s="14"/>
      <c r="O17" s="14"/>
      <c r="P17" s="14"/>
      <c r="Q17" s="16"/>
      <c r="R17" s="14"/>
      <c r="S17" s="14"/>
      <c r="T17" s="12"/>
    </row>
    <row r="18" spans="2:20" x14ac:dyDescent="0.25">
      <c r="H18" s="16"/>
      <c r="I18" s="14"/>
      <c r="J18" s="14"/>
      <c r="K18" s="14"/>
      <c r="L18" s="14"/>
      <c r="M18" s="14"/>
      <c r="N18" s="14"/>
      <c r="O18" s="14"/>
      <c r="P18" s="14"/>
      <c r="Q18" s="16"/>
      <c r="R18" s="14"/>
      <c r="S18" s="14"/>
      <c r="T18" s="12"/>
    </row>
    <row r="19" spans="2:20" ht="15.75" x14ac:dyDescent="0.25">
      <c r="B19" s="6"/>
      <c r="C19" s="6"/>
      <c r="D19" s="7" t="str">
        <f>B16</f>
        <v>Schedule 041-48</v>
      </c>
      <c r="H19" s="16"/>
      <c r="I19" s="14"/>
      <c r="J19" s="14"/>
      <c r="K19" s="14"/>
      <c r="L19" s="14"/>
      <c r="M19" s="14"/>
      <c r="N19" s="14"/>
      <c r="O19" s="14"/>
      <c r="P19" s="14"/>
      <c r="Q19" s="16"/>
      <c r="R19" s="19"/>
      <c r="S19" s="19"/>
      <c r="T19" s="12"/>
    </row>
    <row r="20" spans="2:20" ht="15.75" x14ac:dyDescent="0.25">
      <c r="B20" s="11" t="s">
        <v>11</v>
      </c>
      <c r="C20" s="8"/>
      <c r="D20" s="9" t="s">
        <v>4</v>
      </c>
      <c r="H20" s="16"/>
      <c r="I20" s="14"/>
      <c r="J20" s="14"/>
      <c r="K20" s="14"/>
      <c r="L20" s="14"/>
      <c r="M20" s="14"/>
      <c r="N20" s="14"/>
      <c r="O20" s="14"/>
      <c r="P20" s="14"/>
      <c r="Q20" s="16"/>
      <c r="R20" s="16"/>
      <c r="S20" s="14"/>
    </row>
    <row r="21" spans="2:20" ht="15.75" x14ac:dyDescent="0.25">
      <c r="B21" s="6">
        <v>2005</v>
      </c>
      <c r="C21" s="6"/>
      <c r="D21" s="10">
        <f>D11</f>
        <v>69770.81590799999</v>
      </c>
    </row>
    <row r="22" spans="2:20" ht="15.75" x14ac:dyDescent="0.25">
      <c r="B22" s="6">
        <v>2006</v>
      </c>
      <c r="C22" s="6"/>
      <c r="D22" s="10">
        <f>E11</f>
        <v>75144.082945800008</v>
      </c>
    </row>
    <row r="23" spans="2:20" ht="15.75" x14ac:dyDescent="0.25">
      <c r="B23" s="6">
        <v>2007</v>
      </c>
      <c r="C23" s="6"/>
      <c r="D23" s="10">
        <f>F11</f>
        <v>76888.318650000001</v>
      </c>
    </row>
    <row r="24" spans="2:20" ht="15.75" x14ac:dyDescent="0.25">
      <c r="B24" s="6">
        <v>2008</v>
      </c>
      <c r="C24" s="6"/>
      <c r="D24" s="10">
        <f>G11</f>
        <v>153797.79999999999</v>
      </c>
    </row>
    <row r="25" spans="2:20" ht="15.75" x14ac:dyDescent="0.25">
      <c r="B25" s="6">
        <v>2009</v>
      </c>
      <c r="C25" s="6"/>
      <c r="D25" s="10">
        <f>I12</f>
        <v>262052.49999999997</v>
      </c>
    </row>
    <row r="26" spans="2:20" ht="15.75" x14ac:dyDescent="0.25">
      <c r="B26" s="6">
        <v>2010</v>
      </c>
      <c r="C26" s="6"/>
      <c r="D26" s="10">
        <f>J11</f>
        <v>249356.25</v>
      </c>
    </row>
    <row r="27" spans="2:20" ht="15.75" x14ac:dyDescent="0.25">
      <c r="B27" s="6">
        <v>2011</v>
      </c>
      <c r="C27" s="6"/>
      <c r="D27" s="10">
        <f>L11</f>
        <v>274262.2</v>
      </c>
    </row>
    <row r="28" spans="2:20" ht="15.75" x14ac:dyDescent="0.25">
      <c r="B28" s="6">
        <v>2012</v>
      </c>
      <c r="C28" s="6"/>
      <c r="D28" s="10">
        <f>N12</f>
        <v>216095.42500000002</v>
      </c>
    </row>
    <row r="29" spans="2:20" ht="15.75" x14ac:dyDescent="0.25">
      <c r="B29" s="6">
        <v>2013</v>
      </c>
      <c r="C29" s="6"/>
      <c r="D29" s="10">
        <f>P12</f>
        <v>166311.46666666667</v>
      </c>
    </row>
    <row r="30" spans="2:20" ht="15.75" x14ac:dyDescent="0.25">
      <c r="B30" s="6">
        <v>2014</v>
      </c>
      <c r="C30" s="6"/>
      <c r="D30" s="10">
        <f>Q11</f>
        <v>218567.90000000002</v>
      </c>
    </row>
    <row r="31" spans="2:20" ht="15.75" x14ac:dyDescent="0.25">
      <c r="B31" s="6">
        <v>2015</v>
      </c>
      <c r="C31" s="6"/>
      <c r="D31" s="10">
        <f>S12</f>
        <v>199023.44166666668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2016-10-06T07:00:00+00:00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A187FC7-9ED3-40AC-80AE-6FDAEE7EE6E6}"/>
</file>

<file path=customXml/itemProps2.xml><?xml version="1.0" encoding="utf-8"?>
<ds:datastoreItem xmlns:ds="http://schemas.openxmlformats.org/officeDocument/2006/customXml" ds:itemID="{403F1F76-9849-4846-B7B4-1FCB34EA373D}"/>
</file>

<file path=customXml/itemProps3.xml><?xml version="1.0" encoding="utf-8"?>
<ds:datastoreItem xmlns:ds="http://schemas.openxmlformats.org/officeDocument/2006/customXml" ds:itemID="{C91333BB-40EA-4A87-909C-1BBCCBFCC70A}"/>
</file>

<file path=customXml/itemProps4.xml><?xml version="1.0" encoding="utf-8"?>
<ds:datastoreItem xmlns:ds="http://schemas.openxmlformats.org/officeDocument/2006/customXml" ds:itemID="{6B183FE1-C32B-4542-A31A-1759E3C6E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Summary</vt:lpstr>
      <vt:lpstr>Sch 001</vt:lpstr>
      <vt:lpstr>Sch 011-012</vt:lpstr>
      <vt:lpstr>Sch 021-022</vt:lpstr>
      <vt:lpstr>Sch 25</vt:lpstr>
      <vt:lpstr>Sch 031-032</vt:lpstr>
      <vt:lpstr>Sch 41-48</vt:lpstr>
      <vt:lpstr>'Sch 25'!Print_Area</vt:lpstr>
      <vt:lpstr>Summary!Print_Area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2016-04-14T14:24:10Z</cp:lastPrinted>
  <dcterms:created xsi:type="dcterms:W3CDTF">2015-08-11T15:46:14Z</dcterms:created>
  <dcterms:modified xsi:type="dcterms:W3CDTF">2016-04-14T14:27:40Z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-1404342906</vt:i4>
  </property>
  <property fmtid="{D5CDD505-2E9C-101B-9397-08002B2CF9AE}" pid="3" name="_NewReviewCycle">
    <vt:lpwstr/>
  </property>
  <property fmtid="{D5CDD505-2E9C-101B-9397-08002B2CF9AE}" pid="4" name="_EmailSubject">
    <vt:lpwstr>DSM Drs</vt:lpwstr>
  </property>
  <property fmtid="{D5CDD505-2E9C-101B-9397-08002B2CF9AE}" pid="5" name="_AuthorEmail">
    <vt:lpwstr>LisaW4@ATG.WA.GOV</vt:lpwstr>
  </property>
  <property fmtid="{D5CDD505-2E9C-101B-9397-08002B2CF9AE}" pid="6" name="_AuthorEmailDisplayName">
    <vt:lpwstr>Gafken, Lisa (ATG)</vt:lpwstr>
  </property>
  <property fmtid="{D5CDD505-2E9C-101B-9397-08002B2CF9AE}" pid="7" name="ContentTypeId">
    <vt:lpwstr>0x0101006E56B4D1795A2E4DB2F0B01679ED314A00D83ED465A26668459AA6DC672056AAD1</vt:lpwstr>
  </property>
  <property fmtid="{D5CDD505-2E9C-101B-9397-08002B2CF9AE}" pid="8" name="_docset_NoMedatataSyncRequired">
    <vt:lpwstr>False</vt:lpwstr>
  </property>
</Properties>
</file>