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0\2020 WA Elec and Gas GRC\Direct Testimony\18) Anderson\"/>
    </mc:Choice>
  </mc:AlternateContent>
  <xr:revisionPtr revIDLastSave="0" documentId="13_ncr:1_{517E50FF-DCAE-4DB2-839C-CEBB6C071BB1}" xr6:coauthVersionLast="44" xr6:coauthVersionMax="44" xr10:uidLastSave="{00000000-0000-0000-0000-000000000000}"/>
  <bookViews>
    <workbookView xWindow="-28920" yWindow="-120" windowWidth="29040" windowHeight="16440" xr2:uid="{693DF0D1-F4F0-4AE3-9EB1-560FBB4E3475}"/>
  </bookViews>
  <sheets>
    <sheet name="AMI Costs and Benefits - JCA-3" sheetId="1" r:id="rId1"/>
  </sheets>
  <definedNames>
    <definedName name="_xlnm.Print_Area" localSheetId="0">'AMI Costs and Benefits - JCA-3'!$A$1:$H$49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3" i="1" l="1"/>
  <c r="I24" i="1" l="1"/>
  <c r="C43" i="1"/>
  <c r="G37" i="1"/>
  <c r="D26" i="1"/>
  <c r="G26" i="1"/>
  <c r="C15" i="1"/>
  <c r="M45" i="1"/>
  <c r="M47" i="1" s="1"/>
  <c r="I26" i="1"/>
  <c r="I25" i="1"/>
  <c r="H18" i="1"/>
  <c r="G32" i="1"/>
  <c r="F17" i="1"/>
  <c r="E18" i="1"/>
  <c r="D14" i="1"/>
  <c r="G14" i="1"/>
  <c r="H11" i="1"/>
  <c r="G11" i="1"/>
  <c r="F11" i="1"/>
  <c r="C10" i="1"/>
  <c r="E11" i="1"/>
  <c r="C9" i="1"/>
  <c r="F7" i="1"/>
  <c r="E7" i="1"/>
  <c r="D7" i="1"/>
  <c r="C6" i="1"/>
  <c r="H7" i="1"/>
  <c r="G7" i="1"/>
  <c r="E13" i="1" l="1"/>
  <c r="C35" i="1"/>
  <c r="C38" i="1" s="1"/>
  <c r="H17" i="1"/>
  <c r="D32" i="1"/>
  <c r="E17" i="1"/>
  <c r="H34" i="1"/>
  <c r="G17" i="1"/>
  <c r="G34" i="1"/>
  <c r="G35" i="1" s="1"/>
  <c r="G38" i="1" s="1"/>
  <c r="H26" i="1"/>
  <c r="E43" i="1"/>
  <c r="D43" i="1"/>
  <c r="H43" i="1"/>
  <c r="G43" i="1"/>
  <c r="F43" i="1"/>
  <c r="C11" i="1"/>
  <c r="H13" i="1"/>
  <c r="C5" i="1"/>
  <c r="D11" i="1"/>
  <c r="F13" i="1"/>
  <c r="H14" i="1"/>
  <c r="D17" i="1"/>
  <c r="F18" i="1"/>
  <c r="E26" i="1"/>
  <c r="H32" i="1"/>
  <c r="D34" i="1"/>
  <c r="H37" i="1"/>
  <c r="M46" i="1"/>
  <c r="E14" i="1"/>
  <c r="D13" i="1"/>
  <c r="D15" i="1" s="1"/>
  <c r="F14" i="1"/>
  <c r="D18" i="1"/>
  <c r="F32" i="1"/>
  <c r="G13" i="1"/>
  <c r="G15" i="1" s="1"/>
  <c r="G18" i="1"/>
  <c r="F26" i="1"/>
  <c r="E34" i="1"/>
  <c r="F34" i="1"/>
  <c r="C44" i="1"/>
  <c r="C45" i="1" s="1"/>
  <c r="D37" i="1"/>
  <c r="E37" i="1"/>
  <c r="F37" i="1"/>
  <c r="E32" i="1"/>
  <c r="E15" i="1" l="1"/>
  <c r="E22" i="1" s="1"/>
  <c r="E24" i="1" s="1"/>
  <c r="D22" i="1"/>
  <c r="D25" i="1" s="1"/>
  <c r="G22" i="1"/>
  <c r="G25" i="1" s="1"/>
  <c r="H35" i="1"/>
  <c r="H38" i="1" s="1"/>
  <c r="E35" i="1"/>
  <c r="E38" i="1" s="1"/>
  <c r="F35" i="1"/>
  <c r="F38" i="1" s="1"/>
  <c r="H15" i="1"/>
  <c r="H22" i="1" s="1"/>
  <c r="C7" i="1"/>
  <c r="F45" i="1"/>
  <c r="D35" i="1"/>
  <c r="D38" i="1" s="1"/>
  <c r="F44" i="1"/>
  <c r="E44" i="1"/>
  <c r="H44" i="1" s="1"/>
  <c r="H45" i="1" s="1"/>
  <c r="D44" i="1"/>
  <c r="G44" i="1" s="1"/>
  <c r="G45" i="1" s="1"/>
  <c r="E25" i="1"/>
  <c r="E27" i="1" s="1"/>
  <c r="F15" i="1"/>
  <c r="F22" i="1" s="1"/>
  <c r="G24" i="1" l="1"/>
  <c r="G27" i="1" s="1"/>
  <c r="G40" i="1" s="1"/>
  <c r="G47" i="1" s="1"/>
  <c r="D24" i="1"/>
  <c r="H25" i="1"/>
  <c r="H24" i="1"/>
  <c r="E45" i="1"/>
  <c r="D45" i="1"/>
  <c r="F25" i="1"/>
  <c r="C25" i="1" s="1"/>
  <c r="F24" i="1"/>
  <c r="E40" i="1"/>
  <c r="C22" i="1"/>
  <c r="C24" i="1" s="1"/>
  <c r="H27" i="1" l="1"/>
  <c r="H40" i="1" s="1"/>
  <c r="H47" i="1" s="1"/>
  <c r="D27" i="1"/>
  <c r="D40" i="1" s="1"/>
  <c r="D47" i="1" s="1"/>
  <c r="F27" i="1"/>
  <c r="F40" i="1" s="1"/>
  <c r="F47" i="1" s="1"/>
  <c r="C27" i="1"/>
  <c r="C40" i="1" s="1"/>
  <c r="E47" i="1"/>
  <c r="C47" i="1" l="1"/>
</calcChain>
</file>

<file path=xl/sharedStrings.xml><?xml version="1.0" encoding="utf-8"?>
<sst xmlns="http://schemas.openxmlformats.org/spreadsheetml/2006/main" count="46" uniqueCount="44">
  <si>
    <t>WASHINGTON GAS</t>
  </si>
  <si>
    <t>AMI Costs and Benefits Embedded in Cost of Service Study</t>
  </si>
  <si>
    <t>Rate Base Componants</t>
  </si>
  <si>
    <t>Total</t>
  </si>
  <si>
    <t>Sch 101</t>
  </si>
  <si>
    <t>Sch 111</t>
  </si>
  <si>
    <t>Sch 121</t>
  </si>
  <si>
    <t>Sch 131</t>
  </si>
  <si>
    <t>Sch 146</t>
  </si>
  <si>
    <t>AMI/MDM Software</t>
  </si>
  <si>
    <t>AMI/MDM Software Accum. Amort.</t>
  </si>
  <si>
    <t>Total AMI/MDM Software</t>
  </si>
  <si>
    <t>Meters</t>
  </si>
  <si>
    <t>Meters Accum. Depr.</t>
  </si>
  <si>
    <t>Total Meters</t>
  </si>
  <si>
    <t>AMI Comunications Equipment</t>
  </si>
  <si>
    <t>AMI Comunications Equipment Accum. Depr.</t>
  </si>
  <si>
    <t>AMI Regulatory Asset</t>
  </si>
  <si>
    <t>Subset of Accum Deferred Income Tax</t>
  </si>
  <si>
    <t>Corporate Cost Allocators (4 factor)</t>
  </si>
  <si>
    <t>Total Rate Base</t>
  </si>
  <si>
    <t>Return on Rate Base @ 7.43%</t>
  </si>
  <si>
    <t>Tax Benefit of Interest Expense</t>
  </si>
  <si>
    <t>wtd cost of debt</t>
  </si>
  <si>
    <t>Revenue Conversion Factor</t>
  </si>
  <si>
    <t>tax rate</t>
  </si>
  <si>
    <t>Rate Base Revenue Requirement</t>
  </si>
  <si>
    <t>Expense Components</t>
  </si>
  <si>
    <t>AMI/MDM Software Amort. Exp.</t>
  </si>
  <si>
    <t xml:space="preserve">   Meters Depr Exp</t>
  </si>
  <si>
    <t>AMI Communication Equip. Depr. Exp.</t>
  </si>
  <si>
    <t xml:space="preserve">   Total Expenses</t>
  </si>
  <si>
    <t xml:space="preserve">   Revenue Conversion Factor </t>
  </si>
  <si>
    <t xml:space="preserve">   Expense Revenue Requirement</t>
  </si>
  <si>
    <t xml:space="preserve">   Total AMI/MDM Revenue Requirements</t>
  </si>
  <si>
    <t>Source: 3) AMI Report Benefits Workbook_Updated 09_01_2020</t>
  </si>
  <si>
    <t>Rate Year O&amp;M Savings/Offsets</t>
  </si>
  <si>
    <t>Revenue Requirement Reductions Grand Total</t>
  </si>
  <si>
    <t>12 ME 09.30.2022</t>
  </si>
  <si>
    <t>Revenue Requirement Offset</t>
  </si>
  <si>
    <t>Electric Share</t>
  </si>
  <si>
    <t xml:space="preserve"> Total AMI Rate Year Net Costs </t>
  </si>
  <si>
    <t>Natural Gas Share</t>
  </si>
  <si>
    <t>Benefits Allocated by Common Cost Allocator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</si>
</sst>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.00000_);_(&quot;$&quot;* \(#,##0.00000\);_(&quot;$&quot;* &quot;-&quot;?????_);_(@_)"/>
    <numFmt numFmtId="165" formatCode="_(&quot;$&quot;* #,##0.000000_);_(&quot;$&quot;* \(#,##0.000000\);_(&quot;$&quot;* &quot;-&quot;??????_);_(@_)"/>
    <numFmt numFmtId="166" formatCode="&quot;$&quot;#,##0"/>
    <numFmt numFmtId="167" formatCode="_(&quot;$&quot;* #,##0.00000_);_(&quot;$&quot;* \(#,##0.00000\);_(&quot;$&quot;* &quot;-&quot;????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sz val="10"/>
      <color rgb="FF00B0F0"/>
      <name val="Arial"/>
      <family val="2"/>
    </font>
    <font>
      <sz val="10"/>
      <color rgb="FF00B05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DE9D9"/>
        <bgColor rgb="FF000000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indent="1"/>
    </xf>
    <xf numFmtId="42" fontId="0" fillId="0" borderId="0" xfId="0" applyNumberFormat="1"/>
    <xf numFmtId="1" fontId="0" fillId="0" borderId="0" xfId="0" applyNumberFormat="1"/>
    <xf numFmtId="42" fontId="0" fillId="0" borderId="1" xfId="0" applyNumberFormat="1" applyBorder="1"/>
    <xf numFmtId="0" fontId="0" fillId="0" borderId="0" xfId="0" applyAlignment="1">
      <alignment horizontal="left" indent="1"/>
    </xf>
    <xf numFmtId="0" fontId="4" fillId="0" borderId="0" xfId="0" applyFont="1" applyAlignment="1">
      <alignment horizontal="left"/>
    </xf>
    <xf numFmtId="10" fontId="0" fillId="0" borderId="0" xfId="0" applyNumberFormat="1"/>
    <xf numFmtId="10" fontId="5" fillId="0" borderId="0" xfId="1" applyNumberFormat="1" applyFont="1"/>
    <xf numFmtId="10" fontId="6" fillId="0" borderId="0" xfId="0" applyNumberFormat="1" applyFont="1"/>
    <xf numFmtId="10" fontId="7" fillId="0" borderId="0" xfId="1" applyNumberFormat="1" applyFont="1"/>
    <xf numFmtId="42" fontId="4" fillId="0" borderId="0" xfId="0" applyNumberFormat="1" applyFont="1"/>
    <xf numFmtId="10" fontId="4" fillId="0" borderId="0" xfId="1" applyNumberFormat="1" applyFont="1"/>
    <xf numFmtId="164" fontId="6" fillId="0" borderId="1" xfId="0" applyNumberFormat="1" applyFont="1" applyBorder="1"/>
    <xf numFmtId="164" fontId="4" fillId="0" borderId="1" xfId="0" applyNumberFormat="1" applyFont="1" applyBorder="1"/>
    <xf numFmtId="0" fontId="4" fillId="0" borderId="0" xfId="0" applyFont="1"/>
    <xf numFmtId="0" fontId="0" fillId="0" borderId="0" xfId="0" applyAlignment="1">
      <alignment horizontal="center"/>
    </xf>
    <xf numFmtId="165" fontId="6" fillId="0" borderId="1" xfId="0" applyNumberFormat="1" applyFont="1" applyBorder="1"/>
    <xf numFmtId="165" fontId="4" fillId="0" borderId="1" xfId="0" applyNumberFormat="1" applyFont="1" applyBorder="1"/>
    <xf numFmtId="44" fontId="3" fillId="0" borderId="0" xfId="0" applyNumberFormat="1" applyFont="1"/>
    <xf numFmtId="166" fontId="0" fillId="0" borderId="0" xfId="0" applyNumberFormat="1"/>
    <xf numFmtId="167" fontId="5" fillId="0" borderId="1" xfId="0" applyNumberFormat="1" applyFont="1" applyBorder="1"/>
    <xf numFmtId="167" fontId="4" fillId="0" borderId="1" xfId="0" applyNumberFormat="1" applyFont="1" applyBorder="1"/>
    <xf numFmtId="167" fontId="4" fillId="0" borderId="0" xfId="0" applyNumberFormat="1" applyFont="1"/>
    <xf numFmtId="0" fontId="3" fillId="0" borderId="0" xfId="0" applyFont="1" applyAlignment="1">
      <alignment horizontal="right"/>
    </xf>
    <xf numFmtId="166" fontId="8" fillId="2" borderId="0" xfId="0" applyNumberFormat="1" applyFont="1" applyFill="1"/>
    <xf numFmtId="166" fontId="3" fillId="0" borderId="0" xfId="0" applyNumberFormat="1" applyFont="1"/>
    <xf numFmtId="0" fontId="4" fillId="0" borderId="0" xfId="2"/>
    <xf numFmtId="3" fontId="4" fillId="0" borderId="0" xfId="2" applyNumberFormat="1"/>
    <xf numFmtId="44" fontId="4" fillId="0" borderId="0" xfId="3"/>
    <xf numFmtId="44" fontId="3" fillId="0" borderId="0" xfId="2" applyNumberFormat="1" applyFont="1"/>
  </cellXfs>
  <cellStyles count="4">
    <cellStyle name="Currency 4 2" xfId="3" xr:uid="{C9F2B6D2-1063-4090-900B-D01DF007825C}"/>
    <cellStyle name="Normal" xfId="0" builtinId="0"/>
    <cellStyle name="Normal 6 2" xfId="2" xr:uid="{776355B8-A5D8-4724-8176-18819894808F}"/>
    <cellStyle name="Percent" xfId="1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E5EC6-3F57-40E4-B36F-9E0D51C6CF59}">
  <sheetPr>
    <pageSetUpPr fitToPage="1"/>
  </sheetPr>
  <dimension ref="A1:M52"/>
  <sheetViews>
    <sheetView tabSelected="1" view="pageLayout" zoomScaleNormal="100" workbookViewId="0">
      <selection activeCell="D15" sqref="D15"/>
    </sheetView>
  </sheetViews>
  <sheetFormatPr defaultRowHeight="14.5" x14ac:dyDescent="0.35"/>
  <cols>
    <col min="1" max="1" width="7.26953125" bestFit="1" customWidth="1"/>
    <col min="2" max="2" width="43.1796875" customWidth="1"/>
    <col min="3" max="3" width="18.26953125" bestFit="1" customWidth="1"/>
    <col min="4" max="4" width="13.453125" bestFit="1" customWidth="1"/>
    <col min="5" max="5" width="12" bestFit="1" customWidth="1"/>
    <col min="6" max="6" width="11.26953125" hidden="1" customWidth="1"/>
    <col min="7" max="7" width="11.26953125" bestFit="1" customWidth="1"/>
    <col min="8" max="8" width="12.90625" customWidth="1"/>
    <col min="10" max="10" width="10.453125" bestFit="1" customWidth="1"/>
    <col min="11" max="11" width="14.36328125" customWidth="1"/>
    <col min="12" max="12" width="11.36328125" customWidth="1"/>
    <col min="13" max="13" width="15.1796875" customWidth="1"/>
  </cols>
  <sheetData>
    <row r="1" spans="1:10" x14ac:dyDescent="0.35">
      <c r="B1" t="s">
        <v>0</v>
      </c>
    </row>
    <row r="2" spans="1:10" ht="15.5" x14ac:dyDescent="0.35">
      <c r="B2" s="1" t="s">
        <v>1</v>
      </c>
    </row>
    <row r="4" spans="1:10" x14ac:dyDescent="0.35">
      <c r="A4" s="2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</row>
    <row r="5" spans="1:10" x14ac:dyDescent="0.35">
      <c r="A5" s="4">
        <v>303.12</v>
      </c>
      <c r="B5" s="5" t="s">
        <v>9</v>
      </c>
      <c r="C5" s="6">
        <f>SUM(D5:H5)</f>
        <v>17246000</v>
      </c>
      <c r="D5" s="6">
        <v>15094126.337705942</v>
      </c>
      <c r="E5" s="6">
        <v>1634930.9350786207</v>
      </c>
      <c r="F5" s="6">
        <v>0</v>
      </c>
      <c r="G5" s="6">
        <v>20242.810762707828</v>
      </c>
      <c r="H5" s="6">
        <v>496699.91645273165</v>
      </c>
      <c r="J5" s="7"/>
    </row>
    <row r="6" spans="1:10" x14ac:dyDescent="0.35">
      <c r="A6" s="4">
        <v>303.12</v>
      </c>
      <c r="B6" s="5" t="s">
        <v>10</v>
      </c>
      <c r="C6" s="8">
        <f>SUM(D6:H6)</f>
        <v>2716000.0000000005</v>
      </c>
      <c r="D6" s="8">
        <v>2377110.4681206853</v>
      </c>
      <c r="E6" s="8">
        <v>257478.39613090188</v>
      </c>
      <c r="F6" s="8">
        <v>0</v>
      </c>
      <c r="G6" s="8">
        <v>3187.9551218551815</v>
      </c>
      <c r="H6" s="8">
        <v>78223.180626557994</v>
      </c>
      <c r="J6" s="7"/>
    </row>
    <row r="7" spans="1:10" x14ac:dyDescent="0.35">
      <c r="A7" s="4"/>
      <c r="B7" s="5" t="s">
        <v>11</v>
      </c>
      <c r="C7" s="6">
        <f>SUM(C5:C6)</f>
        <v>19962000</v>
      </c>
      <c r="D7" s="6">
        <f t="shared" ref="D7:H7" si="0">SUM(D5:D6)</f>
        <v>17471236.805826627</v>
      </c>
      <c r="E7" s="6">
        <f t="shared" si="0"/>
        <v>1892409.3312095227</v>
      </c>
      <c r="F7" s="6">
        <f t="shared" si="0"/>
        <v>0</v>
      </c>
      <c r="G7" s="6">
        <f t="shared" si="0"/>
        <v>23430.76588456301</v>
      </c>
      <c r="H7" s="6">
        <f t="shared" si="0"/>
        <v>574923.09707928961</v>
      </c>
      <c r="J7" s="7"/>
    </row>
    <row r="8" spans="1:10" x14ac:dyDescent="0.35">
      <c r="A8" s="4"/>
      <c r="B8" s="9"/>
      <c r="C8" s="6"/>
      <c r="D8" s="6"/>
      <c r="E8" s="6"/>
      <c r="F8" s="6"/>
      <c r="G8" s="6"/>
      <c r="H8" s="6"/>
      <c r="J8" s="7"/>
    </row>
    <row r="9" spans="1:10" x14ac:dyDescent="0.35">
      <c r="A9" s="4">
        <v>381</v>
      </c>
      <c r="B9" s="9" t="s">
        <v>12</v>
      </c>
      <c r="C9" s="6">
        <f>SUM(D9:H9)</f>
        <v>72165999.999999985</v>
      </c>
      <c r="D9" s="6">
        <v>65013536.617479742</v>
      </c>
      <c r="E9" s="6">
        <v>6499987.4524772642</v>
      </c>
      <c r="F9" s="6">
        <v>0</v>
      </c>
      <c r="G9" s="6">
        <v>68803.130446753654</v>
      </c>
      <c r="H9" s="6">
        <v>583672.79959623597</v>
      </c>
      <c r="J9" s="7"/>
    </row>
    <row r="10" spans="1:10" x14ac:dyDescent="0.35">
      <c r="A10" s="4">
        <v>381</v>
      </c>
      <c r="B10" s="9" t="s">
        <v>13</v>
      </c>
      <c r="C10" s="8">
        <f>SUM(D10:H10)</f>
        <v>-14169000</v>
      </c>
      <c r="D10" s="8">
        <v>-12764692.519095842</v>
      </c>
      <c r="E10" s="8">
        <v>-1276201.0117527694</v>
      </c>
      <c r="F10" s="8">
        <v>0</v>
      </c>
      <c r="G10" s="8">
        <v>-13508.737567553315</v>
      </c>
      <c r="H10" s="8">
        <v>-114597.73158383543</v>
      </c>
      <c r="J10" s="7"/>
    </row>
    <row r="11" spans="1:10" x14ac:dyDescent="0.35">
      <c r="B11" s="9" t="s">
        <v>14</v>
      </c>
      <c r="C11" s="6">
        <f t="shared" ref="C11:H11" si="1">SUM(C9:C10)</f>
        <v>57996999.999999985</v>
      </c>
      <c r="D11" s="6">
        <f t="shared" si="1"/>
        <v>52248844.098383904</v>
      </c>
      <c r="E11" s="6">
        <f t="shared" si="1"/>
        <v>5223786.4407244949</v>
      </c>
      <c r="F11" s="6">
        <f t="shared" si="1"/>
        <v>0</v>
      </c>
      <c r="G11" s="6">
        <f t="shared" si="1"/>
        <v>55294.392879200343</v>
      </c>
      <c r="H11" s="6">
        <f t="shared" si="1"/>
        <v>469075.06801240053</v>
      </c>
      <c r="J11" s="7"/>
    </row>
    <row r="12" spans="1:10" x14ac:dyDescent="0.35">
      <c r="B12" s="9"/>
      <c r="C12" s="6"/>
      <c r="D12" s="6"/>
      <c r="E12" s="6"/>
      <c r="F12" s="6"/>
      <c r="G12" s="6"/>
      <c r="H12" s="6"/>
      <c r="J12" s="7"/>
    </row>
    <row r="13" spans="1:10" x14ac:dyDescent="0.35">
      <c r="A13" s="10">
        <v>397.12</v>
      </c>
      <c r="B13" s="5" t="s">
        <v>15</v>
      </c>
      <c r="C13" s="6">
        <v>4660000</v>
      </c>
      <c r="D13" s="6">
        <f>$C$13*D20</f>
        <v>4078547.4158477145</v>
      </c>
      <c r="E13" s="6">
        <f>$C$13*E20</f>
        <v>441770.73857511143</v>
      </c>
      <c r="F13" s="6">
        <f>$C$13*F20</f>
        <v>0</v>
      </c>
      <c r="G13" s="6">
        <f>$C$13*G20</f>
        <v>5469.7609969974774</v>
      </c>
      <c r="H13" s="6">
        <f>$C$13*H20</f>
        <v>134212.0845801768</v>
      </c>
      <c r="J13" s="7"/>
    </row>
    <row r="14" spans="1:10" x14ac:dyDescent="0.35">
      <c r="A14" s="10">
        <v>397.12</v>
      </c>
      <c r="B14" s="5" t="s">
        <v>16</v>
      </c>
      <c r="C14" s="8">
        <v>-1369000</v>
      </c>
      <c r="D14" s="8">
        <f>$C$14*D20</f>
        <v>-1198182.706501185</v>
      </c>
      <c r="E14" s="8">
        <f>$C$14*E20</f>
        <v>-129782.00452989861</v>
      </c>
      <c r="F14" s="8">
        <f>$C$14*F20</f>
        <v>0</v>
      </c>
      <c r="G14" s="8">
        <f>$C$14*G20</f>
        <v>-1606.8890139247953</v>
      </c>
      <c r="H14" s="8">
        <f>$C$14*H20</f>
        <v>-39428.399954991852</v>
      </c>
      <c r="J14" s="7"/>
    </row>
    <row r="15" spans="1:10" x14ac:dyDescent="0.35">
      <c r="A15" s="4"/>
      <c r="B15" s="5" t="s">
        <v>11</v>
      </c>
      <c r="C15" s="6">
        <f>SUM(C13:C14)</f>
        <v>3291000</v>
      </c>
      <c r="D15" s="6">
        <f>SUM(D13:D14)</f>
        <v>2880364.7093465296</v>
      </c>
      <c r="E15" s="6">
        <f t="shared" ref="E15:H15" si="2">SUM(E13:E14)</f>
        <v>311988.73404521286</v>
      </c>
      <c r="F15" s="6">
        <f t="shared" si="2"/>
        <v>0</v>
      </c>
      <c r="G15" s="6">
        <f t="shared" si="2"/>
        <v>3862.8719830726823</v>
      </c>
      <c r="H15" s="6">
        <f t="shared" si="2"/>
        <v>94783.684625184949</v>
      </c>
      <c r="J15" s="7"/>
    </row>
    <row r="16" spans="1:10" x14ac:dyDescent="0.35">
      <c r="A16" s="4"/>
      <c r="B16" s="5"/>
      <c r="C16" s="6"/>
      <c r="D16" s="6"/>
      <c r="E16" s="6"/>
      <c r="F16" s="6"/>
      <c r="G16" s="6"/>
      <c r="H16" s="6"/>
      <c r="J16" s="7"/>
    </row>
    <row r="17" spans="1:13" x14ac:dyDescent="0.35">
      <c r="A17" s="4"/>
      <c r="B17" s="5" t="s">
        <v>17</v>
      </c>
      <c r="C17" s="6">
        <v>15668000</v>
      </c>
      <c r="D17" s="6">
        <f>$C$17*D20</f>
        <v>13713021.654828753</v>
      </c>
      <c r="E17" s="6">
        <f>$C$17*E20</f>
        <v>1485335.6077242158</v>
      </c>
      <c r="F17" s="6">
        <f>$C$17*F20</f>
        <v>0</v>
      </c>
      <c r="G17" s="6">
        <f>$C$17*G20</f>
        <v>18390.604141836153</v>
      </c>
      <c r="H17" s="6">
        <f>$C$17*H20</f>
        <v>451252.13330519525</v>
      </c>
      <c r="J17" s="7"/>
    </row>
    <row r="18" spans="1:13" x14ac:dyDescent="0.35">
      <c r="A18" s="4"/>
      <c r="B18" s="5" t="s">
        <v>18</v>
      </c>
      <c r="C18" s="6">
        <v>-4241000</v>
      </c>
      <c r="D18" s="6">
        <f>$C$18*D20</f>
        <v>-3711828.23832836</v>
      </c>
      <c r="E18" s="6">
        <f t="shared" ref="E18:H18" si="3">$C$18*E20</f>
        <v>-402049.29233842221</v>
      </c>
      <c r="F18" s="6">
        <f t="shared" si="3"/>
        <v>0</v>
      </c>
      <c r="G18" s="6">
        <f t="shared" si="3"/>
        <v>-4977.9520146494206</v>
      </c>
      <c r="H18" s="6">
        <f t="shared" si="3"/>
        <v>-122144.51731856861</v>
      </c>
      <c r="J18" s="7"/>
    </row>
    <row r="19" spans="1:13" x14ac:dyDescent="0.35">
      <c r="B19" s="5"/>
      <c r="C19" s="6"/>
      <c r="D19" s="6"/>
      <c r="E19" s="6"/>
      <c r="F19" s="6"/>
      <c r="G19" s="6"/>
      <c r="H19" s="6"/>
      <c r="J19" s="7"/>
    </row>
    <row r="20" spans="1:13" x14ac:dyDescent="0.35">
      <c r="B20" s="5" t="s">
        <v>19</v>
      </c>
      <c r="C20" s="6"/>
      <c r="D20" s="11">
        <v>0.875224767349295</v>
      </c>
      <c r="E20" s="11">
        <v>9.4800587677062537E-2</v>
      </c>
      <c r="F20" s="11">
        <v>0</v>
      </c>
      <c r="G20" s="11">
        <v>1.1737684542913042E-3</v>
      </c>
      <c r="H20" s="11">
        <v>2.8800876519351242E-2</v>
      </c>
      <c r="J20" s="7"/>
    </row>
    <row r="21" spans="1:13" x14ac:dyDescent="0.35">
      <c r="B21" s="9"/>
      <c r="C21" s="6"/>
      <c r="D21" s="6"/>
      <c r="E21" s="6"/>
      <c r="F21" s="6"/>
      <c r="G21" s="6"/>
      <c r="H21" s="6"/>
      <c r="J21" s="7"/>
    </row>
    <row r="22" spans="1:13" x14ac:dyDescent="0.35">
      <c r="B22" s="9" t="s">
        <v>20</v>
      </c>
      <c r="C22" s="6">
        <f>SUM(D22:H22)</f>
        <v>92677000.000000015</v>
      </c>
      <c r="D22" s="6">
        <f>D7+D11+D15+D17+D18</f>
        <v>82601639.03005746</v>
      </c>
      <c r="E22" s="6">
        <f>E7+E11+E15+E17+E18</f>
        <v>8511470.8213650249</v>
      </c>
      <c r="F22" s="6">
        <f t="shared" ref="F22" si="4">F7+F11+F15+F17+F18</f>
        <v>0</v>
      </c>
      <c r="G22" s="6">
        <f>G7+G11+G15+G17+G18</f>
        <v>96000.682874022765</v>
      </c>
      <c r="H22" s="6">
        <f>H7+H11+H15+H17+H18</f>
        <v>1467889.4657035016</v>
      </c>
      <c r="J22" s="7"/>
    </row>
    <row r="23" spans="1:13" x14ac:dyDescent="0.35">
      <c r="B23" s="9"/>
      <c r="C23" s="6"/>
      <c r="D23" s="6"/>
      <c r="E23" s="6"/>
      <c r="F23" s="6"/>
      <c r="G23" s="6"/>
      <c r="H23" s="6"/>
      <c r="J23" s="7"/>
    </row>
    <row r="24" spans="1:13" x14ac:dyDescent="0.35">
      <c r="B24" s="5" t="s">
        <v>21</v>
      </c>
      <c r="C24" s="6">
        <f t="shared" ref="C24:H24" si="5">C22*$I$24</f>
        <v>6885901.1000000015</v>
      </c>
      <c r="D24" s="6">
        <f t="shared" si="5"/>
        <v>6137301.7799332701</v>
      </c>
      <c r="E24" s="6">
        <f t="shared" si="5"/>
        <v>632402.2820274214</v>
      </c>
      <c r="F24" s="6">
        <f t="shared" si="5"/>
        <v>0</v>
      </c>
      <c r="G24" s="6">
        <f t="shared" si="5"/>
        <v>7132.8507375398922</v>
      </c>
      <c r="H24" s="6">
        <f t="shared" si="5"/>
        <v>109064.18730177017</v>
      </c>
      <c r="I24" s="12">
        <f>L24</f>
        <v>7.4300000000000005E-2</v>
      </c>
      <c r="J24" s="7"/>
      <c r="L24" s="13">
        <v>7.4300000000000005E-2</v>
      </c>
      <c r="M24" s="14"/>
    </row>
    <row r="25" spans="1:13" x14ac:dyDescent="0.35">
      <c r="B25" s="9" t="s">
        <v>22</v>
      </c>
      <c r="C25" s="6">
        <f>SUM(D25:H25)</f>
        <v>-482661.81599999999</v>
      </c>
      <c r="D25" s="15">
        <f>(D22*$I$25)*-$I$26</f>
        <v>-430189.33606853924</v>
      </c>
      <c r="E25" s="15">
        <f t="shared" ref="E25:G25" si="6">(E22*$I$25)*-$I$26</f>
        <v>-44327.740037669049</v>
      </c>
      <c r="F25" s="15">
        <f t="shared" si="6"/>
        <v>0</v>
      </c>
      <c r="G25" s="15">
        <f t="shared" si="6"/>
        <v>-499.97155640791055</v>
      </c>
      <c r="H25" s="15">
        <f>(H22*$I$25)*-$I$26</f>
        <v>-7644.7683373838363</v>
      </c>
      <c r="I25" s="12">
        <f>L25</f>
        <v>2.4799999999999999E-2</v>
      </c>
      <c r="J25" s="7"/>
      <c r="L25" s="13">
        <v>2.4799999999999999E-2</v>
      </c>
      <c r="M25" s="16" t="s">
        <v>23</v>
      </c>
    </row>
    <row r="26" spans="1:13" x14ac:dyDescent="0.35">
      <c r="B26" s="9" t="s">
        <v>24</v>
      </c>
      <c r="C26" s="17">
        <v>0.755463</v>
      </c>
      <c r="D26" s="18">
        <f>$C$26</f>
        <v>0.755463</v>
      </c>
      <c r="E26" s="18">
        <f>$C$26</f>
        <v>0.755463</v>
      </c>
      <c r="F26" s="18">
        <f>$C$26</f>
        <v>0.755463</v>
      </c>
      <c r="G26" s="18">
        <f>$C$26</f>
        <v>0.755463</v>
      </c>
      <c r="H26" s="18">
        <f>$C$26</f>
        <v>0.755463</v>
      </c>
      <c r="I26" s="12">
        <f>L26</f>
        <v>0.21</v>
      </c>
      <c r="J26" s="7"/>
      <c r="L26" s="13">
        <v>0.21</v>
      </c>
      <c r="M26" s="19" t="s">
        <v>25</v>
      </c>
    </row>
    <row r="27" spans="1:13" x14ac:dyDescent="0.35">
      <c r="B27" s="9" t="s">
        <v>26</v>
      </c>
      <c r="C27" s="6">
        <f>(C24+C25)/C26</f>
        <v>8475913.8223844208</v>
      </c>
      <c r="D27" s="6">
        <f>(D24+D25)/D26</f>
        <v>7554456.5966364089</v>
      </c>
      <c r="E27" s="6">
        <f>(E24+E25)/E26</f>
        <v>778429.31022399815</v>
      </c>
      <c r="F27" s="6">
        <f t="shared" ref="F27:H27" si="7">(F24+F25)/F26</f>
        <v>0</v>
      </c>
      <c r="G27" s="6">
        <f t="shared" si="7"/>
        <v>8779.8862169715539</v>
      </c>
      <c r="H27" s="6">
        <f t="shared" si="7"/>
        <v>134248.02930704263</v>
      </c>
      <c r="J27" s="7"/>
    </row>
    <row r="28" spans="1:13" x14ac:dyDescent="0.35">
      <c r="B28" s="9"/>
      <c r="C28" s="6"/>
      <c r="D28" s="6"/>
      <c r="E28" s="6"/>
      <c r="F28" s="6"/>
      <c r="G28" s="6"/>
      <c r="H28" s="6"/>
      <c r="J28" s="7"/>
    </row>
    <row r="29" spans="1:13" x14ac:dyDescent="0.35">
      <c r="B29" s="9"/>
      <c r="C29" s="6"/>
      <c r="D29" s="6"/>
      <c r="E29" s="6"/>
      <c r="F29" s="6"/>
      <c r="G29" s="6"/>
      <c r="H29" s="6"/>
      <c r="J29" s="7"/>
    </row>
    <row r="30" spans="1:13" x14ac:dyDescent="0.35">
      <c r="B30" s="9"/>
      <c r="C30" s="6"/>
      <c r="D30" s="6"/>
      <c r="E30" s="6"/>
      <c r="F30" s="6"/>
      <c r="G30" s="6"/>
      <c r="H30" s="6"/>
      <c r="J30" s="7"/>
    </row>
    <row r="31" spans="1:13" x14ac:dyDescent="0.35">
      <c r="A31" s="2" t="s">
        <v>27</v>
      </c>
      <c r="J31" s="7"/>
    </row>
    <row r="32" spans="1:13" x14ac:dyDescent="0.35">
      <c r="A32" s="10"/>
      <c r="B32" s="5" t="s">
        <v>28</v>
      </c>
      <c r="C32" s="6">
        <v>3491000</v>
      </c>
      <c r="D32" s="6">
        <f>$C$32*D20</f>
        <v>3055409.662816389</v>
      </c>
      <c r="E32" s="6">
        <f t="shared" ref="E32:H32" si="8">$C$32*E20</f>
        <v>330948.85158062534</v>
      </c>
      <c r="F32" s="6">
        <f t="shared" si="8"/>
        <v>0</v>
      </c>
      <c r="G32" s="6">
        <f t="shared" si="8"/>
        <v>4097.6256739309429</v>
      </c>
      <c r="H32" s="6">
        <f t="shared" si="8"/>
        <v>100543.85992905518</v>
      </c>
      <c r="J32" s="7"/>
    </row>
    <row r="33" spans="1:13" x14ac:dyDescent="0.35">
      <c r="A33" s="20"/>
      <c r="B33" s="4" t="s">
        <v>29</v>
      </c>
      <c r="C33" s="6">
        <f>SUM(D33:H33)</f>
        <v>3206999.9999999963</v>
      </c>
      <c r="D33" s="6">
        <v>2889150.18058722</v>
      </c>
      <c r="E33" s="6">
        <v>288854.30479858362</v>
      </c>
      <c r="F33" s="6">
        <v>0</v>
      </c>
      <c r="G33" s="6">
        <v>3057.5567350655292</v>
      </c>
      <c r="H33" s="6">
        <v>25937.957879127687</v>
      </c>
      <c r="J33" s="7"/>
    </row>
    <row r="34" spans="1:13" x14ac:dyDescent="0.35">
      <c r="A34" s="10"/>
      <c r="B34" s="5" t="s">
        <v>30</v>
      </c>
      <c r="C34" s="8">
        <v>101000</v>
      </c>
      <c r="D34" s="8">
        <f>$C$34*D20</f>
        <v>88397.701502278796</v>
      </c>
      <c r="E34" s="8">
        <f t="shared" ref="E34:H34" si="9">$C$34*E20</f>
        <v>9574.8593553833161</v>
      </c>
      <c r="F34" s="8">
        <f t="shared" si="9"/>
        <v>0</v>
      </c>
      <c r="G34" s="8">
        <f t="shared" si="9"/>
        <v>118.55061388342172</v>
      </c>
      <c r="H34" s="8">
        <f t="shared" si="9"/>
        <v>2908.8885284544754</v>
      </c>
      <c r="J34" s="7"/>
    </row>
    <row r="35" spans="1:13" x14ac:dyDescent="0.35">
      <c r="B35" s="4" t="s">
        <v>31</v>
      </c>
      <c r="C35" s="6">
        <f t="shared" ref="C35:H35" si="10">SUM(C32:C34)</f>
        <v>6798999.9999999963</v>
      </c>
      <c r="D35" s="6">
        <f t="shared" si="10"/>
        <v>6032957.5449058879</v>
      </c>
      <c r="E35" s="6">
        <f t="shared" si="10"/>
        <v>629378.01573459222</v>
      </c>
      <c r="F35" s="6">
        <f t="shared" si="10"/>
        <v>0</v>
      </c>
      <c r="G35" s="6">
        <f t="shared" si="10"/>
        <v>7273.7330228798937</v>
      </c>
      <c r="H35" s="6">
        <f t="shared" si="10"/>
        <v>129390.70633663735</v>
      </c>
      <c r="J35" s="7"/>
    </row>
    <row r="36" spans="1:13" x14ac:dyDescent="0.35">
      <c r="B36" s="4"/>
      <c r="C36" s="6"/>
      <c r="D36" s="6"/>
      <c r="E36" s="6"/>
      <c r="F36" s="6"/>
      <c r="G36" s="6"/>
      <c r="H36" s="6"/>
      <c r="J36" s="7"/>
    </row>
    <row r="37" spans="1:13" x14ac:dyDescent="0.35">
      <c r="B37" s="4" t="s">
        <v>32</v>
      </c>
      <c r="C37" s="21">
        <v>0.95628199999999997</v>
      </c>
      <c r="D37" s="22">
        <f>$C$37</f>
        <v>0.95628199999999997</v>
      </c>
      <c r="E37" s="22">
        <f>$C$37</f>
        <v>0.95628199999999997</v>
      </c>
      <c r="F37" s="22">
        <f>$C$37</f>
        <v>0.95628199999999997</v>
      </c>
      <c r="G37" s="22">
        <f>$C$37</f>
        <v>0.95628199999999997</v>
      </c>
      <c r="H37" s="22">
        <f>$C$37</f>
        <v>0.95628199999999997</v>
      </c>
      <c r="J37" s="7"/>
    </row>
    <row r="38" spans="1:13" x14ac:dyDescent="0.35">
      <c r="B38" s="4" t="s">
        <v>33</v>
      </c>
      <c r="C38" s="6">
        <f>C35/C37</f>
        <v>7109827.4358400516</v>
      </c>
      <c r="D38" s="6">
        <f>D35/D37</f>
        <v>6308764.0935476022</v>
      </c>
      <c r="E38" s="6">
        <f t="shared" ref="E38:H38" si="11">E35/E37</f>
        <v>658151.06394828332</v>
      </c>
      <c r="F38" s="6">
        <f t="shared" si="11"/>
        <v>0</v>
      </c>
      <c r="G38" s="6">
        <f t="shared" si="11"/>
        <v>7606.2636574565804</v>
      </c>
      <c r="H38" s="6">
        <f t="shared" si="11"/>
        <v>135306.01468671099</v>
      </c>
      <c r="J38" s="7"/>
    </row>
    <row r="39" spans="1:13" x14ac:dyDescent="0.35">
      <c r="J39" s="7"/>
    </row>
    <row r="40" spans="1:13" x14ac:dyDescent="0.35">
      <c r="B40" s="10" t="s">
        <v>34</v>
      </c>
      <c r="C40" s="6">
        <f t="shared" ref="C40:H40" si="12">C27+C38</f>
        <v>15585741.258224472</v>
      </c>
      <c r="D40" s="6">
        <f t="shared" si="12"/>
        <v>13863220.690184012</v>
      </c>
      <c r="E40" s="6">
        <f t="shared" si="12"/>
        <v>1436580.3741722815</v>
      </c>
      <c r="F40" s="6">
        <f t="shared" si="12"/>
        <v>0</v>
      </c>
      <c r="G40" s="6">
        <f t="shared" si="12"/>
        <v>16386.149874428134</v>
      </c>
      <c r="H40" s="6">
        <f t="shared" si="12"/>
        <v>269554.04399375361</v>
      </c>
      <c r="J40" s="7"/>
    </row>
    <row r="41" spans="1:13" x14ac:dyDescent="0.35">
      <c r="C41" s="6"/>
      <c r="D41" s="6"/>
      <c r="E41" s="6"/>
      <c r="F41" s="6"/>
      <c r="G41" s="6"/>
      <c r="H41" s="6"/>
      <c r="J41" s="7"/>
    </row>
    <row r="42" spans="1:13" x14ac:dyDescent="0.35">
      <c r="C42" s="23"/>
      <c r="D42" s="23"/>
      <c r="E42" s="23"/>
      <c r="F42" s="23"/>
      <c r="G42" s="23"/>
      <c r="H42" s="23"/>
      <c r="K42" s="19" t="s">
        <v>35</v>
      </c>
    </row>
    <row r="43" spans="1:13" x14ac:dyDescent="0.35">
      <c r="B43" s="10" t="s">
        <v>36</v>
      </c>
      <c r="C43" s="24">
        <f>ROUND(-M47,-3)</f>
        <v>-2260000</v>
      </c>
      <c r="D43" s="6">
        <f>$C$43*D20</f>
        <v>-1978007.9742094066</v>
      </c>
      <c r="E43" s="6">
        <f t="shared" ref="E43:H43" si="13">$C$43*E20</f>
        <v>-214249.32815016134</v>
      </c>
      <c r="F43" s="6">
        <f t="shared" si="13"/>
        <v>0</v>
      </c>
      <c r="G43" s="6">
        <f t="shared" si="13"/>
        <v>-2652.7167066983475</v>
      </c>
      <c r="H43" s="6">
        <f t="shared" si="13"/>
        <v>-65089.980933733808</v>
      </c>
      <c r="I43" s="6"/>
      <c r="J43" s="6"/>
      <c r="K43" s="19" t="s">
        <v>37</v>
      </c>
    </row>
    <row r="44" spans="1:13" x14ac:dyDescent="0.35">
      <c r="B44" s="4" t="s">
        <v>32</v>
      </c>
      <c r="C44" s="25">
        <f>C37</f>
        <v>0.95628199999999997</v>
      </c>
      <c r="D44" s="26">
        <f>C44</f>
        <v>0.95628199999999997</v>
      </c>
      <c r="E44" s="26">
        <f>C44</f>
        <v>0.95628199999999997</v>
      </c>
      <c r="F44" s="26">
        <f>C44</f>
        <v>0.95628199999999997</v>
      </c>
      <c r="G44" s="26">
        <f t="shared" ref="G44:H44" si="14">D44</f>
        <v>0.95628199999999997</v>
      </c>
      <c r="H44" s="26">
        <f t="shared" si="14"/>
        <v>0.95628199999999997</v>
      </c>
      <c r="I44" s="27"/>
      <c r="J44" s="27"/>
      <c r="K44">
        <v>2021</v>
      </c>
      <c r="L44">
        <v>2022</v>
      </c>
      <c r="M44" s="28" t="s">
        <v>38</v>
      </c>
    </row>
    <row r="45" spans="1:13" x14ac:dyDescent="0.35">
      <c r="B45" s="10" t="s">
        <v>39</v>
      </c>
      <c r="C45" s="6">
        <f>C43/C44</f>
        <v>-2363319.6065595713</v>
      </c>
      <c r="D45" s="6">
        <f>D43/D44</f>
        <v>-2068435.8528231282</v>
      </c>
      <c r="E45" s="6">
        <f t="shared" ref="E45:H45" si="15">E43/E44</f>
        <v>-224044.0875705716</v>
      </c>
      <c r="F45" s="6">
        <f t="shared" si="15"/>
        <v>0</v>
      </c>
      <c r="G45" s="6">
        <f t="shared" si="15"/>
        <v>-2773.9900015877615</v>
      </c>
      <c r="H45" s="6">
        <f t="shared" si="15"/>
        <v>-68065.676164283985</v>
      </c>
      <c r="I45" s="6"/>
      <c r="J45" s="6"/>
      <c r="K45" s="29">
        <v>8699584.1413360182</v>
      </c>
      <c r="L45" s="29">
        <v>9152763.041468624</v>
      </c>
      <c r="M45" s="30">
        <f>K45*3/12+L45*9/12</f>
        <v>9039468.316435473</v>
      </c>
    </row>
    <row r="46" spans="1:13" x14ac:dyDescent="0.35">
      <c r="K46" s="2" t="s">
        <v>40</v>
      </c>
      <c r="M46" s="30">
        <f>M45*0.75</f>
        <v>6779601.2373266052</v>
      </c>
    </row>
    <row r="47" spans="1:13" x14ac:dyDescent="0.35">
      <c r="B47" s="10" t="s">
        <v>41</v>
      </c>
      <c r="C47" s="6">
        <f>SUM(D47:J47)</f>
        <v>13222421.651664903</v>
      </c>
      <c r="D47" s="6">
        <f>D40+D45</f>
        <v>11794784.837360883</v>
      </c>
      <c r="E47" s="6">
        <f t="shared" ref="E47:G47" si="16">E40+E45</f>
        <v>1212536.2866017099</v>
      </c>
      <c r="F47" s="6">
        <f t="shared" si="16"/>
        <v>0</v>
      </c>
      <c r="G47" s="6">
        <f t="shared" si="16"/>
        <v>13612.159872840373</v>
      </c>
      <c r="H47" s="6">
        <f>H40+H45</f>
        <v>201488.36782946961</v>
      </c>
      <c r="I47" s="6"/>
      <c r="J47" s="6"/>
      <c r="K47" s="2" t="s">
        <v>42</v>
      </c>
      <c r="M47" s="30">
        <f>M45*0.25</f>
        <v>2259867.0791088683</v>
      </c>
    </row>
    <row r="49" spans="2:11" x14ac:dyDescent="0.35">
      <c r="B49" s="31"/>
      <c r="C49" s="32"/>
      <c r="D49" s="32"/>
      <c r="E49" s="32"/>
      <c r="F49" s="32"/>
      <c r="G49" s="32"/>
      <c r="H49" s="32"/>
      <c r="K49" s="19" t="s">
        <v>43</v>
      </c>
    </row>
    <row r="50" spans="2:11" x14ac:dyDescent="0.35">
      <c r="B50" s="31"/>
      <c r="C50" s="33"/>
      <c r="D50" s="33"/>
      <c r="E50" s="33"/>
      <c r="F50" s="33"/>
      <c r="G50" s="33"/>
      <c r="H50" s="33"/>
    </row>
    <row r="52" spans="2:11" x14ac:dyDescent="0.35">
      <c r="B52" s="31"/>
      <c r="C52" s="34"/>
      <c r="D52" s="34"/>
      <c r="E52" s="34"/>
      <c r="F52" s="34"/>
      <c r="G52" s="34"/>
      <c r="H52" s="34"/>
    </row>
  </sheetData>
  <conditionalFormatting sqref="J5:J41">
    <cfRule type="cellIs" dxfId="0" priority="1" operator="notEqual">
      <formula>0</formula>
    </cfRule>
  </conditionalFormatting>
  <pageMargins left="0.7" right="0.7" top="0.75" bottom="0.75" header="0.3" footer="0.3"/>
  <pageSetup scale="46" orientation="portrait" r:id="rId1"/>
  <headerFooter>
    <oddHeader>&amp;RExh. JCA-3</oddHeader>
    <oddFooter>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Date1 xmlns="dc463f71-b30c-4ab2-9473-d307f9d35888">2020-10-30T07:00:00+00:00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200900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D3EBA57-32C9-4089-A375-BFA4EF8D7A11}"/>
</file>

<file path=customXml/itemProps2.xml><?xml version="1.0" encoding="utf-8"?>
<ds:datastoreItem xmlns:ds="http://schemas.openxmlformats.org/officeDocument/2006/customXml" ds:itemID="{E22AE5DE-39F7-4EBC-A77B-F1D65F3AE79B}"/>
</file>

<file path=customXml/itemProps3.xml><?xml version="1.0" encoding="utf-8"?>
<ds:datastoreItem xmlns:ds="http://schemas.openxmlformats.org/officeDocument/2006/customXml" ds:itemID="{154D6127-45CC-402A-B710-E0C7EBE47AE0}"/>
</file>

<file path=customXml/itemProps4.xml><?xml version="1.0" encoding="utf-8"?>
<ds:datastoreItem xmlns:ds="http://schemas.openxmlformats.org/officeDocument/2006/customXml" ds:itemID="{458DEA51-7183-4EB7-A38B-68EAFC23E7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AMI Costs and Benefits - JCA-3</vt:lpstr>
      <vt:lpstr>'AMI Costs and Benefits - JCA-3'!Print_Area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Anderson, Joel</dc:creator>
  <cp:lastModifiedBy>Anderson, Joel</cp:lastModifiedBy>
  <cp:lastPrinted>2020-10-26T16:28:38Z</cp:lastPrinted>
  <dcterms:created xsi:type="dcterms:W3CDTF">2020-10-26T04:54:43Z</dcterms:created>
  <dcterms:modified xsi:type="dcterms:W3CDTF">2020-10-26T16:33:12Z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